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53222"/>
  <mc:AlternateContent xmlns:mc="http://schemas.openxmlformats.org/markup-compatibility/2006">
    <mc:Choice Requires="x15">
      <x15ac:absPath xmlns:x15ac="http://schemas.microsoft.com/office/spreadsheetml/2010/11/ac" url="C:\Users\moryb\Desktop\New folder\for submission\"/>
    </mc:Choice>
  </mc:AlternateContent>
  <bookViews>
    <workbookView xWindow="0" yWindow="0" windowWidth="24000" windowHeight="9135" firstSheet="3" activeTab="12"/>
  </bookViews>
  <sheets>
    <sheet name="Front Page" sheetId="27" r:id="rId1"/>
    <sheet name="References" sheetId="29" r:id="rId2"/>
    <sheet name="Parameters" sheetId="4" r:id="rId3"/>
    <sheet name="Mining" sheetId="3" r:id="rId4"/>
    <sheet name="Sintering" sheetId="5" r:id="rId5"/>
    <sheet name="Pelleting" sheetId="6" r:id="rId6"/>
    <sheet name="Blast furnace" sheetId="9" r:id="rId7"/>
    <sheet name="Direct Reduction" sheetId="10" r:id="rId8"/>
    <sheet name="Iron Foundry" sheetId="11" r:id="rId9"/>
    <sheet name="SM1 Puddling" sheetId="12" r:id="rId10"/>
    <sheet name="SM2 OHF" sheetId="13" r:id="rId11"/>
    <sheet name="SM3 B-T" sheetId="14" r:id="rId12"/>
    <sheet name="SM4 BOF" sheetId="15" r:id="rId13"/>
    <sheet name="SM5 Crucible" sheetId="19" r:id="rId14"/>
    <sheet name="SM6 EAF" sheetId="20" r:id="rId15"/>
    <sheet name="Continuous casting" sheetId="18" r:id="rId16"/>
    <sheet name="Ingot casting" sheetId="16" r:id="rId17"/>
    <sheet name="Rod bar mill" sheetId="23" r:id="rId18"/>
    <sheet name="Plate mill" sheetId="24" r:id="rId19"/>
    <sheet name="Section mill" sheetId="22" r:id="rId20"/>
    <sheet name="Strip mill" sheetId="21" r:id="rId21"/>
    <sheet name="Cold rolling" sheetId="25" r:id="rId22"/>
    <sheet name="Electricity generation" sheetId="26" r:id="rId23"/>
    <sheet name="Other processes" sheetId="7" r:id="rId24"/>
    <sheet name="Energy mix" sheetId="8" r:id="rId25"/>
    <sheet name="MFA output" sheetId="28" state="hidden" r:id="rId26"/>
  </sheets>
  <externalReferences>
    <externalReference r:id="rId27"/>
  </externalReferences>
  <definedNames>
    <definedName name="_Hlk33563023" localSheetId="0">'Front Page'!#REF!</definedName>
    <definedName name="_Hlk37933567" localSheetId="0">'Front Page'!$A$4</definedName>
    <definedName name="BF_coal">Parameters!$B$59</definedName>
    <definedName name="BF_coke">Parameters!$B$16</definedName>
    <definedName name="BF_eff">Parameters!#REF!</definedName>
    <definedName name="BF_oil">Parameters!#REF!</definedName>
    <definedName name="BOF_BF_gas">Parameters!$B$34</definedName>
    <definedName name="BOF_efficiency">Parameters!#REF!</definedName>
    <definedName name="BOF_electricity">Parameters!$B$31</definedName>
    <definedName name="BOF_heat_steam">Parameters!$B$33</definedName>
    <definedName name="BOF_oil">Parameters!$B$32</definedName>
    <definedName name="CC_CokeGas">Parameters!#REF!</definedName>
    <definedName name="CC_efficiency">Parameters!$B$36</definedName>
    <definedName name="CC_electricity">Parameters!#REF!</definedName>
    <definedName name="CC_NatGas">Parameters!#REF!</definedName>
    <definedName name="CCS_BF">Parameters!#REF!</definedName>
    <definedName name="CCS_eff">Parameters!#REF!</definedName>
    <definedName name="CCS_sintering">Parameters!#REF!</definedName>
    <definedName name="coke_per_ce">Parameters!$B$78</definedName>
    <definedName name="coking_input_share">Parameters!#REF!</definedName>
    <definedName name="Coking_tech_improve">Parameters!#REF!</definedName>
    <definedName name="CR_electricity">Parameters!$B$49</definedName>
    <definedName name="CR_NatGas">Parameters!$B$50</definedName>
    <definedName name="CR_Steam">Parameters!$B$51</definedName>
    <definedName name="crude_iron_ore_grade">Parameters!$B$7</definedName>
    <definedName name="DRI_eff">Parameters!#REF!</definedName>
    <definedName name="EAF_anode">Parameters!$B$54</definedName>
    <definedName name="EAF_eff">Parameters!$B$52</definedName>
    <definedName name="EAF_electricity">Parameters!$B$53</definedName>
    <definedName name="EAF_naturalgas">Parameters!$B$55</definedName>
    <definedName name="electricity_mix">Parameters!$B$4</definedName>
    <definedName name="electricity_per_ce">Parameters!#REF!</definedName>
    <definedName name="FEcontent_IronOreBeneficiated">Parameters!$B$58</definedName>
    <definedName name="FEcontent_IronPellet">Parameters!$B$56</definedName>
    <definedName name="FEcontent_SinterIron">Parameters!$B$57</definedName>
    <definedName name="frDRI_energiron">Parameters!$B$21</definedName>
    <definedName name="frDRI_midrex">Parameters!$B$20</definedName>
    <definedName name="frDRI_RotaryKiln">Parameters!$B$22</definedName>
    <definedName name="heating_value_coal">Parameters!$B$81</definedName>
    <definedName name="heating_value_coke">Parameters!$B$80</definedName>
    <definedName name="heating_value_NatGas">Parameters!$B$82</definedName>
    <definedName name="IC_efficiency">Parameters!$B$35</definedName>
    <definedName name="IC_electricity">Parameters!#REF!</definedName>
    <definedName name="IC_NatGas">Parameters!#REF!</definedName>
    <definedName name="IF_electricity">Parameters!$B$27</definedName>
    <definedName name="IF_heat_steam">Parameters!$B$29</definedName>
    <definedName name="IF_NatGas">Parameters!$B$30</definedName>
    <definedName name="IF_oil">Parameters!$B$28</definedName>
    <definedName name="IronFoundry_efficiency">Parameters!#REF!</definedName>
    <definedName name="mining_eff">Parameters!$B$6</definedName>
    <definedName name="Mining_electricity">Parameters!#REF!</definedName>
    <definedName name="mining_energy_time_factor">Parameters!#REF!</definedName>
    <definedName name="mining_RE">Parameters!$B$6</definedName>
    <definedName name="natural_gas_per_ce">Parameters!$B$79</definedName>
    <definedName name="OHF_coke_oven_gas">Parameters!$B$26</definedName>
    <definedName name="OHF_efficiency">Parameters!#REF!</definedName>
    <definedName name="OHF_electricity">Parameters!$B$23</definedName>
    <definedName name="OHF_heat_steam">Parameters!$B$25</definedName>
    <definedName name="OHF_oil">Parameters!$B$24</definedName>
    <definedName name="Palm_LT" localSheetId="6">#REF!</definedName>
    <definedName name="Palm_LT" localSheetId="21">#REF!</definedName>
    <definedName name="Palm_LT" localSheetId="15">#REF!</definedName>
    <definedName name="Palm_LT" localSheetId="7">#REF!</definedName>
    <definedName name="Palm_LT" localSheetId="8">#REF!</definedName>
    <definedName name="Palm_LT" localSheetId="5">#REF!</definedName>
    <definedName name="Palm_LT" localSheetId="18">#REF!</definedName>
    <definedName name="Palm_LT" localSheetId="17">#REF!</definedName>
    <definedName name="Palm_LT" localSheetId="19">#REF!</definedName>
    <definedName name="Palm_LT" localSheetId="4">#REF!</definedName>
    <definedName name="Palm_LT" localSheetId="9">#REF!</definedName>
    <definedName name="Palm_LT" localSheetId="10">#REF!</definedName>
    <definedName name="Palm_LT" localSheetId="11">#REF!</definedName>
    <definedName name="Palm_LT" localSheetId="12">#REF!</definedName>
    <definedName name="Palm_LT" localSheetId="13">#REF!</definedName>
    <definedName name="Palm_LT" localSheetId="14">#REF!</definedName>
    <definedName name="Palm_LT" localSheetId="20">#REF!</definedName>
    <definedName name="Palm_LT">#REF!</definedName>
    <definedName name="Pellet_BF_gas">Parameters!$B$15</definedName>
    <definedName name="Pellet_coke">Parameters!$B$13</definedName>
    <definedName name="Pellet_electricity">Parameters!$B$12</definedName>
    <definedName name="Pellet_NatGas">Parameters!$B$14</definedName>
    <definedName name="PP_tech_improve">Parameters!#REF!</definedName>
    <definedName name="PtM_CokeGas">Parameters!$B$45</definedName>
    <definedName name="PtM_electricity">Parameters!$B$43</definedName>
    <definedName name="PtM_NatGas">Parameters!$B$44</definedName>
    <definedName name="raw_data_input">'[1]Input data'!$A$1:$K$65536</definedName>
    <definedName name="raw_data_titles">'[1]Input data'!$A$8:$K$8</definedName>
    <definedName name="RbM_CokeGas">Parameters!$B$39</definedName>
    <definedName name="RbM_electricity">Parameters!$B$37</definedName>
    <definedName name="RbM_NatGas">Parameters!$B$38</definedName>
    <definedName name="RE_BF">Parameters!$B$62</definedName>
    <definedName name="RE_BOF">Parameters!$B$63</definedName>
    <definedName name="RE_BTC">Parameters!$B$64</definedName>
    <definedName name="RE_CC">Parameters!$B$65</definedName>
    <definedName name="RE_CR">Parameters!$B$66</definedName>
    <definedName name="RE_Crucible">Parameters!$B$67</definedName>
    <definedName name="RE_DRI_energiron">Parameters!$B$68</definedName>
    <definedName name="RE_DRI_midrex">Parameters!$B$69</definedName>
    <definedName name="RE_DRI_RotaryKiln">Parameters!$B$70</definedName>
    <definedName name="RE_EAF">Parameters!$B$71</definedName>
    <definedName name="RE_IC">Parameters!$B$72</definedName>
    <definedName name="RE_IronFoundry">Parameters!$B$73</definedName>
    <definedName name="RE_mill">Parameters!$B$74</definedName>
    <definedName name="RE_mining">Parameters!$B$75</definedName>
    <definedName name="RE_OHF">Parameters!$B$76</definedName>
    <definedName name="RE_pelletizing">Parameters!$B$61</definedName>
    <definedName name="RE_Sintering">Parameters!$B$60</definedName>
    <definedName name="RE_SM1_Puddling">Parameters!$B$77</definedName>
    <definedName name="scen1">Parameters!#REF!</definedName>
    <definedName name="scen2">Parameters!#REF!</definedName>
    <definedName name="scen3">Parameters!#REF!</definedName>
    <definedName name="scen4">Parameters!#REF!</definedName>
    <definedName name="scen5">Parameters!#REF!</definedName>
    <definedName name="SeM_CokeGas">Parameters!$B$48</definedName>
    <definedName name="SeM_electricity">Parameters!$B$46</definedName>
    <definedName name="SeM_NatGas">Parameters!$B$47</definedName>
    <definedName name="Sintering_coke">Parameters!$B$11</definedName>
    <definedName name="sintering_eff">Parameters!$B$8</definedName>
    <definedName name="Sintering_electricity">Parameters!$B$9</definedName>
    <definedName name="Sintering_heat">Parameters!#REF!</definedName>
    <definedName name="Sintering_natural_gas">Parameters!$B$10</definedName>
    <definedName name="StM_CokeGas">Parameters!$B$42</definedName>
    <definedName name="StM_electricity">Parameters!$B$40</definedName>
    <definedName name="StM_NatGas">Parameters!$B$41</definedName>
    <definedName name="subprocess_MFA">Parameters!$B$2</definedName>
    <definedName name="year">Parameters!$B$3</definedName>
  </definedNames>
  <calcPr calcId="162913"/>
</workbook>
</file>

<file path=xl/calcChain.xml><?xml version="1.0" encoding="utf-8"?>
<calcChain xmlns="http://schemas.openxmlformats.org/spreadsheetml/2006/main">
  <c r="B36" i="4" l="1"/>
  <c r="B7" i="18" s="1"/>
  <c r="B35" i="4"/>
  <c r="B8" i="16" s="1"/>
  <c r="B7" i="16" l="1"/>
  <c r="B8" i="20"/>
  <c r="B12" i="15"/>
  <c r="B9" i="13"/>
  <c r="B72" i="4" l="1"/>
  <c r="B67" i="4"/>
  <c r="B26" i="9" l="1"/>
  <c r="B59" i="4"/>
  <c r="B37" i="9" s="1"/>
  <c r="A37" i="9"/>
  <c r="B76" i="4"/>
  <c r="B77" i="4" s="1"/>
  <c r="B18" i="12" l="1"/>
  <c r="B14" i="12"/>
  <c r="B12" i="12"/>
  <c r="B7" i="4"/>
  <c r="B52" i="4" l="1"/>
  <c r="B16" i="4" l="1"/>
  <c r="A97" i="25" l="1"/>
  <c r="B80" i="25"/>
  <c r="B18" i="25"/>
  <c r="A35" i="25"/>
  <c r="A8" i="16"/>
  <c r="B14" i="21"/>
  <c r="B14" i="22"/>
  <c r="B14" i="24"/>
  <c r="B14" i="23"/>
  <c r="B51" i="4"/>
  <c r="B36" i="25" s="1"/>
  <c r="B50" i="4"/>
  <c r="B49" i="4"/>
  <c r="B34" i="25" s="1"/>
  <c r="B42" i="4"/>
  <c r="B28" i="21" s="1"/>
  <c r="B41" i="4"/>
  <c r="B40" i="4"/>
  <c r="B27" i="21" s="1"/>
  <c r="B39" i="4"/>
  <c r="B28" i="23" s="1"/>
  <c r="B38" i="4"/>
  <c r="B37" i="4"/>
  <c r="B27" i="23" s="1"/>
  <c r="B45" i="4"/>
  <c r="B28" i="24" s="1"/>
  <c r="B44" i="4"/>
  <c r="B43" i="4"/>
  <c r="B27" i="24" s="1"/>
  <c r="B48" i="4"/>
  <c r="B28" i="22" s="1"/>
  <c r="B47" i="4"/>
  <c r="B46" i="4"/>
  <c r="B27" i="22" s="1"/>
  <c r="A29" i="23"/>
  <c r="A28" i="23"/>
  <c r="A27" i="23"/>
  <c r="A29" i="24"/>
  <c r="A28" i="24"/>
  <c r="A27" i="24"/>
  <c r="A29" i="21"/>
  <c r="A28" i="21"/>
  <c r="A27" i="21"/>
  <c r="A29" i="22"/>
  <c r="A28" i="22"/>
  <c r="A27" i="22"/>
  <c r="A7" i="18"/>
  <c r="B5" i="16"/>
  <c r="B5" i="18"/>
  <c r="B13" i="20"/>
  <c r="B164" i="15"/>
  <c r="B121" i="15"/>
  <c r="B17" i="15"/>
  <c r="B75" i="15"/>
  <c r="B18" i="14"/>
  <c r="B12" i="14"/>
  <c r="B14" i="13"/>
  <c r="B98" i="10"/>
  <c r="B99" i="10"/>
  <c r="B92" i="10"/>
  <c r="B67" i="10"/>
  <c r="B66" i="10"/>
  <c r="B60" i="10"/>
  <c r="B35" i="10"/>
  <c r="B34" i="10"/>
  <c r="B28" i="10"/>
  <c r="B18" i="6"/>
  <c r="B18" i="5"/>
  <c r="B12" i="11"/>
  <c r="B96" i="25" l="1"/>
  <c r="B98" i="25"/>
  <c r="B13" i="3"/>
  <c r="A7" i="16" l="1"/>
  <c r="B49" i="15"/>
  <c r="A193" i="15"/>
  <c r="A139" i="15"/>
  <c r="A96" i="15"/>
  <c r="B34" i="4"/>
  <c r="B33" i="4"/>
  <c r="B32" i="4"/>
  <c r="B31" i="4"/>
  <c r="A50" i="15"/>
  <c r="B192" i="15"/>
  <c r="B168" i="15"/>
  <c r="B125" i="15"/>
  <c r="B96" i="15" l="1"/>
  <c r="B50" i="15"/>
  <c r="B193" i="15"/>
  <c r="B139" i="15"/>
  <c r="B98" i="15"/>
  <c r="B52" i="15"/>
  <c r="B195" i="15"/>
  <c r="B141" i="15"/>
  <c r="B99" i="15"/>
  <c r="B53" i="15"/>
  <c r="B196" i="15"/>
  <c r="B142" i="15"/>
  <c r="B194" i="15"/>
  <c r="B140" i="15"/>
  <c r="B97" i="15"/>
  <c r="B51" i="15"/>
  <c r="B29" i="4"/>
  <c r="B17" i="11" s="1"/>
  <c r="B28" i="4"/>
  <c r="B18" i="11" s="1"/>
  <c r="B30" i="4"/>
  <c r="B27" i="4"/>
  <c r="B16" i="11" s="1"/>
  <c r="A16" i="11"/>
  <c r="A26" i="13"/>
  <c r="A15" i="11"/>
  <c r="A10" i="13"/>
  <c r="A9" i="13"/>
  <c r="A12" i="15"/>
  <c r="B26" i="4"/>
  <c r="B25" i="13" s="1"/>
  <c r="B25" i="4"/>
  <c r="B27" i="13" s="1"/>
  <c r="B24" i="4"/>
  <c r="B28" i="13" s="1"/>
  <c r="B23" i="4"/>
  <c r="B26" i="13" s="1"/>
  <c r="A18" i="14"/>
  <c r="B15" i="4"/>
  <c r="B37" i="6" s="1"/>
  <c r="B13" i="4"/>
  <c r="B35" i="6" s="1"/>
  <c r="B14" i="4"/>
  <c r="B36" i="6" s="1"/>
  <c r="B12" i="4"/>
  <c r="B34" i="6" s="1"/>
  <c r="B11" i="4"/>
  <c r="B26" i="5" s="1"/>
  <c r="B10" i="4"/>
  <c r="B9" i="4"/>
  <c r="B27" i="5" s="1"/>
  <c r="A98" i="10"/>
  <c r="A99" i="10"/>
  <c r="A18" i="12" l="1"/>
  <c r="A58" i="20"/>
  <c r="B55" i="4"/>
  <c r="B24" i="20" s="1"/>
  <c r="B53" i="4"/>
  <c r="B25" i="20" s="1"/>
  <c r="B60" i="9"/>
  <c r="B81" i="4" l="1"/>
  <c r="B80" i="4" s="1"/>
  <c r="B97" i="10" l="1"/>
  <c r="B33" i="10"/>
  <c r="B85" i="9"/>
  <c r="B82" i="4"/>
  <c r="B29" i="23" l="1"/>
  <c r="B29" i="24"/>
  <c r="B97" i="25"/>
  <c r="B35" i="25"/>
  <c r="B29" i="22"/>
  <c r="B29" i="21"/>
  <c r="B65" i="10"/>
  <c r="B25" i="5"/>
  <c r="B15" i="11"/>
  <c r="B58" i="20"/>
  <c r="S36" i="8"/>
  <c r="S33" i="8"/>
  <c r="S31" i="8"/>
  <c r="S30" i="8"/>
  <c r="S29" i="8"/>
  <c r="S27" i="8"/>
  <c r="S25" i="8"/>
  <c r="S24" i="8"/>
  <c r="S18" i="8"/>
  <c r="S17" i="8"/>
  <c r="S16" i="8"/>
  <c r="S15" i="8"/>
  <c r="S14" i="8"/>
  <c r="S13" i="8"/>
  <c r="S12" i="8"/>
  <c r="S11" i="8"/>
  <c r="S10" i="8"/>
  <c r="S9" i="8"/>
  <c r="S8" i="8"/>
  <c r="S7" i="8"/>
  <c r="S6" i="8"/>
  <c r="S5" i="8"/>
  <c r="B30" i="3" l="1"/>
  <c r="A18" i="3"/>
  <c r="B32" i="3" l="1"/>
  <c r="B31" i="3"/>
  <c r="B96" i="10" l="1"/>
  <c r="B64" i="10"/>
  <c r="B32" i="10"/>
  <c r="A58" i="3"/>
  <c r="A30" i="3"/>
  <c r="B35" i="9" l="1"/>
  <c r="B31" i="9"/>
  <c r="B27" i="6"/>
  <c r="A374" i="7"/>
  <c r="A373" i="7"/>
  <c r="A351" i="7"/>
  <c r="A21" i="20"/>
  <c r="A27" i="15"/>
  <c r="A82" i="15"/>
  <c r="A83" i="15"/>
  <c r="A19" i="13"/>
  <c r="A29" i="7"/>
  <c r="A120" i="7"/>
  <c r="A325" i="7"/>
  <c r="A34" i="25"/>
  <c r="A96" i="25"/>
  <c r="A25" i="20"/>
  <c r="A67" i="10"/>
  <c r="A66" i="10"/>
  <c r="A34" i="10"/>
  <c r="A35" i="10"/>
  <c r="A34" i="6"/>
  <c r="A27" i="5"/>
  <c r="A31" i="3"/>
  <c r="A36" i="26"/>
  <c r="A37" i="26"/>
  <c r="A45" i="26"/>
  <c r="A9" i="26"/>
  <c r="B9" i="26"/>
  <c r="A28" i="26"/>
  <c r="A27" i="26"/>
  <c r="A26" i="26"/>
  <c r="A25" i="26"/>
  <c r="A24" i="26"/>
  <c r="A23" i="26"/>
  <c r="A22" i="26"/>
  <c r="A21" i="26"/>
  <c r="A20" i="26"/>
  <c r="A19" i="26"/>
  <c r="A18" i="26"/>
  <c r="A17" i="26"/>
  <c r="A16" i="26"/>
  <c r="A15" i="26"/>
  <c r="B24" i="5"/>
  <c r="A342" i="7"/>
  <c r="A341" i="7"/>
  <c r="A340" i="7"/>
  <c r="A339" i="7"/>
  <c r="A338" i="7"/>
  <c r="A337" i="7"/>
  <c r="A336" i="7"/>
  <c r="A335" i="7"/>
  <c r="R16" i="8" l="1"/>
  <c r="B26" i="26" s="1"/>
  <c r="R12" i="8"/>
  <c r="B22" i="26" s="1"/>
  <c r="R8" i="8"/>
  <c r="B18" i="26" s="1"/>
  <c r="R5" i="8"/>
  <c r="B15" i="26" s="1"/>
  <c r="R15" i="8"/>
  <c r="B25" i="26" s="1"/>
  <c r="R11" i="8"/>
  <c r="B21" i="26" s="1"/>
  <c r="R7" i="8"/>
  <c r="B17" i="26" s="1"/>
  <c r="R18" i="8"/>
  <c r="B28" i="26" s="1"/>
  <c r="R14" i="8"/>
  <c r="B24" i="26" s="1"/>
  <c r="R10" i="8"/>
  <c r="B20" i="26" s="1"/>
  <c r="R6" i="8"/>
  <c r="B16" i="26" s="1"/>
  <c r="R17" i="8"/>
  <c r="B27" i="26" s="1"/>
  <c r="R13" i="8"/>
  <c r="B23" i="26" s="1"/>
  <c r="R9" i="8"/>
  <c r="B19" i="26" s="1"/>
  <c r="R4" i="8"/>
  <c r="R35" i="8"/>
  <c r="R31" i="8"/>
  <c r="B340" i="7" s="1"/>
  <c r="R27" i="8"/>
  <c r="B337" i="7" s="1"/>
  <c r="R23" i="8"/>
  <c r="R34" i="8"/>
  <c r="R30" i="8"/>
  <c r="B339" i="7" s="1"/>
  <c r="R26" i="8"/>
  <c r="R37" i="8"/>
  <c r="R33" i="8"/>
  <c r="B341" i="7" s="1"/>
  <c r="R29" i="8"/>
  <c r="B338" i="7" s="1"/>
  <c r="R25" i="8"/>
  <c r="B336" i="7" s="1"/>
  <c r="R36" i="8"/>
  <c r="B342" i="7" s="1"/>
  <c r="R32" i="8"/>
  <c r="R28" i="8"/>
  <c r="R24" i="8"/>
  <c r="B335" i="7" s="1"/>
  <c r="J22" i="26" l="1"/>
  <c r="J335" i="7"/>
  <c r="J338" i="7"/>
  <c r="J339" i="7"/>
  <c r="J342" i="7"/>
  <c r="J341" i="7"/>
  <c r="J340" i="7"/>
  <c r="J24" i="26"/>
  <c r="J16" i="26"/>
  <c r="J21" i="26"/>
  <c r="J17" i="26"/>
  <c r="J15" i="26"/>
  <c r="J18" i="26"/>
  <c r="J28" i="26"/>
  <c r="J26" i="26"/>
  <c r="J23" i="26"/>
  <c r="J20" i="26"/>
  <c r="J19" i="26"/>
  <c r="J9" i="26"/>
  <c r="J25" i="26"/>
  <c r="J27" i="26"/>
  <c r="J337" i="7"/>
  <c r="J336" i="7"/>
  <c r="A25" i="5"/>
  <c r="A23" i="21"/>
  <c r="A23" i="22"/>
  <c r="A23" i="24"/>
  <c r="A23" i="23"/>
  <c r="A17" i="20"/>
  <c r="A22" i="15"/>
  <c r="A312" i="7"/>
  <c r="A49" i="15"/>
  <c r="B54" i="4"/>
  <c r="B19" i="20" s="1"/>
  <c r="A20" i="20"/>
  <c r="B21" i="20"/>
  <c r="A7" i="20"/>
  <c r="A9" i="20"/>
  <c r="A8" i="20"/>
  <c r="A14" i="19"/>
  <c r="B30" i="19"/>
  <c r="B29" i="19"/>
  <c r="B13" i="19"/>
  <c r="A7" i="19"/>
  <c r="A14" i="25"/>
  <c r="A13" i="25"/>
  <c r="A7" i="25"/>
  <c r="A10" i="21"/>
  <c r="A9" i="21"/>
  <c r="A8" i="21"/>
  <c r="A7" i="21"/>
  <c r="A9" i="22"/>
  <c r="A7" i="22"/>
  <c r="A8" i="24"/>
  <c r="A8" i="22"/>
  <c r="A7" i="23"/>
  <c r="A7" i="24"/>
  <c r="A8" i="23"/>
  <c r="A13" i="15"/>
  <c r="A95" i="15"/>
  <c r="B86" i="15"/>
  <c r="A86" i="15"/>
  <c r="A81" i="15"/>
  <c r="A23" i="15"/>
  <c r="A80" i="15"/>
  <c r="A29" i="15"/>
  <c r="A28" i="15"/>
  <c r="B29" i="15"/>
  <c r="B19" i="15"/>
  <c r="B20" i="15"/>
  <c r="A21" i="5"/>
  <c r="A15" i="12"/>
  <c r="A18" i="13"/>
  <c r="A15" i="14"/>
  <c r="A180" i="7"/>
  <c r="B16" i="14"/>
  <c r="B15" i="14"/>
  <c r="A8" i="14"/>
  <c r="B34" i="14"/>
  <c r="B33" i="14"/>
  <c r="B17" i="14"/>
  <c r="A17" i="14"/>
  <c r="B14" i="14"/>
  <c r="A14" i="14"/>
  <c r="B19" i="13"/>
  <c r="B20" i="13"/>
  <c r="B17" i="13"/>
  <c r="A8" i="13"/>
  <c r="B43" i="13"/>
  <c r="B42" i="13"/>
  <c r="B24" i="13"/>
  <c r="B22" i="13"/>
  <c r="A22" i="13"/>
  <c r="A17" i="13"/>
  <c r="A16" i="12"/>
  <c r="B16" i="12"/>
  <c r="A14" i="12"/>
  <c r="A8" i="12"/>
  <c r="B33" i="12"/>
  <c r="B32" i="12"/>
  <c r="B14" i="11"/>
  <c r="B33" i="11"/>
  <c r="B34" i="11"/>
  <c r="A14" i="11"/>
  <c r="A8" i="11"/>
  <c r="B22" i="4"/>
  <c r="B19" i="10" s="1"/>
  <c r="B21" i="4"/>
  <c r="B18" i="10" s="1"/>
  <c r="B20" i="4"/>
  <c r="B17" i="10" s="1"/>
  <c r="A96" i="10"/>
  <c r="A64" i="10"/>
  <c r="A19" i="10"/>
  <c r="A18" i="10"/>
  <c r="A32" i="10"/>
  <c r="A17" i="10"/>
  <c r="A8" i="10"/>
  <c r="A60" i="9"/>
  <c r="A17" i="9" l="1"/>
  <c r="A8" i="6"/>
  <c r="A31" i="9"/>
  <c r="A36" i="9"/>
  <c r="A8" i="9"/>
  <c r="A17" i="7"/>
  <c r="A16" i="7"/>
  <c r="A35" i="6"/>
  <c r="A26" i="5"/>
  <c r="A27" i="6"/>
  <c r="A24" i="5"/>
  <c r="A14" i="6"/>
  <c r="A14" i="5"/>
  <c r="A8" i="5"/>
  <c r="A8" i="3"/>
  <c r="B11" i="19" l="1"/>
  <c r="B14" i="19"/>
</calcChain>
</file>

<file path=xl/comments1.xml><?xml version="1.0" encoding="utf-8"?>
<comments xmlns="http://schemas.openxmlformats.org/spreadsheetml/2006/main">
  <authors>
    <author>Morten Ryberg</author>
  </authors>
  <commentList>
    <comment ref="L3" authorId="0" shapeId="0">
      <text>
        <r>
          <rPr>
            <b/>
            <sz val="9"/>
            <color indexed="81"/>
            <rFont val="Tahoma"/>
            <family val="2"/>
          </rPr>
          <t>Morten Ryberg:</t>
        </r>
        <r>
          <rPr>
            <sz val="9"/>
            <color indexed="81"/>
            <rFont val="Tahoma"/>
            <family val="2"/>
          </rPr>
          <t xml:space="preserve">
World electricity and heat
https://www.iea.org/statistics/statisticssearch/report/?country=WORLD&amp;product=electricityandheat&amp;year=2000</t>
        </r>
      </text>
    </comment>
    <comment ref="M3" authorId="0" shapeId="0">
      <text>
        <r>
          <rPr>
            <b/>
            <sz val="9"/>
            <color indexed="81"/>
            <rFont val="Tahoma"/>
            <family val="2"/>
          </rPr>
          <t>Morten Ryberg:</t>
        </r>
        <r>
          <rPr>
            <sz val="9"/>
            <color indexed="81"/>
            <rFont val="Tahoma"/>
            <family val="2"/>
          </rPr>
          <t xml:space="preserve">
World electricity and heat
https://www.iea.org/statistics/statisticssearch/report/?country=WORLD&amp;product=electricityandheat&amp;year=2000</t>
        </r>
      </text>
    </comment>
    <comment ref="N3" authorId="0" shapeId="0">
      <text>
        <r>
          <rPr>
            <b/>
            <sz val="9"/>
            <color indexed="81"/>
            <rFont val="Tahoma"/>
            <family val="2"/>
          </rPr>
          <t>Morten Ryberg:</t>
        </r>
        <r>
          <rPr>
            <sz val="9"/>
            <color indexed="81"/>
            <rFont val="Tahoma"/>
            <family val="2"/>
          </rPr>
          <t xml:space="preserve">
World electricity and heat
https://www.iea.org/statistics/statisticssearch/report/?country=WORLD&amp;product=electricityandheat&amp;year=2000</t>
        </r>
      </text>
    </comment>
    <comment ref="O3" authorId="0" shapeId="0">
      <text>
        <r>
          <rPr>
            <b/>
            <sz val="9"/>
            <color indexed="81"/>
            <rFont val="Tahoma"/>
            <family val="2"/>
          </rPr>
          <t>Morten Ryberg:</t>
        </r>
        <r>
          <rPr>
            <sz val="9"/>
            <color indexed="81"/>
            <rFont val="Tahoma"/>
            <family val="2"/>
          </rPr>
          <t xml:space="preserve">
World electricity and heat
https://www.iea.org/statistics/statisticssearch/report/?country=WORLD&amp;product=electricityandheat&amp;year=2000</t>
        </r>
      </text>
    </comment>
    <comment ref="C22" authorId="0" shapeId="0">
      <text>
        <r>
          <rPr>
            <b/>
            <sz val="9"/>
            <color indexed="81"/>
            <rFont val="Tahoma"/>
            <family val="2"/>
          </rPr>
          <t>Morten Ryberg:</t>
        </r>
        <r>
          <rPr>
            <sz val="9"/>
            <color indexed="81"/>
            <rFont val="Tahoma"/>
            <family val="2"/>
          </rPr>
          <t xml:space="preserve">
The Slow Search for Solutions: Lessons from Historical Energy Transitions by Sector and Service
Roger Fouquet, March 2010
Based on reading from Figure 1</t>
        </r>
      </text>
    </comment>
    <comment ref="D22" authorId="0" shapeId="0">
      <text>
        <r>
          <rPr>
            <b/>
            <sz val="9"/>
            <color indexed="81"/>
            <rFont val="Tahoma"/>
            <family val="2"/>
          </rPr>
          <t>Morten Ryberg:</t>
        </r>
        <r>
          <rPr>
            <sz val="9"/>
            <color indexed="81"/>
            <rFont val="Tahoma"/>
            <family val="2"/>
          </rPr>
          <t xml:space="preserve">
The Slow Search for Solutions: Lessons from Historical Energy Transitions by Sector and Service
Roger Fouquet, March 2010
Based on reading from Figure 1</t>
        </r>
      </text>
    </comment>
    <comment ref="E22" authorId="0" shapeId="0">
      <text>
        <r>
          <rPr>
            <b/>
            <sz val="9"/>
            <color indexed="81"/>
            <rFont val="Tahoma"/>
            <family val="2"/>
          </rPr>
          <t>Morten Ryberg:</t>
        </r>
        <r>
          <rPr>
            <sz val="9"/>
            <color indexed="81"/>
            <rFont val="Tahoma"/>
            <family val="2"/>
          </rPr>
          <t xml:space="preserve">
The Slow Search for Solutions: Lessons from Historical Energy Transitions by Sector and Service
Roger Fouquet, March 2010
Based on reading from Figure 1</t>
        </r>
      </text>
    </comment>
    <comment ref="F22" authorId="0" shapeId="0">
      <text>
        <r>
          <rPr>
            <b/>
            <sz val="9"/>
            <color indexed="81"/>
            <rFont val="Tahoma"/>
            <family val="2"/>
          </rPr>
          <t>Morten Ryberg:</t>
        </r>
        <r>
          <rPr>
            <sz val="9"/>
            <color indexed="81"/>
            <rFont val="Tahoma"/>
            <family val="2"/>
          </rPr>
          <t xml:space="preserve">
The Slow Search for Solutions: Lessons from Historical Energy Transitions by Sector and Service
Roger Fouquet, March 2010
Based on reading from Figure 1</t>
        </r>
      </text>
    </comment>
    <comment ref="G22" authorId="0" shapeId="0">
      <text>
        <r>
          <rPr>
            <b/>
            <sz val="9"/>
            <color indexed="81"/>
            <rFont val="Tahoma"/>
            <family val="2"/>
          </rPr>
          <t>Morten Ryberg:</t>
        </r>
        <r>
          <rPr>
            <sz val="9"/>
            <color indexed="81"/>
            <rFont val="Tahoma"/>
            <family val="2"/>
          </rPr>
          <t xml:space="preserve">
The Slow Search for Solutions: Lessons from Historical Energy Transitions by Sector and Service
Roger Fouquet, March 2010
Based on reading from Figure 1</t>
        </r>
      </text>
    </comment>
    <comment ref="H22" authorId="0" shapeId="0">
      <text>
        <r>
          <rPr>
            <b/>
            <sz val="9"/>
            <color indexed="81"/>
            <rFont val="Tahoma"/>
            <family val="2"/>
          </rPr>
          <t>Morten Ryberg:</t>
        </r>
        <r>
          <rPr>
            <sz val="9"/>
            <color indexed="81"/>
            <rFont val="Tahoma"/>
            <family val="2"/>
          </rPr>
          <t xml:space="preserve">
The Slow Search for Solutions: Lessons from Historical Energy Transitions by Sector and Service
Roger Fouquet, March 2010
Based on reading from Figure 1</t>
        </r>
      </text>
    </comment>
    <comment ref="I22" authorId="0" shapeId="0">
      <text>
        <r>
          <rPr>
            <b/>
            <sz val="9"/>
            <color indexed="81"/>
            <rFont val="Tahoma"/>
            <family val="2"/>
          </rPr>
          <t>Morten Ryberg:</t>
        </r>
        <r>
          <rPr>
            <sz val="9"/>
            <color indexed="81"/>
            <rFont val="Tahoma"/>
            <family val="2"/>
          </rPr>
          <t xml:space="preserve">
The Slow Search for Solutions: Lessons from Historical Energy Transitions by Sector and Service
Roger Fouquet, March 2010
Based on reading from Figure 1</t>
        </r>
      </text>
    </comment>
    <comment ref="J22" authorId="0" shapeId="0">
      <text>
        <r>
          <rPr>
            <b/>
            <sz val="9"/>
            <color indexed="81"/>
            <rFont val="Tahoma"/>
            <family val="2"/>
          </rPr>
          <t>Morten Ryberg:</t>
        </r>
        <r>
          <rPr>
            <sz val="9"/>
            <color indexed="81"/>
            <rFont val="Tahoma"/>
            <family val="2"/>
          </rPr>
          <t xml:space="preserve">
The Slow Search for Solutions: Lessons from Historical Energy Transitions by Sector and Service
Roger Fouquet, March 2010
Based on reading from Figure 1</t>
        </r>
      </text>
    </comment>
    <comment ref="K22" authorId="0" shapeId="0">
      <text>
        <r>
          <rPr>
            <b/>
            <sz val="9"/>
            <color indexed="81"/>
            <rFont val="Tahoma"/>
            <family val="2"/>
          </rPr>
          <t>Morten Ryberg:</t>
        </r>
        <r>
          <rPr>
            <sz val="9"/>
            <color indexed="81"/>
            <rFont val="Tahoma"/>
            <family val="2"/>
          </rPr>
          <t xml:space="preserve">
The Slow Search for Solutions: Lessons from Historical Energy Transitions by Sector and Service
Roger Fouquet, March 2010
Based on reading from Figure 1</t>
        </r>
      </text>
    </comment>
    <comment ref="L22" authorId="0" shapeId="0">
      <text>
        <r>
          <rPr>
            <b/>
            <sz val="9"/>
            <color indexed="81"/>
            <rFont val="Tahoma"/>
            <family val="2"/>
          </rPr>
          <t>Morten Ryberg:</t>
        </r>
        <r>
          <rPr>
            <sz val="9"/>
            <color indexed="81"/>
            <rFont val="Tahoma"/>
            <family val="2"/>
          </rPr>
          <t xml:space="preserve">
World electricity and heat
https://www.iea.org/statistics/statisticssearch/report/?country=WORLD&amp;product=electricityandheat&amp;year=2000</t>
        </r>
      </text>
    </comment>
    <comment ref="M22" authorId="0" shapeId="0">
      <text>
        <r>
          <rPr>
            <b/>
            <sz val="9"/>
            <color indexed="81"/>
            <rFont val="Tahoma"/>
            <family val="2"/>
          </rPr>
          <t>Morten Ryberg:</t>
        </r>
        <r>
          <rPr>
            <sz val="9"/>
            <color indexed="81"/>
            <rFont val="Tahoma"/>
            <family val="2"/>
          </rPr>
          <t xml:space="preserve">
World electricity and heat
https://www.iea.org/statistics/statisticssearch/report/?country=WORLD&amp;product=electricityandheat&amp;year=2000</t>
        </r>
      </text>
    </comment>
    <comment ref="N22" authorId="0" shapeId="0">
      <text>
        <r>
          <rPr>
            <b/>
            <sz val="9"/>
            <color indexed="81"/>
            <rFont val="Tahoma"/>
            <family val="2"/>
          </rPr>
          <t>Morten Ryberg:</t>
        </r>
        <r>
          <rPr>
            <sz val="9"/>
            <color indexed="81"/>
            <rFont val="Tahoma"/>
            <family val="2"/>
          </rPr>
          <t xml:space="preserve">
World electricity and heat
https://www.iea.org/statistics/statisticssearch/report/?country=WORLD&amp;product=electricityandheat&amp;year=2000</t>
        </r>
      </text>
    </comment>
    <comment ref="O22" authorId="0" shapeId="0">
      <text>
        <r>
          <rPr>
            <b/>
            <sz val="9"/>
            <color indexed="81"/>
            <rFont val="Tahoma"/>
            <family val="2"/>
          </rPr>
          <t>Morten Ryberg:</t>
        </r>
        <r>
          <rPr>
            <sz val="9"/>
            <color indexed="81"/>
            <rFont val="Tahoma"/>
            <family val="2"/>
          </rPr>
          <t xml:space="preserve">
World electricity and heat
https://www.iea.org/statistics/statisticssearch/report/?country=WORLD&amp;product=electricityandheat&amp;year=2000</t>
        </r>
      </text>
    </comment>
  </commentList>
</comments>
</file>

<file path=xl/sharedStrings.xml><?xml version="1.0" encoding="utf-8"?>
<sst xmlns="http://schemas.openxmlformats.org/spreadsheetml/2006/main" count="5863" uniqueCount="702">
  <si>
    <t>Unit</t>
  </si>
  <si>
    <t>Input</t>
  </si>
  <si>
    <t>Amount</t>
  </si>
  <si>
    <t>Distribution</t>
  </si>
  <si>
    <t>STD</t>
  </si>
  <si>
    <t>MIN</t>
  </si>
  <si>
    <t>MAX</t>
  </si>
  <si>
    <t>Reference</t>
  </si>
  <si>
    <t>Comment</t>
  </si>
  <si>
    <t>kg</t>
  </si>
  <si>
    <t>Ouput</t>
  </si>
  <si>
    <t>tkm</t>
  </si>
  <si>
    <t>p</t>
  </si>
  <si>
    <t>kWh</t>
  </si>
  <si>
    <t>MJ</t>
  </si>
  <si>
    <t>Nitrogen oxides</t>
  </si>
  <si>
    <t>Emissions to air</t>
  </si>
  <si>
    <t>Particulates, &gt; 10 um</t>
  </si>
  <si>
    <t>Carbon monoxide, fossil</t>
  </si>
  <si>
    <t>Sulfur dioxide</t>
  </si>
  <si>
    <t>Emissions to water</t>
  </si>
  <si>
    <t>TOC, Total Organic Carbon</t>
  </si>
  <si>
    <t>DOC, Dissolved Organic Carbon</t>
  </si>
  <si>
    <t>COD, Chemical Oxygen Demand</t>
  </si>
  <si>
    <t>BOD5, Biological Oxygen Demand</t>
  </si>
  <si>
    <t>Chromium</t>
  </si>
  <si>
    <t>Zinc</t>
  </si>
  <si>
    <t>Iron</t>
  </si>
  <si>
    <t>Suspended solids, unspecified</t>
  </si>
  <si>
    <t>Mining</t>
  </si>
  <si>
    <t>Iron ore, beneficiated, 65% Fe {GLO}| market for | Alloc Rec, U_mr</t>
  </si>
  <si>
    <t>Transport, freight, inland waterways, barge {GLO}| market for | Alloc Rec, U</t>
  </si>
  <si>
    <t>Transport, freight, sea, transoceanic ship {GLO}| market for | Alloc Rec, U</t>
  </si>
  <si>
    <t>Transport, freight, lorry, unspecified {GLO}| market for | Alloc Rec, U</t>
  </si>
  <si>
    <t>Iron ore, beneficiated, 65% Fe {GLO}| iron ore beneficiation to 65% Fe | Alloc Rec, U_mr</t>
  </si>
  <si>
    <t>Transport, freight train {Europe without Switzerland}| market for | Alloc Rec, U</t>
  </si>
  <si>
    <t>Transport, freight train {CN}| market for | Alloc Rec, U</t>
  </si>
  <si>
    <t>Transport, freight train {CH}| market for | Alloc Rec, U</t>
  </si>
  <si>
    <t>Transport, freight train {US}| market for | Alloc Rec, U</t>
  </si>
  <si>
    <t>Transport, freight train {RoW}| market for | Alloc Rec, U</t>
  </si>
  <si>
    <t>Water, unspecified natural origin, GLO</t>
  </si>
  <si>
    <t>m3</t>
  </si>
  <si>
    <t>Iron ore, crude ore, 46% Fe {GLO}| market for | Alloc Rec, U</t>
  </si>
  <si>
    <t>Output to nature</t>
  </si>
  <si>
    <t>Water/m3</t>
  </si>
  <si>
    <t>Nickel</t>
  </si>
  <si>
    <t>Copper</t>
  </si>
  <si>
    <t>Arsenic</t>
  </si>
  <si>
    <t>Chromium VI</t>
  </si>
  <si>
    <t>Lead</t>
  </si>
  <si>
    <t>Cyanide</t>
  </si>
  <si>
    <t>Mercury</t>
  </si>
  <si>
    <t>Cadmium</t>
  </si>
  <si>
    <t>Oils, unspecified</t>
  </si>
  <si>
    <t>Water, GLO</t>
  </si>
  <si>
    <t>Sintering</t>
  </si>
  <si>
    <t>Sinter, iron {GLO}| market for | Alloc Rec, U_mr</t>
  </si>
  <si>
    <t>Sinter, iron {GLO}| production | Alloc Rec, U_mr</t>
  </si>
  <si>
    <t>Based on information about historic sintering efficiency</t>
  </si>
  <si>
    <t>Aluminium oxide factory {GLO}| market for | Alloc Rec, U</t>
  </si>
  <si>
    <t>Limestone, unprocessed {GLO}| market for | Alloc Rec, U</t>
  </si>
  <si>
    <t>pieces</t>
  </si>
  <si>
    <t>PAH, polycyclic aromatic hydrocarbons</t>
  </si>
  <si>
    <t>Carbon dioxide, fossil</t>
  </si>
  <si>
    <t>Polychlorinated biphenyls</t>
  </si>
  <si>
    <t>Hydrogen fluoride</t>
  </si>
  <si>
    <t>Hydrocarbons, aliphatic, alkanes, unspecified</t>
  </si>
  <si>
    <t>Manganese</t>
  </si>
  <si>
    <t>Titanium</t>
  </si>
  <si>
    <t>Hydrogen chloride</t>
  </si>
  <si>
    <t>Vanadium</t>
  </si>
  <si>
    <t>Particulates, &lt; 2.5 um</t>
  </si>
  <si>
    <t>Dioxin, 2,3,7,8 Tetrachlorodibenzo-p-</t>
  </si>
  <si>
    <t>Based on historic sintering inputs</t>
  </si>
  <si>
    <t>Pelletizing</t>
  </si>
  <si>
    <t>Water, unspecified natural origin, RoW</t>
  </si>
  <si>
    <t>Transport, freight train {RoW}| diesel | Alloc Rec, U</t>
  </si>
  <si>
    <t>Dolomite {GLO}| market for | Alloc Rec, U</t>
  </si>
  <si>
    <t>Lime {GLO}| market for | Alloc Rec, U</t>
  </si>
  <si>
    <t>Sodium hydroxide, without water, in 50% solution state {GLO}| market for | Alloc Rec, U</t>
  </si>
  <si>
    <t>Activated bentonite {GLO}| market for | Alloc Rec, U</t>
  </si>
  <si>
    <t>Chromium {GLO}| market for | Alloc Rec, U</t>
  </si>
  <si>
    <t>Steel, unalloyed {GLO}| market for | Alloc Rec, U</t>
  </si>
  <si>
    <t>Bentonite {GLO}| market for | Alloc Rec, U</t>
  </si>
  <si>
    <t>Tap water {CH}| market for | Alloc Rec, U</t>
  </si>
  <si>
    <t>Tap water {Europe without Switzerland}| market for | Alloc Rec, U</t>
  </si>
  <si>
    <t>Tap water {RoW}| market for | Alloc Rec, U</t>
  </si>
  <si>
    <t>Based on information about historic pelletizing efficiency</t>
  </si>
  <si>
    <t>Dinitrogen monoxide</t>
  </si>
  <si>
    <t>Particulates, &gt; 2.5 um, and &lt; 10um</t>
  </si>
  <si>
    <t>Methane, fossil</t>
  </si>
  <si>
    <t>Nitrate</t>
  </si>
  <si>
    <t>Phosphorus</t>
  </si>
  <si>
    <t>Water, RoW</t>
  </si>
  <si>
    <t>Outputs to technosphere: waste and emissions to treatment</t>
  </si>
  <si>
    <t>Scrap steel {GLO}| market for | Alloc Rec, U</t>
  </si>
  <si>
    <t>Waste mineral oil {GLO}| market for | Alloc Rec, U</t>
  </si>
  <si>
    <t>Spent solvent mixture {GLO}| market for | Alloc Rec, U</t>
  </si>
  <si>
    <t>Transport, freight, inland waterways, barge tanker {GLO}| market for | Alloc Rec, U</t>
  </si>
  <si>
    <t>Transport, freight, sea, transoceanic tanker {GLO}| market for | Alloc Rec, U</t>
  </si>
  <si>
    <t>Transport, freight, light commercial vehicle {GLO}| market for | Alloc Rec, U</t>
  </si>
  <si>
    <t>Coke {DE}| coking | Alloc Rec, U_mr</t>
  </si>
  <si>
    <t>Coke {GLO}| petroleum to generic market for | Alloc Rec, U</t>
  </si>
  <si>
    <t>Coke {RoW}| coking | Alloc Rec, U_mr</t>
  </si>
  <si>
    <t>Phosphoric acid, fertiliser grade, without water, in 70% solution state {GLO}| market for | Alloc Rec, U</t>
  </si>
  <si>
    <t>Iron sulfate {GLO}| market for | Alloc Rec, U</t>
  </si>
  <si>
    <t>Hard coal {WEU}| market for | Alloc Rec, U</t>
  </si>
  <si>
    <t>Water, decarbonised, at user {GLO}| market for | Alloc Rec, U</t>
  </si>
  <si>
    <t>Hard coal coke factory {GLO}| market for | Alloc Rec, U</t>
  </si>
  <si>
    <t>Electricity, global mix, high voltage_mr</t>
  </si>
  <si>
    <t>Toluene</t>
  </si>
  <si>
    <t>Thallium</t>
  </si>
  <si>
    <t>Silicon</t>
  </si>
  <si>
    <t>Cobalt</t>
  </si>
  <si>
    <t>Zirconium</t>
  </si>
  <si>
    <t>Calcium</t>
  </si>
  <si>
    <t>Aluminium</t>
  </si>
  <si>
    <t>Bromine</t>
  </si>
  <si>
    <t>Thorium</t>
  </si>
  <si>
    <t>Selenium</t>
  </si>
  <si>
    <t>Benzene</t>
  </si>
  <si>
    <t>Benzo(a)pyrene</t>
  </si>
  <si>
    <t>Propane</t>
  </si>
  <si>
    <t>Ammonia</t>
  </si>
  <si>
    <t>Boron</t>
  </si>
  <si>
    <t>Potassium</t>
  </si>
  <si>
    <t>Ethyne</t>
  </si>
  <si>
    <t>Hydrogen sulfide</t>
  </si>
  <si>
    <t>Molybdenum</t>
  </si>
  <si>
    <t>Sodium</t>
  </si>
  <si>
    <t>Strontium</t>
  </si>
  <si>
    <t>Beryllium</t>
  </si>
  <si>
    <t>Propene</t>
  </si>
  <si>
    <t>Barium</t>
  </si>
  <si>
    <t>Scandium</t>
  </si>
  <si>
    <t>Ethane</t>
  </si>
  <si>
    <t>Antimony</t>
  </si>
  <si>
    <t>Uranium</t>
  </si>
  <si>
    <t>Magnesium</t>
  </si>
  <si>
    <t>Tin</t>
  </si>
  <si>
    <t>Ethene</t>
  </si>
  <si>
    <t>Hydrocarbons, aliphatic, unsaturated</t>
  </si>
  <si>
    <t>NMVOC, non-methane volatile organic compounds, unspecified origin</t>
  </si>
  <si>
    <t>Iodine</t>
  </si>
  <si>
    <t>Solids, inorganic</t>
  </si>
  <si>
    <t>Water, DE</t>
  </si>
  <si>
    <t>Ammonium, ion</t>
  </si>
  <si>
    <t>Chloride</t>
  </si>
  <si>
    <t>Petroleum coke {GLO}| market for | Alloc Rec, U</t>
  </si>
  <si>
    <t>Hard coal {AU}| market for | Alloc Rec, U</t>
  </si>
  <si>
    <t>Hard coal {CN}| market for | Alloc Rec, U</t>
  </si>
  <si>
    <t>Hard coal {ID}| market for | Alloc Rec, U</t>
  </si>
  <si>
    <t>Hard coal {PL}| market for | Alloc Rec, U</t>
  </si>
  <si>
    <t>Hard coal {RLA}| market for | Alloc Rec, U</t>
  </si>
  <si>
    <t>Hard coal {RNA}| market for | Alloc Rec, U</t>
  </si>
  <si>
    <t>Hard coal {RU}| market for | Alloc Rec, U</t>
  </si>
  <si>
    <t>Hard coal {ZA}| market for | Alloc Rec, U</t>
  </si>
  <si>
    <t>Hard coal {RoW}| market for | Alloc Rec, U</t>
  </si>
  <si>
    <t>Styrene</t>
  </si>
  <si>
    <t>Methanol</t>
  </si>
  <si>
    <t>Carbon disulfide</t>
  </si>
  <si>
    <t>Acrolein</t>
  </si>
  <si>
    <t>Silver</t>
  </si>
  <si>
    <t>Methane, chlorodifluoro-, HCFC-22</t>
  </si>
  <si>
    <t>Acetone</t>
  </si>
  <si>
    <t>Ethanol</t>
  </si>
  <si>
    <t>Phenol, pentachloro-</t>
  </si>
  <si>
    <t>Blast furnace</t>
  </si>
  <si>
    <t>BF</t>
  </si>
  <si>
    <t>Pig iron {GLO}| market for | Alloc Rec, U_mr</t>
  </si>
  <si>
    <t>Pig iron {GLO}| production | Alloc Rec, U_mr</t>
  </si>
  <si>
    <t>Based on information about historic blast furnace efficiency</t>
  </si>
  <si>
    <t>Water, cooling, unspecified natural origin, GLO</t>
  </si>
  <si>
    <t>Blast furnace {GLO}| market for | Alloc Rec, U</t>
  </si>
  <si>
    <t>Refractory, fireclay, packed {GLO}| market for | Alloc Rec, U</t>
  </si>
  <si>
    <t>Blast furnace gas {GLO}| blast furnace gas, Recycled Content cut-off | Alloc Rec, U</t>
  </si>
  <si>
    <t>Natural gas, high pressure {SK}| market for | Alloc Rec, U</t>
  </si>
  <si>
    <t>Natural gas, high pressure {IE}| market for | Alloc Rec, U</t>
  </si>
  <si>
    <t>Natural gas, high pressure {AT}| market for | Alloc Rec, U</t>
  </si>
  <si>
    <t>Natural gas, high pressure {DE}| market for | Alloc Rec, U</t>
  </si>
  <si>
    <t>Natural gas, high pressure {SE}| market for | Alloc Rec, U</t>
  </si>
  <si>
    <t>Natural gas, high pressure {ES}| market for | Alloc Rec, U</t>
  </si>
  <si>
    <t>Natural gas, high pressure {FR}| market for | Alloc Rec, U</t>
  </si>
  <si>
    <t>Natural gas, high pressure {HU}| market for | Alloc Rec, U</t>
  </si>
  <si>
    <t>Natural gas, high pressure {FI}| market for | Alloc Rec, U</t>
  </si>
  <si>
    <t>Natural gas, high pressure {GR}| market for | Alloc Rec, U</t>
  </si>
  <si>
    <t>Natural gas, high pressure {IT}| market for | Alloc Rec, U</t>
  </si>
  <si>
    <t>Natural gas, high pressure {BE}| market for | Alloc Rec, U</t>
  </si>
  <si>
    <t>Natural gas, high pressure {JP}| market for | Alloc Rec, U</t>
  </si>
  <si>
    <t>Natural gas, high pressure {CH}| market for | Alloc Rec, U</t>
  </si>
  <si>
    <t>Natural gas, high pressure {CZ}| market for | Alloc Rec, U</t>
  </si>
  <si>
    <t>Natural gas, high pressure {NL}| market for | Alloc Rec, U</t>
  </si>
  <si>
    <t>Natural gas, high pressure {GB}| market for | Alloc Rec, U</t>
  </si>
  <si>
    <t>Natural gas, high pressure {DK}| market for | Alloc Rec, U</t>
  </si>
  <si>
    <t>Natural gas, high pressure {US}| market for | Alloc Rec, U</t>
  </si>
  <si>
    <t>Natural gas, high pressure {CA-QC}| market for | Alloc Rec, U</t>
  </si>
  <si>
    <t>Natural gas, high pressure {RoW}| market for | Alloc Rec, U</t>
  </si>
  <si>
    <t>Natural gas, high pressure {CA-AB}| market for | Alloc Rec, U</t>
  </si>
  <si>
    <t>Wastewater from pig iron production {GLO}| market for | Alloc Rec, U</t>
  </si>
  <si>
    <t>Sludge, pig iron production {GLO}| market for | Alloc Rec, U</t>
  </si>
  <si>
    <t>Blast furnace slag {GLO}| market for | Alloc Rec, U</t>
  </si>
  <si>
    <t>Inert waste, for final disposal {GLO}| market for | Alloc Rec, U</t>
  </si>
  <si>
    <t>year</t>
  </si>
  <si>
    <t>BF_coke</t>
  </si>
  <si>
    <t>DRI</t>
  </si>
  <si>
    <t>Direct reduced iron (DRI)| | market for | Alloc Rec, U_mr</t>
  </si>
  <si>
    <t>Direct reduced iron (DRI)| MIDREX, coal based inventory partly based on ITmk3 production | Alloc Rec, U_mr</t>
  </si>
  <si>
    <t>Direct reduced iron (DRI)| Energiron, NatGas based inventory partly based on ITmk3 production | Alloc Rec, U_mr</t>
  </si>
  <si>
    <t>Direct reduced iron (DRI)| Rotary Kiln, coal based inventory partly based on ITmk3 production | Alloc Rec, U_mr</t>
  </si>
  <si>
    <t>frDRI_RotaryKiln</t>
  </si>
  <si>
    <t>frDRI_energiron</t>
  </si>
  <si>
    <t>frDRI_midrex</t>
  </si>
  <si>
    <t>Based on information about historic direct reduced iron efficiency</t>
  </si>
  <si>
    <t>MIDREX, coal based inventory partly based on ITmk3 production</t>
  </si>
  <si>
    <t>subprocess_MFA</t>
  </si>
  <si>
    <t>Iron Foundry</t>
  </si>
  <si>
    <t>Iron Foundry, production_mr</t>
  </si>
  <si>
    <t>Scrap steel {CH}| treatment of, inert material landfill | Alloc Rec, U</t>
  </si>
  <si>
    <t>Steel, Puddling | Alloc Rec, U_mr</t>
  </si>
  <si>
    <t>Blast oxygen furnace converter {GLO}| market for | Alloc Rec, U</t>
  </si>
  <si>
    <t>SM2/OHF</t>
  </si>
  <si>
    <t>Steel, OHF | Alloc Rec, U_mr</t>
  </si>
  <si>
    <t>Ferronickel, 25% Ni {GLO}| market for | Alloc Rec, U_mr</t>
  </si>
  <si>
    <t>Ferromanganese, high-coal, 74.5% Mn {GLO}| market for | Alloc Rec, U</t>
  </si>
  <si>
    <t>Ferrochromium, high-carbon, 68% Cr {GLO}| market for | Alloc Rec, U</t>
  </si>
  <si>
    <t>Molybdenite {GLO}| market for | Alloc Rec, U</t>
  </si>
  <si>
    <t>SM3/B-T,C</t>
  </si>
  <si>
    <t>Steel, Bessemer process | Alloc Rec, U_mr</t>
  </si>
  <si>
    <t>Oxygen, liquid {RoW}| market for | Alloc Rec, U</t>
  </si>
  <si>
    <t>Quicklime, in pieces, loose {CA-QC}| production | Alloc Rec, U</t>
  </si>
  <si>
    <t>Quicklime, in pieces, loose {CH}| production | Alloc Rec, U</t>
  </si>
  <si>
    <t>Quicklime, in pieces, loose {RoW}| production | Alloc Rec, U_mr</t>
  </si>
  <si>
    <t>Limestone, crushed, washed {GLO}| market for | Alloc Rec, U</t>
  </si>
  <si>
    <t>Transport, passenger car, large size, diesel, EURO 4 {GLO}| market for | Alloc Rec, U</t>
  </si>
  <si>
    <t>Heavy fuel oil {Europe without Switzerland}| market for | Alloc Rec, U</t>
  </si>
  <si>
    <t>Industrial machine, heavy, unspecified {GLO}| market for | Alloc Rec, U</t>
  </si>
  <si>
    <t>Electricity, high voltage {RoW}| electricity production, hydro, run-of-river | Alloc Rec, U</t>
  </si>
  <si>
    <t>Diesel, burned in building machine {GLO}| market for | Alloc Rec, U</t>
  </si>
  <si>
    <t>Heat, central or small-scale, other than natural gas {Europe without Switzerland}| market for heat, central or small-scale, other than natural gas | Alloc Rec, U</t>
  </si>
  <si>
    <t>Electricity, medium voltage {ASCC}| market for | Alloc Rec, U</t>
  </si>
  <si>
    <t>Electricity, medium voltage {AT}| market for | Alloc Rec, U</t>
  </si>
  <si>
    <t>Electricity, medium voltage {AU}| market for | Alloc Rec, U</t>
  </si>
  <si>
    <t>Electricity, medium voltage {BA}| market for | Alloc Rec, U</t>
  </si>
  <si>
    <t>Electricity, medium voltage {BE}| market for | Alloc Rec, U</t>
  </si>
  <si>
    <t>Electricity, medium voltage {BG}| market for | Alloc Rec, U</t>
  </si>
  <si>
    <t>Electricity, medium voltage {BR}| market for | Alloc Rec, U</t>
  </si>
  <si>
    <t>Electricity, medium voltage {CA-AB}| market for | Alloc Rec, U</t>
  </si>
  <si>
    <t>Electricity, medium voltage {CA-BC}| market for | Alloc Rec, U</t>
  </si>
  <si>
    <t>Electricity, medium voltage {CA-MB}| market for | Alloc Rec, U</t>
  </si>
  <si>
    <t>Electricity, medium voltage {CA-NB}| market for | Alloc Rec, U</t>
  </si>
  <si>
    <t>Electricity, medium voltage {CA-NF}| market for | Alloc Rec, U</t>
  </si>
  <si>
    <t>Electricity, medium voltage {CA-NS}| market for | Alloc Rec, U</t>
  </si>
  <si>
    <t>Electricity, medium voltage {CA-NT}| market for | Alloc Rec, U</t>
  </si>
  <si>
    <t>Electricity, medium voltage {CA-NU}| market for | Alloc Rec, U</t>
  </si>
  <si>
    <t>Electricity, medium voltage {CA-ON}| market for | Alloc Rec, U</t>
  </si>
  <si>
    <t>Electricity, medium voltage {CA-PE}| market for | Alloc Rec, U</t>
  </si>
  <si>
    <t>Electricity, medium voltage {CA-SK}| market for | Alloc Rec, U</t>
  </si>
  <si>
    <t>Electricity, medium voltage {CA-YK}| market for | Alloc Rec, U</t>
  </si>
  <si>
    <t>Electricity, medium voltage {CL}| market for | Alloc Rec, U</t>
  </si>
  <si>
    <t>Electricity, medium voltage {CN}| market for | Alloc Rec, U_mr</t>
  </si>
  <si>
    <t>Electricity, medium voltage {CZ}| market for | Alloc Rec, U</t>
  </si>
  <si>
    <t>Electricity, medium voltage {DE}| market for | Alloc Rec, U</t>
  </si>
  <si>
    <t>Electricity, medium voltage {DK}| market for | Alloc Rec, U</t>
  </si>
  <si>
    <t>Electricity, medium voltage {ES}| market for | Alloc Rec, U</t>
  </si>
  <si>
    <t>Electricity, medium voltage {FI}| market for | Alloc Rec, U</t>
  </si>
  <si>
    <t>Electricity, medium voltage {FR}| market for | Alloc Rec, U</t>
  </si>
  <si>
    <t>Electricity, medium voltage {FRCC}| market for | Alloc Rec, U</t>
  </si>
  <si>
    <t>Electricity, medium voltage {GB}| market for | Alloc Rec, U</t>
  </si>
  <si>
    <t>Electricity, medium voltage {GR}| market for | Alloc Rec, U</t>
  </si>
  <si>
    <t>Electricity, medium voltage {HICC}| market for | Alloc Rec, U</t>
  </si>
  <si>
    <t>Electricity, medium voltage {HR}| market for | Alloc Rec, U</t>
  </si>
  <si>
    <t>Electricity, medium voltage {HU}| market for | Alloc Rec, U</t>
  </si>
  <si>
    <t>Electricity, medium voltage {ID}| market for | Alloc Rec, U</t>
  </si>
  <si>
    <t>Electricity, medium voltage {IE}| market for | Alloc Rec, U</t>
  </si>
  <si>
    <t>Electricity, medium voltage {IN}| market for | Alloc Rec, U</t>
  </si>
  <si>
    <t>Electricity, medium voltage {IR}| market for | Alloc Rec, U</t>
  </si>
  <si>
    <t>Electricity, medium voltage {IT}| market for | Alloc Rec, U</t>
  </si>
  <si>
    <t>Electricity, medium voltage {JP}| market for | Alloc Rec, U</t>
  </si>
  <si>
    <t>Electricity, medium voltage {KR}| market for | Alloc Rec, U</t>
  </si>
  <si>
    <t>Electricity, medium voltage {LU}| market for | Alloc Rec, U</t>
  </si>
  <si>
    <t>Electricity, medium voltage {MK}| market for | Alloc Rec, U</t>
  </si>
  <si>
    <t>Electricity, medium voltage {MRO, US only}| market for | Alloc Rec, U</t>
  </si>
  <si>
    <t>Electricity, medium voltage {MX}| market for | Alloc Rec, U</t>
  </si>
  <si>
    <t>Electricity, medium voltage {MY}| market for | Alloc Rec, U</t>
  </si>
  <si>
    <t>Electricity, medium voltage {NL}| market for | Alloc Rec, U</t>
  </si>
  <si>
    <t>Electricity, medium voltage {NO}| market for | Alloc Rec, U</t>
  </si>
  <si>
    <t>Electricity, medium voltage {NPCC, US only}| market for | Alloc Rec, U</t>
  </si>
  <si>
    <t>Electricity, medium voltage {PE}| market for | Alloc Rec, U</t>
  </si>
  <si>
    <t>Electricity, medium voltage {PL}| market for | Alloc Rec, U</t>
  </si>
  <si>
    <t>Electricity, medium voltage {PT}| market for | Alloc Rec, U</t>
  </si>
  <si>
    <t>Electricity, medium voltage {RFC}| market for | Alloc Rec, U</t>
  </si>
  <si>
    <t>Electricity, medium voltage {RO}| market for | Alloc Rec, U</t>
  </si>
  <si>
    <t>Electricity, medium voltage {RS}| market for | Alloc Rec, U</t>
  </si>
  <si>
    <t>Electricity, medium voltage {RU}| market for | Alloc Rec, U</t>
  </si>
  <si>
    <t>Electricity, medium voltage {SA}| market for | Alloc Rec, U</t>
  </si>
  <si>
    <t>Electricity, medium voltage {SE}| market for | Alloc Rec, U</t>
  </si>
  <si>
    <t>Electricity, medium voltage {SERC}| market for | Alloc Rec, U</t>
  </si>
  <si>
    <t>Electricity, medium voltage {SI}| market for | Alloc Rec, U</t>
  </si>
  <si>
    <t>Electricity, medium voltage {SK}| market for | Alloc Rec, U</t>
  </si>
  <si>
    <t>Electricity, medium voltage {SPP}| market for | Alloc Rec, U</t>
  </si>
  <si>
    <t>Electricity, medium voltage {TH}| market for | Alloc Rec, U</t>
  </si>
  <si>
    <t>Electricity, medium voltage {TR}| market for | Alloc Rec, U</t>
  </si>
  <si>
    <t>Electricity, medium voltage {TRE}| market for | Alloc Rec, U</t>
  </si>
  <si>
    <t>Electricity, medium voltage {TW}| market for | Alloc Rec, U</t>
  </si>
  <si>
    <t>Electricity, medium voltage {TZ}| market for | Alloc Rec, U</t>
  </si>
  <si>
    <t>Electricity, medium voltage {UA}| market for | Alloc Rec, U</t>
  </si>
  <si>
    <t>Electricity, medium voltage {WECC, US only}| market for | Alloc Rec, U</t>
  </si>
  <si>
    <t>Electricity, medium voltage {ZA}| market for | Alloc Rec, U</t>
  </si>
  <si>
    <t>Electricity, medium voltage {RoW}| market for | Alloc Rec, U</t>
  </si>
  <si>
    <t>km</t>
  </si>
  <si>
    <t>Formaldehyde</t>
  </si>
  <si>
    <t>Acetaldehyde</t>
  </si>
  <si>
    <t>Acetic acid</t>
  </si>
  <si>
    <t>Hydrocarbons, aromatic</t>
  </si>
  <si>
    <t>SM4/BOF</t>
  </si>
  <si>
    <t>Steel, low-alloyed {RER}| steel production, converter, low-alloyed | Alloc Rec, U__PP_mr</t>
  </si>
  <si>
    <t>Steel, low-alloyed {RoW}| steel production, converter, low-alloyed | Alloc Rec, U_PP_mr</t>
  </si>
  <si>
    <t>Ingot casting</t>
  </si>
  <si>
    <t>Continuous casting</t>
  </si>
  <si>
    <t>Water, unspecified natural origin, RER</t>
  </si>
  <si>
    <t>Water, cooling, unspecified natural origin, RER</t>
  </si>
  <si>
    <t>Iron scrap, sorted, pressed {GLO}| market for | Alloc Rec, U</t>
  </si>
  <si>
    <t>Water, RER</t>
  </si>
  <si>
    <t>Dust, unalloyed electric arc furnace steel {GLO}| market for | Alloc Rec, U</t>
  </si>
  <si>
    <t>Basic oxygen furnace waste {GLO}| market for | Alloc Rec, U</t>
  </si>
  <si>
    <t>Oxygen, liquid {RER}| market for | Alloc Rec, U_mr</t>
  </si>
  <si>
    <t>Water, cooling, unspecified natural origin, RoW</t>
  </si>
  <si>
    <t>Rod/bar mill</t>
  </si>
  <si>
    <t>Hot rolling, steel {RoW}| processing_Plate mill  | Alloc Rec, U_mr</t>
  </si>
  <si>
    <t>Hot rolling, steel {RoW}| processing_Rod/bar mill  | Alloc Rec, U_mr</t>
  </si>
  <si>
    <t>Hot rolling, steel {RoW}| processing_Section mill  | Alloc Rec, U_mr</t>
  </si>
  <si>
    <t>Hot rolling, steel {RoW}| processing_Strip mill  | Alloc Rec, U_mr</t>
  </si>
  <si>
    <t>Lubricating oil {GLO}| market for | Alloc Rec, U</t>
  </si>
  <si>
    <t>Rolling mill {GLO}| market for | Alloc Rec, U</t>
  </si>
  <si>
    <t>Lime, hydrated, loose weight {GLO}| market for | Alloc Rec, U</t>
  </si>
  <si>
    <t>Packaging film, low density polyethylene {GLO}| market for | Alloc Rec, U</t>
  </si>
  <si>
    <t>Sheet rolling, steel {GLO}| market for | Alloc Rec, U</t>
  </si>
  <si>
    <t>Corrugated board box {GLO}| market for corrugated board box | Alloc Rec, U</t>
  </si>
  <si>
    <t>Chemical, inorganic {GLO}| market for chemicals, inorganic | Alloc Rec, U</t>
  </si>
  <si>
    <t>Liquefied petroleum gas {RoW}| market for | Alloc Rec, U</t>
  </si>
  <si>
    <t>Hydrocarbons, unspecified</t>
  </si>
  <si>
    <t>Sludge from steel rolling {GLO}| market for | Alloc Rec, U</t>
  </si>
  <si>
    <t>Average incineration residue {GLO}| market for | Alloc Rec, U</t>
  </si>
  <si>
    <t>Municipal solid waste {CA-QC}| market for | Alloc Rec, U</t>
  </si>
  <si>
    <t>Section mill</t>
  </si>
  <si>
    <t>Plate mill</t>
  </si>
  <si>
    <t>Strip mill</t>
  </si>
  <si>
    <t>Cold rolling</t>
  </si>
  <si>
    <t>Sheet rolling, steel {GLO}| market for | Alloc Rec, U_mr</t>
  </si>
  <si>
    <t>Sheet rolling, steel {RER}| processing | Alloc Rec, U_mr</t>
  </si>
  <si>
    <t>Sheet rolling, steel {RoW}| processing | Alloc Rec, U_mr</t>
  </si>
  <si>
    <t>Hydrochloric acid, without water, in 30% solution state {RER}| market for | Alloc Rec, U</t>
  </si>
  <si>
    <t>Silicon carbide {GLO}| market for | Alloc Rec, U</t>
  </si>
  <si>
    <t>Kraft paper, unbleached {GLO}| market for | Alloc Rec, U</t>
  </si>
  <si>
    <t>Sawnwood, softwood, raw, air dried {RER}| market for | Alloc Rec, U</t>
  </si>
  <si>
    <t>Sodium dichromate {GLO}| market for | Alloc Rec, U</t>
  </si>
  <si>
    <t>Kraft paper, bleached {GLO}| market for | Alloc Rec, U</t>
  </si>
  <si>
    <t>Sulfuric acid {GLO}| market for | Alloc Rec, U</t>
  </si>
  <si>
    <t>Water, deionised, from tap water, at user {GLO}| market for | Alloc Rec, U</t>
  </si>
  <si>
    <t>Hydrogen</t>
  </si>
  <si>
    <t>Sulfate</t>
  </si>
  <si>
    <t>Emissions to soil</t>
  </si>
  <si>
    <t>Municipal solid waste {RoW}| market for | Alloc Rec, U</t>
  </si>
  <si>
    <t>Steel in car shredder residue {GLO}| market for | Alloc Rec, U</t>
  </si>
  <si>
    <t>Sawnwood, softwood, raw, air dried {RoW}| market for | Alloc Rec, U</t>
  </si>
  <si>
    <t>Hydrochloric acid, without water, in 30% solution state {RoW}| market for | Alloc Rec, U</t>
  </si>
  <si>
    <t>SM5/Crucible</t>
  </si>
  <si>
    <t>Steel, Crucible | Alloc Rec, U_mr</t>
  </si>
  <si>
    <t>SM6/EAF</t>
  </si>
  <si>
    <t>Steel, low-alloyed {RER}| steel production, electric, low-alloyed | Alloc Rec, U_virgin steel_mr</t>
  </si>
  <si>
    <t>Refractory, basic, packed {GLO}| market for | Alloc Rec, U</t>
  </si>
  <si>
    <t>Electric arc furnace converter {GLO}| market for | Alloc Rec, U</t>
  </si>
  <si>
    <t>Anode, for metal electrolysis {GLO}| market for | Alloc Rec, U</t>
  </si>
  <si>
    <t>Benzene, hexachloro-</t>
  </si>
  <si>
    <t>Slag, unalloyed electric arc furnace steel {GLO}| market for | Alloc Rec, U</t>
  </si>
  <si>
    <t>EAF_electricity</t>
  </si>
  <si>
    <t>EAF_anode</t>
  </si>
  <si>
    <t>EAF_eff</t>
  </si>
  <si>
    <t>Oxygen, liquid {RER}| air separation, cryogenic | Alloc Rec, U_mr</t>
  </si>
  <si>
    <t>Nitrogen</t>
  </si>
  <si>
    <t>Oxygen</t>
  </si>
  <si>
    <t>Argon</t>
  </si>
  <si>
    <t>Air separation facility {GLO}| market for | Alloc Rec, U</t>
  </si>
  <si>
    <t>Electricity, high voltage {DK}| electricity production, oil | Alloc Rec, U_mr</t>
  </si>
  <si>
    <t>Electricity, high voltage {DK}| electricity production, hard coal | Alloc Rec, U</t>
  </si>
  <si>
    <t>Electricity, high voltage {RoW}| electricity production, natural gas, combined cycle power plant | Alloc Rec, U</t>
  </si>
  <si>
    <t>Electricity, high voltage_CCS {DK}| electricity production, hard coal | Alloc Rec, U</t>
  </si>
  <si>
    <t>Electricity, high voltage_CCS {RoW}| electricity production, natural gas, combined cycle power plant | Alloc Rec, U</t>
  </si>
  <si>
    <t>Electricity, high voltage {DE}| electricity production, nuclear, pressure water reactor | Alloc Rec, U</t>
  </si>
  <si>
    <t>Electricity, high voltage {SE}| ethanol production from wood | Alloc Rec, U</t>
  </si>
  <si>
    <t>Electricity, for reuse in municipal waste incineration only {CH}| treatment of municipal solid waste, incineration | Alloc Rec, U</t>
  </si>
  <si>
    <t>Electricity, high voltage {SE}| electricity production, hydro, run-of-river | Alloc Rec, U</t>
  </si>
  <si>
    <t>Electricity, high voltage {DE}| electricity production, geothermal | Alloc Rec, U</t>
  </si>
  <si>
    <t>Electricity, high voltage {DE}| electricity production, wind, 1-3MW turbine, onshore | Alloc Rec, U</t>
  </si>
  <si>
    <t>Electricity, high voltage {DK}| electricity production, wind, 1-3MW turbine, offshore | Alloc Rec, U</t>
  </si>
  <si>
    <t>Heat, solar+gas, multiple-dwelling, for hot water {CH}| heat production, at hot water tank, solar+gas, flat plate, multiple dwelling | Alloc Rec, U</t>
  </si>
  <si>
    <t>Electricity, low voltage {IN}| electricity production, photovoltaic, 3kWp slanted-roof installation, CIS, panel, mounted | Alloc Rec, U</t>
  </si>
  <si>
    <t>Heat, district or industrial, other than natural gas {CH}| heat production, heavy fuel oil, at industrial furnace 1MW | Alloc Rec, U</t>
  </si>
  <si>
    <t>Heat, district or industrial, other than natural gas {RoW}| heat production, at hard coal industrial furnace 1-10MW | Alloc Rec, U</t>
  </si>
  <si>
    <t>Heat, district or industrial, natural gas {Europe without Switzerland}| market for heat, district or industrial, natural gas | Alloc Rec, U</t>
  </si>
  <si>
    <t>Heat, central or small-scale, other than natural gas {CH}| treatment of biogas, burned in micro gas turbine 100kWe | Alloc Rec, U</t>
  </si>
  <si>
    <t>Heat, for reuse in municipal waste incineration only {NL}| treatment of municipal solid waste, incineration | Alloc Rec, U</t>
  </si>
  <si>
    <t>Selected heat mix</t>
  </si>
  <si>
    <t>Selected electricity mix</t>
  </si>
  <si>
    <t>Transmission network, long-distance {GLO}| market for | Alloc Rec, U</t>
  </si>
  <si>
    <t>Transmission network, electricity, high voltage {GLO}| market for | Alloc Rec, U</t>
  </si>
  <si>
    <t>Global Electricity mix_high voltage [historical]_mr</t>
  </si>
  <si>
    <t>electricity_mix</t>
  </si>
  <si>
    <t>Sulfur hexafluoride, liquid {GLO}| market for | Alloc Rec, U</t>
  </si>
  <si>
    <t>Transmission network, electricity, medium voltage {GLO}| market for | Alloc Rec, U</t>
  </si>
  <si>
    <t>Global Electricity mix, high voltage {projected}| market for | Alloc Rec, U_mr transformation from high to medium voltage | Alloc Def, U_mr</t>
  </si>
  <si>
    <t>Sulfur hexafluoride</t>
  </si>
  <si>
    <t>Ferronickel, 25% Ni {GLO}| production | Alloc Rec, U_mr</t>
  </si>
  <si>
    <t>Nickel, 1.98% in silicates, 1.04% in crude ore</t>
  </si>
  <si>
    <t>Transformation, from unknown</t>
  </si>
  <si>
    <t>m2</t>
  </si>
  <si>
    <t>Occupation, mineral extraction site</t>
  </si>
  <si>
    <t>m2a</t>
  </si>
  <si>
    <t>Transformation, to mineral extraction site</t>
  </si>
  <si>
    <t>Conveyor belt {GLO}| market for | Alloc Rec, U</t>
  </si>
  <si>
    <t>m</t>
  </si>
  <si>
    <t>Blasting {GLO}| market for | Alloc Rec, U</t>
  </si>
  <si>
    <t>Non-ferrous metal smelter {GLO}| market for | Alloc Rec, U</t>
  </si>
  <si>
    <t>Lime, packed {GLO}| market for | Alloc Rec, U</t>
  </si>
  <si>
    <t>Mine infrastructure, open cast, non-ferrous metal {GLO}| market for | Alloc Rec, U</t>
  </si>
  <si>
    <t>Fluorine</t>
  </si>
  <si>
    <t>Nitrogen, organic bound</t>
  </si>
  <si>
    <t>Nickel smelter slag {GLO}| market for | Alloc Rec, U</t>
  </si>
  <si>
    <t>sintering_eff</t>
  </si>
  <si>
    <t>Sintering_electricity</t>
  </si>
  <si>
    <t>Sintering_coke</t>
  </si>
  <si>
    <t>Pellet_electricity</t>
  </si>
  <si>
    <t>Pellet_coke</t>
  </si>
  <si>
    <t>crude_iron_ore_grade</t>
  </si>
  <si>
    <t>Bessemer</t>
  </si>
  <si>
    <t>SeM</t>
  </si>
  <si>
    <t>RBM</t>
  </si>
  <si>
    <t>PeM</t>
  </si>
  <si>
    <t>StM</t>
  </si>
  <si>
    <t>Year</t>
  </si>
  <si>
    <t>Direct iron reduction</t>
  </si>
  <si>
    <t>Iron Foundary</t>
  </si>
  <si>
    <t>Puddling</t>
  </si>
  <si>
    <t>Output from dynamic MFA [Million tonnes]</t>
  </si>
  <si>
    <t>Continous casting</t>
  </si>
  <si>
    <t>Electric arc furnace</t>
  </si>
  <si>
    <t>Crucible</t>
  </si>
  <si>
    <t>Basic oxygen furnace</t>
  </si>
  <si>
    <t>Open hearth furnace</t>
  </si>
  <si>
    <t>iron mine operation, crude ore, 46% Fe GLO_mr</t>
  </si>
  <si>
    <t>Recultivation, iron mine {GLO}| market for | Alloc Rec, U</t>
  </si>
  <si>
    <t>Mine infrastructure, iron {GLO}| market for | Alloc Rec, U</t>
  </si>
  <si>
    <t>Excluded in this process as it is included later to avoid double counting</t>
  </si>
  <si>
    <t>FEcontent_SinterIron</t>
  </si>
  <si>
    <t>FEcontent_IronOreBeneficiated</t>
  </si>
  <si>
    <t>FEcontent_IronPellet</t>
  </si>
  <si>
    <t>DRI_midrex_eff</t>
  </si>
  <si>
    <t>DRI_energiron_eff</t>
  </si>
  <si>
    <t>DRI_RotaryKiln_eff</t>
  </si>
  <si>
    <t>Assumed same as: steel production, converter, low-alloyed RoW</t>
  </si>
  <si>
    <t>Iron ore, beneficiated, 65% Fe {GLO}| market for | Alloc Rec, U_mr_Scope 3</t>
  </si>
  <si>
    <t>Iron ore, beneficiated, 65% Fe {GLO}| iron ore beneficiation to 65% Fe | Alloc Rec, U_mr_Scope 1</t>
  </si>
  <si>
    <t>Iron ore, crude ore, 46% Fe {GLO}| market for | Alloc Rec, U_mr_Scope 3</t>
  </si>
  <si>
    <t>Electricity, global mix, medium voltage_mr_Scope 2</t>
  </si>
  <si>
    <t>Reference for share</t>
  </si>
  <si>
    <t xml:space="preserve">https://ourworldindata.org/energy-production-and-changing-energy-sources/ </t>
  </si>
  <si>
    <t>Data from database: World Development Indicators</t>
  </si>
  <si>
    <t>IEA World electricity and heat</t>
  </si>
  <si>
    <t>Fouquet, R., 2010. The slow search for solutions: Lessons from historical energy transitions by sector and service. Energy Policy 38, 6586–6596.</t>
  </si>
  <si>
    <t>Sinter, iron {GLO}| market for | Alloc Rec, U_mr_Scope 3</t>
  </si>
  <si>
    <t>Sinter, iron {GLO}| production | Alloc Rec, U_mr_Scope 1</t>
  </si>
  <si>
    <t>Set to zero to avoid double counting as input from this process is estimated separately</t>
  </si>
  <si>
    <t>Sinter, iron {GLO}| Natural Gas use | Alloc Rec, U_mr_Scope 3</t>
  </si>
  <si>
    <t>Quicklime, in pieces, loose {GLO}| market for | Alloc Rec, U_mr_Scope 3</t>
  </si>
  <si>
    <t>Heat, global mix_mr_Scope 2</t>
  </si>
  <si>
    <t>Iron pellet {GLO}| market for | Alloc Rec, U_mr_Scope 3</t>
  </si>
  <si>
    <t>Iron pellet {RoW}| production | Alloc Rec, U_modified_mr_Scope 1</t>
  </si>
  <si>
    <t>kg coke / kg coal equivalent</t>
  </si>
  <si>
    <t>https://www.euronuclear.org/info/encyclopedia/coalequivalent.htm</t>
  </si>
  <si>
    <t>coke_per_ce</t>
  </si>
  <si>
    <t>MJ/kg</t>
  </si>
  <si>
    <t>natural_gas_per_ce</t>
  </si>
  <si>
    <t>m3 NatGas / kg coal equivalent</t>
  </si>
  <si>
    <t>heating_value_coke</t>
  </si>
  <si>
    <t>heating_value_coal</t>
  </si>
  <si>
    <t>heating_value_NatGas</t>
  </si>
  <si>
    <t>MJ/m3</t>
  </si>
  <si>
    <t>Same as puddling. Set to zero to avoid double counting as input from this process is estimated separately</t>
  </si>
  <si>
    <t>mining_eff</t>
  </si>
  <si>
    <t>Pig iron {GLO}| production | Alloc Rec, U_mr_Scope 3_coal</t>
  </si>
  <si>
    <t>MJ/kg steel out</t>
  </si>
  <si>
    <t>EAF_naturalgas</t>
  </si>
  <si>
    <t>Steel, low-alloyed {RER}| steel production, electric, low-alloyed | Alloc Rec, U_virgin steel_mr__natural gas_Scope 3</t>
  </si>
  <si>
    <t>MJ / kg steel</t>
  </si>
  <si>
    <t>Sintering_natural_gas</t>
  </si>
  <si>
    <t>Pellet_NatGas</t>
  </si>
  <si>
    <t>Pellet_BF_gas</t>
  </si>
  <si>
    <t>Blast furnace gas {GLO}| market for | Alloc Rec, U</t>
  </si>
  <si>
    <t>Electricity, high voltage {RoW}| electricity production, oil | Alloc Rec, U_mr_scope 3</t>
  </si>
  <si>
    <t>OHF_electricity</t>
  </si>
  <si>
    <t>OHF_oil</t>
  </si>
  <si>
    <t>OHF_coke_oven_gas</t>
  </si>
  <si>
    <t>OHF_heat_steam</t>
  </si>
  <si>
    <t>Sinter, iron {GLO}| Natural Gas use | Alloc Rec, U_mr_Scope 2</t>
  </si>
  <si>
    <t>Steel, OHF low-alloyed | Alloc Rec, U_mr_Scope 1</t>
  </si>
  <si>
    <t>Coke {GLO}| market for | Alloc Rec, U_mr_Scope 2</t>
  </si>
  <si>
    <t>IF_electricity</t>
  </si>
  <si>
    <t>IF_oil</t>
  </si>
  <si>
    <t>IF_heat_steam</t>
  </si>
  <si>
    <t>Steel, unalloyed {RoW}| steel production, converter, unalloyed | Alloc Rec, U_PP_mr_Scope 1</t>
  </si>
  <si>
    <t/>
  </si>
  <si>
    <t>Ferronickel, 25% Ni {GLO}| market for | Alloc Rec, U_mr_Scope 3</t>
  </si>
  <si>
    <t>Oxygen, liquid {RoW}| market for | Alloc Rec, U_mr</t>
  </si>
  <si>
    <t>Pig iron {GLO}| market for | Alloc Rec, U_mr_Scope_3</t>
  </si>
  <si>
    <t>iff(subprocess_MFA=1,0,1.05)</t>
  </si>
  <si>
    <t>Steel, unalloyed {RER}| steel production, converter, unalloyed | Alloc Rec, U_PP_mr_Scope 1</t>
  </si>
  <si>
    <t>Blast furnace gas {GLO}| market for | Alloc Rec, U_mr_scope 2</t>
  </si>
  <si>
    <t>Heat, district or industrial, other than natural gas {CH}| heat production, heavy fuel oil, at industrial furnace 1MW | Alloc Rec, U_mr_Scope 2</t>
  </si>
  <si>
    <t>BOF_electricity</t>
  </si>
  <si>
    <t>BOF_oil</t>
  </si>
  <si>
    <t>BOF_heat_steam</t>
  </si>
  <si>
    <t>BOF_BF_gas</t>
  </si>
  <si>
    <t>RE_IC</t>
  </si>
  <si>
    <t>RE_CC</t>
  </si>
  <si>
    <t>RE_Sintering</t>
  </si>
  <si>
    <t>RE_pelletizing</t>
  </si>
  <si>
    <t>RE_BF</t>
  </si>
  <si>
    <t>RE_BTC</t>
  </si>
  <si>
    <t>RE_BOF</t>
  </si>
  <si>
    <t>RE_CR</t>
  </si>
  <si>
    <t>RE_Crucible</t>
  </si>
  <si>
    <t>RE_DRI_energiron</t>
  </si>
  <si>
    <t>RE_DRI_midrex</t>
  </si>
  <si>
    <t>RE_DRI_RotaryKiln</t>
  </si>
  <si>
    <t>RE_EAF</t>
  </si>
  <si>
    <t>RE_IronFoundry</t>
  </si>
  <si>
    <t>RE_mill</t>
  </si>
  <si>
    <t>RE_mining</t>
  </si>
  <si>
    <t>RE_OHF</t>
  </si>
  <si>
    <t>Electricity, high voltage {RoW}| electricity production, oil | Alloc Rec, U_mr_scope 2</t>
  </si>
  <si>
    <t>Steel, low-alloyed {RER}| steel production, converter, low-alloyed | Alloc Rec, U_PP_mr_Scope 1</t>
  </si>
  <si>
    <t>Steel, low-alloyed {RoW}| steel production, converter, low-alloyed | Alloc Rec, U_PP_mr_Scope 1</t>
  </si>
  <si>
    <t>SeM_electricity</t>
  </si>
  <si>
    <t>SeM_NatGas</t>
  </si>
  <si>
    <t>SeM_CokeGas</t>
  </si>
  <si>
    <t>RbM_electricity</t>
  </si>
  <si>
    <t>RbM_NatGas</t>
  </si>
  <si>
    <t>RbM_CokeGas</t>
  </si>
  <si>
    <t>StM_electricity</t>
  </si>
  <si>
    <t>StM_NatGas</t>
  </si>
  <si>
    <t>StM_CokeGas</t>
  </si>
  <si>
    <t>PtM_electricity</t>
  </si>
  <si>
    <t>PtM_NatGas</t>
  </si>
  <si>
    <t>PtM_CokeGas</t>
  </si>
  <si>
    <t>CR_electricity</t>
  </si>
  <si>
    <t>CR_NatGas</t>
  </si>
  <si>
    <t>CR_Steam</t>
  </si>
  <si>
    <t>Heat, in chemical industry {RER}| steam production in chemical industry | Alloc Rec, S_mr_Scope 2</t>
  </si>
  <si>
    <t>Parameter</t>
  </si>
  <si>
    <t>Value</t>
  </si>
  <si>
    <t>Notes/description</t>
  </si>
  <si>
    <t>The resource efficiency for Midrex (Cheeley, 1999), HYL/Energiron (Tenova, 2014), and Coal-based Rotary Kiln (Dey et al., 2015) is 90.66%, 94.3%, and 91.7%, respectively. Those current level is applied for the historical trend.</t>
  </si>
  <si>
    <t>Electrode consumption</t>
  </si>
  <si>
    <t>"The process required a charge with a composition  close  to  that  of  the  product  [Kudrin,  1985]  and  about  7  tonnes  ofcoke per tonne of steel [Rosenberg, 1982]." https://ieaghg.org/docs/General_Docs/Reports/PH3-30%20iron-steel.pdf</t>
  </si>
  <si>
    <t>This is to get the Simapro unit process output with 100% RE. The development in RE over time is accounted for in a second step outside SimaPro</t>
  </si>
  <si>
    <t>Midrex. World Direct Reduction Statistics 2016; Charlotte, North Carolina, 2017.</t>
  </si>
  <si>
    <t>Estimate</t>
  </si>
  <si>
    <t>BF_coal</t>
  </si>
  <si>
    <t>IF_LPG</t>
  </si>
  <si>
    <t>Based on information about historical blast furnace efficiency</t>
  </si>
  <si>
    <t>kg / kg</t>
  </si>
  <si>
    <t>kg/kg</t>
  </si>
  <si>
    <t>dimensionless</t>
  </si>
  <si>
    <t>MJ/kg steel</t>
  </si>
  <si>
    <t>kg anode / kg steel</t>
  </si>
  <si>
    <t>MJ / kg iron</t>
  </si>
  <si>
    <t>The benchmark value and historical trend was investigated in (Michaelis and Jackson, 2000; Milford et al., 2013)</t>
  </si>
  <si>
    <t>The benchmark value and historical trend was investigated in (Milford et al., 2013; Stubbles, 2001)</t>
  </si>
  <si>
    <t>Benchmark value from (Milford et al., 2013). The historical trend follows the average energy efficiency trend (Arens et al., 2012; Michaelis and Jackson, 2000)</t>
  </si>
  <si>
    <t>Benchmark value from a steel plant in China (Liu and Liu, 2011). The historical trend follows the average energy efficiency trend (Arens et al., 2012; Michaelis and Jackson, 2000)</t>
  </si>
  <si>
    <t>Benchmark value from a steel plant in China (Zeng et al., 2012). The historical trend follows the average energy efficiency trend (Michaelis and Jackson, 2000)</t>
  </si>
  <si>
    <t>The benchmark value is from (Stepanov, 2012). The historical trend was investigated in (Michaelis and Jackson, 2000)</t>
  </si>
  <si>
    <t>The benchmark value is from (Piaskowski and Piaskowska, 1986)</t>
  </si>
  <si>
    <t>resource efficiency of continuous casting is obtained from (Stubbles, 2000)</t>
  </si>
  <si>
    <r>
      <t xml:space="preserve">resource efficiency of ingot casting follows the same trend as continous casting but with 13% less </t>
    </r>
    <r>
      <rPr>
        <sz val="10"/>
        <color rgb="FFFF0000"/>
        <rFont val="Garamond"/>
        <family val="1"/>
      </rPr>
      <t>(OTA, 1993)</t>
    </r>
    <r>
      <rPr>
        <sz val="10"/>
        <color theme="1"/>
        <rFont val="Garamond"/>
        <family val="1"/>
      </rPr>
      <t xml:space="preserve">. </t>
    </r>
  </si>
  <si>
    <t>Iron Foundry (IF) is one process to produce various iron products. The resource efficiency of IF is 66% (Cullen et al., 2012). However, part of this loss was found to be in the range of 15%-40% (Bhattacharjee and Vasudevan, 1996). Hence, a linear growth is assumed for its resource efficiency to change from 66% in 1990 to 81% (66%+0.34*0.40) in 2015.</t>
  </si>
  <si>
    <t>Beer, J. De, Worrell, E., Blok, K., 1998. Future Technologies for Energy-Efficient Iron and Steel Making. Annu. Rev. Energy Environ. 23, 123–205. https://doi.org/10.1146/annurev.energy.23.1.123</t>
  </si>
  <si>
    <t>ecoinvent v3.1 default</t>
  </si>
  <si>
    <t>ecoinvent v3.1 default unit process RE, kg pure iron out / kg pure iron in</t>
  </si>
  <si>
    <t>ecoinvent v3.1 default unit process RE, kg pure iron out / kg pure iron in from Hot rolling, steel {RoW}| processing | Alloc Rec, U</t>
  </si>
  <si>
    <t>Sinter, iron {GLO}| market for | Alloc Rec, U (Ecoinvent v3.1 default)</t>
  </si>
  <si>
    <t>Sinter, iron {GLO}| production | Alloc Rec, U (Ecoinvent v3.1 default)</t>
  </si>
  <si>
    <t>Iron pellet {GLO}| market for | Alloc Rec, U (Ecoinvent v3.1 default)</t>
  </si>
  <si>
    <t>Iron pellet {RoW}| production | Alloc Rec, U (Ecoinvent v3.1 default)</t>
  </si>
  <si>
    <t>Pig iron {GLO}| market for | Alloc Rec (Ecoinvent v3.1 default)</t>
  </si>
  <si>
    <t>Pig iron {GLO}| production | Alloc Rec, U (Ecoinvent v3.1 default)</t>
  </si>
  <si>
    <t>Ecoinvent v3.1 default. Assumed same as "pig iron production GLO"</t>
  </si>
  <si>
    <t>Ecoinvent v3.1 default, steel production, converter, low-alloyed RoW</t>
  </si>
  <si>
    <t>Ecoinvent v3.1 default, Steel, low-alloyed {RoW}| steel production, converter, low-alloyed | Alloc Rec, U_PP_mr</t>
  </si>
  <si>
    <t>Ecoinvent v3.1 default, Steel, unalloyed {RoW}| steel production, converter, unalloyed | Alloc Rec, U_PP_mr_Scope 1</t>
  </si>
  <si>
    <t>Ecoinvent v3.1 default, Steel, unalloyed {RER}| steel production, converter, unalloyed | Alloc Rec, U_PP_mr_Scope 1</t>
  </si>
  <si>
    <t>Ecoinvent v3.1 default, hot rolling, steel RoW</t>
  </si>
  <si>
    <t>Ecoinvent v3.1 default, Sheet rolling, steel {RoW}| processing | Alloc Rec, U_mr</t>
  </si>
  <si>
    <t>Ecoinvent v3.1 default</t>
  </si>
  <si>
    <t>Total electricity demand based on Ecoinvent v3.1 default</t>
  </si>
  <si>
    <t>Applied Ecoinvent v3.1 unit process</t>
  </si>
  <si>
    <t>Based on information about historic mining efficiency (SI1), 0.4619 is default ore grade from ecoinvent v3.1</t>
  </si>
  <si>
    <t>Based on information about energy use for mining over time (SI1),0.02582 MJ is default from ecoinvent v3.1</t>
  </si>
  <si>
    <t>Based on information about historic mining efficiency (SI1), 0.001348 kWh is default from ecoinvent v3.1</t>
  </si>
  <si>
    <t>RE_SI1_Puddling</t>
  </si>
  <si>
    <t>SI1/Puddling</t>
  </si>
  <si>
    <t>Data from database: World Development Indicators. https://databank.worldbank.org/reports.aspx?source=2&amp;series=EG.ELC.PROD.KH,EG.ELC.COAL.ZS,EG.ELC.NGAS.ZS,EG.ELC.PETR.ZS,EG.ELC.HYRO.ZS,EG.ELC.RNWX.ZS,EG.ELC.NUCL.ZS,EG.ELC.ACCS.ZS</t>
  </si>
  <si>
    <t>World Development Indicators. https://databank.worldbank.org/reports.aspx?source=2&amp;series=EG.ELC.PROD.KH,EG.ELC.COAL.ZS,EG.ELC.NGAS.ZS,EG.ELC.PETR.ZS,EG.ELC.HYRO.ZS,EG.ELC.RNWX.ZS,EG.ELC.NUCL.ZS,EG.ELC.ACCS.ZS</t>
  </si>
  <si>
    <t>*Corresponding authors: M. R. (moryb@dtu.dk), S. K. (s.kara@unsw.edu.au), and W-Q C. (wqchen@iue.ac.cn).</t>
  </si>
  <si>
    <t>Energetics, 2000. Energy and Environmental Profile of the U.S. Steel Industry. Prepared for the U.S. DOE, Office of
Industrial Technologies. Washington, DC: Energetics.</t>
  </si>
  <si>
    <t>IC_efficiency</t>
  </si>
  <si>
    <t>CC_efficiency</t>
  </si>
  <si>
    <t>See Fig S1.3B Based on Beer, J. De; Worrell, E.; Blok, K. Future Technologies for Energy-Efficient Iron and Steel Making. Annu. Rev. Energy Environ. 1998, 23, 123–205.</t>
  </si>
  <si>
    <t xml:space="preserve">Energy use is based on Thollander et al (2005) and its historical trend is assumed to follow OHF. </t>
  </si>
  <si>
    <t>The resource efficiency and energy use for BOF is obtained from (Michaelis and Jackson 2000)</t>
  </si>
  <si>
    <t>Midrex (2017). World Direct Reduction Statistics 2016; Charlotte, North Carolina, 2017.</t>
  </si>
  <si>
    <t>Based on Chongsteel case: Zhou, D.G., Wang, L.G., and Zhou, S.Z. (1966). "Measurement of Heat Loss and Calculation of Thermal Efficiency of a huge open hearth furnace in Chongsteel." Iron and Steel. 1966 (1) :27-30.(in Chinese)</t>
  </si>
  <si>
    <t>default ecoinvent v3.1 unit process RE, kg pure iron out / kg pure iron in Sheet rolling, steel {RER}| processing | Alloc Rec, U</t>
  </si>
  <si>
    <t>SI 1, Section S2.1 (a) Mining RE</t>
  </si>
  <si>
    <t>Efficiency Stagnation in Global Steel Production Urges Joint Supply- and Demand-side Mitigation Efforts</t>
  </si>
  <si>
    <r>
      <t xml:space="preserve">Peng Wang </t>
    </r>
    <r>
      <rPr>
        <vertAlign val="superscript"/>
        <sz val="10"/>
        <color theme="1"/>
        <rFont val="Times New Roman"/>
        <family val="1"/>
      </rPr>
      <t>1,2</t>
    </r>
    <r>
      <rPr>
        <sz val="10"/>
        <color theme="1"/>
        <rFont val="Times New Roman"/>
        <family val="1"/>
      </rPr>
      <t xml:space="preserve">, Morten Ryberg </t>
    </r>
    <r>
      <rPr>
        <vertAlign val="superscript"/>
        <sz val="10"/>
        <color theme="1"/>
        <rFont val="Times New Roman"/>
        <family val="1"/>
      </rPr>
      <t>3</t>
    </r>
    <r>
      <rPr>
        <sz val="10"/>
        <color theme="1"/>
        <rFont val="Times New Roman"/>
        <family val="1"/>
      </rPr>
      <t xml:space="preserve">*, Yi Yang </t>
    </r>
    <r>
      <rPr>
        <vertAlign val="superscript"/>
        <sz val="10"/>
        <color theme="1"/>
        <rFont val="Times New Roman"/>
        <family val="1"/>
      </rPr>
      <t>1,4,5</t>
    </r>
    <r>
      <rPr>
        <sz val="10"/>
        <color theme="1"/>
        <rFont val="Times New Roman"/>
        <family val="1"/>
      </rPr>
      <t xml:space="preserve">, Kuishuang Feng </t>
    </r>
    <r>
      <rPr>
        <vertAlign val="superscript"/>
        <sz val="10"/>
        <color theme="1"/>
        <rFont val="Times New Roman"/>
        <family val="1"/>
      </rPr>
      <t>6,7</t>
    </r>
    <r>
      <rPr>
        <sz val="10"/>
        <color theme="1"/>
        <rFont val="Times New Roman"/>
        <family val="1"/>
      </rPr>
      <t xml:space="preserve">, Sami Kara </t>
    </r>
    <r>
      <rPr>
        <vertAlign val="superscript"/>
        <sz val="10"/>
        <color theme="1"/>
        <rFont val="Times New Roman"/>
        <family val="1"/>
      </rPr>
      <t>2</t>
    </r>
    <r>
      <rPr>
        <sz val="10"/>
        <color theme="1"/>
        <rFont val="Times New Roman"/>
        <family val="1"/>
      </rPr>
      <t xml:space="preserve">*, Michael Hauschild </t>
    </r>
    <r>
      <rPr>
        <vertAlign val="superscript"/>
        <sz val="10"/>
        <color theme="1"/>
        <rFont val="Times New Roman"/>
        <family val="1"/>
      </rPr>
      <t>3</t>
    </r>
    <r>
      <rPr>
        <sz val="10"/>
        <color theme="1"/>
        <rFont val="Times New Roman"/>
        <family val="1"/>
      </rPr>
      <t xml:space="preserve">, and Wei-Qiang Chen </t>
    </r>
    <r>
      <rPr>
        <vertAlign val="superscript"/>
        <sz val="10"/>
        <color theme="1"/>
        <rFont val="Times New Roman"/>
        <family val="1"/>
      </rPr>
      <t>1,8</t>
    </r>
    <r>
      <rPr>
        <sz val="10"/>
        <color theme="1"/>
        <rFont val="Times New Roman"/>
        <family val="1"/>
      </rPr>
      <t>*</t>
    </r>
  </si>
  <si>
    <r>
      <t>1</t>
    </r>
    <r>
      <rPr>
        <sz val="10"/>
        <color theme="1"/>
        <rFont val="Times New Roman"/>
        <family val="1"/>
      </rPr>
      <t xml:space="preserve"> Key Lab of Urban Environment and Health, Institute of Urban Environment, Chinese Academy of Sciences, Xiamen, China</t>
    </r>
  </si>
  <si>
    <r>
      <t>2</t>
    </r>
    <r>
      <rPr>
        <sz val="10"/>
        <color theme="1"/>
        <rFont val="Times New Roman"/>
        <family val="1"/>
      </rPr>
      <t xml:space="preserve"> Sustainability in Manufacturing and Life Cycle Engineering Research Group, School of Mechanical and Manufacturing Engineering, The University of New South Wales, Sydney, Australia</t>
    </r>
  </si>
  <si>
    <r>
      <t xml:space="preserve">3 </t>
    </r>
    <r>
      <rPr>
        <sz val="10"/>
        <color theme="1"/>
        <rFont val="Times New Roman"/>
        <family val="1"/>
      </rPr>
      <t>Quantitative Sustainability Assessment Group, Sustainability Division, Department of Technology, Management and Economics, Technical University of Denmark, Kgs. Lyngby, Denmark</t>
    </r>
  </si>
  <si>
    <r>
      <t>4</t>
    </r>
    <r>
      <rPr>
        <sz val="10"/>
        <color theme="1"/>
        <rFont val="Times New Roman"/>
        <family val="1"/>
      </rPr>
      <t xml:space="preserve"> Key Laboratory of the Three Gorges Reservoir Region’s Eco-Environment, Ministry of Education, Chongqing University, Chongqing 400045, China</t>
    </r>
  </si>
  <si>
    <r>
      <t>5</t>
    </r>
    <r>
      <rPr>
        <sz val="10"/>
        <color theme="1"/>
        <rFont val="Times New Roman"/>
        <family val="1"/>
      </rPr>
      <t xml:space="preserve"> Environmental Studies Program, Dartmouth College, Hanover, New Hampshire, USA</t>
    </r>
  </si>
  <si>
    <r>
      <t xml:space="preserve">6 </t>
    </r>
    <r>
      <rPr>
        <sz val="10"/>
        <color theme="1"/>
        <rFont val="Times New Roman"/>
        <family val="1"/>
      </rPr>
      <t>Institute of Blue and Green Development, Shandong University, Weihai, China</t>
    </r>
  </si>
  <si>
    <r>
      <t xml:space="preserve">7 </t>
    </r>
    <r>
      <rPr>
        <sz val="10"/>
        <color theme="1"/>
        <rFont val="Times New Roman"/>
        <family val="1"/>
      </rPr>
      <t>Department of Geographical Sciences, University of Maryland, College Park, MD, USA</t>
    </r>
  </si>
  <si>
    <r>
      <t xml:space="preserve">8 </t>
    </r>
    <r>
      <rPr>
        <sz val="10"/>
        <color theme="1"/>
        <rFont val="Times New Roman"/>
        <family val="1"/>
      </rPr>
      <t>University of Chinese Academy of Sciences, Beijing, China</t>
    </r>
  </si>
  <si>
    <t>Electricity mix</t>
  </si>
  <si>
    <t>Oil</t>
  </si>
  <si>
    <t>Coal</t>
  </si>
  <si>
    <t>Coal_CCS</t>
  </si>
  <si>
    <t>Natural gas</t>
  </si>
  <si>
    <t>Natural gas CCS</t>
  </si>
  <si>
    <t>Nuclear</t>
  </si>
  <si>
    <t>Biofuel</t>
  </si>
  <si>
    <t>Waste incineration</t>
  </si>
  <si>
    <t>Hydropower</t>
  </si>
  <si>
    <t>Geothermal</t>
  </si>
  <si>
    <t>Wind, onshore</t>
  </si>
  <si>
    <t>Wind, offshore</t>
  </si>
  <si>
    <t>Solar thermal</t>
  </si>
  <si>
    <t>Photovoltaic</t>
  </si>
  <si>
    <t>Heat mix</t>
  </si>
  <si>
    <t>IEA World electricity and heat. 
https://www.iea.org/statistics/statisticssearch/report/?country=WORLD&amp;product=electricityandheat&amp;year=2000</t>
  </si>
  <si>
    <t>Color coding in steel production technology tabs</t>
  </si>
  <si>
    <t>Value is calculated</t>
  </si>
  <si>
    <t>Input process is linked to another modified unit process also presented in Supplementary Data 1. All unit process that are not colored are directly from ecoinvent 3.1</t>
  </si>
  <si>
    <t>Table of content</t>
  </si>
  <si>
    <t>References</t>
  </si>
  <si>
    <t>Front Page</t>
  </si>
  <si>
    <t>Parameters</t>
  </si>
  <si>
    <t>SM1 Puddling</t>
  </si>
  <si>
    <t>SM2 Open Hearth Furnace</t>
  </si>
  <si>
    <t>SM3 Bessemer and Thomas process</t>
  </si>
  <si>
    <t>SM5 Crucible</t>
  </si>
  <si>
    <t>SM6 Electric Arc Furnace</t>
  </si>
  <si>
    <t>Tab</t>
  </si>
  <si>
    <t>Description</t>
  </si>
  <si>
    <t>Reference list for Supplementary Data 1</t>
  </si>
  <si>
    <t>Overview of paramters used for the life-cycle inventory</t>
  </si>
  <si>
    <t>Supplementary Data 1 - Life-cycle inventory (LCI) for global steel production 1900-2015</t>
  </si>
  <si>
    <t>LCI and overview of unit processes used for modelling technology and quantifying greenhouse gas emissions</t>
  </si>
  <si>
    <t>LCI and overview of unit processes used for modelling electricity generation</t>
  </si>
  <si>
    <t>LCI and overview of unit processes used for other parts of the LCI that are used as inputs for the steel production technology specific LCIs</t>
  </si>
  <si>
    <t>Overview of electricity and heat grid mix for 1900 to 2015 as used in this study and the unit processes used for representing each electricity generation technology</t>
  </si>
  <si>
    <t>Overview of life-cycle inventory (LCI) used for estimating greenhouse gas  emissions associated with the steel production technologies covered in this study and used for quantifying greenhouse gas emissions from global steel production from 1900 to 2015. 
The output for all 19 steel production technologies is given with 100% material efficiency. Temporal changes in material efficiency of the technologies was subsequently added based on the data on process efficiency as presented in Supplementary Information 1</t>
  </si>
  <si>
    <t>ecoinvent v3.1 (www.ecoinvent.org). Weidema, B.P., Bauer, C., Hischier, R., Mutel, C., Nemecek, T., Reinhard, J., Vadenbo, C.O., Wernet, G., 2013. Overview and methodology, Data quality guideline for the ecoinvent database version 3. Ecoinvent Report 1(v3). St. Gallen.</t>
  </si>
  <si>
    <t>Arens, M., Worrell, E. &amp; Schleich, J. Energy intensity development of the German iron and steel industry between 1991 and 2007. Energy 45, 786–797 (2012).</t>
  </si>
  <si>
    <t>Beer, J. De, Worrell, E. &amp; Blok, K. Future Technologies for Energy-Efficient Iron and Steel Making. Annu. Rev. Energy Environ. 23, 123–205 (1998).</t>
  </si>
  <si>
    <t>Bhattacharjee, S. &amp; Vasudevan, N. Energy efficiency considerations in the Indian foundry industry. in Energy Conversion Engineering Conference, 1996. IECEC 96., Proceedings of the 31st Intersociety 4, 2263–2268 (IEEE, 1996).</t>
  </si>
  <si>
    <t>Cheeley, R. Gasification and the Midrex Direct Reduction Process. in 1999 Gasification Technologies Conference (1999).</t>
  </si>
  <si>
    <t>Cullen, J. M., Allwood, J. M. &amp; Bambach, M. D. Mapping the global flow of steel: from steelmaking to end-use good. Environ. Sci. Technol. 46, 13048–55 (2012).</t>
  </si>
  <si>
    <t>Zhou, D. G., Wang, L. G. &amp; Zhou, S. Z. Measurement of heat loss and calculation of thermal efficiency of a huge open hearth furnace in Chongsteel. Iron Steel(in Chinese) 27–30 (1966).</t>
  </si>
  <si>
    <t>Dey, N. R., Prasad, A. K. &amp; Singh, S. K. Energy survey of the coal based sponge iron industry. Case Stud. Therm. Eng. 6, 1–15 (2015).</t>
  </si>
  <si>
    <t>Liu, S. &amp; Liu, Y. An analysis on the Energy Consumption of Masteel’s 300 m2 sinter and energy saving approaches. Anhui Yejin 2, 42–45 (2011).</t>
  </si>
  <si>
    <t>Michaelis, P. &amp; Jackson, T. Material and energy flow through the UK iron and steel sector. Part 1: 1954-1994. Resour. Conserv. Recycl. 29, 131–156 (2000).</t>
  </si>
  <si>
    <t>Milford, R. L., Pauliuk, S., Allwood, J. M. &amp; Müller, D. B. The Roles of Energy and Material Efficiency in Meeting Steel Industry CO2 Targets. Environ. Sci. Technol. 47, 3455–3462 (2013).</t>
  </si>
  <si>
    <t>OTA. Industrial Energy Efficiency. (U.S. Congress, Office of Technology Assessment(OTA), 1993).</t>
  </si>
  <si>
    <t>Piaskowski, J. &amp; Piaskowska, H. Technometry as a methodology of the history of technology. Hist. Technol. an Int. J. 2, 295–308 (1986).</t>
  </si>
  <si>
    <t>Stepanov, V. S. Analysis of energy efficiency of industrial processes. (Springer Science &amp; Business Media, 2012).</t>
  </si>
  <si>
    <t>Ruth, M.,Technology change in US iron and steel production - Implications for material and energy use, and CO2 emissions. Resour. Policy 21, 199–214. https://doi.org/10.1016/0301-4207(96)89790-X (1995)</t>
  </si>
  <si>
    <t>Stubbles, J. Energy use in the US steel industry: an historical perspective and future opportunities. (EERE Publication and Product Library, 2000).</t>
  </si>
  <si>
    <t>Tenova. Energiron: DRI technology by Tenova and Danieli. 52 (2014). Available at: https://www.energiron.com/. (Accessed: 15th January 2021)</t>
  </si>
  <si>
    <t>Thollander, P., Karlsson, M., Söderström, M. &amp; Creutz, D. Reducing industrial energy costs through energy-efficiency measures in a liberalized European electricity market: case study of a Swedish iron foundry. Appl. Energy 81, 115–126 (2005).</t>
  </si>
  <si>
    <t>Zeng, C. ., Liu, M. . &amp; Li, J. . Production Practice of Reducing Pellet Process Consumption for Hansteel Phase Two Pelletizing Project. Sinter. Pelletizing 37, 53–57 (2012).</t>
  </si>
  <si>
    <t>Euronuclear, nd. https://www.euronuclear.org/info/encyclopedia/coalequivalent.htm</t>
  </si>
  <si>
    <t xml:space="preserve">Our World in Data, nd. https://ourworldindata.org/energy-production-and-changing-energy-sources/ </t>
  </si>
  <si>
    <t>Pelleting</t>
  </si>
  <si>
    <t>Direct Reduction</t>
  </si>
  <si>
    <t>SM3/B-T</t>
  </si>
  <si>
    <t>Steel, Bessemer &amp; Thomas process | Alloc Rec, U_mr</t>
  </si>
  <si>
    <t>Electricity generation</t>
  </si>
  <si>
    <t>Other processes</t>
  </si>
  <si>
    <t>Energy mix</t>
  </si>
  <si>
    <t>SM4 Basic Oxygen Furnace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</si>
</sst>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3" formatCode="_-* #,##0.00_-;\-* #,##0.00_-;_-* &quot;-&quot;??_-;_-@_-"/>
    <numFmt numFmtId="164" formatCode="0.000"/>
    <numFmt numFmtId="165" formatCode="0.0000"/>
    <numFmt numFmtId="166" formatCode="0.0"/>
    <numFmt numFmtId="167" formatCode="0.0%"/>
    <numFmt numFmtId="168" formatCode="_-* #,##0.000_-;\-* #,##0.000_-;_-* &quot;-&quot;??_-;_-@_-"/>
    <numFmt numFmtId="169" formatCode="_-* #,##0_-;\-* #,##0_-;_-* &quot;-&quot;??_-;_-@_-"/>
  </numFmts>
  <fonts count="20" x14ac:knownFonts="1">
    <font>
      <sz val="11"/>
      <color theme="1"/>
      <name val="Calibri"/>
      <family val="2"/>
      <scheme val="minor"/>
    </font>
    <font>
      <b/>
      <sz val="11"/>
      <color theme="1"/>
      <name val="Calibri"/>
      <family val="2"/>
      <scheme val="minor"/>
    </font>
    <font>
      <b/>
      <sz val="10"/>
      <color indexed="8"/>
      <name val="Arial"/>
      <family val="2"/>
    </font>
    <font>
      <b/>
      <sz val="11"/>
      <color theme="1"/>
      <name val="Times New Roman"/>
      <family val="1"/>
    </font>
    <font>
      <sz val="11"/>
      <color theme="1"/>
      <name val="Times New Roman"/>
      <family val="1"/>
    </font>
    <font>
      <sz val="10.5"/>
      <color rgb="FF000000"/>
      <name val="Calibri"/>
      <family val="2"/>
      <scheme val="minor"/>
    </font>
    <font>
      <sz val="11"/>
      <color theme="1"/>
      <name val="Calibri"/>
      <family val="2"/>
      <scheme val="minor"/>
    </font>
    <font>
      <b/>
      <sz val="18"/>
      <color theme="1"/>
      <name val="Calibri"/>
      <family val="2"/>
      <scheme val="minor"/>
    </font>
    <font>
      <b/>
      <sz val="14"/>
      <color theme="1"/>
      <name val="Times New Roman"/>
      <family val="1"/>
    </font>
    <font>
      <b/>
      <sz val="9"/>
      <color indexed="81"/>
      <name val="Tahoma"/>
      <family val="2"/>
    </font>
    <font>
      <sz val="9"/>
      <color indexed="81"/>
      <name val="Tahoma"/>
      <family val="2"/>
    </font>
    <font>
      <u/>
      <sz val="11"/>
      <color theme="10"/>
      <name val="Calibri"/>
      <family val="2"/>
      <scheme val="minor"/>
    </font>
    <font>
      <sz val="11"/>
      <name val="Calibri"/>
      <family val="2"/>
      <scheme val="minor"/>
    </font>
    <font>
      <sz val="11"/>
      <color theme="1"/>
      <name val="Garamond"/>
      <family val="1"/>
    </font>
    <font>
      <sz val="10"/>
      <color theme="1"/>
      <name val="Garamond"/>
      <family val="1"/>
    </font>
    <font>
      <sz val="10"/>
      <color rgb="FFFF0000"/>
      <name val="Garamond"/>
      <family val="1"/>
    </font>
    <font>
      <sz val="8"/>
      <color theme="1"/>
      <name val="Calibri"/>
      <family val="2"/>
      <scheme val="minor"/>
    </font>
    <font>
      <vertAlign val="superscript"/>
      <sz val="9"/>
      <color theme="1"/>
      <name val="Garamond"/>
      <family val="1"/>
    </font>
    <font>
      <sz val="10"/>
      <color theme="1"/>
      <name val="Times New Roman"/>
      <family val="1"/>
    </font>
    <font>
      <vertAlign val="superscript"/>
      <sz val="10"/>
      <color theme="1"/>
      <name val="Times New Roman"/>
      <family val="1"/>
    </font>
  </fonts>
  <fills count="8">
    <fill>
      <patternFill patternType="none"/>
    </fill>
    <fill>
      <patternFill patternType="gray125"/>
    </fill>
    <fill>
      <patternFill patternType="solid">
        <fgColor rgb="FFFFFF00"/>
        <bgColor indexed="64"/>
      </patternFill>
    </fill>
    <fill>
      <patternFill patternType="solid">
        <fgColor theme="7" tint="0.59999389629810485"/>
        <bgColor indexed="64"/>
      </patternFill>
    </fill>
    <fill>
      <patternFill patternType="solid">
        <fgColor theme="0"/>
        <bgColor indexed="64"/>
      </patternFill>
    </fill>
    <fill>
      <patternFill patternType="solid">
        <fgColor theme="8" tint="0.59999389629810485"/>
        <bgColor indexed="64"/>
      </patternFill>
    </fill>
    <fill>
      <patternFill patternType="solid">
        <fgColor theme="0" tint="-0.14999847407452621"/>
        <bgColor indexed="64"/>
      </patternFill>
    </fill>
    <fill>
      <patternFill patternType="solid">
        <fgColor theme="0" tint="-4.9989318521683403E-2"/>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4">
    <xf numFmtId="0" fontId="0" fillId="0" borderId="0"/>
    <xf numFmtId="9" fontId="6" fillId="0" borderId="0" applyFont="0" applyFill="0" applyBorder="0" applyAlignment="0" applyProtection="0"/>
    <xf numFmtId="0" fontId="11" fillId="0" borderId="0" applyNumberFormat="0" applyFill="0" applyBorder="0" applyAlignment="0" applyProtection="0"/>
    <xf numFmtId="43" fontId="6" fillId="0" borderId="0" applyFont="0" applyFill="0" applyBorder="0" applyAlignment="0" applyProtection="0"/>
  </cellStyleXfs>
  <cellXfs count="93">
    <xf numFmtId="0" fontId="0" fillId="0" borderId="0" xfId="0"/>
    <xf numFmtId="0" fontId="1" fillId="0" borderId="0" xfId="0" applyFont="1"/>
    <xf numFmtId="0" fontId="1" fillId="2" borderId="0" xfId="0" applyFont="1" applyFill="1"/>
    <xf numFmtId="0" fontId="0" fillId="3" borderId="0" xfId="0" applyFill="1"/>
    <xf numFmtId="0" fontId="0" fillId="0" borderId="0" xfId="0" applyFont="1"/>
    <xf numFmtId="164" fontId="0" fillId="0" borderId="0" xfId="0" applyNumberFormat="1"/>
    <xf numFmtId="2" fontId="0" fillId="0" borderId="0" xfId="0" applyNumberFormat="1"/>
    <xf numFmtId="11" fontId="0" fillId="0" borderId="0" xfId="0" applyNumberFormat="1"/>
    <xf numFmtId="0" fontId="0" fillId="0" borderId="0" xfId="0"/>
    <xf numFmtId="11" fontId="0" fillId="0" borderId="0" xfId="0" applyNumberFormat="1"/>
    <xf numFmtId="11" fontId="0" fillId="0" borderId="0" xfId="0" applyNumberFormat="1" applyFont="1"/>
    <xf numFmtId="0" fontId="0" fillId="3" borderId="0" xfId="0" applyFont="1" applyFill="1"/>
    <xf numFmtId="0" fontId="0" fillId="4" borderId="0" xfId="0" applyFill="1"/>
    <xf numFmtId="1" fontId="0" fillId="0" borderId="0" xfId="0" applyNumberFormat="1"/>
    <xf numFmtId="11" fontId="0" fillId="0" borderId="1" xfId="0" applyNumberFormat="1" applyBorder="1"/>
    <xf numFmtId="11" fontId="0" fillId="0" borderId="3" xfId="0" applyNumberFormat="1" applyBorder="1"/>
    <xf numFmtId="11" fontId="0" fillId="0" borderId="4" xfId="0" applyNumberFormat="1" applyBorder="1"/>
    <xf numFmtId="11" fontId="0" fillId="0" borderId="5" xfId="0" applyNumberFormat="1" applyBorder="1"/>
    <xf numFmtId="11" fontId="0" fillId="0" borderId="6" xfId="0" applyNumberFormat="1" applyBorder="1"/>
    <xf numFmtId="11" fontId="0" fillId="0" borderId="7" xfId="0" applyNumberFormat="1" applyBorder="1"/>
    <xf numFmtId="0" fontId="1" fillId="0" borderId="8" xfId="0" applyFont="1" applyBorder="1"/>
    <xf numFmtId="0" fontId="1" fillId="0" borderId="9" xfId="0" applyFont="1" applyBorder="1"/>
    <xf numFmtId="0" fontId="1" fillId="0" borderId="10" xfId="0" applyFont="1" applyBorder="1"/>
    <xf numFmtId="11" fontId="0" fillId="0" borderId="11" xfId="0" applyNumberFormat="1" applyBorder="1"/>
    <xf numFmtId="11" fontId="0" fillId="0" borderId="12" xfId="0" applyNumberFormat="1" applyBorder="1"/>
    <xf numFmtId="11" fontId="0" fillId="0" borderId="13" xfId="0" applyNumberFormat="1" applyBorder="1"/>
    <xf numFmtId="0" fontId="1" fillId="0" borderId="2" xfId="0" applyFont="1" applyBorder="1"/>
    <xf numFmtId="0" fontId="1" fillId="0" borderId="14" xfId="0" applyFont="1" applyBorder="1"/>
    <xf numFmtId="0" fontId="1" fillId="0" borderId="15" xfId="0" applyFont="1" applyBorder="1"/>
    <xf numFmtId="0" fontId="1" fillId="0" borderId="16" xfId="0" applyFont="1" applyBorder="1"/>
    <xf numFmtId="11" fontId="0" fillId="0" borderId="14" xfId="0" applyNumberFormat="1" applyBorder="1"/>
    <xf numFmtId="11" fontId="0" fillId="0" borderId="15" xfId="0" applyNumberFormat="1" applyBorder="1"/>
    <xf numFmtId="11" fontId="0" fillId="0" borderId="16" xfId="0" applyNumberFormat="1" applyBorder="1"/>
    <xf numFmtId="0" fontId="0" fillId="0" borderId="2" xfId="0" applyBorder="1"/>
    <xf numFmtId="0" fontId="2" fillId="0" borderId="0" xfId="0" applyFont="1"/>
    <xf numFmtId="0" fontId="3" fillId="0" borderId="0" xfId="0" applyFont="1" applyAlignment="1">
      <alignment horizontal="center"/>
    </xf>
    <xf numFmtId="0" fontId="0" fillId="0" borderId="0" xfId="0" applyAlignment="1">
      <alignment horizontal="center" vertical="center"/>
    </xf>
    <xf numFmtId="1" fontId="3" fillId="0" borderId="0" xfId="0" applyNumberFormat="1" applyFont="1" applyAlignment="1">
      <alignment horizontal="center" vertical="center"/>
    </xf>
    <xf numFmtId="1" fontId="4" fillId="0" borderId="0" xfId="0" applyNumberFormat="1" applyFont="1"/>
    <xf numFmtId="1" fontId="3" fillId="2" borderId="0" xfId="0" applyNumberFormat="1" applyFont="1" applyFill="1" applyAlignment="1">
      <alignment horizontal="center" vertical="center"/>
    </xf>
    <xf numFmtId="1" fontId="3" fillId="0" borderId="0" xfId="0" applyNumberFormat="1" applyFont="1"/>
    <xf numFmtId="1" fontId="3" fillId="0" borderId="0" xfId="0" applyNumberFormat="1" applyFont="1" applyFill="1" applyAlignment="1">
      <alignment horizontal="center" vertical="center"/>
    </xf>
    <xf numFmtId="1" fontId="4" fillId="0" borderId="0" xfId="0" applyNumberFormat="1" applyFont="1" applyFill="1"/>
    <xf numFmtId="1" fontId="3" fillId="0" borderId="0" xfId="0" applyNumberFormat="1" applyFont="1" applyFill="1"/>
    <xf numFmtId="0" fontId="5" fillId="0" borderId="0" xfId="0" applyFont="1"/>
    <xf numFmtId="0" fontId="0" fillId="0" borderId="0" xfId="0" applyFont="1" applyAlignment="1">
      <alignment horizontal="center" vertical="center"/>
    </xf>
    <xf numFmtId="165" fontId="0" fillId="0" borderId="0" xfId="0" applyNumberFormat="1"/>
    <xf numFmtId="0" fontId="7" fillId="0" borderId="0" xfId="0" applyFont="1"/>
    <xf numFmtId="0" fontId="8" fillId="0" borderId="0" xfId="0" applyFont="1" applyAlignment="1">
      <alignment vertical="center"/>
    </xf>
    <xf numFmtId="164" fontId="0" fillId="5" borderId="0" xfId="0" applyNumberFormat="1" applyFill="1"/>
    <xf numFmtId="0" fontId="0" fillId="5" borderId="0" xfId="0" applyFill="1"/>
    <xf numFmtId="2" fontId="0" fillId="5" borderId="0" xfId="0" applyNumberFormat="1" applyFill="1"/>
    <xf numFmtId="0" fontId="0" fillId="0" borderId="0" xfId="0" applyAlignment="1">
      <alignment horizontal="left" vertical="center"/>
    </xf>
    <xf numFmtId="11" fontId="0" fillId="5" borderId="0" xfId="0" applyNumberFormat="1" applyFill="1"/>
    <xf numFmtId="0" fontId="11" fillId="0" borderId="0" xfId="2"/>
    <xf numFmtId="166" fontId="0" fillId="5" borderId="0" xfId="0" applyNumberFormat="1" applyFont="1" applyFill="1"/>
    <xf numFmtId="0" fontId="0" fillId="5" borderId="0" xfId="0" applyFont="1" applyFill="1"/>
    <xf numFmtId="164" fontId="0" fillId="0" borderId="6" xfId="0" applyNumberFormat="1" applyBorder="1"/>
    <xf numFmtId="164" fontId="0" fillId="0" borderId="7" xfId="0" applyNumberFormat="1" applyBorder="1"/>
    <xf numFmtId="164" fontId="0" fillId="0" borderId="1" xfId="0" applyNumberFormat="1" applyBorder="1"/>
    <xf numFmtId="164" fontId="0" fillId="0" borderId="3" xfId="0" applyNumberFormat="1" applyBorder="1"/>
    <xf numFmtId="164" fontId="0" fillId="0" borderId="4" xfId="0" applyNumberFormat="1" applyBorder="1"/>
    <xf numFmtId="164" fontId="0" fillId="0" borderId="5" xfId="0" applyNumberFormat="1" applyBorder="1"/>
    <xf numFmtId="164" fontId="0" fillId="0" borderId="0" xfId="0" applyNumberFormat="1" applyFont="1"/>
    <xf numFmtId="165" fontId="0" fillId="5" borderId="0" xfId="0" applyNumberFormat="1" applyFill="1"/>
    <xf numFmtId="166" fontId="0" fillId="0" borderId="0" xfId="0" applyNumberFormat="1"/>
    <xf numFmtId="164" fontId="0" fillId="5" borderId="0" xfId="0" applyNumberFormat="1" applyFont="1" applyFill="1"/>
    <xf numFmtId="0" fontId="0" fillId="5" borderId="0" xfId="0" applyFill="1" applyAlignment="1">
      <alignment horizontal="right" vertical="center"/>
    </xf>
    <xf numFmtId="2" fontId="0" fillId="5" borderId="0" xfId="0" applyNumberFormat="1" applyFont="1" applyFill="1"/>
    <xf numFmtId="11" fontId="0" fillId="5" borderId="0" xfId="0" applyNumberFormat="1" applyFont="1" applyFill="1"/>
    <xf numFmtId="1" fontId="0" fillId="5" borderId="0" xfId="0" applyNumberFormat="1" applyFill="1"/>
    <xf numFmtId="0" fontId="16" fillId="0" borderId="0" xfId="0" applyFont="1" applyAlignment="1">
      <alignment horizontal="left" vertical="center" indent="3"/>
    </xf>
    <xf numFmtId="0" fontId="17" fillId="0" borderId="0" xfId="0" applyFont="1" applyAlignment="1">
      <alignment horizontal="left" vertical="center"/>
    </xf>
    <xf numFmtId="0" fontId="12" fillId="6" borderId="1" xfId="0" applyFont="1" applyFill="1" applyBorder="1"/>
    <xf numFmtId="0" fontId="0" fillId="0" borderId="1" xfId="0" applyBorder="1"/>
    <xf numFmtId="0" fontId="13" fillId="0" borderId="1" xfId="0" applyFont="1" applyBorder="1"/>
    <xf numFmtId="0" fontId="0" fillId="6" borderId="1" xfId="0" applyFill="1" applyBorder="1"/>
    <xf numFmtId="167" fontId="0" fillId="0" borderId="1" xfId="1" applyNumberFormat="1" applyFont="1" applyBorder="1"/>
    <xf numFmtId="0" fontId="14" fillId="0" borderId="1" xfId="0" applyFont="1" applyBorder="1"/>
    <xf numFmtId="168" fontId="0" fillId="0" borderId="0" xfId="3" applyNumberFormat="1" applyFont="1"/>
    <xf numFmtId="168" fontId="1" fillId="0" borderId="0" xfId="0" applyNumberFormat="1" applyFont="1"/>
    <xf numFmtId="0" fontId="0" fillId="0" borderId="0" xfId="0" applyAlignment="1"/>
    <xf numFmtId="168" fontId="0" fillId="5" borderId="0" xfId="3" applyNumberFormat="1" applyFont="1" applyFill="1"/>
    <xf numFmtId="0" fontId="13" fillId="0" borderId="1" xfId="0" applyFont="1" applyFill="1" applyBorder="1"/>
    <xf numFmtId="0" fontId="19" fillId="0" borderId="0" xfId="0" applyFont="1" applyAlignment="1">
      <alignment horizontal="left" vertical="center"/>
    </xf>
    <xf numFmtId="0" fontId="11" fillId="0" borderId="0" xfId="2" quotePrefix="1"/>
    <xf numFmtId="0" fontId="0" fillId="0" borderId="0" xfId="0" applyFont="1" applyAlignment="1">
      <alignment horizontal="left" vertical="center" indent="3"/>
    </xf>
    <xf numFmtId="169" fontId="0" fillId="0" borderId="0" xfId="3" applyNumberFormat="1" applyFont="1"/>
    <xf numFmtId="0" fontId="0" fillId="0" borderId="0" xfId="0" applyAlignment="1">
      <alignment horizontal="left" vertical="center" indent="3"/>
    </xf>
    <xf numFmtId="0" fontId="13" fillId="0" borderId="0" xfId="0" applyFont="1" applyAlignment="1">
      <alignment horizontal="left" vertical="center"/>
    </xf>
    <xf numFmtId="0" fontId="1" fillId="7" borderId="0" xfId="0" applyFont="1" applyFill="1" applyAlignment="1">
      <alignment horizontal="left" vertical="top" wrapText="1"/>
    </xf>
    <xf numFmtId="0" fontId="18" fillId="0" borderId="0" xfId="0" applyFont="1" applyAlignment="1">
      <alignment horizontal="left" vertical="center" wrapText="1"/>
    </xf>
    <xf numFmtId="0" fontId="19" fillId="0" borderId="0" xfId="0" applyFont="1" applyAlignment="1">
      <alignment horizontal="left" vertical="center"/>
    </xf>
  </cellXfs>
  <cellStyles count="4">
    <cellStyle name="Comma" xfId="3" builtinId="3"/>
    <cellStyle name="Hyperlink" xfId="2" builtinId="8"/>
    <cellStyle name="Normal" xfId="0" builtinId="0"/>
    <cellStyle name="Percent" xfId="1" builtinId="5"/>
  </cellStyles>
  <dxfs count="4">
    <dxf>
      <font>
        <color theme="0" tint="-0.34998626667073579"/>
      </font>
    </dxf>
    <dxf>
      <font>
        <color theme="0" tint="-0.34998626667073579"/>
      </font>
    </dxf>
    <dxf>
      <font>
        <color theme="0" tint="-0.34998626667073579"/>
      </font>
    </dxf>
    <dxf>
      <font>
        <color theme="0" tint="-0.34998626667073579"/>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moryb/AppData/Local/Microsoft/Windows/Temporary%20Internet%20Files/Content.Outlook/LBEHXAJD/data_for_morten.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data"/>
      <sheetName val="results"/>
      <sheetName val="Normalisation"/>
      <sheetName val="Valeur Eol"/>
      <sheetName val="Readme"/>
      <sheetName val="Input_Data"/>
      <sheetName val="Common ingredients"/>
      <sheetName val="PEFScreening"/>
      <sheetName val="Results-Aggregated Phases"/>
      <sheetName val="Comparison-Aggregated Phases"/>
      <sheetName val="Results-Elementary Phases"/>
      <sheetName val="Results-Total"/>
      <sheetName val="WeightedResults-Total"/>
    </sheetNames>
    <sheetDataSet>
      <sheetData sheetId="0">
        <row r="1">
          <cell r="A1" t="str">
            <v>INPUT DATA</v>
          </cell>
        </row>
        <row r="3">
          <cell r="A3" t="str">
            <v>Project</v>
          </cell>
          <cell r="B3" t="str">
            <v>PEF Pilot</v>
          </cell>
        </row>
        <row r="4">
          <cell r="A4" t="str">
            <v>Export date</v>
          </cell>
          <cell r="B4" t="str">
            <v>14/03/2016 14:56</v>
          </cell>
        </row>
        <row r="5">
          <cell r="A5" t="str">
            <v>Model name</v>
          </cell>
          <cell r="B5" t="str">
            <v>aise</v>
          </cell>
        </row>
        <row r="6">
          <cell r="A6" t="str">
            <v>Export user</v>
          </cell>
          <cell r="B6" t="str">
            <v>henry.king</v>
          </cell>
        </row>
        <row r="8">
          <cell r="A8" t="str">
            <v>Inputs</v>
          </cell>
          <cell r="B8" t="str">
            <v>BASELINE Super concentrated liquid detergent EU 27 30C</v>
          </cell>
          <cell r="C8" t="str">
            <v>Main Sales Country - France 30C - Super concentrated liquid detergent</v>
          </cell>
          <cell r="D8" t="str">
            <v>EU Average-40 - Super concentrated liquid detergent</v>
          </cell>
          <cell r="E8" t="str">
            <v>EU Average-30 - Super concentrated liquid detergent</v>
          </cell>
        </row>
        <row r="9">
          <cell r="A9" t="str">
            <v>add_ing_name01</v>
          </cell>
          <cell r="B9" t="str">
            <v>monoethanolamine</v>
          </cell>
          <cell r="C9" t="str">
            <v>monoethanolamine</v>
          </cell>
          <cell r="D9" t="str">
            <v>monoethanolamine</v>
          </cell>
          <cell r="E9" t="str">
            <v>monoethanolamine</v>
          </cell>
        </row>
        <row r="10">
          <cell r="A10" t="str">
            <v>add_ing_name02</v>
          </cell>
          <cell r="B10" t="str">
            <v>lauric acid</v>
          </cell>
          <cell r="C10" t="str">
            <v>lauric acid</v>
          </cell>
          <cell r="D10" t="str">
            <v>lauric acid</v>
          </cell>
          <cell r="E10" t="str">
            <v>lauric acid</v>
          </cell>
        </row>
        <row r="11">
          <cell r="A11" t="str">
            <v>add_ing_name03</v>
          </cell>
          <cell r="B11" t="str">
            <v/>
          </cell>
          <cell r="C11" t="str">
            <v/>
          </cell>
          <cell r="D11" t="str">
            <v/>
          </cell>
          <cell r="E11" t="str">
            <v/>
          </cell>
        </row>
        <row r="12">
          <cell r="A12" t="str">
            <v>add_ing_name04</v>
          </cell>
          <cell r="B12" t="str">
            <v/>
          </cell>
          <cell r="C12" t="str">
            <v/>
          </cell>
          <cell r="D12" t="str">
            <v/>
          </cell>
          <cell r="E12" t="str">
            <v/>
          </cell>
        </row>
        <row r="13">
          <cell r="A13" t="str">
            <v>add_ing_name05</v>
          </cell>
          <cell r="B13" t="str">
            <v/>
          </cell>
          <cell r="C13" t="str">
            <v/>
          </cell>
          <cell r="D13" t="str">
            <v/>
          </cell>
          <cell r="E13" t="str">
            <v/>
          </cell>
        </row>
        <row r="14">
          <cell r="A14" t="str">
            <v>add_ing_name06</v>
          </cell>
          <cell r="B14" t="str">
            <v/>
          </cell>
          <cell r="C14" t="str">
            <v/>
          </cell>
          <cell r="D14" t="str">
            <v/>
          </cell>
          <cell r="E14" t="str">
            <v/>
          </cell>
        </row>
        <row r="15">
          <cell r="A15" t="str">
            <v>add_ing_name07</v>
          </cell>
          <cell r="B15" t="str">
            <v/>
          </cell>
          <cell r="C15" t="str">
            <v/>
          </cell>
          <cell r="D15" t="str">
            <v/>
          </cell>
          <cell r="E15" t="str">
            <v/>
          </cell>
        </row>
        <row r="16">
          <cell r="A16" t="str">
            <v>add_ing_name08</v>
          </cell>
          <cell r="B16" t="str">
            <v/>
          </cell>
          <cell r="C16" t="str">
            <v/>
          </cell>
          <cell r="D16" t="str">
            <v/>
          </cell>
          <cell r="E16" t="str">
            <v/>
          </cell>
        </row>
        <row r="17">
          <cell r="A17" t="str">
            <v>add_ing_name09</v>
          </cell>
          <cell r="B17" t="str">
            <v/>
          </cell>
          <cell r="C17" t="str">
            <v/>
          </cell>
          <cell r="D17" t="str">
            <v/>
          </cell>
          <cell r="E17" t="str">
            <v/>
          </cell>
        </row>
        <row r="18">
          <cell r="A18" t="str">
            <v>add_ing_name10</v>
          </cell>
          <cell r="B18" t="str">
            <v/>
          </cell>
          <cell r="C18" t="str">
            <v/>
          </cell>
          <cell r="D18" t="str">
            <v/>
          </cell>
          <cell r="E18" t="str">
            <v/>
          </cell>
        </row>
        <row r="19">
          <cell r="A19" t="str">
            <v>add_ing_name11</v>
          </cell>
          <cell r="B19" t="str">
            <v/>
          </cell>
          <cell r="C19" t="str">
            <v/>
          </cell>
          <cell r="D19" t="str">
            <v/>
          </cell>
          <cell r="E19" t="str">
            <v/>
          </cell>
        </row>
        <row r="20">
          <cell r="A20" t="str">
            <v>add_ing_name12</v>
          </cell>
          <cell r="B20" t="str">
            <v/>
          </cell>
          <cell r="C20" t="str">
            <v/>
          </cell>
          <cell r="D20" t="str">
            <v/>
          </cell>
          <cell r="E20" t="str">
            <v/>
          </cell>
        </row>
        <row r="21">
          <cell r="A21" t="str">
            <v>add_ing_name13</v>
          </cell>
          <cell r="B21" t="str">
            <v/>
          </cell>
          <cell r="C21" t="str">
            <v/>
          </cell>
          <cell r="D21" t="str">
            <v/>
          </cell>
          <cell r="E21" t="str">
            <v/>
          </cell>
        </row>
        <row r="22">
          <cell r="A22" t="str">
            <v>add_ing_name14</v>
          </cell>
          <cell r="B22" t="str">
            <v/>
          </cell>
          <cell r="C22" t="str">
            <v/>
          </cell>
          <cell r="D22" t="str">
            <v/>
          </cell>
          <cell r="E22" t="str">
            <v/>
          </cell>
        </row>
        <row r="23">
          <cell r="A23" t="str">
            <v>add_ing_name15</v>
          </cell>
          <cell r="B23" t="str">
            <v/>
          </cell>
          <cell r="C23" t="str">
            <v/>
          </cell>
          <cell r="D23" t="str">
            <v/>
          </cell>
          <cell r="E23" t="str">
            <v/>
          </cell>
        </row>
        <row r="24">
          <cell r="A24" t="str">
            <v>add_ing_name16</v>
          </cell>
          <cell r="B24" t="str">
            <v/>
          </cell>
          <cell r="C24" t="str">
            <v/>
          </cell>
          <cell r="D24" t="str">
            <v/>
          </cell>
          <cell r="E24" t="str">
            <v/>
          </cell>
        </row>
        <row r="25">
          <cell r="A25" t="str">
            <v>add_ing_name17</v>
          </cell>
          <cell r="B25" t="str">
            <v/>
          </cell>
          <cell r="C25" t="str">
            <v/>
          </cell>
          <cell r="D25" t="str">
            <v/>
          </cell>
          <cell r="E25" t="str">
            <v/>
          </cell>
        </row>
        <row r="26">
          <cell r="A26" t="str">
            <v>add_ing_name18</v>
          </cell>
          <cell r="B26" t="str">
            <v/>
          </cell>
          <cell r="C26" t="str">
            <v/>
          </cell>
          <cell r="D26" t="str">
            <v/>
          </cell>
          <cell r="E26" t="str">
            <v/>
          </cell>
        </row>
        <row r="27">
          <cell r="A27" t="str">
            <v>add_ing_name19</v>
          </cell>
          <cell r="B27" t="str">
            <v/>
          </cell>
          <cell r="C27" t="str">
            <v/>
          </cell>
          <cell r="D27" t="str">
            <v/>
          </cell>
          <cell r="E27" t="str">
            <v/>
          </cell>
        </row>
        <row r="28">
          <cell r="A28" t="str">
            <v>add_ing_name20</v>
          </cell>
          <cell r="B28" t="str">
            <v/>
          </cell>
          <cell r="C28" t="str">
            <v/>
          </cell>
          <cell r="D28" t="str">
            <v/>
          </cell>
          <cell r="E28" t="str">
            <v/>
          </cell>
        </row>
        <row r="29">
          <cell r="A29" t="str">
            <v>add_ing_name21</v>
          </cell>
          <cell r="B29" t="str">
            <v/>
          </cell>
          <cell r="C29" t="str">
            <v/>
          </cell>
          <cell r="D29" t="str">
            <v/>
          </cell>
          <cell r="E29" t="str">
            <v/>
          </cell>
        </row>
        <row r="30">
          <cell r="A30" t="str">
            <v>add_ing_name22</v>
          </cell>
          <cell r="B30" t="str">
            <v/>
          </cell>
          <cell r="C30" t="str">
            <v/>
          </cell>
          <cell r="D30" t="str">
            <v/>
          </cell>
          <cell r="E30" t="str">
            <v/>
          </cell>
        </row>
        <row r="31">
          <cell r="A31" t="str">
            <v>add_ing_name23</v>
          </cell>
          <cell r="B31" t="str">
            <v/>
          </cell>
          <cell r="C31" t="str">
            <v/>
          </cell>
          <cell r="D31" t="str">
            <v/>
          </cell>
          <cell r="E31" t="str">
            <v/>
          </cell>
        </row>
        <row r="32">
          <cell r="A32" t="str">
            <v>add_ing_name24</v>
          </cell>
          <cell r="B32" t="str">
            <v/>
          </cell>
          <cell r="C32" t="str">
            <v/>
          </cell>
          <cell r="D32" t="str">
            <v/>
          </cell>
          <cell r="E32" t="str">
            <v/>
          </cell>
        </row>
        <row r="33">
          <cell r="A33" t="str">
            <v>add_ing_name25</v>
          </cell>
          <cell r="B33" t="str">
            <v/>
          </cell>
          <cell r="C33" t="str">
            <v/>
          </cell>
          <cell r="D33" t="str">
            <v/>
          </cell>
          <cell r="E33" t="str">
            <v/>
          </cell>
        </row>
        <row r="34">
          <cell r="A34" t="str">
            <v>add_ing_name26</v>
          </cell>
          <cell r="B34" t="str">
            <v/>
          </cell>
          <cell r="C34" t="str">
            <v/>
          </cell>
          <cell r="D34" t="str">
            <v/>
          </cell>
          <cell r="E34" t="str">
            <v/>
          </cell>
        </row>
        <row r="35">
          <cell r="A35" t="str">
            <v>add_ing_name27</v>
          </cell>
          <cell r="B35" t="str">
            <v/>
          </cell>
          <cell r="C35" t="str">
            <v/>
          </cell>
          <cell r="D35" t="str">
            <v/>
          </cell>
          <cell r="E35" t="str">
            <v/>
          </cell>
        </row>
        <row r="36">
          <cell r="A36" t="str">
            <v>add_ing_name28</v>
          </cell>
          <cell r="B36" t="str">
            <v/>
          </cell>
          <cell r="C36" t="str">
            <v/>
          </cell>
          <cell r="D36" t="str">
            <v/>
          </cell>
          <cell r="E36" t="str">
            <v/>
          </cell>
        </row>
        <row r="37">
          <cell r="A37" t="str">
            <v>add_ing_name29</v>
          </cell>
          <cell r="B37" t="str">
            <v/>
          </cell>
          <cell r="C37" t="str">
            <v/>
          </cell>
          <cell r="D37" t="str">
            <v/>
          </cell>
          <cell r="E37" t="str">
            <v/>
          </cell>
        </row>
        <row r="38">
          <cell r="A38" t="str">
            <v>add_ing_name30</v>
          </cell>
          <cell r="B38" t="str">
            <v/>
          </cell>
          <cell r="C38" t="str">
            <v/>
          </cell>
          <cell r="D38" t="str">
            <v/>
          </cell>
          <cell r="E38" t="str">
            <v/>
          </cell>
        </row>
        <row r="39">
          <cell r="A39" t="str">
            <v>add_ing_name31</v>
          </cell>
          <cell r="B39" t="str">
            <v/>
          </cell>
          <cell r="C39" t="str">
            <v/>
          </cell>
          <cell r="D39" t="str">
            <v/>
          </cell>
          <cell r="E39" t="str">
            <v/>
          </cell>
        </row>
        <row r="40">
          <cell r="A40" t="str">
            <v>add_ing_name32</v>
          </cell>
          <cell r="B40" t="str">
            <v/>
          </cell>
          <cell r="C40" t="str">
            <v/>
          </cell>
          <cell r="D40" t="str">
            <v/>
          </cell>
          <cell r="E40" t="str">
            <v/>
          </cell>
        </row>
        <row r="41">
          <cell r="A41" t="str">
            <v>add_ing_name33</v>
          </cell>
          <cell r="B41" t="str">
            <v/>
          </cell>
          <cell r="C41" t="str">
            <v/>
          </cell>
          <cell r="D41" t="str">
            <v/>
          </cell>
          <cell r="E41" t="str">
            <v/>
          </cell>
        </row>
        <row r="42">
          <cell r="A42" t="str">
            <v>add_ing_name34</v>
          </cell>
          <cell r="B42" t="str">
            <v/>
          </cell>
          <cell r="C42" t="str">
            <v/>
          </cell>
          <cell r="D42" t="str">
            <v/>
          </cell>
          <cell r="E42" t="str">
            <v/>
          </cell>
        </row>
        <row r="43">
          <cell r="A43" t="str">
            <v>add_ing_name35</v>
          </cell>
          <cell r="B43" t="str">
            <v/>
          </cell>
          <cell r="C43" t="str">
            <v/>
          </cell>
          <cell r="D43" t="str">
            <v/>
          </cell>
          <cell r="E43" t="str">
            <v/>
          </cell>
        </row>
        <row r="44">
          <cell r="A44" t="str">
            <v>add_ing_name36</v>
          </cell>
          <cell r="B44" t="str">
            <v/>
          </cell>
          <cell r="C44" t="str">
            <v/>
          </cell>
          <cell r="D44" t="str">
            <v/>
          </cell>
          <cell r="E44" t="str">
            <v/>
          </cell>
        </row>
        <row r="45">
          <cell r="A45" t="str">
            <v>add_ing_name37</v>
          </cell>
          <cell r="B45" t="str">
            <v/>
          </cell>
          <cell r="C45" t="str">
            <v/>
          </cell>
          <cell r="D45" t="str">
            <v/>
          </cell>
          <cell r="E45" t="str">
            <v/>
          </cell>
        </row>
        <row r="46">
          <cell r="A46" t="str">
            <v>add_ing_name38</v>
          </cell>
          <cell r="B46" t="str">
            <v/>
          </cell>
          <cell r="C46" t="str">
            <v/>
          </cell>
          <cell r="D46" t="str">
            <v/>
          </cell>
          <cell r="E46" t="str">
            <v/>
          </cell>
        </row>
        <row r="47">
          <cell r="A47" t="str">
            <v>add_ing_name39</v>
          </cell>
          <cell r="B47" t="str">
            <v/>
          </cell>
          <cell r="C47" t="str">
            <v/>
          </cell>
          <cell r="D47" t="str">
            <v/>
          </cell>
          <cell r="E47" t="str">
            <v/>
          </cell>
        </row>
        <row r="48">
          <cell r="A48" t="str">
            <v>add_ing_name40</v>
          </cell>
          <cell r="B48" t="str">
            <v/>
          </cell>
          <cell r="C48" t="str">
            <v/>
          </cell>
          <cell r="D48" t="str">
            <v/>
          </cell>
          <cell r="E48" t="str">
            <v/>
          </cell>
        </row>
        <row r="49">
          <cell r="A49" t="str">
            <v>add_pack_other_name01</v>
          </cell>
          <cell r="B49" t="str">
            <v>Label - LDPE</v>
          </cell>
          <cell r="C49" t="str">
            <v>Label - LDPE</v>
          </cell>
          <cell r="D49" t="str">
            <v>Label - LDPE</v>
          </cell>
          <cell r="E49" t="str">
            <v>Label - LDPE</v>
          </cell>
        </row>
        <row r="50">
          <cell r="A50" t="str">
            <v>add_pack_other_name02</v>
          </cell>
          <cell r="B50" t="str">
            <v>Shuttle - synthetic rubber</v>
          </cell>
          <cell r="C50" t="str">
            <v>Shuttle - synthetic rubber</v>
          </cell>
          <cell r="D50" t="str">
            <v>Shuttle - synthetic rubber</v>
          </cell>
          <cell r="E50" t="str">
            <v>Shuttle - synthetic rubber</v>
          </cell>
        </row>
        <row r="51">
          <cell r="A51" t="str">
            <v>add_pack_other_name03</v>
          </cell>
          <cell r="B51" t="str">
            <v/>
          </cell>
          <cell r="C51" t="str">
            <v/>
          </cell>
          <cell r="D51" t="str">
            <v/>
          </cell>
          <cell r="E51" t="str">
            <v/>
          </cell>
        </row>
        <row r="52">
          <cell r="A52" t="str">
            <v>add_pack_other_name04</v>
          </cell>
          <cell r="B52" t="str">
            <v/>
          </cell>
          <cell r="C52" t="str">
            <v/>
          </cell>
          <cell r="D52" t="str">
            <v/>
          </cell>
          <cell r="E52" t="str">
            <v/>
          </cell>
        </row>
        <row r="53">
          <cell r="A53" t="str">
            <v>add_pack_other_name05</v>
          </cell>
          <cell r="B53" t="str">
            <v/>
          </cell>
          <cell r="C53" t="str">
            <v/>
          </cell>
          <cell r="D53" t="str">
            <v/>
          </cell>
          <cell r="E53" t="str">
            <v/>
          </cell>
        </row>
        <row r="54">
          <cell r="A54" t="str">
            <v>add_pack_pouch_name01</v>
          </cell>
          <cell r="B54" t="str">
            <v/>
          </cell>
          <cell r="C54" t="str">
            <v/>
          </cell>
          <cell r="D54" t="str">
            <v/>
          </cell>
          <cell r="E54" t="str">
            <v/>
          </cell>
        </row>
        <row r="55">
          <cell r="A55" t="str">
            <v>add_pack_pouch_name02</v>
          </cell>
          <cell r="B55" t="str">
            <v/>
          </cell>
          <cell r="C55" t="str">
            <v/>
          </cell>
          <cell r="D55" t="str">
            <v/>
          </cell>
          <cell r="E55" t="str">
            <v/>
          </cell>
        </row>
        <row r="56">
          <cell r="A56" t="str">
            <v>add_pack_pouch_name03</v>
          </cell>
          <cell r="B56" t="str">
            <v/>
          </cell>
          <cell r="C56" t="str">
            <v/>
          </cell>
          <cell r="D56" t="str">
            <v/>
          </cell>
          <cell r="E56" t="str">
            <v/>
          </cell>
        </row>
        <row r="57">
          <cell r="A57" t="str">
            <v>add_pack_pouch_name04</v>
          </cell>
          <cell r="B57" t="str">
            <v/>
          </cell>
          <cell r="C57" t="str">
            <v/>
          </cell>
          <cell r="D57" t="str">
            <v/>
          </cell>
          <cell r="E57" t="str">
            <v/>
          </cell>
        </row>
        <row r="58">
          <cell r="A58" t="str">
            <v>add_pack_pouch_name05</v>
          </cell>
          <cell r="B58" t="str">
            <v/>
          </cell>
          <cell r="C58" t="str">
            <v/>
          </cell>
          <cell r="D58" t="str">
            <v/>
          </cell>
          <cell r="E58" t="str">
            <v/>
          </cell>
        </row>
        <row r="59">
          <cell r="A59" t="str">
            <v>comment</v>
          </cell>
          <cell r="B59" t="str">
            <v>Super-concentrated liquid in Europe at 30C</v>
          </cell>
          <cell r="C59" t="str">
            <v>Super-concentrated liquid in France at 30C</v>
          </cell>
          <cell r="D59" t="str">
            <v>Super-concentrated liquid in Europe at 40C</v>
          </cell>
          <cell r="E59" t="str">
            <v>Super-concentrated liquid in Europe at 30C</v>
          </cell>
        </row>
        <row r="60">
          <cell r="A60" t="str">
            <v>company_name</v>
          </cell>
          <cell r="B60" t="str">
            <v>Unilever</v>
          </cell>
          <cell r="C60" t="str">
            <v>Unilever</v>
          </cell>
          <cell r="D60" t="str">
            <v>Unilever</v>
          </cell>
          <cell r="E60" t="str">
            <v>Unilever</v>
          </cell>
        </row>
        <row r="61">
          <cell r="A61" t="str">
            <v>cons_warehouse</v>
          </cell>
          <cell r="B61">
            <v>0.217</v>
          </cell>
          <cell r="C61">
            <v>0.217</v>
          </cell>
          <cell r="D61">
            <v>0.217</v>
          </cell>
          <cell r="E61">
            <v>0.217</v>
          </cell>
        </row>
        <row r="62">
          <cell r="A62" t="str">
            <v>detergent</v>
          </cell>
          <cell r="B62" t="str">
            <v>LiquidSC</v>
          </cell>
          <cell r="C62" t="str">
            <v>LiquidSC</v>
          </cell>
          <cell r="D62" t="str">
            <v>LiquidSC</v>
          </cell>
          <cell r="E62" t="str">
            <v>LiquidSC</v>
          </cell>
        </row>
        <row r="63">
          <cell r="A63" t="str">
            <v>exp_detergent_man_elect</v>
          </cell>
          <cell r="B63">
            <v>1.4E-2</v>
          </cell>
          <cell r="C63">
            <v>1.4E-2</v>
          </cell>
          <cell r="D63">
            <v>1.4E-2</v>
          </cell>
          <cell r="E63">
            <v>1.4E-2</v>
          </cell>
        </row>
        <row r="64">
          <cell r="A64" t="str">
            <v>exp_detergent_man_heat</v>
          </cell>
          <cell r="B64">
            <v>0</v>
          </cell>
          <cell r="C64">
            <v>0</v>
          </cell>
          <cell r="D64">
            <v>0</v>
          </cell>
          <cell r="E64">
            <v>0</v>
          </cell>
        </row>
        <row r="65">
          <cell r="A65" t="str">
            <v>exp_detergent_man_inf</v>
          </cell>
          <cell r="B65" t="str">
            <v>true</v>
          </cell>
          <cell r="C65" t="str">
            <v>true</v>
          </cell>
          <cell r="D65" t="str">
            <v>true</v>
          </cell>
          <cell r="E65" t="str">
            <v>true</v>
          </cell>
        </row>
        <row r="66">
          <cell r="A66" t="str">
            <v>exp_detergent_man_water</v>
          </cell>
          <cell r="B66">
            <v>0.9</v>
          </cell>
          <cell r="C66">
            <v>0.9</v>
          </cell>
          <cell r="D66">
            <v>0.9</v>
          </cell>
          <cell r="E66">
            <v>0.9</v>
          </cell>
        </row>
        <row r="67">
          <cell r="A67" t="str">
            <v>exp_hdpe_cap_elect</v>
          </cell>
          <cell r="B67">
            <v>1.71</v>
          </cell>
          <cell r="C67">
            <v>1.71</v>
          </cell>
          <cell r="D67">
            <v>1.71</v>
          </cell>
          <cell r="E67">
            <v>1.71</v>
          </cell>
        </row>
        <row r="68">
          <cell r="A68" t="str">
            <v>exp_hdpe_cap_heat</v>
          </cell>
          <cell r="B68">
            <v>9.0999999999999998E-2</v>
          </cell>
          <cell r="C68">
            <v>9.0999999999999998E-2</v>
          </cell>
          <cell r="D68">
            <v>9.0999999999999998E-2</v>
          </cell>
          <cell r="E68">
            <v>9.0999999999999998E-2</v>
          </cell>
        </row>
        <row r="69">
          <cell r="A69" t="str">
            <v>exp_hdpe_pack_elect</v>
          </cell>
          <cell r="B69">
            <v>1.71</v>
          </cell>
          <cell r="C69">
            <v>1.71</v>
          </cell>
          <cell r="D69">
            <v>1.71</v>
          </cell>
          <cell r="E69">
            <v>1.71</v>
          </cell>
        </row>
        <row r="70">
          <cell r="A70" t="str">
            <v>exp_hdpe_pack_heat</v>
          </cell>
          <cell r="B70">
            <v>9.0999999999999998E-2</v>
          </cell>
          <cell r="C70">
            <v>9.0999999999999998E-2</v>
          </cell>
          <cell r="D70">
            <v>9.0999999999999998E-2</v>
          </cell>
          <cell r="E70">
            <v>9.0999999999999998E-2</v>
          </cell>
        </row>
        <row r="71">
          <cell r="A71" t="str">
            <v>exp_other_elect</v>
          </cell>
          <cell r="B71">
            <v>0</v>
          </cell>
          <cell r="C71">
            <v>0</v>
          </cell>
          <cell r="D71">
            <v>0</v>
          </cell>
          <cell r="E71">
            <v>0</v>
          </cell>
        </row>
        <row r="72">
          <cell r="A72" t="str">
            <v>exp_other_heat</v>
          </cell>
          <cell r="B72">
            <v>0</v>
          </cell>
          <cell r="C72">
            <v>0</v>
          </cell>
          <cell r="D72">
            <v>0</v>
          </cell>
          <cell r="E72">
            <v>0</v>
          </cell>
        </row>
        <row r="73">
          <cell r="A73" t="str">
            <v>exp_pouch_elect</v>
          </cell>
          <cell r="B73">
            <v>0</v>
          </cell>
          <cell r="C73">
            <v>0</v>
          </cell>
          <cell r="D73">
            <v>0</v>
          </cell>
          <cell r="E73">
            <v>0</v>
          </cell>
        </row>
        <row r="74">
          <cell r="A74" t="str">
            <v>exp_pouch_heat</v>
          </cell>
          <cell r="B74">
            <v>0</v>
          </cell>
          <cell r="C74">
            <v>0</v>
          </cell>
          <cell r="D74">
            <v>0</v>
          </cell>
          <cell r="E74">
            <v>0</v>
          </cell>
        </row>
        <row r="75">
          <cell r="A75" t="str">
            <v>exp_pp_cap_elect</v>
          </cell>
          <cell r="B75">
            <v>1.76</v>
          </cell>
          <cell r="C75">
            <v>1.76</v>
          </cell>
          <cell r="D75">
            <v>1.76</v>
          </cell>
          <cell r="E75">
            <v>1.76</v>
          </cell>
        </row>
        <row r="76">
          <cell r="A76" t="str">
            <v>exp_pp_cap_heat</v>
          </cell>
          <cell r="B76">
            <v>0</v>
          </cell>
          <cell r="C76">
            <v>0</v>
          </cell>
          <cell r="D76">
            <v>0</v>
          </cell>
          <cell r="E76">
            <v>0</v>
          </cell>
        </row>
        <row r="77">
          <cell r="A77" t="str">
            <v>exp_pp_pack_elect</v>
          </cell>
          <cell r="B77">
            <v>1.76</v>
          </cell>
          <cell r="C77">
            <v>1.76</v>
          </cell>
          <cell r="D77">
            <v>1.76</v>
          </cell>
          <cell r="E77">
            <v>1.76</v>
          </cell>
        </row>
        <row r="78">
          <cell r="A78" t="str">
            <v>exp_pp_pack_heat</v>
          </cell>
          <cell r="B78">
            <v>0</v>
          </cell>
          <cell r="C78">
            <v>0</v>
          </cell>
          <cell r="D78">
            <v>0</v>
          </cell>
          <cell r="E78">
            <v>0</v>
          </cell>
        </row>
        <row r="79">
          <cell r="A79" t="str">
            <v>form_acid_citric</v>
          </cell>
          <cell r="B79">
            <v>5</v>
          </cell>
          <cell r="C79">
            <v>5</v>
          </cell>
          <cell r="D79">
            <v>5</v>
          </cell>
          <cell r="E79">
            <v>5</v>
          </cell>
        </row>
        <row r="80">
          <cell r="A80" t="str">
            <v>form_alkyl_amidopropyl_betaine</v>
          </cell>
          <cell r="B80">
            <v>0</v>
          </cell>
          <cell r="C80">
            <v>0</v>
          </cell>
          <cell r="D80">
            <v>0</v>
          </cell>
          <cell r="E80">
            <v>0</v>
          </cell>
        </row>
        <row r="81">
          <cell r="A81" t="str">
            <v>form_amine_oxide</v>
          </cell>
          <cell r="B81">
            <v>0</v>
          </cell>
          <cell r="C81">
            <v>0</v>
          </cell>
          <cell r="D81">
            <v>0</v>
          </cell>
          <cell r="E81">
            <v>0</v>
          </cell>
        </row>
        <row r="82">
          <cell r="A82" t="str">
            <v>form_aqua</v>
          </cell>
          <cell r="B82">
            <v>27.459</v>
          </cell>
          <cell r="C82">
            <v>27.459</v>
          </cell>
          <cell r="D82">
            <v>27.459</v>
          </cell>
          <cell r="E82">
            <v>27.459</v>
          </cell>
        </row>
        <row r="83">
          <cell r="A83" t="str">
            <v>form_azurant</v>
          </cell>
          <cell r="B83">
            <v>0</v>
          </cell>
          <cell r="C83">
            <v>0</v>
          </cell>
          <cell r="D83">
            <v>0</v>
          </cell>
          <cell r="E83">
            <v>0</v>
          </cell>
        </row>
        <row r="84">
          <cell r="A84" t="str">
            <v>form_azurant_distyr</v>
          </cell>
          <cell r="B84">
            <v>0.76</v>
          </cell>
          <cell r="C84">
            <v>0.76</v>
          </cell>
          <cell r="D84">
            <v>0.76</v>
          </cell>
          <cell r="E84">
            <v>0.76</v>
          </cell>
        </row>
        <row r="85">
          <cell r="A85" t="str">
            <v>form_azurant_triazin</v>
          </cell>
          <cell r="B85">
            <v>0</v>
          </cell>
          <cell r="C85">
            <v>0</v>
          </cell>
          <cell r="D85">
            <v>0</v>
          </cell>
          <cell r="E85">
            <v>0</v>
          </cell>
        </row>
        <row r="86">
          <cell r="A86" t="str">
            <v>form_carac_factor_01_cc_name01</v>
          </cell>
          <cell r="B86">
            <v>3.4426395740000002</v>
          </cell>
          <cell r="C86">
            <v>3.4426395740000002</v>
          </cell>
          <cell r="D86">
            <v>3.4426395740000002</v>
          </cell>
          <cell r="E86">
            <v>3.4426395740000002</v>
          </cell>
        </row>
        <row r="87">
          <cell r="A87" t="str">
            <v>form_carac_factor_01_cc_name02</v>
          </cell>
          <cell r="B87">
            <v>-1.720713478</v>
          </cell>
          <cell r="C87">
            <v>-1.720713478</v>
          </cell>
          <cell r="D87">
            <v>-1.720713478</v>
          </cell>
          <cell r="E87">
            <v>-1.720713478</v>
          </cell>
        </row>
        <row r="88">
          <cell r="A88" t="str">
            <v>form_carac_factor_01_cc_name03</v>
          </cell>
          <cell r="B88">
            <v>0</v>
          </cell>
          <cell r="C88">
            <v>0</v>
          </cell>
          <cell r="D88">
            <v>0</v>
          </cell>
          <cell r="E88">
            <v>0</v>
          </cell>
        </row>
        <row r="89">
          <cell r="A89" t="str">
            <v>form_carac_factor_01_cc_name04</v>
          </cell>
          <cell r="B89">
            <v>0</v>
          </cell>
          <cell r="C89">
            <v>0</v>
          </cell>
          <cell r="D89">
            <v>0</v>
          </cell>
          <cell r="E89">
            <v>0</v>
          </cell>
        </row>
        <row r="90">
          <cell r="A90" t="str">
            <v>form_carac_factor_01_cc_name05</v>
          </cell>
          <cell r="B90">
            <v>0</v>
          </cell>
          <cell r="C90">
            <v>0</v>
          </cell>
          <cell r="D90">
            <v>0</v>
          </cell>
          <cell r="E90">
            <v>0</v>
          </cell>
        </row>
        <row r="91">
          <cell r="A91" t="str">
            <v>form_carac_factor_01_cc_name06</v>
          </cell>
          <cell r="B91">
            <v>0</v>
          </cell>
          <cell r="C91">
            <v>0</v>
          </cell>
          <cell r="D91">
            <v>0</v>
          </cell>
          <cell r="E91">
            <v>0</v>
          </cell>
        </row>
        <row r="92">
          <cell r="A92" t="str">
            <v>form_carac_factor_01_cc_name07</v>
          </cell>
          <cell r="B92">
            <v>0</v>
          </cell>
          <cell r="C92">
            <v>0</v>
          </cell>
          <cell r="D92">
            <v>0</v>
          </cell>
          <cell r="E92">
            <v>0</v>
          </cell>
        </row>
        <row r="93">
          <cell r="A93" t="str">
            <v>form_carac_factor_01_cc_name08</v>
          </cell>
          <cell r="B93">
            <v>0</v>
          </cell>
          <cell r="C93">
            <v>0</v>
          </cell>
          <cell r="D93">
            <v>0</v>
          </cell>
          <cell r="E93">
            <v>0</v>
          </cell>
        </row>
        <row r="94">
          <cell r="A94" t="str">
            <v>form_carac_factor_01_cc_name09</v>
          </cell>
          <cell r="B94">
            <v>0</v>
          </cell>
          <cell r="C94">
            <v>0</v>
          </cell>
          <cell r="D94">
            <v>0</v>
          </cell>
          <cell r="E94">
            <v>0</v>
          </cell>
        </row>
        <row r="95">
          <cell r="A95" t="str">
            <v>form_carac_factor_01_cc_name10</v>
          </cell>
          <cell r="B95">
            <v>0</v>
          </cell>
          <cell r="C95">
            <v>0</v>
          </cell>
          <cell r="D95">
            <v>0</v>
          </cell>
          <cell r="E95">
            <v>0</v>
          </cell>
        </row>
        <row r="96">
          <cell r="A96" t="str">
            <v>form_carac_factor_01_cc_name11</v>
          </cell>
          <cell r="B96">
            <v>0</v>
          </cell>
          <cell r="C96">
            <v>0</v>
          </cell>
          <cell r="D96">
            <v>0</v>
          </cell>
          <cell r="E96">
            <v>0</v>
          </cell>
        </row>
        <row r="97">
          <cell r="A97" t="str">
            <v>form_carac_factor_01_cc_name12</v>
          </cell>
          <cell r="B97">
            <v>0</v>
          </cell>
          <cell r="C97">
            <v>0</v>
          </cell>
          <cell r="D97">
            <v>0</v>
          </cell>
          <cell r="E97">
            <v>0</v>
          </cell>
        </row>
        <row r="98">
          <cell r="A98" t="str">
            <v>form_carac_factor_01_cc_name13</v>
          </cell>
          <cell r="B98">
            <v>0</v>
          </cell>
          <cell r="C98">
            <v>0</v>
          </cell>
          <cell r="D98">
            <v>0</v>
          </cell>
          <cell r="E98">
            <v>0</v>
          </cell>
        </row>
        <row r="99">
          <cell r="A99" t="str">
            <v>form_carac_factor_01_cc_name14</v>
          </cell>
          <cell r="B99">
            <v>0</v>
          </cell>
          <cell r="C99">
            <v>0</v>
          </cell>
          <cell r="D99">
            <v>0</v>
          </cell>
          <cell r="E99">
            <v>0</v>
          </cell>
        </row>
        <row r="100">
          <cell r="A100" t="str">
            <v>form_carac_factor_01_cc_name15</v>
          </cell>
          <cell r="B100">
            <v>0</v>
          </cell>
          <cell r="C100">
            <v>0</v>
          </cell>
          <cell r="D100">
            <v>0</v>
          </cell>
          <cell r="E100">
            <v>0</v>
          </cell>
        </row>
        <row r="101">
          <cell r="A101" t="str">
            <v>form_carac_factor_01_cc_name16</v>
          </cell>
          <cell r="B101">
            <v>0</v>
          </cell>
          <cell r="C101">
            <v>0</v>
          </cell>
          <cell r="D101">
            <v>0</v>
          </cell>
          <cell r="E101">
            <v>0</v>
          </cell>
        </row>
        <row r="102">
          <cell r="A102" t="str">
            <v>form_carac_factor_01_cc_name17</v>
          </cell>
          <cell r="B102">
            <v>0</v>
          </cell>
          <cell r="C102">
            <v>0</v>
          </cell>
          <cell r="D102">
            <v>0</v>
          </cell>
          <cell r="E102">
            <v>0</v>
          </cell>
        </row>
        <row r="103">
          <cell r="A103" t="str">
            <v>form_carac_factor_01_cc_name18</v>
          </cell>
          <cell r="B103">
            <v>0</v>
          </cell>
          <cell r="C103">
            <v>0</v>
          </cell>
          <cell r="D103">
            <v>0</v>
          </cell>
          <cell r="E103">
            <v>0</v>
          </cell>
        </row>
        <row r="104">
          <cell r="A104" t="str">
            <v>form_carac_factor_01_cc_name19</v>
          </cell>
          <cell r="B104">
            <v>0</v>
          </cell>
          <cell r="C104">
            <v>0</v>
          </cell>
          <cell r="D104">
            <v>0</v>
          </cell>
          <cell r="E104">
            <v>0</v>
          </cell>
        </row>
        <row r="105">
          <cell r="A105" t="str">
            <v>form_carac_factor_01_cc_name20</v>
          </cell>
          <cell r="B105">
            <v>0</v>
          </cell>
          <cell r="C105">
            <v>0</v>
          </cell>
          <cell r="D105">
            <v>0</v>
          </cell>
          <cell r="E105">
            <v>0</v>
          </cell>
        </row>
        <row r="106">
          <cell r="A106" t="str">
            <v>form_carac_factor_01_cc_name21</v>
          </cell>
          <cell r="B106">
            <v>0</v>
          </cell>
          <cell r="C106">
            <v>0</v>
          </cell>
          <cell r="D106">
            <v>0</v>
          </cell>
          <cell r="E106">
            <v>0</v>
          </cell>
        </row>
        <row r="107">
          <cell r="A107" t="str">
            <v>form_carac_factor_01_cc_name22</v>
          </cell>
          <cell r="B107">
            <v>0</v>
          </cell>
          <cell r="C107">
            <v>0</v>
          </cell>
          <cell r="D107">
            <v>0</v>
          </cell>
          <cell r="E107">
            <v>0</v>
          </cell>
        </row>
        <row r="108">
          <cell r="A108" t="str">
            <v>form_carac_factor_01_cc_name23</v>
          </cell>
          <cell r="B108">
            <v>0</v>
          </cell>
          <cell r="C108">
            <v>0</v>
          </cell>
          <cell r="D108">
            <v>0</v>
          </cell>
          <cell r="E108">
            <v>0</v>
          </cell>
        </row>
        <row r="109">
          <cell r="A109" t="str">
            <v>form_carac_factor_01_cc_name24</v>
          </cell>
          <cell r="B109">
            <v>0</v>
          </cell>
          <cell r="C109">
            <v>0</v>
          </cell>
          <cell r="D109">
            <v>0</v>
          </cell>
          <cell r="E109">
            <v>0</v>
          </cell>
        </row>
        <row r="110">
          <cell r="A110" t="str">
            <v>form_carac_factor_01_cc_name25</v>
          </cell>
          <cell r="B110">
            <v>0</v>
          </cell>
          <cell r="C110">
            <v>0</v>
          </cell>
          <cell r="D110">
            <v>0</v>
          </cell>
          <cell r="E110">
            <v>0</v>
          </cell>
        </row>
        <row r="111">
          <cell r="A111" t="str">
            <v>form_carac_factor_01_cc_name26</v>
          </cell>
          <cell r="B111">
            <v>0</v>
          </cell>
          <cell r="C111">
            <v>0</v>
          </cell>
          <cell r="D111">
            <v>0</v>
          </cell>
          <cell r="E111">
            <v>0</v>
          </cell>
        </row>
        <row r="112">
          <cell r="A112" t="str">
            <v>form_carac_factor_01_cc_name27</v>
          </cell>
          <cell r="B112">
            <v>0</v>
          </cell>
          <cell r="C112">
            <v>0</v>
          </cell>
          <cell r="D112">
            <v>0</v>
          </cell>
          <cell r="E112">
            <v>0</v>
          </cell>
        </row>
        <row r="113">
          <cell r="A113" t="str">
            <v>form_carac_factor_01_cc_name28</v>
          </cell>
          <cell r="B113">
            <v>0</v>
          </cell>
          <cell r="C113">
            <v>0</v>
          </cell>
          <cell r="D113">
            <v>0</v>
          </cell>
          <cell r="E113">
            <v>0</v>
          </cell>
        </row>
        <row r="114">
          <cell r="A114" t="str">
            <v>form_carac_factor_01_cc_name29</v>
          </cell>
          <cell r="B114">
            <v>0</v>
          </cell>
          <cell r="C114">
            <v>0</v>
          </cell>
          <cell r="D114">
            <v>0</v>
          </cell>
          <cell r="E114">
            <v>0</v>
          </cell>
        </row>
        <row r="115">
          <cell r="A115" t="str">
            <v>form_carac_factor_01_cc_name30</v>
          </cell>
          <cell r="B115">
            <v>0</v>
          </cell>
          <cell r="C115">
            <v>0</v>
          </cell>
          <cell r="D115">
            <v>0</v>
          </cell>
          <cell r="E115">
            <v>0</v>
          </cell>
        </row>
        <row r="116">
          <cell r="A116" t="str">
            <v>form_carac_factor_01_cc_name31</v>
          </cell>
          <cell r="B116">
            <v>0</v>
          </cell>
          <cell r="C116">
            <v>0</v>
          </cell>
          <cell r="D116">
            <v>0</v>
          </cell>
          <cell r="E116">
            <v>0</v>
          </cell>
        </row>
        <row r="117">
          <cell r="A117" t="str">
            <v>form_carac_factor_01_cc_name32</v>
          </cell>
          <cell r="B117">
            <v>0</v>
          </cell>
          <cell r="C117">
            <v>0</v>
          </cell>
          <cell r="D117">
            <v>0</v>
          </cell>
          <cell r="E117">
            <v>0</v>
          </cell>
        </row>
        <row r="118">
          <cell r="A118" t="str">
            <v>form_carac_factor_01_cc_name33</v>
          </cell>
          <cell r="B118">
            <v>0</v>
          </cell>
          <cell r="C118">
            <v>0</v>
          </cell>
          <cell r="D118">
            <v>0</v>
          </cell>
          <cell r="E118">
            <v>0</v>
          </cell>
        </row>
        <row r="119">
          <cell r="A119" t="str">
            <v>form_carac_factor_01_cc_name34</v>
          </cell>
          <cell r="B119">
            <v>0</v>
          </cell>
          <cell r="C119">
            <v>0</v>
          </cell>
          <cell r="D119">
            <v>0</v>
          </cell>
          <cell r="E119">
            <v>0</v>
          </cell>
        </row>
        <row r="120">
          <cell r="A120" t="str">
            <v>form_carac_factor_01_cc_name35</v>
          </cell>
          <cell r="B120">
            <v>0</v>
          </cell>
          <cell r="C120">
            <v>0</v>
          </cell>
          <cell r="D120">
            <v>0</v>
          </cell>
          <cell r="E120">
            <v>0</v>
          </cell>
        </row>
        <row r="121">
          <cell r="A121" t="str">
            <v>form_carac_factor_01_cc_name36</v>
          </cell>
          <cell r="B121">
            <v>0</v>
          </cell>
          <cell r="C121">
            <v>0</v>
          </cell>
          <cell r="D121">
            <v>0</v>
          </cell>
          <cell r="E121">
            <v>0</v>
          </cell>
        </row>
        <row r="122">
          <cell r="A122" t="str">
            <v>form_carac_factor_01_cc_name37</v>
          </cell>
          <cell r="B122">
            <v>0</v>
          </cell>
          <cell r="C122">
            <v>0</v>
          </cell>
          <cell r="D122">
            <v>0</v>
          </cell>
          <cell r="E122">
            <v>0</v>
          </cell>
        </row>
        <row r="123">
          <cell r="A123" t="str">
            <v>form_carac_factor_01_cc_name38</v>
          </cell>
          <cell r="B123">
            <v>0</v>
          </cell>
          <cell r="C123">
            <v>0</v>
          </cell>
          <cell r="D123">
            <v>0</v>
          </cell>
          <cell r="E123">
            <v>0</v>
          </cell>
        </row>
        <row r="124">
          <cell r="A124" t="str">
            <v>form_carac_factor_01_cc_name39</v>
          </cell>
          <cell r="B124">
            <v>0</v>
          </cell>
          <cell r="C124">
            <v>0</v>
          </cell>
          <cell r="D124">
            <v>0</v>
          </cell>
          <cell r="E124">
            <v>0</v>
          </cell>
        </row>
        <row r="125">
          <cell r="A125" t="str">
            <v>form_carac_factor_01_cc_name40</v>
          </cell>
          <cell r="B125">
            <v>0</v>
          </cell>
          <cell r="C125">
            <v>0</v>
          </cell>
          <cell r="D125">
            <v>0</v>
          </cell>
          <cell r="E125">
            <v>0</v>
          </cell>
        </row>
        <row r="126">
          <cell r="A126" t="str">
            <v>form_carac_factor_02_ar_name01</v>
          </cell>
          <cell r="B126">
            <v>3.4669092999999997E-5</v>
          </cell>
          <cell r="C126">
            <v>3.4669092999999997E-5</v>
          </cell>
          <cell r="D126">
            <v>3.4669092999999997E-5</v>
          </cell>
          <cell r="E126">
            <v>3.4669092999999997E-5</v>
          </cell>
        </row>
        <row r="127">
          <cell r="A127" t="str">
            <v>form_carac_factor_02_ar_name02</v>
          </cell>
          <cell r="B127">
            <v>1.2638345E-5</v>
          </cell>
          <cell r="C127">
            <v>1.2638345E-5</v>
          </cell>
          <cell r="D127">
            <v>1.2638345E-5</v>
          </cell>
          <cell r="E127">
            <v>1.2638345E-5</v>
          </cell>
        </row>
        <row r="128">
          <cell r="A128" t="str">
            <v>form_carac_factor_02_ar_name03</v>
          </cell>
          <cell r="B128">
            <v>0</v>
          </cell>
          <cell r="C128">
            <v>0</v>
          </cell>
          <cell r="D128">
            <v>0</v>
          </cell>
          <cell r="E128">
            <v>0</v>
          </cell>
        </row>
        <row r="129">
          <cell r="A129" t="str">
            <v>form_carac_factor_02_ar_name04</v>
          </cell>
          <cell r="B129">
            <v>0</v>
          </cell>
          <cell r="C129">
            <v>0</v>
          </cell>
          <cell r="D129">
            <v>0</v>
          </cell>
          <cell r="E129">
            <v>0</v>
          </cell>
        </row>
        <row r="130">
          <cell r="A130" t="str">
            <v>form_carac_factor_02_ar_name05</v>
          </cell>
          <cell r="B130">
            <v>0</v>
          </cell>
          <cell r="C130">
            <v>0</v>
          </cell>
          <cell r="D130">
            <v>0</v>
          </cell>
          <cell r="E130">
            <v>0</v>
          </cell>
        </row>
        <row r="131">
          <cell r="A131" t="str">
            <v>form_carac_factor_02_ar_name06</v>
          </cell>
          <cell r="B131">
            <v>0</v>
          </cell>
          <cell r="C131">
            <v>0</v>
          </cell>
          <cell r="D131">
            <v>0</v>
          </cell>
          <cell r="E131">
            <v>0</v>
          </cell>
        </row>
        <row r="132">
          <cell r="A132" t="str">
            <v>form_carac_factor_02_ar_name07</v>
          </cell>
          <cell r="B132">
            <v>0</v>
          </cell>
          <cell r="C132">
            <v>0</v>
          </cell>
          <cell r="D132">
            <v>0</v>
          </cell>
          <cell r="E132">
            <v>0</v>
          </cell>
        </row>
        <row r="133">
          <cell r="A133" t="str">
            <v>form_carac_factor_02_ar_name08</v>
          </cell>
          <cell r="B133">
            <v>0</v>
          </cell>
          <cell r="C133">
            <v>0</v>
          </cell>
          <cell r="D133">
            <v>0</v>
          </cell>
          <cell r="E133">
            <v>0</v>
          </cell>
        </row>
        <row r="134">
          <cell r="A134" t="str">
            <v>form_carac_factor_02_ar_name09</v>
          </cell>
          <cell r="B134">
            <v>0</v>
          </cell>
          <cell r="C134">
            <v>0</v>
          </cell>
          <cell r="D134">
            <v>0</v>
          </cell>
          <cell r="E134">
            <v>0</v>
          </cell>
        </row>
        <row r="135">
          <cell r="A135" t="str">
            <v>form_carac_factor_02_ar_name10</v>
          </cell>
          <cell r="B135">
            <v>0</v>
          </cell>
          <cell r="C135">
            <v>0</v>
          </cell>
          <cell r="D135">
            <v>0</v>
          </cell>
          <cell r="E135">
            <v>0</v>
          </cell>
        </row>
        <row r="136">
          <cell r="A136" t="str">
            <v>form_carac_factor_02_ar_name11</v>
          </cell>
          <cell r="B136">
            <v>0</v>
          </cell>
          <cell r="C136">
            <v>0</v>
          </cell>
          <cell r="D136">
            <v>0</v>
          </cell>
          <cell r="E136">
            <v>0</v>
          </cell>
        </row>
        <row r="137">
          <cell r="A137" t="str">
            <v>form_carac_factor_02_ar_name12</v>
          </cell>
          <cell r="B137">
            <v>0</v>
          </cell>
          <cell r="C137">
            <v>0</v>
          </cell>
          <cell r="D137">
            <v>0</v>
          </cell>
          <cell r="E137">
            <v>0</v>
          </cell>
        </row>
        <row r="138">
          <cell r="A138" t="str">
            <v>form_carac_factor_02_ar_name13</v>
          </cell>
          <cell r="B138">
            <v>0</v>
          </cell>
          <cell r="C138">
            <v>0</v>
          </cell>
          <cell r="D138">
            <v>0</v>
          </cell>
          <cell r="E138">
            <v>0</v>
          </cell>
        </row>
        <row r="139">
          <cell r="A139" t="str">
            <v>form_carac_factor_02_ar_name14</v>
          </cell>
          <cell r="B139">
            <v>0</v>
          </cell>
          <cell r="C139">
            <v>0</v>
          </cell>
          <cell r="D139">
            <v>0</v>
          </cell>
          <cell r="E139">
            <v>0</v>
          </cell>
        </row>
        <row r="140">
          <cell r="A140" t="str">
            <v>form_carac_factor_02_ar_name15</v>
          </cell>
          <cell r="B140">
            <v>0</v>
          </cell>
          <cell r="C140">
            <v>0</v>
          </cell>
          <cell r="D140">
            <v>0</v>
          </cell>
          <cell r="E140">
            <v>0</v>
          </cell>
        </row>
        <row r="141">
          <cell r="A141" t="str">
            <v>form_carac_factor_02_ar_name16</v>
          </cell>
          <cell r="B141">
            <v>0</v>
          </cell>
          <cell r="C141">
            <v>0</v>
          </cell>
          <cell r="D141">
            <v>0</v>
          </cell>
          <cell r="E141">
            <v>0</v>
          </cell>
        </row>
        <row r="142">
          <cell r="A142" t="str">
            <v>form_carac_factor_02_ar_name17</v>
          </cell>
          <cell r="B142">
            <v>0</v>
          </cell>
          <cell r="C142">
            <v>0</v>
          </cell>
          <cell r="D142">
            <v>0</v>
          </cell>
          <cell r="E142">
            <v>0</v>
          </cell>
        </row>
        <row r="143">
          <cell r="A143" t="str">
            <v>form_carac_factor_02_ar_name18</v>
          </cell>
          <cell r="B143">
            <v>0</v>
          </cell>
          <cell r="C143">
            <v>0</v>
          </cell>
          <cell r="D143">
            <v>0</v>
          </cell>
          <cell r="E143">
            <v>0</v>
          </cell>
        </row>
        <row r="144">
          <cell r="A144" t="str">
            <v>form_carac_factor_02_ar_name19</v>
          </cell>
          <cell r="B144">
            <v>0</v>
          </cell>
          <cell r="C144">
            <v>0</v>
          </cell>
          <cell r="D144">
            <v>0</v>
          </cell>
          <cell r="E144">
            <v>0</v>
          </cell>
        </row>
        <row r="145">
          <cell r="A145" t="str">
            <v>form_carac_factor_02_ar_name20</v>
          </cell>
          <cell r="B145">
            <v>0</v>
          </cell>
          <cell r="C145">
            <v>0</v>
          </cell>
          <cell r="D145">
            <v>0</v>
          </cell>
          <cell r="E145">
            <v>0</v>
          </cell>
        </row>
        <row r="146">
          <cell r="A146" t="str">
            <v>form_carac_factor_02_ar_name21</v>
          </cell>
          <cell r="B146">
            <v>0</v>
          </cell>
          <cell r="C146">
            <v>0</v>
          </cell>
          <cell r="D146">
            <v>0</v>
          </cell>
          <cell r="E146">
            <v>0</v>
          </cell>
        </row>
        <row r="147">
          <cell r="A147" t="str">
            <v>form_carac_factor_02_ar_name22</v>
          </cell>
          <cell r="B147">
            <v>0</v>
          </cell>
          <cell r="C147">
            <v>0</v>
          </cell>
          <cell r="D147">
            <v>0</v>
          </cell>
          <cell r="E147">
            <v>0</v>
          </cell>
        </row>
        <row r="148">
          <cell r="A148" t="str">
            <v>form_carac_factor_02_ar_name23</v>
          </cell>
          <cell r="B148">
            <v>0</v>
          </cell>
          <cell r="C148">
            <v>0</v>
          </cell>
          <cell r="D148">
            <v>0</v>
          </cell>
          <cell r="E148">
            <v>0</v>
          </cell>
        </row>
        <row r="149">
          <cell r="A149" t="str">
            <v>form_carac_factor_02_ar_name24</v>
          </cell>
          <cell r="B149">
            <v>0</v>
          </cell>
          <cell r="C149">
            <v>0</v>
          </cell>
          <cell r="D149">
            <v>0</v>
          </cell>
          <cell r="E149">
            <v>0</v>
          </cell>
        </row>
        <row r="150">
          <cell r="A150" t="str">
            <v>form_carac_factor_02_ar_name25</v>
          </cell>
          <cell r="B150">
            <v>0</v>
          </cell>
          <cell r="C150">
            <v>0</v>
          </cell>
          <cell r="D150">
            <v>0</v>
          </cell>
          <cell r="E150">
            <v>0</v>
          </cell>
        </row>
        <row r="151">
          <cell r="A151" t="str">
            <v>form_carac_factor_02_ar_name26</v>
          </cell>
          <cell r="B151">
            <v>0</v>
          </cell>
          <cell r="C151">
            <v>0</v>
          </cell>
          <cell r="D151">
            <v>0</v>
          </cell>
          <cell r="E151">
            <v>0</v>
          </cell>
        </row>
        <row r="152">
          <cell r="A152" t="str">
            <v>form_carac_factor_02_ar_name27</v>
          </cell>
          <cell r="B152">
            <v>0</v>
          </cell>
          <cell r="C152">
            <v>0</v>
          </cell>
          <cell r="D152">
            <v>0</v>
          </cell>
          <cell r="E152">
            <v>0</v>
          </cell>
        </row>
        <row r="153">
          <cell r="A153" t="str">
            <v>form_carac_factor_02_ar_name28</v>
          </cell>
          <cell r="B153">
            <v>0</v>
          </cell>
          <cell r="C153">
            <v>0</v>
          </cell>
          <cell r="D153">
            <v>0</v>
          </cell>
          <cell r="E153">
            <v>0</v>
          </cell>
        </row>
        <row r="154">
          <cell r="A154" t="str">
            <v>form_carac_factor_02_ar_name29</v>
          </cell>
          <cell r="B154">
            <v>0</v>
          </cell>
          <cell r="C154">
            <v>0</v>
          </cell>
          <cell r="D154">
            <v>0</v>
          </cell>
          <cell r="E154">
            <v>0</v>
          </cell>
        </row>
        <row r="155">
          <cell r="A155" t="str">
            <v>form_carac_factor_02_ar_name30</v>
          </cell>
          <cell r="B155">
            <v>0</v>
          </cell>
          <cell r="C155">
            <v>0</v>
          </cell>
          <cell r="D155">
            <v>0</v>
          </cell>
          <cell r="E155">
            <v>0</v>
          </cell>
        </row>
        <row r="156">
          <cell r="A156" t="str">
            <v>form_carac_factor_02_ar_name31</v>
          </cell>
          <cell r="B156">
            <v>0</v>
          </cell>
          <cell r="C156">
            <v>0</v>
          </cell>
          <cell r="D156">
            <v>0</v>
          </cell>
          <cell r="E156">
            <v>0</v>
          </cell>
        </row>
        <row r="157">
          <cell r="A157" t="str">
            <v>form_carac_factor_02_ar_name32</v>
          </cell>
          <cell r="B157">
            <v>0</v>
          </cell>
          <cell r="C157">
            <v>0</v>
          </cell>
          <cell r="D157">
            <v>0</v>
          </cell>
          <cell r="E157">
            <v>0</v>
          </cell>
        </row>
        <row r="158">
          <cell r="A158" t="str">
            <v>form_carac_factor_02_ar_name33</v>
          </cell>
          <cell r="B158">
            <v>0</v>
          </cell>
          <cell r="C158">
            <v>0</v>
          </cell>
          <cell r="D158">
            <v>0</v>
          </cell>
          <cell r="E158">
            <v>0</v>
          </cell>
        </row>
        <row r="159">
          <cell r="A159" t="str">
            <v>form_carac_factor_02_ar_name34</v>
          </cell>
          <cell r="B159">
            <v>0</v>
          </cell>
          <cell r="C159">
            <v>0</v>
          </cell>
          <cell r="D159">
            <v>0</v>
          </cell>
          <cell r="E159">
            <v>0</v>
          </cell>
        </row>
        <row r="160">
          <cell r="A160" t="str">
            <v>form_carac_factor_02_ar_name35</v>
          </cell>
          <cell r="B160">
            <v>0</v>
          </cell>
          <cell r="C160">
            <v>0</v>
          </cell>
          <cell r="D160">
            <v>0</v>
          </cell>
          <cell r="E160">
            <v>0</v>
          </cell>
        </row>
        <row r="161">
          <cell r="A161" t="str">
            <v>form_carac_factor_02_ar_name36</v>
          </cell>
          <cell r="B161">
            <v>0</v>
          </cell>
          <cell r="C161">
            <v>0</v>
          </cell>
          <cell r="D161">
            <v>0</v>
          </cell>
          <cell r="E161">
            <v>0</v>
          </cell>
        </row>
        <row r="162">
          <cell r="A162" t="str">
            <v>form_carac_factor_02_ar_name37</v>
          </cell>
          <cell r="B162">
            <v>0</v>
          </cell>
          <cell r="C162">
            <v>0</v>
          </cell>
          <cell r="D162">
            <v>0</v>
          </cell>
          <cell r="E162">
            <v>0</v>
          </cell>
        </row>
        <row r="163">
          <cell r="A163" t="str">
            <v>form_carac_factor_02_ar_name38</v>
          </cell>
          <cell r="B163">
            <v>0</v>
          </cell>
          <cell r="C163">
            <v>0</v>
          </cell>
          <cell r="D163">
            <v>0</v>
          </cell>
          <cell r="E163">
            <v>0</v>
          </cell>
        </row>
        <row r="164">
          <cell r="A164" t="str">
            <v>form_carac_factor_02_ar_name39</v>
          </cell>
          <cell r="B164">
            <v>0</v>
          </cell>
          <cell r="C164">
            <v>0</v>
          </cell>
          <cell r="D164">
            <v>0</v>
          </cell>
          <cell r="E164">
            <v>0</v>
          </cell>
        </row>
        <row r="165">
          <cell r="A165" t="str">
            <v>form_carac_factor_02_ar_name40</v>
          </cell>
          <cell r="B165">
            <v>0</v>
          </cell>
          <cell r="C165">
            <v>0</v>
          </cell>
          <cell r="D165">
            <v>0</v>
          </cell>
          <cell r="E165">
            <v>0</v>
          </cell>
        </row>
        <row r="166">
          <cell r="A166" t="str">
            <v>form_carac_factor_03_ht_name01</v>
          </cell>
          <cell r="B166">
            <v>1.6182700000000001E-7</v>
          </cell>
          <cell r="C166">
            <v>1.6182700000000001E-7</v>
          </cell>
          <cell r="D166">
            <v>1.6182700000000001E-7</v>
          </cell>
          <cell r="E166">
            <v>1.6182700000000001E-7</v>
          </cell>
        </row>
        <row r="167">
          <cell r="A167" t="str">
            <v>form_carac_factor_03_ht_name02</v>
          </cell>
          <cell r="B167">
            <v>1.22745E-7</v>
          </cell>
          <cell r="C167">
            <v>1.22745E-7</v>
          </cell>
          <cell r="D167">
            <v>1.22745E-7</v>
          </cell>
          <cell r="E167">
            <v>1.22745E-7</v>
          </cell>
        </row>
        <row r="168">
          <cell r="A168" t="str">
            <v>form_carac_factor_03_ht_name03</v>
          </cell>
          <cell r="B168">
            <v>0</v>
          </cell>
          <cell r="C168">
            <v>0</v>
          </cell>
          <cell r="D168">
            <v>0</v>
          </cell>
          <cell r="E168">
            <v>0</v>
          </cell>
        </row>
        <row r="169">
          <cell r="A169" t="str">
            <v>form_carac_factor_03_ht_name04</v>
          </cell>
          <cell r="B169">
            <v>0</v>
          </cell>
          <cell r="C169">
            <v>0</v>
          </cell>
          <cell r="D169">
            <v>0</v>
          </cell>
          <cell r="E169">
            <v>0</v>
          </cell>
        </row>
        <row r="170">
          <cell r="A170" t="str">
            <v>form_carac_factor_03_ht_name05</v>
          </cell>
          <cell r="B170">
            <v>0</v>
          </cell>
          <cell r="C170">
            <v>0</v>
          </cell>
          <cell r="D170">
            <v>0</v>
          </cell>
          <cell r="E170">
            <v>0</v>
          </cell>
        </row>
        <row r="171">
          <cell r="A171" t="str">
            <v>form_carac_factor_03_ht_name06</v>
          </cell>
          <cell r="B171">
            <v>0</v>
          </cell>
          <cell r="C171">
            <v>0</v>
          </cell>
          <cell r="D171">
            <v>0</v>
          </cell>
          <cell r="E171">
            <v>0</v>
          </cell>
        </row>
        <row r="172">
          <cell r="A172" t="str">
            <v>form_carac_factor_03_ht_name07</v>
          </cell>
          <cell r="B172">
            <v>0</v>
          </cell>
          <cell r="C172">
            <v>0</v>
          </cell>
          <cell r="D172">
            <v>0</v>
          </cell>
          <cell r="E172">
            <v>0</v>
          </cell>
        </row>
        <row r="173">
          <cell r="A173" t="str">
            <v>form_carac_factor_03_ht_name08</v>
          </cell>
          <cell r="B173">
            <v>0</v>
          </cell>
          <cell r="C173">
            <v>0</v>
          </cell>
          <cell r="D173">
            <v>0</v>
          </cell>
          <cell r="E173">
            <v>0</v>
          </cell>
        </row>
        <row r="174">
          <cell r="A174" t="str">
            <v>form_carac_factor_03_ht_name09</v>
          </cell>
          <cell r="B174">
            <v>0</v>
          </cell>
          <cell r="C174">
            <v>0</v>
          </cell>
          <cell r="D174">
            <v>0</v>
          </cell>
          <cell r="E174">
            <v>0</v>
          </cell>
        </row>
        <row r="175">
          <cell r="A175" t="str">
            <v>form_carac_factor_03_ht_name10</v>
          </cell>
          <cell r="B175">
            <v>0</v>
          </cell>
          <cell r="C175">
            <v>0</v>
          </cell>
          <cell r="D175">
            <v>0</v>
          </cell>
          <cell r="E175">
            <v>0</v>
          </cell>
        </row>
        <row r="176">
          <cell r="A176" t="str">
            <v>form_carac_factor_03_ht_name11</v>
          </cell>
          <cell r="B176">
            <v>0</v>
          </cell>
          <cell r="C176">
            <v>0</v>
          </cell>
          <cell r="D176">
            <v>0</v>
          </cell>
          <cell r="E176">
            <v>0</v>
          </cell>
        </row>
        <row r="177">
          <cell r="A177" t="str">
            <v>form_carac_factor_03_ht_name12</v>
          </cell>
          <cell r="B177">
            <v>0</v>
          </cell>
          <cell r="C177">
            <v>0</v>
          </cell>
          <cell r="D177">
            <v>0</v>
          </cell>
          <cell r="E177">
            <v>0</v>
          </cell>
        </row>
        <row r="178">
          <cell r="A178" t="str">
            <v>form_carac_factor_03_ht_name13</v>
          </cell>
          <cell r="B178">
            <v>0</v>
          </cell>
          <cell r="C178">
            <v>0</v>
          </cell>
          <cell r="D178">
            <v>0</v>
          </cell>
          <cell r="E178">
            <v>0</v>
          </cell>
        </row>
        <row r="179">
          <cell r="A179" t="str">
            <v>form_carac_factor_03_ht_name14</v>
          </cell>
          <cell r="B179">
            <v>0</v>
          </cell>
          <cell r="C179">
            <v>0</v>
          </cell>
          <cell r="D179">
            <v>0</v>
          </cell>
          <cell r="E179">
            <v>0</v>
          </cell>
        </row>
        <row r="180">
          <cell r="A180" t="str">
            <v>form_carac_factor_03_ht_name15</v>
          </cell>
          <cell r="B180">
            <v>0</v>
          </cell>
          <cell r="C180">
            <v>0</v>
          </cell>
          <cell r="D180">
            <v>0</v>
          </cell>
          <cell r="E180">
            <v>0</v>
          </cell>
        </row>
        <row r="181">
          <cell r="A181" t="str">
            <v>form_carac_factor_03_ht_name16</v>
          </cell>
          <cell r="B181">
            <v>0</v>
          </cell>
          <cell r="C181">
            <v>0</v>
          </cell>
          <cell r="D181">
            <v>0</v>
          </cell>
          <cell r="E181">
            <v>0</v>
          </cell>
        </row>
        <row r="182">
          <cell r="A182" t="str">
            <v>form_carac_factor_03_ht_name17</v>
          </cell>
          <cell r="B182">
            <v>0</v>
          </cell>
          <cell r="C182">
            <v>0</v>
          </cell>
          <cell r="D182">
            <v>0</v>
          </cell>
          <cell r="E182">
            <v>0</v>
          </cell>
        </row>
        <row r="183">
          <cell r="A183" t="str">
            <v>form_carac_factor_03_ht_name18</v>
          </cell>
          <cell r="B183">
            <v>0</v>
          </cell>
          <cell r="C183">
            <v>0</v>
          </cell>
          <cell r="D183">
            <v>0</v>
          </cell>
          <cell r="E183">
            <v>0</v>
          </cell>
        </row>
        <row r="184">
          <cell r="A184" t="str">
            <v>form_carac_factor_03_ht_name19</v>
          </cell>
          <cell r="B184">
            <v>0</v>
          </cell>
          <cell r="C184">
            <v>0</v>
          </cell>
          <cell r="D184">
            <v>0</v>
          </cell>
          <cell r="E184">
            <v>0</v>
          </cell>
        </row>
        <row r="185">
          <cell r="A185" t="str">
            <v>form_carac_factor_03_ht_name20</v>
          </cell>
          <cell r="B185">
            <v>0</v>
          </cell>
          <cell r="C185">
            <v>0</v>
          </cell>
          <cell r="D185">
            <v>0</v>
          </cell>
          <cell r="E185">
            <v>0</v>
          </cell>
        </row>
        <row r="186">
          <cell r="A186" t="str">
            <v>form_carac_factor_03_ht_name21</v>
          </cell>
          <cell r="B186">
            <v>0</v>
          </cell>
          <cell r="C186">
            <v>0</v>
          </cell>
          <cell r="D186">
            <v>0</v>
          </cell>
          <cell r="E186">
            <v>0</v>
          </cell>
        </row>
        <row r="187">
          <cell r="A187" t="str">
            <v>form_carac_factor_03_ht_name22</v>
          </cell>
          <cell r="B187">
            <v>0</v>
          </cell>
          <cell r="C187">
            <v>0</v>
          </cell>
          <cell r="D187">
            <v>0</v>
          </cell>
          <cell r="E187">
            <v>0</v>
          </cell>
        </row>
        <row r="188">
          <cell r="A188" t="str">
            <v>form_carac_factor_03_ht_name23</v>
          </cell>
          <cell r="B188">
            <v>0</v>
          </cell>
          <cell r="C188">
            <v>0</v>
          </cell>
          <cell r="D188">
            <v>0</v>
          </cell>
          <cell r="E188">
            <v>0</v>
          </cell>
        </row>
        <row r="189">
          <cell r="A189" t="str">
            <v>form_carac_factor_03_ht_name24</v>
          </cell>
          <cell r="B189">
            <v>0</v>
          </cell>
          <cell r="C189">
            <v>0</v>
          </cell>
          <cell r="D189">
            <v>0</v>
          </cell>
          <cell r="E189">
            <v>0</v>
          </cell>
        </row>
        <row r="190">
          <cell r="A190" t="str">
            <v>form_carac_factor_03_ht_name25</v>
          </cell>
          <cell r="B190">
            <v>0</v>
          </cell>
          <cell r="C190">
            <v>0</v>
          </cell>
          <cell r="D190">
            <v>0</v>
          </cell>
          <cell r="E190">
            <v>0</v>
          </cell>
        </row>
        <row r="191">
          <cell r="A191" t="str">
            <v>form_carac_factor_03_ht_name26</v>
          </cell>
          <cell r="B191">
            <v>0</v>
          </cell>
          <cell r="C191">
            <v>0</v>
          </cell>
          <cell r="D191">
            <v>0</v>
          </cell>
          <cell r="E191">
            <v>0</v>
          </cell>
        </row>
        <row r="192">
          <cell r="A192" t="str">
            <v>form_carac_factor_03_ht_name27</v>
          </cell>
          <cell r="B192">
            <v>0</v>
          </cell>
          <cell r="C192">
            <v>0</v>
          </cell>
          <cell r="D192">
            <v>0</v>
          </cell>
          <cell r="E192">
            <v>0</v>
          </cell>
        </row>
        <row r="193">
          <cell r="A193" t="str">
            <v>form_carac_factor_03_ht_name28</v>
          </cell>
          <cell r="B193">
            <v>0</v>
          </cell>
          <cell r="C193">
            <v>0</v>
          </cell>
          <cell r="D193">
            <v>0</v>
          </cell>
          <cell r="E193">
            <v>0</v>
          </cell>
        </row>
        <row r="194">
          <cell r="A194" t="str">
            <v>form_carac_factor_03_ht_name29</v>
          </cell>
          <cell r="B194">
            <v>0</v>
          </cell>
          <cell r="C194">
            <v>0</v>
          </cell>
          <cell r="D194">
            <v>0</v>
          </cell>
          <cell r="E194">
            <v>0</v>
          </cell>
        </row>
        <row r="195">
          <cell r="A195" t="str">
            <v>form_carac_factor_03_ht_name30</v>
          </cell>
          <cell r="B195">
            <v>0</v>
          </cell>
          <cell r="C195">
            <v>0</v>
          </cell>
          <cell r="D195">
            <v>0</v>
          </cell>
          <cell r="E195">
            <v>0</v>
          </cell>
        </row>
        <row r="196">
          <cell r="A196" t="str">
            <v>form_carac_factor_03_ht_name31</v>
          </cell>
          <cell r="B196">
            <v>0</v>
          </cell>
          <cell r="C196">
            <v>0</v>
          </cell>
          <cell r="D196">
            <v>0</v>
          </cell>
          <cell r="E196">
            <v>0</v>
          </cell>
        </row>
        <row r="197">
          <cell r="A197" t="str">
            <v>form_carac_factor_03_ht_name32</v>
          </cell>
          <cell r="B197">
            <v>0</v>
          </cell>
          <cell r="C197">
            <v>0</v>
          </cell>
          <cell r="D197">
            <v>0</v>
          </cell>
          <cell r="E197">
            <v>0</v>
          </cell>
        </row>
        <row r="198">
          <cell r="A198" t="str">
            <v>form_carac_factor_03_ht_name33</v>
          </cell>
          <cell r="B198">
            <v>0</v>
          </cell>
          <cell r="C198">
            <v>0</v>
          </cell>
          <cell r="D198">
            <v>0</v>
          </cell>
          <cell r="E198">
            <v>0</v>
          </cell>
        </row>
        <row r="199">
          <cell r="A199" t="str">
            <v>form_carac_factor_03_ht_name34</v>
          </cell>
          <cell r="B199">
            <v>0</v>
          </cell>
          <cell r="C199">
            <v>0</v>
          </cell>
          <cell r="D199">
            <v>0</v>
          </cell>
          <cell r="E199">
            <v>0</v>
          </cell>
        </row>
        <row r="200">
          <cell r="A200" t="str">
            <v>form_carac_factor_03_ht_name35</v>
          </cell>
          <cell r="B200">
            <v>0</v>
          </cell>
          <cell r="C200">
            <v>0</v>
          </cell>
          <cell r="D200">
            <v>0</v>
          </cell>
          <cell r="E200">
            <v>0</v>
          </cell>
        </row>
        <row r="201">
          <cell r="A201" t="str">
            <v>form_carac_factor_03_ht_name36</v>
          </cell>
          <cell r="B201">
            <v>0</v>
          </cell>
          <cell r="C201">
            <v>0</v>
          </cell>
          <cell r="D201">
            <v>0</v>
          </cell>
          <cell r="E201">
            <v>0</v>
          </cell>
        </row>
        <row r="202">
          <cell r="A202" t="str">
            <v>form_carac_factor_03_ht_name37</v>
          </cell>
          <cell r="B202">
            <v>0</v>
          </cell>
          <cell r="C202">
            <v>0</v>
          </cell>
          <cell r="D202">
            <v>0</v>
          </cell>
          <cell r="E202">
            <v>0</v>
          </cell>
        </row>
        <row r="203">
          <cell r="A203" t="str">
            <v>form_carac_factor_03_ht_name38</v>
          </cell>
          <cell r="B203">
            <v>0</v>
          </cell>
          <cell r="C203">
            <v>0</v>
          </cell>
          <cell r="D203">
            <v>0</v>
          </cell>
          <cell r="E203">
            <v>0</v>
          </cell>
        </row>
        <row r="204">
          <cell r="A204" t="str">
            <v>form_carac_factor_03_ht_name39</v>
          </cell>
          <cell r="B204">
            <v>0</v>
          </cell>
          <cell r="C204">
            <v>0</v>
          </cell>
          <cell r="D204">
            <v>0</v>
          </cell>
          <cell r="E204">
            <v>0</v>
          </cell>
        </row>
        <row r="205">
          <cell r="A205" t="str">
            <v>form_carac_factor_03_ht_name40</v>
          </cell>
          <cell r="B205">
            <v>0</v>
          </cell>
          <cell r="C205">
            <v>0</v>
          </cell>
          <cell r="D205">
            <v>0</v>
          </cell>
          <cell r="E205">
            <v>0</v>
          </cell>
        </row>
        <row r="206">
          <cell r="A206" t="str">
            <v>form_carac_factor_04_et_name01</v>
          </cell>
          <cell r="B206">
            <v>11.35</v>
          </cell>
          <cell r="C206">
            <v>11.35</v>
          </cell>
          <cell r="D206">
            <v>11.35</v>
          </cell>
          <cell r="E206">
            <v>11.35</v>
          </cell>
        </row>
        <row r="207">
          <cell r="A207" t="str">
            <v>form_carac_factor_04_et_name02</v>
          </cell>
          <cell r="B207">
            <v>4.1849999999999996</v>
          </cell>
          <cell r="C207">
            <v>4.1849999999999996</v>
          </cell>
          <cell r="D207">
            <v>4.1849999999999996</v>
          </cell>
          <cell r="E207">
            <v>4.1849999999999996</v>
          </cell>
        </row>
        <row r="208">
          <cell r="A208" t="str">
            <v>form_carac_factor_04_et_name03</v>
          </cell>
          <cell r="B208">
            <v>0</v>
          </cell>
          <cell r="C208">
            <v>0</v>
          </cell>
          <cell r="D208">
            <v>0</v>
          </cell>
          <cell r="E208">
            <v>0</v>
          </cell>
        </row>
        <row r="209">
          <cell r="A209" t="str">
            <v>form_carac_factor_04_et_name04</v>
          </cell>
          <cell r="B209">
            <v>0</v>
          </cell>
          <cell r="C209">
            <v>0</v>
          </cell>
          <cell r="D209">
            <v>0</v>
          </cell>
          <cell r="E209">
            <v>0</v>
          </cell>
        </row>
        <row r="210">
          <cell r="A210" t="str">
            <v>form_carac_factor_04_et_name05</v>
          </cell>
          <cell r="B210">
            <v>0</v>
          </cell>
          <cell r="C210">
            <v>0</v>
          </cell>
          <cell r="D210">
            <v>0</v>
          </cell>
          <cell r="E210">
            <v>0</v>
          </cell>
        </row>
        <row r="211">
          <cell r="A211" t="str">
            <v>form_carac_factor_04_et_name06</v>
          </cell>
          <cell r="B211">
            <v>0</v>
          </cell>
          <cell r="C211">
            <v>0</v>
          </cell>
          <cell r="D211">
            <v>0</v>
          </cell>
          <cell r="E211">
            <v>0</v>
          </cell>
        </row>
        <row r="212">
          <cell r="A212" t="str">
            <v>form_carac_factor_04_et_name07</v>
          </cell>
          <cell r="B212">
            <v>0</v>
          </cell>
          <cell r="C212">
            <v>0</v>
          </cell>
          <cell r="D212">
            <v>0</v>
          </cell>
          <cell r="E212">
            <v>0</v>
          </cell>
        </row>
        <row r="213">
          <cell r="A213" t="str">
            <v>form_carac_factor_04_et_name08</v>
          </cell>
          <cell r="B213">
            <v>0</v>
          </cell>
          <cell r="C213">
            <v>0</v>
          </cell>
          <cell r="D213">
            <v>0</v>
          </cell>
          <cell r="E213">
            <v>0</v>
          </cell>
        </row>
        <row r="214">
          <cell r="A214" t="str">
            <v>form_carac_factor_04_et_name09</v>
          </cell>
          <cell r="B214">
            <v>0</v>
          </cell>
          <cell r="C214">
            <v>0</v>
          </cell>
          <cell r="D214">
            <v>0</v>
          </cell>
          <cell r="E214">
            <v>0</v>
          </cell>
        </row>
        <row r="215">
          <cell r="A215" t="str">
            <v>form_carac_factor_04_et_name10</v>
          </cell>
          <cell r="B215">
            <v>0</v>
          </cell>
          <cell r="C215">
            <v>0</v>
          </cell>
          <cell r="D215">
            <v>0</v>
          </cell>
          <cell r="E215">
            <v>0</v>
          </cell>
        </row>
        <row r="216">
          <cell r="A216" t="str">
            <v>form_carac_factor_04_et_name11</v>
          </cell>
          <cell r="B216">
            <v>0</v>
          </cell>
          <cell r="C216">
            <v>0</v>
          </cell>
          <cell r="D216">
            <v>0</v>
          </cell>
          <cell r="E216">
            <v>0</v>
          </cell>
        </row>
        <row r="217">
          <cell r="A217" t="str">
            <v>form_carac_factor_04_et_name12</v>
          </cell>
          <cell r="B217">
            <v>0</v>
          </cell>
          <cell r="C217">
            <v>0</v>
          </cell>
          <cell r="D217">
            <v>0</v>
          </cell>
          <cell r="E217">
            <v>0</v>
          </cell>
        </row>
        <row r="218">
          <cell r="A218" t="str">
            <v>form_carac_factor_04_et_name13</v>
          </cell>
          <cell r="B218">
            <v>0</v>
          </cell>
          <cell r="C218">
            <v>0</v>
          </cell>
          <cell r="D218">
            <v>0</v>
          </cell>
          <cell r="E218">
            <v>0</v>
          </cell>
        </row>
        <row r="219">
          <cell r="A219" t="str">
            <v>form_carac_factor_04_et_name14</v>
          </cell>
          <cell r="B219">
            <v>0</v>
          </cell>
          <cell r="C219">
            <v>0</v>
          </cell>
          <cell r="D219">
            <v>0</v>
          </cell>
          <cell r="E219">
            <v>0</v>
          </cell>
        </row>
        <row r="220">
          <cell r="A220" t="str">
            <v>form_carac_factor_04_et_name15</v>
          </cell>
          <cell r="B220">
            <v>0</v>
          </cell>
          <cell r="C220">
            <v>0</v>
          </cell>
          <cell r="D220">
            <v>0</v>
          </cell>
          <cell r="E220">
            <v>0</v>
          </cell>
        </row>
        <row r="221">
          <cell r="A221" t="str">
            <v>form_carac_factor_04_et_name16</v>
          </cell>
          <cell r="B221">
            <v>0</v>
          </cell>
          <cell r="C221">
            <v>0</v>
          </cell>
          <cell r="D221">
            <v>0</v>
          </cell>
          <cell r="E221">
            <v>0</v>
          </cell>
        </row>
        <row r="222">
          <cell r="A222" t="str">
            <v>form_carac_factor_04_et_name17</v>
          </cell>
          <cell r="B222">
            <v>0</v>
          </cell>
          <cell r="C222">
            <v>0</v>
          </cell>
          <cell r="D222">
            <v>0</v>
          </cell>
          <cell r="E222">
            <v>0</v>
          </cell>
        </row>
        <row r="223">
          <cell r="A223" t="str">
            <v>form_carac_factor_04_et_name18</v>
          </cell>
          <cell r="B223">
            <v>0</v>
          </cell>
          <cell r="C223">
            <v>0</v>
          </cell>
          <cell r="D223">
            <v>0</v>
          </cell>
          <cell r="E223">
            <v>0</v>
          </cell>
        </row>
        <row r="224">
          <cell r="A224" t="str">
            <v>form_carac_factor_04_et_name19</v>
          </cell>
          <cell r="B224">
            <v>0</v>
          </cell>
          <cell r="C224">
            <v>0</v>
          </cell>
          <cell r="D224">
            <v>0</v>
          </cell>
          <cell r="E224">
            <v>0</v>
          </cell>
        </row>
        <row r="225">
          <cell r="A225" t="str">
            <v>form_carac_factor_04_et_name20</v>
          </cell>
          <cell r="B225">
            <v>0</v>
          </cell>
          <cell r="C225">
            <v>0</v>
          </cell>
          <cell r="D225">
            <v>0</v>
          </cell>
          <cell r="E225">
            <v>0</v>
          </cell>
        </row>
        <row r="226">
          <cell r="A226" t="str">
            <v>form_carac_factor_04_et_name21</v>
          </cell>
          <cell r="B226">
            <v>0</v>
          </cell>
          <cell r="C226">
            <v>0</v>
          </cell>
          <cell r="D226">
            <v>0</v>
          </cell>
          <cell r="E226">
            <v>0</v>
          </cell>
        </row>
        <row r="227">
          <cell r="A227" t="str">
            <v>form_carac_factor_04_et_name22</v>
          </cell>
          <cell r="B227">
            <v>0</v>
          </cell>
          <cell r="C227">
            <v>0</v>
          </cell>
          <cell r="D227">
            <v>0</v>
          </cell>
          <cell r="E227">
            <v>0</v>
          </cell>
        </row>
        <row r="228">
          <cell r="A228" t="str">
            <v>form_carac_factor_04_et_name23</v>
          </cell>
          <cell r="B228">
            <v>0</v>
          </cell>
          <cell r="C228">
            <v>0</v>
          </cell>
          <cell r="D228">
            <v>0</v>
          </cell>
          <cell r="E228">
            <v>0</v>
          </cell>
        </row>
        <row r="229">
          <cell r="A229" t="str">
            <v>form_carac_factor_04_et_name24</v>
          </cell>
          <cell r="B229">
            <v>0</v>
          </cell>
          <cell r="C229">
            <v>0</v>
          </cell>
          <cell r="D229">
            <v>0</v>
          </cell>
          <cell r="E229">
            <v>0</v>
          </cell>
        </row>
        <row r="230">
          <cell r="A230" t="str">
            <v>form_carac_factor_04_et_name25</v>
          </cell>
          <cell r="B230">
            <v>0</v>
          </cell>
          <cell r="C230">
            <v>0</v>
          </cell>
          <cell r="D230">
            <v>0</v>
          </cell>
          <cell r="E230">
            <v>0</v>
          </cell>
        </row>
        <row r="231">
          <cell r="A231" t="str">
            <v>form_carac_factor_04_et_name26</v>
          </cell>
          <cell r="B231">
            <v>0</v>
          </cell>
          <cell r="C231">
            <v>0</v>
          </cell>
          <cell r="D231">
            <v>0</v>
          </cell>
          <cell r="E231">
            <v>0</v>
          </cell>
        </row>
        <row r="232">
          <cell r="A232" t="str">
            <v>form_carac_factor_04_et_name27</v>
          </cell>
          <cell r="B232">
            <v>0</v>
          </cell>
          <cell r="C232">
            <v>0</v>
          </cell>
          <cell r="D232">
            <v>0</v>
          </cell>
          <cell r="E232">
            <v>0</v>
          </cell>
        </row>
        <row r="233">
          <cell r="A233" t="str">
            <v>form_carac_factor_04_et_name28</v>
          </cell>
          <cell r="B233">
            <v>0</v>
          </cell>
          <cell r="C233">
            <v>0</v>
          </cell>
          <cell r="D233">
            <v>0</v>
          </cell>
          <cell r="E233">
            <v>0</v>
          </cell>
        </row>
        <row r="234">
          <cell r="A234" t="str">
            <v>form_carac_factor_04_et_name29</v>
          </cell>
          <cell r="B234">
            <v>0</v>
          </cell>
          <cell r="C234">
            <v>0</v>
          </cell>
          <cell r="D234">
            <v>0</v>
          </cell>
          <cell r="E234">
            <v>0</v>
          </cell>
        </row>
        <row r="235">
          <cell r="A235" t="str">
            <v>form_carac_factor_04_et_name30</v>
          </cell>
          <cell r="B235">
            <v>0</v>
          </cell>
          <cell r="C235">
            <v>0</v>
          </cell>
          <cell r="D235">
            <v>0</v>
          </cell>
          <cell r="E235">
            <v>0</v>
          </cell>
        </row>
        <row r="236">
          <cell r="A236" t="str">
            <v>form_carac_factor_04_et_name31</v>
          </cell>
          <cell r="B236">
            <v>0</v>
          </cell>
          <cell r="C236">
            <v>0</v>
          </cell>
          <cell r="D236">
            <v>0</v>
          </cell>
          <cell r="E236">
            <v>0</v>
          </cell>
        </row>
        <row r="237">
          <cell r="A237" t="str">
            <v>form_carac_factor_04_et_name32</v>
          </cell>
          <cell r="B237">
            <v>0</v>
          </cell>
          <cell r="C237">
            <v>0</v>
          </cell>
          <cell r="D237">
            <v>0</v>
          </cell>
          <cell r="E237">
            <v>0</v>
          </cell>
        </row>
        <row r="238">
          <cell r="A238" t="str">
            <v>form_carac_factor_04_et_name33</v>
          </cell>
          <cell r="B238">
            <v>0</v>
          </cell>
          <cell r="C238">
            <v>0</v>
          </cell>
          <cell r="D238">
            <v>0</v>
          </cell>
          <cell r="E238">
            <v>0</v>
          </cell>
        </row>
        <row r="239">
          <cell r="A239" t="str">
            <v>form_carac_factor_04_et_name34</v>
          </cell>
          <cell r="B239">
            <v>0</v>
          </cell>
          <cell r="C239">
            <v>0</v>
          </cell>
          <cell r="D239">
            <v>0</v>
          </cell>
          <cell r="E239">
            <v>0</v>
          </cell>
        </row>
        <row r="240">
          <cell r="A240" t="str">
            <v>form_carac_factor_04_et_name35</v>
          </cell>
          <cell r="B240">
            <v>0</v>
          </cell>
          <cell r="C240">
            <v>0</v>
          </cell>
          <cell r="D240">
            <v>0</v>
          </cell>
          <cell r="E240">
            <v>0</v>
          </cell>
        </row>
        <row r="241">
          <cell r="A241" t="str">
            <v>form_carac_factor_04_et_name36</v>
          </cell>
          <cell r="B241">
            <v>0</v>
          </cell>
          <cell r="C241">
            <v>0</v>
          </cell>
          <cell r="D241">
            <v>0</v>
          </cell>
          <cell r="E241">
            <v>0</v>
          </cell>
        </row>
        <row r="242">
          <cell r="A242" t="str">
            <v>form_carac_factor_04_et_name37</v>
          </cell>
          <cell r="B242">
            <v>0</v>
          </cell>
          <cell r="C242">
            <v>0</v>
          </cell>
          <cell r="D242">
            <v>0</v>
          </cell>
          <cell r="E242">
            <v>0</v>
          </cell>
        </row>
        <row r="243">
          <cell r="A243" t="str">
            <v>form_carac_factor_04_et_name38</v>
          </cell>
          <cell r="B243">
            <v>0</v>
          </cell>
          <cell r="C243">
            <v>0</v>
          </cell>
          <cell r="D243">
            <v>0</v>
          </cell>
          <cell r="E243">
            <v>0</v>
          </cell>
        </row>
        <row r="244">
          <cell r="A244" t="str">
            <v>form_carac_factor_04_et_name39</v>
          </cell>
          <cell r="B244">
            <v>0</v>
          </cell>
          <cell r="C244">
            <v>0</v>
          </cell>
          <cell r="D244">
            <v>0</v>
          </cell>
          <cell r="E244">
            <v>0</v>
          </cell>
        </row>
        <row r="245">
          <cell r="A245" t="str">
            <v>form_carac_factor_04_et_name40</v>
          </cell>
          <cell r="B245">
            <v>0</v>
          </cell>
          <cell r="C245">
            <v>0</v>
          </cell>
          <cell r="D245">
            <v>0</v>
          </cell>
          <cell r="E245">
            <v>0</v>
          </cell>
        </row>
        <row r="246">
          <cell r="A246" t="str">
            <v>form_carac_factor_05_ac_name01</v>
          </cell>
          <cell r="B246">
            <v>1.7380329077999999E-2</v>
          </cell>
          <cell r="C246">
            <v>1.7380329077999999E-2</v>
          </cell>
          <cell r="D246">
            <v>1.7380329077999999E-2</v>
          </cell>
          <cell r="E246">
            <v>1.7380329077999999E-2</v>
          </cell>
        </row>
        <row r="247">
          <cell r="A247" t="str">
            <v>form_carac_factor_05_ac_name02</v>
          </cell>
          <cell r="B247">
            <v>1.5515324095E-2</v>
          </cell>
          <cell r="C247">
            <v>1.5515324095E-2</v>
          </cell>
          <cell r="D247">
            <v>1.5515324095E-2</v>
          </cell>
          <cell r="E247">
            <v>1.5515324095E-2</v>
          </cell>
        </row>
        <row r="248">
          <cell r="A248" t="str">
            <v>form_carac_factor_05_ac_name03</v>
          </cell>
          <cell r="B248">
            <v>0</v>
          </cell>
          <cell r="C248">
            <v>0</v>
          </cell>
          <cell r="D248">
            <v>0</v>
          </cell>
          <cell r="E248">
            <v>0</v>
          </cell>
        </row>
        <row r="249">
          <cell r="A249" t="str">
            <v>form_carac_factor_05_ac_name04</v>
          </cell>
          <cell r="B249">
            <v>0</v>
          </cell>
          <cell r="C249">
            <v>0</v>
          </cell>
          <cell r="D249">
            <v>0</v>
          </cell>
          <cell r="E249">
            <v>0</v>
          </cell>
        </row>
        <row r="250">
          <cell r="A250" t="str">
            <v>form_carac_factor_05_ac_name05</v>
          </cell>
          <cell r="B250">
            <v>0</v>
          </cell>
          <cell r="C250">
            <v>0</v>
          </cell>
          <cell r="D250">
            <v>0</v>
          </cell>
          <cell r="E250">
            <v>0</v>
          </cell>
        </row>
        <row r="251">
          <cell r="A251" t="str">
            <v>form_carac_factor_05_ac_name06</v>
          </cell>
          <cell r="B251">
            <v>0</v>
          </cell>
          <cell r="C251">
            <v>0</v>
          </cell>
          <cell r="D251">
            <v>0</v>
          </cell>
          <cell r="E251">
            <v>0</v>
          </cell>
        </row>
        <row r="252">
          <cell r="A252" t="str">
            <v>form_carac_factor_05_ac_name07</v>
          </cell>
          <cell r="B252">
            <v>0</v>
          </cell>
          <cell r="C252">
            <v>0</v>
          </cell>
          <cell r="D252">
            <v>0</v>
          </cell>
          <cell r="E252">
            <v>0</v>
          </cell>
        </row>
        <row r="253">
          <cell r="A253" t="str">
            <v>form_carac_factor_05_ac_name08</v>
          </cell>
          <cell r="B253">
            <v>0</v>
          </cell>
          <cell r="C253">
            <v>0</v>
          </cell>
          <cell r="D253">
            <v>0</v>
          </cell>
          <cell r="E253">
            <v>0</v>
          </cell>
        </row>
        <row r="254">
          <cell r="A254" t="str">
            <v>form_carac_factor_05_ac_name09</v>
          </cell>
          <cell r="B254">
            <v>0</v>
          </cell>
          <cell r="C254">
            <v>0</v>
          </cell>
          <cell r="D254">
            <v>0</v>
          </cell>
          <cell r="E254">
            <v>0</v>
          </cell>
        </row>
        <row r="255">
          <cell r="A255" t="str">
            <v>form_carac_factor_05_ac_name10</v>
          </cell>
          <cell r="B255">
            <v>0</v>
          </cell>
          <cell r="C255">
            <v>0</v>
          </cell>
          <cell r="D255">
            <v>0</v>
          </cell>
          <cell r="E255">
            <v>0</v>
          </cell>
        </row>
        <row r="256">
          <cell r="A256" t="str">
            <v>form_carac_factor_05_ac_name11</v>
          </cell>
          <cell r="B256">
            <v>0</v>
          </cell>
          <cell r="C256">
            <v>0</v>
          </cell>
          <cell r="D256">
            <v>0</v>
          </cell>
          <cell r="E256">
            <v>0</v>
          </cell>
        </row>
        <row r="257">
          <cell r="A257" t="str">
            <v>form_carac_factor_05_ac_name12</v>
          </cell>
          <cell r="B257">
            <v>0</v>
          </cell>
          <cell r="C257">
            <v>0</v>
          </cell>
          <cell r="D257">
            <v>0</v>
          </cell>
          <cell r="E257">
            <v>0</v>
          </cell>
        </row>
        <row r="258">
          <cell r="A258" t="str">
            <v>form_carac_factor_05_ac_name13</v>
          </cell>
          <cell r="B258">
            <v>0</v>
          </cell>
          <cell r="C258">
            <v>0</v>
          </cell>
          <cell r="D258">
            <v>0</v>
          </cell>
          <cell r="E258">
            <v>0</v>
          </cell>
        </row>
        <row r="259">
          <cell r="A259" t="str">
            <v>form_carac_factor_05_ac_name14</v>
          </cell>
          <cell r="B259">
            <v>0</v>
          </cell>
          <cell r="C259">
            <v>0</v>
          </cell>
          <cell r="D259">
            <v>0</v>
          </cell>
          <cell r="E259">
            <v>0</v>
          </cell>
        </row>
        <row r="260">
          <cell r="A260" t="str">
            <v>form_carac_factor_05_ac_name15</v>
          </cell>
          <cell r="B260">
            <v>0</v>
          </cell>
          <cell r="C260">
            <v>0</v>
          </cell>
          <cell r="D260">
            <v>0</v>
          </cell>
          <cell r="E260">
            <v>0</v>
          </cell>
        </row>
        <row r="261">
          <cell r="A261" t="str">
            <v>form_carac_factor_05_ac_name16</v>
          </cell>
          <cell r="B261">
            <v>0</v>
          </cell>
          <cell r="C261">
            <v>0</v>
          </cell>
          <cell r="D261">
            <v>0</v>
          </cell>
          <cell r="E261">
            <v>0</v>
          </cell>
        </row>
        <row r="262">
          <cell r="A262" t="str">
            <v>form_carac_factor_05_ac_name17</v>
          </cell>
          <cell r="B262">
            <v>0</v>
          </cell>
          <cell r="C262">
            <v>0</v>
          </cell>
          <cell r="D262">
            <v>0</v>
          </cell>
          <cell r="E262">
            <v>0</v>
          </cell>
        </row>
        <row r="263">
          <cell r="A263" t="str">
            <v>form_carac_factor_05_ac_name18</v>
          </cell>
          <cell r="B263">
            <v>0</v>
          </cell>
          <cell r="C263">
            <v>0</v>
          </cell>
          <cell r="D263">
            <v>0</v>
          </cell>
          <cell r="E263">
            <v>0</v>
          </cell>
        </row>
        <row r="264">
          <cell r="A264" t="str">
            <v>form_carac_factor_05_ac_name19</v>
          </cell>
          <cell r="B264">
            <v>0</v>
          </cell>
          <cell r="C264">
            <v>0</v>
          </cell>
          <cell r="D264">
            <v>0</v>
          </cell>
          <cell r="E264">
            <v>0</v>
          </cell>
        </row>
        <row r="265">
          <cell r="A265" t="str">
            <v>form_carac_factor_05_ac_name20</v>
          </cell>
          <cell r="B265">
            <v>0</v>
          </cell>
          <cell r="C265">
            <v>0</v>
          </cell>
          <cell r="D265">
            <v>0</v>
          </cell>
          <cell r="E265">
            <v>0</v>
          </cell>
        </row>
        <row r="266">
          <cell r="A266" t="str">
            <v>form_carac_factor_05_ac_name21</v>
          </cell>
          <cell r="B266">
            <v>0</v>
          </cell>
          <cell r="C266">
            <v>0</v>
          </cell>
          <cell r="D266">
            <v>0</v>
          </cell>
          <cell r="E266">
            <v>0</v>
          </cell>
        </row>
        <row r="267">
          <cell r="A267" t="str">
            <v>form_carac_factor_05_ac_name22</v>
          </cell>
          <cell r="B267">
            <v>0</v>
          </cell>
          <cell r="C267">
            <v>0</v>
          </cell>
          <cell r="D267">
            <v>0</v>
          </cell>
          <cell r="E267">
            <v>0</v>
          </cell>
        </row>
        <row r="268">
          <cell r="A268" t="str">
            <v>form_carac_factor_05_ac_name23</v>
          </cell>
          <cell r="B268">
            <v>0</v>
          </cell>
          <cell r="C268">
            <v>0</v>
          </cell>
          <cell r="D268">
            <v>0</v>
          </cell>
          <cell r="E268">
            <v>0</v>
          </cell>
        </row>
        <row r="269">
          <cell r="A269" t="str">
            <v>form_carac_factor_05_ac_name24</v>
          </cell>
          <cell r="B269">
            <v>0</v>
          </cell>
          <cell r="C269">
            <v>0</v>
          </cell>
          <cell r="D269">
            <v>0</v>
          </cell>
          <cell r="E269">
            <v>0</v>
          </cell>
        </row>
        <row r="270">
          <cell r="A270" t="str">
            <v>form_carac_factor_05_ac_name25</v>
          </cell>
          <cell r="B270">
            <v>0</v>
          </cell>
          <cell r="C270">
            <v>0</v>
          </cell>
          <cell r="D270">
            <v>0</v>
          </cell>
          <cell r="E270">
            <v>0</v>
          </cell>
        </row>
        <row r="271">
          <cell r="A271" t="str">
            <v>form_carac_factor_05_ac_name26</v>
          </cell>
          <cell r="B271">
            <v>0</v>
          </cell>
          <cell r="C271">
            <v>0</v>
          </cell>
          <cell r="D271">
            <v>0</v>
          </cell>
          <cell r="E271">
            <v>0</v>
          </cell>
        </row>
        <row r="272">
          <cell r="A272" t="str">
            <v>form_carac_factor_05_ac_name27</v>
          </cell>
          <cell r="B272">
            <v>0</v>
          </cell>
          <cell r="C272">
            <v>0</v>
          </cell>
          <cell r="D272">
            <v>0</v>
          </cell>
          <cell r="E272">
            <v>0</v>
          </cell>
        </row>
        <row r="273">
          <cell r="A273" t="str">
            <v>form_carac_factor_05_ac_name28</v>
          </cell>
          <cell r="B273">
            <v>0</v>
          </cell>
          <cell r="C273">
            <v>0</v>
          </cell>
          <cell r="D273">
            <v>0</v>
          </cell>
          <cell r="E273">
            <v>0</v>
          </cell>
        </row>
        <row r="274">
          <cell r="A274" t="str">
            <v>form_carac_factor_05_ac_name29</v>
          </cell>
          <cell r="B274">
            <v>0</v>
          </cell>
          <cell r="C274">
            <v>0</v>
          </cell>
          <cell r="D274">
            <v>0</v>
          </cell>
          <cell r="E274">
            <v>0</v>
          </cell>
        </row>
        <row r="275">
          <cell r="A275" t="str">
            <v>form_carac_factor_05_ac_name30</v>
          </cell>
          <cell r="B275">
            <v>0</v>
          </cell>
          <cell r="C275">
            <v>0</v>
          </cell>
          <cell r="D275">
            <v>0</v>
          </cell>
          <cell r="E275">
            <v>0</v>
          </cell>
        </row>
        <row r="276">
          <cell r="A276" t="str">
            <v>form_carac_factor_05_ac_name31</v>
          </cell>
          <cell r="B276">
            <v>0</v>
          </cell>
          <cell r="C276">
            <v>0</v>
          </cell>
          <cell r="D276">
            <v>0</v>
          </cell>
          <cell r="E276">
            <v>0</v>
          </cell>
        </row>
        <row r="277">
          <cell r="A277" t="str">
            <v>form_carac_factor_05_ac_name32</v>
          </cell>
          <cell r="B277">
            <v>0</v>
          </cell>
          <cell r="C277">
            <v>0</v>
          </cell>
          <cell r="D277">
            <v>0</v>
          </cell>
          <cell r="E277">
            <v>0</v>
          </cell>
        </row>
        <row r="278">
          <cell r="A278" t="str">
            <v>form_carac_factor_05_ac_name33</v>
          </cell>
          <cell r="B278">
            <v>0</v>
          </cell>
          <cell r="C278">
            <v>0</v>
          </cell>
          <cell r="D278">
            <v>0</v>
          </cell>
          <cell r="E278">
            <v>0</v>
          </cell>
        </row>
        <row r="279">
          <cell r="A279" t="str">
            <v>form_carac_factor_05_ac_name34</v>
          </cell>
          <cell r="B279">
            <v>0</v>
          </cell>
          <cell r="C279">
            <v>0</v>
          </cell>
          <cell r="D279">
            <v>0</v>
          </cell>
          <cell r="E279">
            <v>0</v>
          </cell>
        </row>
        <row r="280">
          <cell r="A280" t="str">
            <v>form_carac_factor_05_ac_name35</v>
          </cell>
          <cell r="B280">
            <v>0</v>
          </cell>
          <cell r="C280">
            <v>0</v>
          </cell>
          <cell r="D280">
            <v>0</v>
          </cell>
          <cell r="E280">
            <v>0</v>
          </cell>
        </row>
        <row r="281">
          <cell r="A281" t="str">
            <v>form_carac_factor_05_ac_name36</v>
          </cell>
          <cell r="B281">
            <v>0</v>
          </cell>
          <cell r="C281">
            <v>0</v>
          </cell>
          <cell r="D281">
            <v>0</v>
          </cell>
          <cell r="E281">
            <v>0</v>
          </cell>
        </row>
        <row r="282">
          <cell r="A282" t="str">
            <v>form_carac_factor_05_ac_name37</v>
          </cell>
          <cell r="B282">
            <v>0</v>
          </cell>
          <cell r="C282">
            <v>0</v>
          </cell>
          <cell r="D282">
            <v>0</v>
          </cell>
          <cell r="E282">
            <v>0</v>
          </cell>
        </row>
        <row r="283">
          <cell r="A283" t="str">
            <v>form_carac_factor_05_ac_name38</v>
          </cell>
          <cell r="B283">
            <v>0</v>
          </cell>
          <cell r="C283">
            <v>0</v>
          </cell>
          <cell r="D283">
            <v>0</v>
          </cell>
          <cell r="E283">
            <v>0</v>
          </cell>
        </row>
        <row r="284">
          <cell r="A284" t="str">
            <v>form_carac_factor_05_ac_name39</v>
          </cell>
          <cell r="B284">
            <v>0</v>
          </cell>
          <cell r="C284">
            <v>0</v>
          </cell>
          <cell r="D284">
            <v>0</v>
          </cell>
          <cell r="E284">
            <v>0</v>
          </cell>
        </row>
        <row r="285">
          <cell r="A285" t="str">
            <v>form_carac_factor_05_ac_name40</v>
          </cell>
          <cell r="B285">
            <v>0</v>
          </cell>
          <cell r="C285">
            <v>0</v>
          </cell>
          <cell r="D285">
            <v>0</v>
          </cell>
          <cell r="E285">
            <v>0</v>
          </cell>
        </row>
        <row r="286">
          <cell r="A286" t="str">
            <v>form_carac_factor_06_fe_name01</v>
          </cell>
          <cell r="B286">
            <v>1.23623387E-4</v>
          </cell>
          <cell r="C286">
            <v>1.23623387E-4</v>
          </cell>
          <cell r="D286">
            <v>1.23623387E-4</v>
          </cell>
          <cell r="E286">
            <v>1.23623387E-4</v>
          </cell>
        </row>
        <row r="287">
          <cell r="A287" t="str">
            <v>form_carac_factor_06_fe_name02</v>
          </cell>
          <cell r="B287">
            <v>4.3599990299999998E-4</v>
          </cell>
          <cell r="C287">
            <v>4.3599990299999998E-4</v>
          </cell>
          <cell r="D287">
            <v>4.3599990299999998E-4</v>
          </cell>
          <cell r="E287">
            <v>4.3599990299999998E-4</v>
          </cell>
        </row>
        <row r="288">
          <cell r="A288" t="str">
            <v>form_carac_factor_06_fe_name03</v>
          </cell>
          <cell r="B288">
            <v>0</v>
          </cell>
          <cell r="C288">
            <v>0</v>
          </cell>
          <cell r="D288">
            <v>0</v>
          </cell>
          <cell r="E288">
            <v>0</v>
          </cell>
        </row>
        <row r="289">
          <cell r="A289" t="str">
            <v>form_carac_factor_06_fe_name04</v>
          </cell>
          <cell r="B289">
            <v>0</v>
          </cell>
          <cell r="C289">
            <v>0</v>
          </cell>
          <cell r="D289">
            <v>0</v>
          </cell>
          <cell r="E289">
            <v>0</v>
          </cell>
        </row>
        <row r="290">
          <cell r="A290" t="str">
            <v>form_carac_factor_06_fe_name05</v>
          </cell>
          <cell r="B290">
            <v>0</v>
          </cell>
          <cell r="C290">
            <v>0</v>
          </cell>
          <cell r="D290">
            <v>0</v>
          </cell>
          <cell r="E290">
            <v>0</v>
          </cell>
        </row>
        <row r="291">
          <cell r="A291" t="str">
            <v>form_carac_factor_06_fe_name06</v>
          </cell>
          <cell r="B291">
            <v>0</v>
          </cell>
          <cell r="C291">
            <v>0</v>
          </cell>
          <cell r="D291">
            <v>0</v>
          </cell>
          <cell r="E291">
            <v>0</v>
          </cell>
        </row>
        <row r="292">
          <cell r="A292" t="str">
            <v>form_carac_factor_06_fe_name07</v>
          </cell>
          <cell r="B292">
            <v>0</v>
          </cell>
          <cell r="C292">
            <v>0</v>
          </cell>
          <cell r="D292">
            <v>0</v>
          </cell>
          <cell r="E292">
            <v>0</v>
          </cell>
        </row>
        <row r="293">
          <cell r="A293" t="str">
            <v>form_carac_factor_06_fe_name08</v>
          </cell>
          <cell r="B293">
            <v>0</v>
          </cell>
          <cell r="C293">
            <v>0</v>
          </cell>
          <cell r="D293">
            <v>0</v>
          </cell>
          <cell r="E293">
            <v>0</v>
          </cell>
        </row>
        <row r="294">
          <cell r="A294" t="str">
            <v>form_carac_factor_06_fe_name09</v>
          </cell>
          <cell r="B294">
            <v>0</v>
          </cell>
          <cell r="C294">
            <v>0</v>
          </cell>
          <cell r="D294">
            <v>0</v>
          </cell>
          <cell r="E294">
            <v>0</v>
          </cell>
        </row>
        <row r="295">
          <cell r="A295" t="str">
            <v>form_carac_factor_06_fe_name10</v>
          </cell>
          <cell r="B295">
            <v>0</v>
          </cell>
          <cell r="C295">
            <v>0</v>
          </cell>
          <cell r="D295">
            <v>0</v>
          </cell>
          <cell r="E295">
            <v>0</v>
          </cell>
        </row>
        <row r="296">
          <cell r="A296" t="str">
            <v>form_carac_factor_06_fe_name11</v>
          </cell>
          <cell r="B296">
            <v>0</v>
          </cell>
          <cell r="C296">
            <v>0</v>
          </cell>
          <cell r="D296">
            <v>0</v>
          </cell>
          <cell r="E296">
            <v>0</v>
          </cell>
        </row>
        <row r="297">
          <cell r="A297" t="str">
            <v>form_carac_factor_06_fe_name12</v>
          </cell>
          <cell r="B297">
            <v>0</v>
          </cell>
          <cell r="C297">
            <v>0</v>
          </cell>
          <cell r="D297">
            <v>0</v>
          </cell>
          <cell r="E297">
            <v>0</v>
          </cell>
        </row>
        <row r="298">
          <cell r="A298" t="str">
            <v>form_carac_factor_06_fe_name13</v>
          </cell>
          <cell r="B298">
            <v>0</v>
          </cell>
          <cell r="C298">
            <v>0</v>
          </cell>
          <cell r="D298">
            <v>0</v>
          </cell>
          <cell r="E298">
            <v>0</v>
          </cell>
        </row>
        <row r="299">
          <cell r="A299" t="str">
            <v>form_carac_factor_06_fe_name14</v>
          </cell>
          <cell r="B299">
            <v>0</v>
          </cell>
          <cell r="C299">
            <v>0</v>
          </cell>
          <cell r="D299">
            <v>0</v>
          </cell>
          <cell r="E299">
            <v>0</v>
          </cell>
        </row>
        <row r="300">
          <cell r="A300" t="str">
            <v>form_carac_factor_06_fe_name15</v>
          </cell>
          <cell r="B300">
            <v>0</v>
          </cell>
          <cell r="C300">
            <v>0</v>
          </cell>
          <cell r="D300">
            <v>0</v>
          </cell>
          <cell r="E300">
            <v>0</v>
          </cell>
        </row>
        <row r="301">
          <cell r="A301" t="str">
            <v>form_carac_factor_06_fe_name16</v>
          </cell>
          <cell r="B301">
            <v>0</v>
          </cell>
          <cell r="C301">
            <v>0</v>
          </cell>
          <cell r="D301">
            <v>0</v>
          </cell>
          <cell r="E301">
            <v>0</v>
          </cell>
        </row>
        <row r="302">
          <cell r="A302" t="str">
            <v>form_carac_factor_06_fe_name17</v>
          </cell>
          <cell r="B302">
            <v>0</v>
          </cell>
          <cell r="C302">
            <v>0</v>
          </cell>
          <cell r="D302">
            <v>0</v>
          </cell>
          <cell r="E302">
            <v>0</v>
          </cell>
        </row>
        <row r="303">
          <cell r="A303" t="str">
            <v>form_carac_factor_06_fe_name18</v>
          </cell>
          <cell r="B303">
            <v>0</v>
          </cell>
          <cell r="C303">
            <v>0</v>
          </cell>
          <cell r="D303">
            <v>0</v>
          </cell>
          <cell r="E303">
            <v>0</v>
          </cell>
        </row>
        <row r="304">
          <cell r="A304" t="str">
            <v>form_carac_factor_06_fe_name19</v>
          </cell>
          <cell r="B304">
            <v>0</v>
          </cell>
          <cell r="C304">
            <v>0</v>
          </cell>
          <cell r="D304">
            <v>0</v>
          </cell>
          <cell r="E304">
            <v>0</v>
          </cell>
        </row>
        <row r="305">
          <cell r="A305" t="str">
            <v>form_carac_factor_06_fe_name20</v>
          </cell>
          <cell r="B305">
            <v>0</v>
          </cell>
          <cell r="C305">
            <v>0</v>
          </cell>
          <cell r="D305">
            <v>0</v>
          </cell>
          <cell r="E305">
            <v>0</v>
          </cell>
        </row>
        <row r="306">
          <cell r="A306" t="str">
            <v>form_carac_factor_06_fe_name21</v>
          </cell>
          <cell r="B306">
            <v>0</v>
          </cell>
          <cell r="C306">
            <v>0</v>
          </cell>
          <cell r="D306">
            <v>0</v>
          </cell>
          <cell r="E306">
            <v>0</v>
          </cell>
        </row>
        <row r="307">
          <cell r="A307" t="str">
            <v>form_carac_factor_06_fe_name22</v>
          </cell>
          <cell r="B307">
            <v>0</v>
          </cell>
          <cell r="C307">
            <v>0</v>
          </cell>
          <cell r="D307">
            <v>0</v>
          </cell>
          <cell r="E307">
            <v>0</v>
          </cell>
        </row>
        <row r="308">
          <cell r="A308" t="str">
            <v>form_carac_factor_06_fe_name23</v>
          </cell>
          <cell r="B308">
            <v>0</v>
          </cell>
          <cell r="C308">
            <v>0</v>
          </cell>
          <cell r="D308">
            <v>0</v>
          </cell>
          <cell r="E308">
            <v>0</v>
          </cell>
        </row>
        <row r="309">
          <cell r="A309" t="str">
            <v>form_carac_factor_06_fe_name24</v>
          </cell>
          <cell r="B309">
            <v>0</v>
          </cell>
          <cell r="C309">
            <v>0</v>
          </cell>
          <cell r="D309">
            <v>0</v>
          </cell>
          <cell r="E309">
            <v>0</v>
          </cell>
        </row>
        <row r="310">
          <cell r="A310" t="str">
            <v>form_carac_factor_06_fe_name25</v>
          </cell>
          <cell r="B310">
            <v>0</v>
          </cell>
          <cell r="C310">
            <v>0</v>
          </cell>
          <cell r="D310">
            <v>0</v>
          </cell>
          <cell r="E310">
            <v>0</v>
          </cell>
        </row>
        <row r="311">
          <cell r="A311" t="str">
            <v>form_carac_factor_06_fe_name26</v>
          </cell>
          <cell r="B311">
            <v>0</v>
          </cell>
          <cell r="C311">
            <v>0</v>
          </cell>
          <cell r="D311">
            <v>0</v>
          </cell>
          <cell r="E311">
            <v>0</v>
          </cell>
        </row>
        <row r="312">
          <cell r="A312" t="str">
            <v>form_carac_factor_06_fe_name27</v>
          </cell>
          <cell r="B312">
            <v>0</v>
          </cell>
          <cell r="C312">
            <v>0</v>
          </cell>
          <cell r="D312">
            <v>0</v>
          </cell>
          <cell r="E312">
            <v>0</v>
          </cell>
        </row>
        <row r="313">
          <cell r="A313" t="str">
            <v>form_carac_factor_06_fe_name28</v>
          </cell>
          <cell r="B313">
            <v>0</v>
          </cell>
          <cell r="C313">
            <v>0</v>
          </cell>
          <cell r="D313">
            <v>0</v>
          </cell>
          <cell r="E313">
            <v>0</v>
          </cell>
        </row>
        <row r="314">
          <cell r="A314" t="str">
            <v>form_carac_factor_06_fe_name29</v>
          </cell>
          <cell r="B314">
            <v>0</v>
          </cell>
          <cell r="C314">
            <v>0</v>
          </cell>
          <cell r="D314">
            <v>0</v>
          </cell>
          <cell r="E314">
            <v>0</v>
          </cell>
        </row>
        <row r="315">
          <cell r="A315" t="str">
            <v>form_carac_factor_06_fe_name30</v>
          </cell>
          <cell r="B315">
            <v>0</v>
          </cell>
          <cell r="C315">
            <v>0</v>
          </cell>
          <cell r="D315">
            <v>0</v>
          </cell>
          <cell r="E315">
            <v>0</v>
          </cell>
        </row>
        <row r="316">
          <cell r="A316" t="str">
            <v>form_carac_factor_06_fe_name31</v>
          </cell>
          <cell r="B316">
            <v>0</v>
          </cell>
          <cell r="C316">
            <v>0</v>
          </cell>
          <cell r="D316">
            <v>0</v>
          </cell>
          <cell r="E316">
            <v>0</v>
          </cell>
        </row>
        <row r="317">
          <cell r="A317" t="str">
            <v>form_carac_factor_06_fe_name32</v>
          </cell>
          <cell r="B317">
            <v>0</v>
          </cell>
          <cell r="C317">
            <v>0</v>
          </cell>
          <cell r="D317">
            <v>0</v>
          </cell>
          <cell r="E317">
            <v>0</v>
          </cell>
        </row>
        <row r="318">
          <cell r="A318" t="str">
            <v>form_carac_factor_06_fe_name33</v>
          </cell>
          <cell r="B318">
            <v>0</v>
          </cell>
          <cell r="C318">
            <v>0</v>
          </cell>
          <cell r="D318">
            <v>0</v>
          </cell>
          <cell r="E318">
            <v>0</v>
          </cell>
        </row>
        <row r="319">
          <cell r="A319" t="str">
            <v>form_carac_factor_06_fe_name34</v>
          </cell>
          <cell r="B319">
            <v>0</v>
          </cell>
          <cell r="C319">
            <v>0</v>
          </cell>
          <cell r="D319">
            <v>0</v>
          </cell>
          <cell r="E319">
            <v>0</v>
          </cell>
        </row>
        <row r="320">
          <cell r="A320" t="str">
            <v>form_carac_factor_06_fe_name35</v>
          </cell>
          <cell r="B320">
            <v>0</v>
          </cell>
          <cell r="C320">
            <v>0</v>
          </cell>
          <cell r="D320">
            <v>0</v>
          </cell>
          <cell r="E320">
            <v>0</v>
          </cell>
        </row>
        <row r="321">
          <cell r="A321" t="str">
            <v>form_carac_factor_06_fe_name36</v>
          </cell>
          <cell r="B321">
            <v>0</v>
          </cell>
          <cell r="C321">
            <v>0</v>
          </cell>
          <cell r="D321">
            <v>0</v>
          </cell>
          <cell r="E321">
            <v>0</v>
          </cell>
        </row>
        <row r="322">
          <cell r="A322" t="str">
            <v>form_carac_factor_06_fe_name37</v>
          </cell>
          <cell r="B322">
            <v>0</v>
          </cell>
          <cell r="C322">
            <v>0</v>
          </cell>
          <cell r="D322">
            <v>0</v>
          </cell>
          <cell r="E322">
            <v>0</v>
          </cell>
        </row>
        <row r="323">
          <cell r="A323" t="str">
            <v>form_carac_factor_06_fe_name38</v>
          </cell>
          <cell r="B323">
            <v>0</v>
          </cell>
          <cell r="C323">
            <v>0</v>
          </cell>
          <cell r="D323">
            <v>0</v>
          </cell>
          <cell r="E323">
            <v>0</v>
          </cell>
        </row>
        <row r="324">
          <cell r="A324" t="str">
            <v>form_carac_factor_06_fe_name39</v>
          </cell>
          <cell r="B324">
            <v>0</v>
          </cell>
          <cell r="C324">
            <v>0</v>
          </cell>
          <cell r="D324">
            <v>0</v>
          </cell>
          <cell r="E324">
            <v>0</v>
          </cell>
        </row>
        <row r="325">
          <cell r="A325" t="str">
            <v>form_carac_factor_06_fe_name40</v>
          </cell>
          <cell r="B325">
            <v>0</v>
          </cell>
          <cell r="C325">
            <v>0</v>
          </cell>
          <cell r="D325">
            <v>0</v>
          </cell>
          <cell r="E325">
            <v>0</v>
          </cell>
        </row>
        <row r="326">
          <cell r="A326" t="str">
            <v>form_carac_factor_07_me_name01</v>
          </cell>
          <cell r="B326">
            <v>6.0728934289999998E-3</v>
          </cell>
          <cell r="C326">
            <v>6.0728934289999998E-3</v>
          </cell>
          <cell r="D326">
            <v>6.0728934289999998E-3</v>
          </cell>
          <cell r="E326">
            <v>6.0728934289999998E-3</v>
          </cell>
        </row>
        <row r="327">
          <cell r="A327" t="str">
            <v>form_carac_factor_07_me_name02</v>
          </cell>
          <cell r="B327">
            <v>1.3301202978E-2</v>
          </cell>
          <cell r="C327">
            <v>1.3301202978E-2</v>
          </cell>
          <cell r="D327">
            <v>1.3301202978E-2</v>
          </cell>
          <cell r="E327">
            <v>1.3301202978E-2</v>
          </cell>
        </row>
        <row r="328">
          <cell r="A328" t="str">
            <v>form_carac_factor_07_me_name03</v>
          </cell>
          <cell r="B328">
            <v>0</v>
          </cell>
          <cell r="C328">
            <v>0</v>
          </cell>
          <cell r="D328">
            <v>0</v>
          </cell>
          <cell r="E328">
            <v>0</v>
          </cell>
        </row>
        <row r="329">
          <cell r="A329" t="str">
            <v>form_carac_factor_07_me_name04</v>
          </cell>
          <cell r="B329">
            <v>0</v>
          </cell>
          <cell r="C329">
            <v>0</v>
          </cell>
          <cell r="D329">
            <v>0</v>
          </cell>
          <cell r="E329">
            <v>0</v>
          </cell>
        </row>
        <row r="330">
          <cell r="A330" t="str">
            <v>form_carac_factor_07_me_name05</v>
          </cell>
          <cell r="B330">
            <v>0</v>
          </cell>
          <cell r="C330">
            <v>0</v>
          </cell>
          <cell r="D330">
            <v>0</v>
          </cell>
          <cell r="E330">
            <v>0</v>
          </cell>
        </row>
        <row r="331">
          <cell r="A331" t="str">
            <v>form_carac_factor_07_me_name06</v>
          </cell>
          <cell r="B331">
            <v>0</v>
          </cell>
          <cell r="C331">
            <v>0</v>
          </cell>
          <cell r="D331">
            <v>0</v>
          </cell>
          <cell r="E331">
            <v>0</v>
          </cell>
        </row>
        <row r="332">
          <cell r="A332" t="str">
            <v>form_carac_factor_07_me_name07</v>
          </cell>
          <cell r="B332">
            <v>0</v>
          </cell>
          <cell r="C332">
            <v>0</v>
          </cell>
          <cell r="D332">
            <v>0</v>
          </cell>
          <cell r="E332">
            <v>0</v>
          </cell>
        </row>
        <row r="333">
          <cell r="A333" t="str">
            <v>form_carac_factor_07_me_name08</v>
          </cell>
          <cell r="B333">
            <v>0</v>
          </cell>
          <cell r="C333">
            <v>0</v>
          </cell>
          <cell r="D333">
            <v>0</v>
          </cell>
          <cell r="E333">
            <v>0</v>
          </cell>
        </row>
        <row r="334">
          <cell r="A334" t="str">
            <v>form_carac_factor_07_me_name09</v>
          </cell>
          <cell r="B334">
            <v>0</v>
          </cell>
          <cell r="C334">
            <v>0</v>
          </cell>
          <cell r="D334">
            <v>0</v>
          </cell>
          <cell r="E334">
            <v>0</v>
          </cell>
        </row>
        <row r="335">
          <cell r="A335" t="str">
            <v>form_carac_factor_07_me_name10</v>
          </cell>
          <cell r="B335">
            <v>0</v>
          </cell>
          <cell r="C335">
            <v>0</v>
          </cell>
          <cell r="D335">
            <v>0</v>
          </cell>
          <cell r="E335">
            <v>0</v>
          </cell>
        </row>
        <row r="336">
          <cell r="A336" t="str">
            <v>form_carac_factor_07_me_name11</v>
          </cell>
          <cell r="B336">
            <v>0</v>
          </cell>
          <cell r="C336">
            <v>0</v>
          </cell>
          <cell r="D336">
            <v>0</v>
          </cell>
          <cell r="E336">
            <v>0</v>
          </cell>
        </row>
        <row r="337">
          <cell r="A337" t="str">
            <v>form_carac_factor_07_me_name12</v>
          </cell>
          <cell r="B337">
            <v>0</v>
          </cell>
          <cell r="C337">
            <v>0</v>
          </cell>
          <cell r="D337">
            <v>0</v>
          </cell>
          <cell r="E337">
            <v>0</v>
          </cell>
        </row>
        <row r="338">
          <cell r="A338" t="str">
            <v>form_carac_factor_07_me_name13</v>
          </cell>
          <cell r="B338">
            <v>0</v>
          </cell>
          <cell r="C338">
            <v>0</v>
          </cell>
          <cell r="D338">
            <v>0</v>
          </cell>
          <cell r="E338">
            <v>0</v>
          </cell>
        </row>
        <row r="339">
          <cell r="A339" t="str">
            <v>form_carac_factor_07_me_name14</v>
          </cell>
          <cell r="B339">
            <v>0</v>
          </cell>
          <cell r="C339">
            <v>0</v>
          </cell>
          <cell r="D339">
            <v>0</v>
          </cell>
          <cell r="E339">
            <v>0</v>
          </cell>
        </row>
        <row r="340">
          <cell r="A340" t="str">
            <v>form_carac_factor_07_me_name15</v>
          </cell>
          <cell r="B340">
            <v>0</v>
          </cell>
          <cell r="C340">
            <v>0</v>
          </cell>
          <cell r="D340">
            <v>0</v>
          </cell>
          <cell r="E340">
            <v>0</v>
          </cell>
        </row>
        <row r="341">
          <cell r="A341" t="str">
            <v>form_carac_factor_07_me_name16</v>
          </cell>
          <cell r="B341">
            <v>0</v>
          </cell>
          <cell r="C341">
            <v>0</v>
          </cell>
          <cell r="D341">
            <v>0</v>
          </cell>
          <cell r="E341">
            <v>0</v>
          </cell>
        </row>
        <row r="342">
          <cell r="A342" t="str">
            <v>form_carac_factor_07_me_name17</v>
          </cell>
          <cell r="B342">
            <v>0</v>
          </cell>
          <cell r="C342">
            <v>0</v>
          </cell>
          <cell r="D342">
            <v>0</v>
          </cell>
          <cell r="E342">
            <v>0</v>
          </cell>
        </row>
        <row r="343">
          <cell r="A343" t="str">
            <v>form_carac_factor_07_me_name18</v>
          </cell>
          <cell r="B343">
            <v>0</v>
          </cell>
          <cell r="C343">
            <v>0</v>
          </cell>
          <cell r="D343">
            <v>0</v>
          </cell>
          <cell r="E343">
            <v>0</v>
          </cell>
        </row>
        <row r="344">
          <cell r="A344" t="str">
            <v>form_carac_factor_07_me_name19</v>
          </cell>
          <cell r="B344">
            <v>0</v>
          </cell>
          <cell r="C344">
            <v>0</v>
          </cell>
          <cell r="D344">
            <v>0</v>
          </cell>
          <cell r="E344">
            <v>0</v>
          </cell>
        </row>
        <row r="345">
          <cell r="A345" t="str">
            <v>form_carac_factor_07_me_name20</v>
          </cell>
          <cell r="B345">
            <v>0</v>
          </cell>
          <cell r="C345">
            <v>0</v>
          </cell>
          <cell r="D345">
            <v>0</v>
          </cell>
          <cell r="E345">
            <v>0</v>
          </cell>
        </row>
        <row r="346">
          <cell r="A346" t="str">
            <v>form_carac_factor_07_me_name21</v>
          </cell>
          <cell r="B346">
            <v>0</v>
          </cell>
          <cell r="C346">
            <v>0</v>
          </cell>
          <cell r="D346">
            <v>0</v>
          </cell>
          <cell r="E346">
            <v>0</v>
          </cell>
        </row>
        <row r="347">
          <cell r="A347" t="str">
            <v>form_carac_factor_07_me_name22</v>
          </cell>
          <cell r="B347">
            <v>0</v>
          </cell>
          <cell r="C347">
            <v>0</v>
          </cell>
          <cell r="D347">
            <v>0</v>
          </cell>
          <cell r="E347">
            <v>0</v>
          </cell>
        </row>
        <row r="348">
          <cell r="A348" t="str">
            <v>form_carac_factor_07_me_name23</v>
          </cell>
          <cell r="B348">
            <v>0</v>
          </cell>
          <cell r="C348">
            <v>0</v>
          </cell>
          <cell r="D348">
            <v>0</v>
          </cell>
          <cell r="E348">
            <v>0</v>
          </cell>
        </row>
        <row r="349">
          <cell r="A349" t="str">
            <v>form_carac_factor_07_me_name24</v>
          </cell>
          <cell r="B349">
            <v>0</v>
          </cell>
          <cell r="C349">
            <v>0</v>
          </cell>
          <cell r="D349">
            <v>0</v>
          </cell>
          <cell r="E349">
            <v>0</v>
          </cell>
        </row>
        <row r="350">
          <cell r="A350" t="str">
            <v>form_carac_factor_07_me_name25</v>
          </cell>
          <cell r="B350">
            <v>0</v>
          </cell>
          <cell r="C350">
            <v>0</v>
          </cell>
          <cell r="D350">
            <v>0</v>
          </cell>
          <cell r="E350">
            <v>0</v>
          </cell>
        </row>
        <row r="351">
          <cell r="A351" t="str">
            <v>form_carac_factor_07_me_name26</v>
          </cell>
          <cell r="B351">
            <v>0</v>
          </cell>
          <cell r="C351">
            <v>0</v>
          </cell>
          <cell r="D351">
            <v>0</v>
          </cell>
          <cell r="E351">
            <v>0</v>
          </cell>
        </row>
        <row r="352">
          <cell r="A352" t="str">
            <v>form_carac_factor_07_me_name27</v>
          </cell>
          <cell r="B352">
            <v>0</v>
          </cell>
          <cell r="C352">
            <v>0</v>
          </cell>
          <cell r="D352">
            <v>0</v>
          </cell>
          <cell r="E352">
            <v>0</v>
          </cell>
        </row>
        <row r="353">
          <cell r="A353" t="str">
            <v>form_carac_factor_07_me_name28</v>
          </cell>
          <cell r="B353">
            <v>0</v>
          </cell>
          <cell r="C353">
            <v>0</v>
          </cell>
          <cell r="D353">
            <v>0</v>
          </cell>
          <cell r="E353">
            <v>0</v>
          </cell>
        </row>
        <row r="354">
          <cell r="A354" t="str">
            <v>form_carac_factor_07_me_name29</v>
          </cell>
          <cell r="B354">
            <v>0</v>
          </cell>
          <cell r="C354">
            <v>0</v>
          </cell>
          <cell r="D354">
            <v>0</v>
          </cell>
          <cell r="E354">
            <v>0</v>
          </cell>
        </row>
        <row r="355">
          <cell r="A355" t="str">
            <v>form_carac_factor_07_me_name30</v>
          </cell>
          <cell r="B355">
            <v>0</v>
          </cell>
          <cell r="C355">
            <v>0</v>
          </cell>
          <cell r="D355">
            <v>0</v>
          </cell>
          <cell r="E355">
            <v>0</v>
          </cell>
        </row>
        <row r="356">
          <cell r="A356" t="str">
            <v>form_carac_factor_07_me_name31</v>
          </cell>
          <cell r="B356">
            <v>0</v>
          </cell>
          <cell r="C356">
            <v>0</v>
          </cell>
          <cell r="D356">
            <v>0</v>
          </cell>
          <cell r="E356">
            <v>0</v>
          </cell>
        </row>
        <row r="357">
          <cell r="A357" t="str">
            <v>form_carac_factor_07_me_name32</v>
          </cell>
          <cell r="B357">
            <v>0</v>
          </cell>
          <cell r="C357">
            <v>0</v>
          </cell>
          <cell r="D357">
            <v>0</v>
          </cell>
          <cell r="E357">
            <v>0</v>
          </cell>
        </row>
        <row r="358">
          <cell r="A358" t="str">
            <v>form_carac_factor_07_me_name33</v>
          </cell>
          <cell r="B358">
            <v>0</v>
          </cell>
          <cell r="C358">
            <v>0</v>
          </cell>
          <cell r="D358">
            <v>0</v>
          </cell>
          <cell r="E358">
            <v>0</v>
          </cell>
        </row>
        <row r="359">
          <cell r="A359" t="str">
            <v>form_carac_factor_07_me_name34</v>
          </cell>
          <cell r="B359">
            <v>0</v>
          </cell>
          <cell r="C359">
            <v>0</v>
          </cell>
          <cell r="D359">
            <v>0</v>
          </cell>
          <cell r="E359">
            <v>0</v>
          </cell>
        </row>
        <row r="360">
          <cell r="A360" t="str">
            <v>form_carac_factor_07_me_name35</v>
          </cell>
          <cell r="B360">
            <v>0</v>
          </cell>
          <cell r="C360">
            <v>0</v>
          </cell>
          <cell r="D360">
            <v>0</v>
          </cell>
          <cell r="E360">
            <v>0</v>
          </cell>
        </row>
        <row r="361">
          <cell r="A361" t="str">
            <v>form_carac_factor_07_me_name36</v>
          </cell>
          <cell r="B361">
            <v>0</v>
          </cell>
          <cell r="C361">
            <v>0</v>
          </cell>
          <cell r="D361">
            <v>0</v>
          </cell>
          <cell r="E361">
            <v>0</v>
          </cell>
        </row>
        <row r="362">
          <cell r="A362" t="str">
            <v>form_carac_factor_07_me_name37</v>
          </cell>
          <cell r="B362">
            <v>0</v>
          </cell>
          <cell r="C362">
            <v>0</v>
          </cell>
          <cell r="D362">
            <v>0</v>
          </cell>
          <cell r="E362">
            <v>0</v>
          </cell>
        </row>
        <row r="363">
          <cell r="A363" t="str">
            <v>form_carac_factor_07_me_name38</v>
          </cell>
          <cell r="B363">
            <v>0</v>
          </cell>
          <cell r="C363">
            <v>0</v>
          </cell>
          <cell r="D363">
            <v>0</v>
          </cell>
          <cell r="E363">
            <v>0</v>
          </cell>
        </row>
        <row r="364">
          <cell r="A364" t="str">
            <v>form_carac_factor_07_me_name39</v>
          </cell>
          <cell r="B364">
            <v>0</v>
          </cell>
          <cell r="C364">
            <v>0</v>
          </cell>
          <cell r="D364">
            <v>0</v>
          </cell>
          <cell r="E364">
            <v>0</v>
          </cell>
        </row>
        <row r="365">
          <cell r="A365" t="str">
            <v>form_carac_factor_07_me_name40</v>
          </cell>
          <cell r="B365">
            <v>0</v>
          </cell>
          <cell r="C365">
            <v>0</v>
          </cell>
          <cell r="D365">
            <v>0</v>
          </cell>
          <cell r="E365">
            <v>0</v>
          </cell>
        </row>
        <row r="366">
          <cell r="A366" t="str">
            <v>form_carac_factor_08_of_name01</v>
          </cell>
          <cell r="B366">
            <v>8.3076046840000004E-3</v>
          </cell>
          <cell r="C366">
            <v>8.3076046840000004E-3</v>
          </cell>
          <cell r="D366">
            <v>8.3076046840000004E-3</v>
          </cell>
          <cell r="E366">
            <v>8.3076046840000004E-3</v>
          </cell>
        </row>
        <row r="367">
          <cell r="A367" t="str">
            <v>form_carac_factor_08_of_name02</v>
          </cell>
          <cell r="B367">
            <v>6.1625096879999999E-3</v>
          </cell>
          <cell r="C367">
            <v>6.1625096879999999E-3</v>
          </cell>
          <cell r="D367">
            <v>6.1625096879999999E-3</v>
          </cell>
          <cell r="E367">
            <v>6.1625096879999999E-3</v>
          </cell>
        </row>
        <row r="368">
          <cell r="A368" t="str">
            <v>form_carac_factor_08_of_name03</v>
          </cell>
          <cell r="B368">
            <v>0</v>
          </cell>
          <cell r="C368">
            <v>0</v>
          </cell>
          <cell r="D368">
            <v>0</v>
          </cell>
          <cell r="E368">
            <v>0</v>
          </cell>
        </row>
        <row r="369">
          <cell r="A369" t="str">
            <v>form_carac_factor_08_of_name04</v>
          </cell>
          <cell r="B369">
            <v>0</v>
          </cell>
          <cell r="C369">
            <v>0</v>
          </cell>
          <cell r="D369">
            <v>0</v>
          </cell>
          <cell r="E369">
            <v>0</v>
          </cell>
        </row>
        <row r="370">
          <cell r="A370" t="str">
            <v>form_carac_factor_08_of_name05</v>
          </cell>
          <cell r="B370">
            <v>0</v>
          </cell>
          <cell r="C370">
            <v>0</v>
          </cell>
          <cell r="D370">
            <v>0</v>
          </cell>
          <cell r="E370">
            <v>0</v>
          </cell>
        </row>
        <row r="371">
          <cell r="A371" t="str">
            <v>form_carac_factor_08_of_name06</v>
          </cell>
          <cell r="B371">
            <v>0</v>
          </cell>
          <cell r="C371">
            <v>0</v>
          </cell>
          <cell r="D371">
            <v>0</v>
          </cell>
          <cell r="E371">
            <v>0</v>
          </cell>
        </row>
        <row r="372">
          <cell r="A372" t="str">
            <v>form_carac_factor_08_of_name07</v>
          </cell>
          <cell r="B372">
            <v>0</v>
          </cell>
          <cell r="C372">
            <v>0</v>
          </cell>
          <cell r="D372">
            <v>0</v>
          </cell>
          <cell r="E372">
            <v>0</v>
          </cell>
        </row>
        <row r="373">
          <cell r="A373" t="str">
            <v>form_carac_factor_08_of_name08</v>
          </cell>
          <cell r="B373">
            <v>0</v>
          </cell>
          <cell r="C373">
            <v>0</v>
          </cell>
          <cell r="D373">
            <v>0</v>
          </cell>
          <cell r="E373">
            <v>0</v>
          </cell>
        </row>
        <row r="374">
          <cell r="A374" t="str">
            <v>form_carac_factor_08_of_name09</v>
          </cell>
          <cell r="B374">
            <v>0</v>
          </cell>
          <cell r="C374">
            <v>0</v>
          </cell>
          <cell r="D374">
            <v>0</v>
          </cell>
          <cell r="E374">
            <v>0</v>
          </cell>
        </row>
        <row r="375">
          <cell r="A375" t="str">
            <v>form_carac_factor_08_of_name10</v>
          </cell>
          <cell r="B375">
            <v>0</v>
          </cell>
          <cell r="C375">
            <v>0</v>
          </cell>
          <cell r="D375">
            <v>0</v>
          </cell>
          <cell r="E375">
            <v>0</v>
          </cell>
        </row>
        <row r="376">
          <cell r="A376" t="str">
            <v>form_carac_factor_08_of_name11</v>
          </cell>
          <cell r="B376">
            <v>0</v>
          </cell>
          <cell r="C376">
            <v>0</v>
          </cell>
          <cell r="D376">
            <v>0</v>
          </cell>
          <cell r="E376">
            <v>0</v>
          </cell>
        </row>
        <row r="377">
          <cell r="A377" t="str">
            <v>form_carac_factor_08_of_name12</v>
          </cell>
          <cell r="B377">
            <v>0</v>
          </cell>
          <cell r="C377">
            <v>0</v>
          </cell>
          <cell r="D377">
            <v>0</v>
          </cell>
          <cell r="E377">
            <v>0</v>
          </cell>
        </row>
        <row r="378">
          <cell r="A378" t="str">
            <v>form_carac_factor_08_of_name13</v>
          </cell>
          <cell r="B378">
            <v>0</v>
          </cell>
          <cell r="C378">
            <v>0</v>
          </cell>
          <cell r="D378">
            <v>0</v>
          </cell>
          <cell r="E378">
            <v>0</v>
          </cell>
        </row>
        <row r="379">
          <cell r="A379" t="str">
            <v>form_carac_factor_08_of_name14</v>
          </cell>
          <cell r="B379">
            <v>0</v>
          </cell>
          <cell r="C379">
            <v>0</v>
          </cell>
          <cell r="D379">
            <v>0</v>
          </cell>
          <cell r="E379">
            <v>0</v>
          </cell>
        </row>
        <row r="380">
          <cell r="A380" t="str">
            <v>form_carac_factor_08_of_name15</v>
          </cell>
          <cell r="B380">
            <v>0</v>
          </cell>
          <cell r="C380">
            <v>0</v>
          </cell>
          <cell r="D380">
            <v>0</v>
          </cell>
          <cell r="E380">
            <v>0</v>
          </cell>
        </row>
        <row r="381">
          <cell r="A381" t="str">
            <v>form_carac_factor_08_of_name16</v>
          </cell>
          <cell r="B381">
            <v>0</v>
          </cell>
          <cell r="C381">
            <v>0</v>
          </cell>
          <cell r="D381">
            <v>0</v>
          </cell>
          <cell r="E381">
            <v>0</v>
          </cell>
        </row>
        <row r="382">
          <cell r="A382" t="str">
            <v>form_carac_factor_08_of_name17</v>
          </cell>
          <cell r="B382">
            <v>0</v>
          </cell>
          <cell r="C382">
            <v>0</v>
          </cell>
          <cell r="D382">
            <v>0</v>
          </cell>
          <cell r="E382">
            <v>0</v>
          </cell>
        </row>
        <row r="383">
          <cell r="A383" t="str">
            <v>form_carac_factor_08_of_name18</v>
          </cell>
          <cell r="B383">
            <v>0</v>
          </cell>
          <cell r="C383">
            <v>0</v>
          </cell>
          <cell r="D383">
            <v>0</v>
          </cell>
          <cell r="E383">
            <v>0</v>
          </cell>
        </row>
        <row r="384">
          <cell r="A384" t="str">
            <v>form_carac_factor_08_of_name19</v>
          </cell>
          <cell r="B384">
            <v>0</v>
          </cell>
          <cell r="C384">
            <v>0</v>
          </cell>
          <cell r="D384">
            <v>0</v>
          </cell>
          <cell r="E384">
            <v>0</v>
          </cell>
        </row>
        <row r="385">
          <cell r="A385" t="str">
            <v>form_carac_factor_08_of_name20</v>
          </cell>
          <cell r="B385">
            <v>0</v>
          </cell>
          <cell r="C385">
            <v>0</v>
          </cell>
          <cell r="D385">
            <v>0</v>
          </cell>
          <cell r="E385">
            <v>0</v>
          </cell>
        </row>
        <row r="386">
          <cell r="A386" t="str">
            <v>form_carac_factor_08_of_name21</v>
          </cell>
          <cell r="B386">
            <v>0</v>
          </cell>
          <cell r="C386">
            <v>0</v>
          </cell>
          <cell r="D386">
            <v>0</v>
          </cell>
          <cell r="E386">
            <v>0</v>
          </cell>
        </row>
        <row r="387">
          <cell r="A387" t="str">
            <v>form_carac_factor_08_of_name22</v>
          </cell>
          <cell r="B387">
            <v>0</v>
          </cell>
          <cell r="C387">
            <v>0</v>
          </cell>
          <cell r="D387">
            <v>0</v>
          </cell>
          <cell r="E387">
            <v>0</v>
          </cell>
        </row>
        <row r="388">
          <cell r="A388" t="str">
            <v>form_carac_factor_08_of_name23</v>
          </cell>
          <cell r="B388">
            <v>0</v>
          </cell>
          <cell r="C388">
            <v>0</v>
          </cell>
          <cell r="D388">
            <v>0</v>
          </cell>
          <cell r="E388">
            <v>0</v>
          </cell>
        </row>
        <row r="389">
          <cell r="A389" t="str">
            <v>form_carac_factor_08_of_name24</v>
          </cell>
          <cell r="B389">
            <v>0</v>
          </cell>
          <cell r="C389">
            <v>0</v>
          </cell>
          <cell r="D389">
            <v>0</v>
          </cell>
          <cell r="E389">
            <v>0</v>
          </cell>
        </row>
        <row r="390">
          <cell r="A390" t="str">
            <v>form_carac_factor_08_of_name25</v>
          </cell>
          <cell r="B390">
            <v>0</v>
          </cell>
          <cell r="C390">
            <v>0</v>
          </cell>
          <cell r="D390">
            <v>0</v>
          </cell>
          <cell r="E390">
            <v>0</v>
          </cell>
        </row>
        <row r="391">
          <cell r="A391" t="str">
            <v>form_carac_factor_08_of_name26</v>
          </cell>
          <cell r="B391">
            <v>0</v>
          </cell>
          <cell r="C391">
            <v>0</v>
          </cell>
          <cell r="D391">
            <v>0</v>
          </cell>
          <cell r="E391">
            <v>0</v>
          </cell>
        </row>
        <row r="392">
          <cell r="A392" t="str">
            <v>form_carac_factor_08_of_name27</v>
          </cell>
          <cell r="B392">
            <v>0</v>
          </cell>
          <cell r="C392">
            <v>0</v>
          </cell>
          <cell r="D392">
            <v>0</v>
          </cell>
          <cell r="E392">
            <v>0</v>
          </cell>
        </row>
        <row r="393">
          <cell r="A393" t="str">
            <v>form_carac_factor_08_of_name28</v>
          </cell>
          <cell r="B393">
            <v>0</v>
          </cell>
          <cell r="C393">
            <v>0</v>
          </cell>
          <cell r="D393">
            <v>0</v>
          </cell>
          <cell r="E393">
            <v>0</v>
          </cell>
        </row>
        <row r="394">
          <cell r="A394" t="str">
            <v>form_carac_factor_08_of_name29</v>
          </cell>
          <cell r="B394">
            <v>0</v>
          </cell>
          <cell r="C394">
            <v>0</v>
          </cell>
          <cell r="D394">
            <v>0</v>
          </cell>
          <cell r="E394">
            <v>0</v>
          </cell>
        </row>
        <row r="395">
          <cell r="A395" t="str">
            <v>form_carac_factor_08_of_name30</v>
          </cell>
          <cell r="B395">
            <v>0</v>
          </cell>
          <cell r="C395">
            <v>0</v>
          </cell>
          <cell r="D395">
            <v>0</v>
          </cell>
          <cell r="E395">
            <v>0</v>
          </cell>
        </row>
        <row r="396">
          <cell r="A396" t="str">
            <v>form_carac_factor_08_of_name31</v>
          </cell>
          <cell r="B396">
            <v>0</v>
          </cell>
          <cell r="C396">
            <v>0</v>
          </cell>
          <cell r="D396">
            <v>0</v>
          </cell>
          <cell r="E396">
            <v>0</v>
          </cell>
        </row>
        <row r="397">
          <cell r="A397" t="str">
            <v>form_carac_factor_08_of_name32</v>
          </cell>
          <cell r="B397">
            <v>0</v>
          </cell>
          <cell r="C397">
            <v>0</v>
          </cell>
          <cell r="D397">
            <v>0</v>
          </cell>
          <cell r="E397">
            <v>0</v>
          </cell>
        </row>
        <row r="398">
          <cell r="A398" t="str">
            <v>form_carac_factor_08_of_name33</v>
          </cell>
          <cell r="B398">
            <v>0</v>
          </cell>
          <cell r="C398">
            <v>0</v>
          </cell>
          <cell r="D398">
            <v>0</v>
          </cell>
          <cell r="E398">
            <v>0</v>
          </cell>
        </row>
        <row r="399">
          <cell r="A399" t="str">
            <v>form_carac_factor_08_of_name34</v>
          </cell>
          <cell r="B399">
            <v>0</v>
          </cell>
          <cell r="C399">
            <v>0</v>
          </cell>
          <cell r="D399">
            <v>0</v>
          </cell>
          <cell r="E399">
            <v>0</v>
          </cell>
        </row>
        <row r="400">
          <cell r="A400" t="str">
            <v>form_carac_factor_08_of_name35</v>
          </cell>
          <cell r="B400">
            <v>0</v>
          </cell>
          <cell r="C400">
            <v>0</v>
          </cell>
          <cell r="D400">
            <v>0</v>
          </cell>
          <cell r="E400">
            <v>0</v>
          </cell>
        </row>
        <row r="401">
          <cell r="A401" t="str">
            <v>form_carac_factor_08_of_name36</v>
          </cell>
          <cell r="B401">
            <v>0</v>
          </cell>
          <cell r="C401">
            <v>0</v>
          </cell>
          <cell r="D401">
            <v>0</v>
          </cell>
          <cell r="E401">
            <v>0</v>
          </cell>
        </row>
        <row r="402">
          <cell r="A402" t="str">
            <v>form_carac_factor_08_of_name37</v>
          </cell>
          <cell r="B402">
            <v>0</v>
          </cell>
          <cell r="C402">
            <v>0</v>
          </cell>
          <cell r="D402">
            <v>0</v>
          </cell>
          <cell r="E402">
            <v>0</v>
          </cell>
        </row>
        <row r="403">
          <cell r="A403" t="str">
            <v>form_carac_factor_08_of_name38</v>
          </cell>
          <cell r="B403">
            <v>0</v>
          </cell>
          <cell r="C403">
            <v>0</v>
          </cell>
          <cell r="D403">
            <v>0</v>
          </cell>
          <cell r="E403">
            <v>0</v>
          </cell>
        </row>
        <row r="404">
          <cell r="A404" t="str">
            <v>form_carac_factor_08_of_name39</v>
          </cell>
          <cell r="B404">
            <v>0</v>
          </cell>
          <cell r="C404">
            <v>0</v>
          </cell>
          <cell r="D404">
            <v>0</v>
          </cell>
          <cell r="E404">
            <v>0</v>
          </cell>
        </row>
        <row r="405">
          <cell r="A405" t="str">
            <v>form_carac_factor_08_of_name40</v>
          </cell>
          <cell r="B405">
            <v>0</v>
          </cell>
          <cell r="C405">
            <v>0</v>
          </cell>
          <cell r="D405">
            <v>0</v>
          </cell>
          <cell r="E405">
            <v>0</v>
          </cell>
        </row>
        <row r="406">
          <cell r="A406" t="str">
            <v>form_carac_factor_09_od_name01</v>
          </cell>
          <cell r="B406">
            <v>3.2378400000000001E-7</v>
          </cell>
          <cell r="C406">
            <v>3.2378400000000001E-7</v>
          </cell>
          <cell r="D406">
            <v>3.2378400000000001E-7</v>
          </cell>
          <cell r="E406">
            <v>3.2378400000000001E-7</v>
          </cell>
        </row>
        <row r="407">
          <cell r="A407" t="str">
            <v>form_carac_factor_09_od_name02</v>
          </cell>
          <cell r="B407">
            <v>2.8934E-8</v>
          </cell>
          <cell r="C407">
            <v>2.8934E-8</v>
          </cell>
          <cell r="D407">
            <v>2.8934E-8</v>
          </cell>
          <cell r="E407">
            <v>2.8934E-8</v>
          </cell>
        </row>
        <row r="408">
          <cell r="A408" t="str">
            <v>form_carac_factor_09_od_name03</v>
          </cell>
          <cell r="B408">
            <v>0</v>
          </cell>
          <cell r="C408">
            <v>0</v>
          </cell>
          <cell r="D408">
            <v>0</v>
          </cell>
          <cell r="E408">
            <v>0</v>
          </cell>
        </row>
        <row r="409">
          <cell r="A409" t="str">
            <v>form_carac_factor_09_od_name04</v>
          </cell>
          <cell r="B409">
            <v>0</v>
          </cell>
          <cell r="C409">
            <v>0</v>
          </cell>
          <cell r="D409">
            <v>0</v>
          </cell>
          <cell r="E409">
            <v>0</v>
          </cell>
        </row>
        <row r="410">
          <cell r="A410" t="str">
            <v>form_carac_factor_09_od_name05</v>
          </cell>
          <cell r="B410">
            <v>0</v>
          </cell>
          <cell r="C410">
            <v>0</v>
          </cell>
          <cell r="D410">
            <v>0</v>
          </cell>
          <cell r="E410">
            <v>0</v>
          </cell>
        </row>
        <row r="411">
          <cell r="A411" t="str">
            <v>form_carac_factor_09_od_name06</v>
          </cell>
          <cell r="B411">
            <v>0</v>
          </cell>
          <cell r="C411">
            <v>0</v>
          </cell>
          <cell r="D411">
            <v>0</v>
          </cell>
          <cell r="E411">
            <v>0</v>
          </cell>
        </row>
        <row r="412">
          <cell r="A412" t="str">
            <v>form_carac_factor_09_od_name07</v>
          </cell>
          <cell r="B412">
            <v>0</v>
          </cell>
          <cell r="C412">
            <v>0</v>
          </cell>
          <cell r="D412">
            <v>0</v>
          </cell>
          <cell r="E412">
            <v>0</v>
          </cell>
        </row>
        <row r="413">
          <cell r="A413" t="str">
            <v>form_carac_factor_09_od_name08</v>
          </cell>
          <cell r="B413">
            <v>0</v>
          </cell>
          <cell r="C413">
            <v>0</v>
          </cell>
          <cell r="D413">
            <v>0</v>
          </cell>
          <cell r="E413">
            <v>0</v>
          </cell>
        </row>
        <row r="414">
          <cell r="A414" t="str">
            <v>form_carac_factor_09_od_name09</v>
          </cell>
          <cell r="B414">
            <v>0</v>
          </cell>
          <cell r="C414">
            <v>0</v>
          </cell>
          <cell r="D414">
            <v>0</v>
          </cell>
          <cell r="E414">
            <v>0</v>
          </cell>
        </row>
        <row r="415">
          <cell r="A415" t="str">
            <v>form_carac_factor_09_od_name10</v>
          </cell>
          <cell r="B415">
            <v>0</v>
          </cell>
          <cell r="C415">
            <v>0</v>
          </cell>
          <cell r="D415">
            <v>0</v>
          </cell>
          <cell r="E415">
            <v>0</v>
          </cell>
        </row>
        <row r="416">
          <cell r="A416" t="str">
            <v>form_carac_factor_09_od_name11</v>
          </cell>
          <cell r="B416">
            <v>0</v>
          </cell>
          <cell r="C416">
            <v>0</v>
          </cell>
          <cell r="D416">
            <v>0</v>
          </cell>
          <cell r="E416">
            <v>0</v>
          </cell>
        </row>
        <row r="417">
          <cell r="A417" t="str">
            <v>form_carac_factor_09_od_name12</v>
          </cell>
          <cell r="B417">
            <v>0</v>
          </cell>
          <cell r="C417">
            <v>0</v>
          </cell>
          <cell r="D417">
            <v>0</v>
          </cell>
          <cell r="E417">
            <v>0</v>
          </cell>
        </row>
        <row r="418">
          <cell r="A418" t="str">
            <v>form_carac_factor_09_od_name13</v>
          </cell>
          <cell r="B418">
            <v>0</v>
          </cell>
          <cell r="C418">
            <v>0</v>
          </cell>
          <cell r="D418">
            <v>0</v>
          </cell>
          <cell r="E418">
            <v>0</v>
          </cell>
        </row>
        <row r="419">
          <cell r="A419" t="str">
            <v>form_carac_factor_09_od_name14</v>
          </cell>
          <cell r="B419">
            <v>0</v>
          </cell>
          <cell r="C419">
            <v>0</v>
          </cell>
          <cell r="D419">
            <v>0</v>
          </cell>
          <cell r="E419">
            <v>0</v>
          </cell>
        </row>
        <row r="420">
          <cell r="A420" t="str">
            <v>form_carac_factor_09_od_name15</v>
          </cell>
          <cell r="B420">
            <v>0</v>
          </cell>
          <cell r="C420">
            <v>0</v>
          </cell>
          <cell r="D420">
            <v>0</v>
          </cell>
          <cell r="E420">
            <v>0</v>
          </cell>
        </row>
        <row r="421">
          <cell r="A421" t="str">
            <v>form_carac_factor_09_od_name16</v>
          </cell>
          <cell r="B421">
            <v>0</v>
          </cell>
          <cell r="C421">
            <v>0</v>
          </cell>
          <cell r="D421">
            <v>0</v>
          </cell>
          <cell r="E421">
            <v>0</v>
          </cell>
        </row>
        <row r="422">
          <cell r="A422" t="str">
            <v>form_carac_factor_09_od_name17</v>
          </cell>
          <cell r="B422">
            <v>0</v>
          </cell>
          <cell r="C422">
            <v>0</v>
          </cell>
          <cell r="D422">
            <v>0</v>
          </cell>
          <cell r="E422">
            <v>0</v>
          </cell>
        </row>
        <row r="423">
          <cell r="A423" t="str">
            <v>form_carac_factor_09_od_name18</v>
          </cell>
          <cell r="B423">
            <v>0</v>
          </cell>
          <cell r="C423">
            <v>0</v>
          </cell>
          <cell r="D423">
            <v>0</v>
          </cell>
          <cell r="E423">
            <v>0</v>
          </cell>
        </row>
        <row r="424">
          <cell r="A424" t="str">
            <v>form_carac_factor_09_od_name19</v>
          </cell>
          <cell r="B424">
            <v>0</v>
          </cell>
          <cell r="C424">
            <v>0</v>
          </cell>
          <cell r="D424">
            <v>0</v>
          </cell>
          <cell r="E424">
            <v>0</v>
          </cell>
        </row>
        <row r="425">
          <cell r="A425" t="str">
            <v>form_carac_factor_09_od_name20</v>
          </cell>
          <cell r="B425">
            <v>0</v>
          </cell>
          <cell r="C425">
            <v>0</v>
          </cell>
          <cell r="D425">
            <v>0</v>
          </cell>
          <cell r="E425">
            <v>0</v>
          </cell>
        </row>
        <row r="426">
          <cell r="A426" t="str">
            <v>form_carac_factor_09_od_name21</v>
          </cell>
          <cell r="B426">
            <v>0</v>
          </cell>
          <cell r="C426">
            <v>0</v>
          </cell>
          <cell r="D426">
            <v>0</v>
          </cell>
          <cell r="E426">
            <v>0</v>
          </cell>
        </row>
        <row r="427">
          <cell r="A427" t="str">
            <v>form_carac_factor_09_od_name22</v>
          </cell>
          <cell r="B427">
            <v>0</v>
          </cell>
          <cell r="C427">
            <v>0</v>
          </cell>
          <cell r="D427">
            <v>0</v>
          </cell>
          <cell r="E427">
            <v>0</v>
          </cell>
        </row>
        <row r="428">
          <cell r="A428" t="str">
            <v>form_carac_factor_09_od_name23</v>
          </cell>
          <cell r="B428">
            <v>0</v>
          </cell>
          <cell r="C428">
            <v>0</v>
          </cell>
          <cell r="D428">
            <v>0</v>
          </cell>
          <cell r="E428">
            <v>0</v>
          </cell>
        </row>
        <row r="429">
          <cell r="A429" t="str">
            <v>form_carac_factor_09_od_name24</v>
          </cell>
          <cell r="B429">
            <v>0</v>
          </cell>
          <cell r="C429">
            <v>0</v>
          </cell>
          <cell r="D429">
            <v>0</v>
          </cell>
          <cell r="E429">
            <v>0</v>
          </cell>
        </row>
        <row r="430">
          <cell r="A430" t="str">
            <v>form_carac_factor_09_od_name25</v>
          </cell>
          <cell r="B430">
            <v>0</v>
          </cell>
          <cell r="C430">
            <v>0</v>
          </cell>
          <cell r="D430">
            <v>0</v>
          </cell>
          <cell r="E430">
            <v>0</v>
          </cell>
        </row>
        <row r="431">
          <cell r="A431" t="str">
            <v>form_carac_factor_09_od_name26</v>
          </cell>
          <cell r="B431">
            <v>0</v>
          </cell>
          <cell r="C431">
            <v>0</v>
          </cell>
          <cell r="D431">
            <v>0</v>
          </cell>
          <cell r="E431">
            <v>0</v>
          </cell>
        </row>
        <row r="432">
          <cell r="A432" t="str">
            <v>form_carac_factor_09_od_name27</v>
          </cell>
          <cell r="B432">
            <v>0</v>
          </cell>
          <cell r="C432">
            <v>0</v>
          </cell>
          <cell r="D432">
            <v>0</v>
          </cell>
          <cell r="E432">
            <v>0</v>
          </cell>
        </row>
        <row r="433">
          <cell r="A433" t="str">
            <v>form_carac_factor_09_od_name28</v>
          </cell>
          <cell r="B433">
            <v>0</v>
          </cell>
          <cell r="C433">
            <v>0</v>
          </cell>
          <cell r="D433">
            <v>0</v>
          </cell>
          <cell r="E433">
            <v>0</v>
          </cell>
        </row>
        <row r="434">
          <cell r="A434" t="str">
            <v>form_carac_factor_09_od_name29</v>
          </cell>
          <cell r="B434">
            <v>0</v>
          </cell>
          <cell r="C434">
            <v>0</v>
          </cell>
          <cell r="D434">
            <v>0</v>
          </cell>
          <cell r="E434">
            <v>0</v>
          </cell>
        </row>
        <row r="435">
          <cell r="A435" t="str">
            <v>form_carac_factor_09_od_name30</v>
          </cell>
          <cell r="B435">
            <v>0</v>
          </cell>
          <cell r="C435">
            <v>0</v>
          </cell>
          <cell r="D435">
            <v>0</v>
          </cell>
          <cell r="E435">
            <v>0</v>
          </cell>
        </row>
        <row r="436">
          <cell r="A436" t="str">
            <v>form_carac_factor_09_od_name31</v>
          </cell>
          <cell r="B436">
            <v>0</v>
          </cell>
          <cell r="C436">
            <v>0</v>
          </cell>
          <cell r="D436">
            <v>0</v>
          </cell>
          <cell r="E436">
            <v>0</v>
          </cell>
        </row>
        <row r="437">
          <cell r="A437" t="str">
            <v>form_carac_factor_09_od_name32</v>
          </cell>
          <cell r="B437">
            <v>0</v>
          </cell>
          <cell r="C437">
            <v>0</v>
          </cell>
          <cell r="D437">
            <v>0</v>
          </cell>
          <cell r="E437">
            <v>0</v>
          </cell>
        </row>
        <row r="438">
          <cell r="A438" t="str">
            <v>form_carac_factor_09_od_name33</v>
          </cell>
          <cell r="B438">
            <v>0</v>
          </cell>
          <cell r="C438">
            <v>0</v>
          </cell>
          <cell r="D438">
            <v>0</v>
          </cell>
          <cell r="E438">
            <v>0</v>
          </cell>
        </row>
        <row r="439">
          <cell r="A439" t="str">
            <v>form_carac_factor_09_od_name34</v>
          </cell>
          <cell r="B439">
            <v>0</v>
          </cell>
          <cell r="C439">
            <v>0</v>
          </cell>
          <cell r="D439">
            <v>0</v>
          </cell>
          <cell r="E439">
            <v>0</v>
          </cell>
        </row>
        <row r="440">
          <cell r="A440" t="str">
            <v>form_carac_factor_09_od_name35</v>
          </cell>
          <cell r="B440">
            <v>0</v>
          </cell>
          <cell r="C440">
            <v>0</v>
          </cell>
          <cell r="D440">
            <v>0</v>
          </cell>
          <cell r="E440">
            <v>0</v>
          </cell>
        </row>
        <row r="441">
          <cell r="A441" t="str">
            <v>form_carac_factor_09_od_name36</v>
          </cell>
          <cell r="B441">
            <v>0</v>
          </cell>
          <cell r="C441">
            <v>0</v>
          </cell>
          <cell r="D441">
            <v>0</v>
          </cell>
          <cell r="E441">
            <v>0</v>
          </cell>
        </row>
        <row r="442">
          <cell r="A442" t="str">
            <v>form_carac_factor_09_od_name37</v>
          </cell>
          <cell r="B442">
            <v>0</v>
          </cell>
          <cell r="C442">
            <v>0</v>
          </cell>
          <cell r="D442">
            <v>0</v>
          </cell>
          <cell r="E442">
            <v>0</v>
          </cell>
        </row>
        <row r="443">
          <cell r="A443" t="str">
            <v>form_carac_factor_09_od_name38</v>
          </cell>
          <cell r="B443">
            <v>0</v>
          </cell>
          <cell r="C443">
            <v>0</v>
          </cell>
          <cell r="D443">
            <v>0</v>
          </cell>
          <cell r="E443">
            <v>0</v>
          </cell>
        </row>
        <row r="444">
          <cell r="A444" t="str">
            <v>form_carac_factor_09_od_name39</v>
          </cell>
          <cell r="B444">
            <v>0</v>
          </cell>
          <cell r="C444">
            <v>0</v>
          </cell>
          <cell r="D444">
            <v>0</v>
          </cell>
          <cell r="E444">
            <v>0</v>
          </cell>
        </row>
        <row r="445">
          <cell r="A445" t="str">
            <v>form_carac_factor_09_od_name40</v>
          </cell>
          <cell r="B445">
            <v>0</v>
          </cell>
          <cell r="C445">
            <v>0</v>
          </cell>
          <cell r="D445">
            <v>0</v>
          </cell>
          <cell r="E445">
            <v>0</v>
          </cell>
        </row>
        <row r="446">
          <cell r="A446" t="str">
            <v>form_carac_factor_10_wc_name01</v>
          </cell>
          <cell r="B446">
            <v>1.1707829100000001E-2</v>
          </cell>
          <cell r="C446">
            <v>1.1707829100000001E-2</v>
          </cell>
          <cell r="D446">
            <v>1.1707829100000001E-2</v>
          </cell>
          <cell r="E446">
            <v>1.1707829100000001E-2</v>
          </cell>
        </row>
        <row r="447">
          <cell r="A447" t="str">
            <v>form_carac_factor_10_wc_name02</v>
          </cell>
          <cell r="B447">
            <v>4.9707031749999997E-3</v>
          </cell>
          <cell r="C447">
            <v>4.9707031749999997E-3</v>
          </cell>
          <cell r="D447">
            <v>4.9707031749999997E-3</v>
          </cell>
          <cell r="E447">
            <v>4.9707031749999997E-3</v>
          </cell>
        </row>
        <row r="448">
          <cell r="A448" t="str">
            <v>form_carac_factor_10_wc_name03</v>
          </cell>
          <cell r="B448">
            <v>0</v>
          </cell>
          <cell r="C448">
            <v>0</v>
          </cell>
          <cell r="D448">
            <v>0</v>
          </cell>
          <cell r="E448">
            <v>0</v>
          </cell>
        </row>
        <row r="449">
          <cell r="A449" t="str">
            <v>form_carac_factor_10_wc_name04</v>
          </cell>
          <cell r="B449">
            <v>0</v>
          </cell>
          <cell r="C449">
            <v>0</v>
          </cell>
          <cell r="D449">
            <v>0</v>
          </cell>
          <cell r="E449">
            <v>0</v>
          </cell>
        </row>
        <row r="450">
          <cell r="A450" t="str">
            <v>form_carac_factor_10_wc_name05</v>
          </cell>
          <cell r="B450">
            <v>0</v>
          </cell>
          <cell r="C450">
            <v>0</v>
          </cell>
          <cell r="D450">
            <v>0</v>
          </cell>
          <cell r="E450">
            <v>0</v>
          </cell>
        </row>
        <row r="451">
          <cell r="A451" t="str">
            <v>form_carac_factor_10_wc_name06</v>
          </cell>
          <cell r="B451">
            <v>0</v>
          </cell>
          <cell r="C451">
            <v>0</v>
          </cell>
          <cell r="D451">
            <v>0</v>
          </cell>
          <cell r="E451">
            <v>0</v>
          </cell>
        </row>
        <row r="452">
          <cell r="A452" t="str">
            <v>form_carac_factor_10_wc_name07</v>
          </cell>
          <cell r="B452">
            <v>0</v>
          </cell>
          <cell r="C452">
            <v>0</v>
          </cell>
          <cell r="D452">
            <v>0</v>
          </cell>
          <cell r="E452">
            <v>0</v>
          </cell>
        </row>
        <row r="453">
          <cell r="A453" t="str">
            <v>form_carac_factor_10_wc_name08</v>
          </cell>
          <cell r="B453">
            <v>0</v>
          </cell>
          <cell r="C453">
            <v>0</v>
          </cell>
          <cell r="D453">
            <v>0</v>
          </cell>
          <cell r="E453">
            <v>0</v>
          </cell>
        </row>
        <row r="454">
          <cell r="A454" t="str">
            <v>form_carac_factor_10_wc_name09</v>
          </cell>
          <cell r="B454">
            <v>0</v>
          </cell>
          <cell r="C454">
            <v>0</v>
          </cell>
          <cell r="D454">
            <v>0</v>
          </cell>
          <cell r="E454">
            <v>0</v>
          </cell>
        </row>
        <row r="455">
          <cell r="A455" t="str">
            <v>form_carac_factor_10_wc_name10</v>
          </cell>
          <cell r="B455">
            <v>0</v>
          </cell>
          <cell r="C455">
            <v>0</v>
          </cell>
          <cell r="D455">
            <v>0</v>
          </cell>
          <cell r="E455">
            <v>0</v>
          </cell>
        </row>
        <row r="456">
          <cell r="A456" t="str">
            <v>form_carac_factor_10_wc_name11</v>
          </cell>
          <cell r="B456">
            <v>0</v>
          </cell>
          <cell r="C456">
            <v>0</v>
          </cell>
          <cell r="D456">
            <v>0</v>
          </cell>
          <cell r="E456">
            <v>0</v>
          </cell>
        </row>
        <row r="457">
          <cell r="A457" t="str">
            <v>form_carac_factor_10_wc_name12</v>
          </cell>
          <cell r="B457">
            <v>0</v>
          </cell>
          <cell r="C457">
            <v>0</v>
          </cell>
          <cell r="D457">
            <v>0</v>
          </cell>
          <cell r="E457">
            <v>0</v>
          </cell>
        </row>
        <row r="458">
          <cell r="A458" t="str">
            <v>form_carac_factor_10_wc_name13</v>
          </cell>
          <cell r="B458">
            <v>0</v>
          </cell>
          <cell r="C458">
            <v>0</v>
          </cell>
          <cell r="D458">
            <v>0</v>
          </cell>
          <cell r="E458">
            <v>0</v>
          </cell>
        </row>
        <row r="459">
          <cell r="A459" t="str">
            <v>form_carac_factor_10_wc_name14</v>
          </cell>
          <cell r="B459">
            <v>0</v>
          </cell>
          <cell r="C459">
            <v>0</v>
          </cell>
          <cell r="D459">
            <v>0</v>
          </cell>
          <cell r="E459">
            <v>0</v>
          </cell>
        </row>
        <row r="460">
          <cell r="A460" t="str">
            <v>form_carac_factor_10_wc_name15</v>
          </cell>
          <cell r="B460">
            <v>0</v>
          </cell>
          <cell r="C460">
            <v>0</v>
          </cell>
          <cell r="D460">
            <v>0</v>
          </cell>
          <cell r="E460">
            <v>0</v>
          </cell>
        </row>
        <row r="461">
          <cell r="A461" t="str">
            <v>form_carac_factor_10_wc_name16</v>
          </cell>
          <cell r="B461">
            <v>0</v>
          </cell>
          <cell r="C461">
            <v>0</v>
          </cell>
          <cell r="D461">
            <v>0</v>
          </cell>
          <cell r="E461">
            <v>0</v>
          </cell>
        </row>
        <row r="462">
          <cell r="A462" t="str">
            <v>form_carac_factor_10_wc_name17</v>
          </cell>
          <cell r="B462">
            <v>0</v>
          </cell>
          <cell r="C462">
            <v>0</v>
          </cell>
          <cell r="D462">
            <v>0</v>
          </cell>
          <cell r="E462">
            <v>0</v>
          </cell>
        </row>
        <row r="463">
          <cell r="A463" t="str">
            <v>form_carac_factor_10_wc_name18</v>
          </cell>
          <cell r="B463">
            <v>0</v>
          </cell>
          <cell r="C463">
            <v>0</v>
          </cell>
          <cell r="D463">
            <v>0</v>
          </cell>
          <cell r="E463">
            <v>0</v>
          </cell>
        </row>
        <row r="464">
          <cell r="A464" t="str">
            <v>form_carac_factor_10_wc_name19</v>
          </cell>
          <cell r="B464">
            <v>0</v>
          </cell>
          <cell r="C464">
            <v>0</v>
          </cell>
          <cell r="D464">
            <v>0</v>
          </cell>
          <cell r="E464">
            <v>0</v>
          </cell>
        </row>
        <row r="465">
          <cell r="A465" t="str">
            <v>form_carac_factor_10_wc_name20</v>
          </cell>
          <cell r="B465">
            <v>0</v>
          </cell>
          <cell r="C465">
            <v>0</v>
          </cell>
          <cell r="D465">
            <v>0</v>
          </cell>
          <cell r="E465">
            <v>0</v>
          </cell>
        </row>
        <row r="466">
          <cell r="A466" t="str">
            <v>form_carac_factor_10_wc_name21</v>
          </cell>
          <cell r="B466">
            <v>0</v>
          </cell>
          <cell r="C466">
            <v>0</v>
          </cell>
          <cell r="D466">
            <v>0</v>
          </cell>
          <cell r="E466">
            <v>0</v>
          </cell>
        </row>
        <row r="467">
          <cell r="A467" t="str">
            <v>form_carac_factor_10_wc_name22</v>
          </cell>
          <cell r="B467">
            <v>0</v>
          </cell>
          <cell r="C467">
            <v>0</v>
          </cell>
          <cell r="D467">
            <v>0</v>
          </cell>
          <cell r="E467">
            <v>0</v>
          </cell>
        </row>
        <row r="468">
          <cell r="A468" t="str">
            <v>form_carac_factor_10_wc_name23</v>
          </cell>
          <cell r="B468">
            <v>0</v>
          </cell>
          <cell r="C468">
            <v>0</v>
          </cell>
          <cell r="D468">
            <v>0</v>
          </cell>
          <cell r="E468">
            <v>0</v>
          </cell>
        </row>
        <row r="469">
          <cell r="A469" t="str">
            <v>form_carac_factor_10_wc_name24</v>
          </cell>
          <cell r="B469">
            <v>0</v>
          </cell>
          <cell r="C469">
            <v>0</v>
          </cell>
          <cell r="D469">
            <v>0</v>
          </cell>
          <cell r="E469">
            <v>0</v>
          </cell>
        </row>
        <row r="470">
          <cell r="A470" t="str">
            <v>form_carac_factor_10_wc_name25</v>
          </cell>
          <cell r="B470">
            <v>0</v>
          </cell>
          <cell r="C470">
            <v>0</v>
          </cell>
          <cell r="D470">
            <v>0</v>
          </cell>
          <cell r="E470">
            <v>0</v>
          </cell>
        </row>
        <row r="471">
          <cell r="A471" t="str">
            <v>form_carac_factor_10_wc_name26</v>
          </cell>
          <cell r="B471">
            <v>0</v>
          </cell>
          <cell r="C471">
            <v>0</v>
          </cell>
          <cell r="D471">
            <v>0</v>
          </cell>
          <cell r="E471">
            <v>0</v>
          </cell>
        </row>
        <row r="472">
          <cell r="A472" t="str">
            <v>form_carac_factor_10_wc_name27</v>
          </cell>
          <cell r="B472">
            <v>0</v>
          </cell>
          <cell r="C472">
            <v>0</v>
          </cell>
          <cell r="D472">
            <v>0</v>
          </cell>
          <cell r="E472">
            <v>0</v>
          </cell>
        </row>
        <row r="473">
          <cell r="A473" t="str">
            <v>form_carac_factor_10_wc_name28</v>
          </cell>
          <cell r="B473">
            <v>0</v>
          </cell>
          <cell r="C473">
            <v>0</v>
          </cell>
          <cell r="D473">
            <v>0</v>
          </cell>
          <cell r="E473">
            <v>0</v>
          </cell>
        </row>
        <row r="474">
          <cell r="A474" t="str">
            <v>form_carac_factor_10_wc_name29</v>
          </cell>
          <cell r="B474">
            <v>0</v>
          </cell>
          <cell r="C474">
            <v>0</v>
          </cell>
          <cell r="D474">
            <v>0</v>
          </cell>
          <cell r="E474">
            <v>0</v>
          </cell>
        </row>
        <row r="475">
          <cell r="A475" t="str">
            <v>form_carac_factor_10_wc_name30</v>
          </cell>
          <cell r="B475">
            <v>0</v>
          </cell>
          <cell r="C475">
            <v>0</v>
          </cell>
          <cell r="D475">
            <v>0</v>
          </cell>
          <cell r="E475">
            <v>0</v>
          </cell>
        </row>
        <row r="476">
          <cell r="A476" t="str">
            <v>form_carac_factor_10_wc_name31</v>
          </cell>
          <cell r="B476">
            <v>0</v>
          </cell>
          <cell r="C476">
            <v>0</v>
          </cell>
          <cell r="D476">
            <v>0</v>
          </cell>
          <cell r="E476">
            <v>0</v>
          </cell>
        </row>
        <row r="477">
          <cell r="A477" t="str">
            <v>form_carac_factor_10_wc_name32</v>
          </cell>
          <cell r="B477">
            <v>0</v>
          </cell>
          <cell r="C477">
            <v>0</v>
          </cell>
          <cell r="D477">
            <v>0</v>
          </cell>
          <cell r="E477">
            <v>0</v>
          </cell>
        </row>
        <row r="478">
          <cell r="A478" t="str">
            <v>form_carac_factor_10_wc_name33</v>
          </cell>
          <cell r="B478">
            <v>0</v>
          </cell>
          <cell r="C478">
            <v>0</v>
          </cell>
          <cell r="D478">
            <v>0</v>
          </cell>
          <cell r="E478">
            <v>0</v>
          </cell>
        </row>
        <row r="479">
          <cell r="A479" t="str">
            <v>form_carac_factor_10_wc_name34</v>
          </cell>
          <cell r="B479">
            <v>0</v>
          </cell>
          <cell r="C479">
            <v>0</v>
          </cell>
          <cell r="D479">
            <v>0</v>
          </cell>
          <cell r="E479">
            <v>0</v>
          </cell>
        </row>
        <row r="480">
          <cell r="A480" t="str">
            <v>form_carac_factor_10_wc_name35</v>
          </cell>
          <cell r="B480">
            <v>0</v>
          </cell>
          <cell r="C480">
            <v>0</v>
          </cell>
          <cell r="D480">
            <v>0</v>
          </cell>
          <cell r="E480">
            <v>0</v>
          </cell>
        </row>
        <row r="481">
          <cell r="A481" t="str">
            <v>form_carac_factor_10_wc_name36</v>
          </cell>
          <cell r="B481">
            <v>0</v>
          </cell>
          <cell r="C481">
            <v>0</v>
          </cell>
          <cell r="D481">
            <v>0</v>
          </cell>
          <cell r="E481">
            <v>0</v>
          </cell>
        </row>
        <row r="482">
          <cell r="A482" t="str">
            <v>form_carac_factor_10_wc_name37</v>
          </cell>
          <cell r="B482">
            <v>0</v>
          </cell>
          <cell r="C482">
            <v>0</v>
          </cell>
          <cell r="D482">
            <v>0</v>
          </cell>
          <cell r="E482">
            <v>0</v>
          </cell>
        </row>
        <row r="483">
          <cell r="A483" t="str">
            <v>form_carac_factor_10_wc_name38</v>
          </cell>
          <cell r="B483">
            <v>0</v>
          </cell>
          <cell r="C483">
            <v>0</v>
          </cell>
          <cell r="D483">
            <v>0</v>
          </cell>
          <cell r="E483">
            <v>0</v>
          </cell>
        </row>
        <row r="484">
          <cell r="A484" t="str">
            <v>form_carac_factor_10_wc_name39</v>
          </cell>
          <cell r="B484">
            <v>0</v>
          </cell>
          <cell r="C484">
            <v>0</v>
          </cell>
          <cell r="D484">
            <v>0</v>
          </cell>
          <cell r="E484">
            <v>0</v>
          </cell>
        </row>
        <row r="485">
          <cell r="A485" t="str">
            <v>form_carac_factor_10_wc_name40</v>
          </cell>
          <cell r="B485">
            <v>0</v>
          </cell>
          <cell r="C485">
            <v>0</v>
          </cell>
          <cell r="D485">
            <v>0</v>
          </cell>
          <cell r="E485">
            <v>0</v>
          </cell>
        </row>
        <row r="486">
          <cell r="A486" t="str">
            <v>form_carac_factor_11_pm_name01</v>
          </cell>
          <cell r="B486">
            <v>1.1141265961051301E-3</v>
          </cell>
          <cell r="C486">
            <v>1.1141265961051301E-3</v>
          </cell>
          <cell r="D486">
            <v>1.1141265961051301E-3</v>
          </cell>
          <cell r="E486">
            <v>1.1141265961051301E-3</v>
          </cell>
        </row>
        <row r="487">
          <cell r="A487" t="str">
            <v>form_carac_factor_11_pm_name02</v>
          </cell>
          <cell r="B487">
            <v>1.9492229030000001E-3</v>
          </cell>
          <cell r="C487">
            <v>1.9492229030000001E-3</v>
          </cell>
          <cell r="D487">
            <v>1.9492229030000001E-3</v>
          </cell>
          <cell r="E487">
            <v>1.9492229030000001E-3</v>
          </cell>
        </row>
        <row r="488">
          <cell r="A488" t="str">
            <v>form_carac_factor_11_pm_name03</v>
          </cell>
          <cell r="B488">
            <v>0</v>
          </cell>
          <cell r="C488">
            <v>0</v>
          </cell>
          <cell r="D488">
            <v>0</v>
          </cell>
          <cell r="E488">
            <v>0</v>
          </cell>
        </row>
        <row r="489">
          <cell r="A489" t="str">
            <v>form_carac_factor_11_pm_name04</v>
          </cell>
          <cell r="B489">
            <v>0</v>
          </cell>
          <cell r="C489">
            <v>0</v>
          </cell>
          <cell r="D489">
            <v>0</v>
          </cell>
          <cell r="E489">
            <v>0</v>
          </cell>
        </row>
        <row r="490">
          <cell r="A490" t="str">
            <v>form_carac_factor_11_pm_name05</v>
          </cell>
          <cell r="B490">
            <v>0</v>
          </cell>
          <cell r="C490">
            <v>0</v>
          </cell>
          <cell r="D490">
            <v>0</v>
          </cell>
          <cell r="E490">
            <v>0</v>
          </cell>
        </row>
        <row r="491">
          <cell r="A491" t="str">
            <v>form_carac_factor_11_pm_name06</v>
          </cell>
          <cell r="B491">
            <v>0</v>
          </cell>
          <cell r="C491">
            <v>0</v>
          </cell>
          <cell r="D491">
            <v>0</v>
          </cell>
          <cell r="E491">
            <v>0</v>
          </cell>
        </row>
        <row r="492">
          <cell r="A492" t="str">
            <v>form_carac_factor_11_pm_name07</v>
          </cell>
          <cell r="B492">
            <v>0</v>
          </cell>
          <cell r="C492">
            <v>0</v>
          </cell>
          <cell r="D492">
            <v>0</v>
          </cell>
          <cell r="E492">
            <v>0</v>
          </cell>
        </row>
        <row r="493">
          <cell r="A493" t="str">
            <v>form_carac_factor_11_pm_name08</v>
          </cell>
          <cell r="B493">
            <v>0</v>
          </cell>
          <cell r="C493">
            <v>0</v>
          </cell>
          <cell r="D493">
            <v>0</v>
          </cell>
          <cell r="E493">
            <v>0</v>
          </cell>
        </row>
        <row r="494">
          <cell r="A494" t="str">
            <v>form_carac_factor_11_pm_name09</v>
          </cell>
          <cell r="B494">
            <v>0</v>
          </cell>
          <cell r="C494">
            <v>0</v>
          </cell>
          <cell r="D494">
            <v>0</v>
          </cell>
          <cell r="E494">
            <v>0</v>
          </cell>
        </row>
        <row r="495">
          <cell r="A495" t="str">
            <v>form_carac_factor_11_pm_name10</v>
          </cell>
          <cell r="B495">
            <v>0</v>
          </cell>
          <cell r="C495">
            <v>0</v>
          </cell>
          <cell r="D495">
            <v>0</v>
          </cell>
          <cell r="E495">
            <v>0</v>
          </cell>
        </row>
        <row r="496">
          <cell r="A496" t="str">
            <v>form_carac_factor_11_pm_name11</v>
          </cell>
          <cell r="B496">
            <v>0</v>
          </cell>
          <cell r="C496">
            <v>0</v>
          </cell>
          <cell r="D496">
            <v>0</v>
          </cell>
          <cell r="E496">
            <v>0</v>
          </cell>
        </row>
        <row r="497">
          <cell r="A497" t="str">
            <v>form_carac_factor_11_pm_name12</v>
          </cell>
          <cell r="B497">
            <v>0</v>
          </cell>
          <cell r="C497">
            <v>0</v>
          </cell>
          <cell r="D497">
            <v>0</v>
          </cell>
          <cell r="E497">
            <v>0</v>
          </cell>
        </row>
        <row r="498">
          <cell r="A498" t="str">
            <v>form_carac_factor_11_pm_name13</v>
          </cell>
          <cell r="B498">
            <v>0</v>
          </cell>
          <cell r="C498">
            <v>0</v>
          </cell>
          <cell r="D498">
            <v>0</v>
          </cell>
          <cell r="E498">
            <v>0</v>
          </cell>
        </row>
        <row r="499">
          <cell r="A499" t="str">
            <v>form_carac_factor_11_pm_name14</v>
          </cell>
          <cell r="B499">
            <v>0</v>
          </cell>
          <cell r="C499">
            <v>0</v>
          </cell>
          <cell r="D499">
            <v>0</v>
          </cell>
          <cell r="E499">
            <v>0</v>
          </cell>
        </row>
        <row r="500">
          <cell r="A500" t="str">
            <v>form_carac_factor_11_pm_name15</v>
          </cell>
          <cell r="B500">
            <v>0</v>
          </cell>
          <cell r="C500">
            <v>0</v>
          </cell>
          <cell r="D500">
            <v>0</v>
          </cell>
          <cell r="E500">
            <v>0</v>
          </cell>
        </row>
        <row r="501">
          <cell r="A501" t="str">
            <v>form_carac_factor_11_pm_name16</v>
          </cell>
          <cell r="B501">
            <v>0</v>
          </cell>
          <cell r="C501">
            <v>0</v>
          </cell>
          <cell r="D501">
            <v>0</v>
          </cell>
          <cell r="E501">
            <v>0</v>
          </cell>
        </row>
        <row r="502">
          <cell r="A502" t="str">
            <v>form_carac_factor_11_pm_name17</v>
          </cell>
          <cell r="B502">
            <v>0</v>
          </cell>
          <cell r="C502">
            <v>0</v>
          </cell>
          <cell r="D502">
            <v>0</v>
          </cell>
          <cell r="E502">
            <v>0</v>
          </cell>
        </row>
        <row r="503">
          <cell r="A503" t="str">
            <v>form_carac_factor_11_pm_name18</v>
          </cell>
          <cell r="B503">
            <v>0</v>
          </cell>
          <cell r="C503">
            <v>0</v>
          </cell>
          <cell r="D503">
            <v>0</v>
          </cell>
          <cell r="E503">
            <v>0</v>
          </cell>
        </row>
        <row r="504">
          <cell r="A504" t="str">
            <v>form_carac_factor_11_pm_name19</v>
          </cell>
          <cell r="B504">
            <v>0</v>
          </cell>
          <cell r="C504">
            <v>0</v>
          </cell>
          <cell r="D504">
            <v>0</v>
          </cell>
          <cell r="E504">
            <v>0</v>
          </cell>
        </row>
        <row r="505">
          <cell r="A505" t="str">
            <v>form_carac_factor_11_pm_name20</v>
          </cell>
          <cell r="B505">
            <v>0</v>
          </cell>
          <cell r="C505">
            <v>0</v>
          </cell>
          <cell r="D505">
            <v>0</v>
          </cell>
          <cell r="E505">
            <v>0</v>
          </cell>
        </row>
        <row r="506">
          <cell r="A506" t="str">
            <v>form_carac_factor_11_pm_name21</v>
          </cell>
          <cell r="B506">
            <v>0</v>
          </cell>
          <cell r="C506">
            <v>0</v>
          </cell>
          <cell r="D506">
            <v>0</v>
          </cell>
          <cell r="E506">
            <v>0</v>
          </cell>
        </row>
        <row r="507">
          <cell r="A507" t="str">
            <v>form_carac_factor_11_pm_name22</v>
          </cell>
          <cell r="B507">
            <v>0</v>
          </cell>
          <cell r="C507">
            <v>0</v>
          </cell>
          <cell r="D507">
            <v>0</v>
          </cell>
          <cell r="E507">
            <v>0</v>
          </cell>
        </row>
        <row r="508">
          <cell r="A508" t="str">
            <v>form_carac_factor_11_pm_name23</v>
          </cell>
          <cell r="B508">
            <v>0</v>
          </cell>
          <cell r="C508">
            <v>0</v>
          </cell>
          <cell r="D508">
            <v>0</v>
          </cell>
          <cell r="E508">
            <v>0</v>
          </cell>
        </row>
        <row r="509">
          <cell r="A509" t="str">
            <v>form_carac_factor_11_pm_name24</v>
          </cell>
          <cell r="B509">
            <v>0</v>
          </cell>
          <cell r="C509">
            <v>0</v>
          </cell>
          <cell r="D509">
            <v>0</v>
          </cell>
          <cell r="E509">
            <v>0</v>
          </cell>
        </row>
        <row r="510">
          <cell r="A510" t="str">
            <v>form_carac_factor_11_pm_name25</v>
          </cell>
          <cell r="B510">
            <v>0</v>
          </cell>
          <cell r="C510">
            <v>0</v>
          </cell>
          <cell r="D510">
            <v>0</v>
          </cell>
          <cell r="E510">
            <v>0</v>
          </cell>
        </row>
        <row r="511">
          <cell r="A511" t="str">
            <v>form_carac_factor_11_pm_name26</v>
          </cell>
          <cell r="B511">
            <v>0</v>
          </cell>
          <cell r="C511">
            <v>0</v>
          </cell>
          <cell r="D511">
            <v>0</v>
          </cell>
          <cell r="E511">
            <v>0</v>
          </cell>
        </row>
        <row r="512">
          <cell r="A512" t="str">
            <v>form_carac_factor_11_pm_name27</v>
          </cell>
          <cell r="B512">
            <v>0</v>
          </cell>
          <cell r="C512">
            <v>0</v>
          </cell>
          <cell r="D512">
            <v>0</v>
          </cell>
          <cell r="E512">
            <v>0</v>
          </cell>
        </row>
        <row r="513">
          <cell r="A513" t="str">
            <v>form_carac_factor_11_pm_name28</v>
          </cell>
          <cell r="B513">
            <v>0</v>
          </cell>
          <cell r="C513">
            <v>0</v>
          </cell>
          <cell r="D513">
            <v>0</v>
          </cell>
          <cell r="E513">
            <v>0</v>
          </cell>
        </row>
        <row r="514">
          <cell r="A514" t="str">
            <v>form_carac_factor_11_pm_name29</v>
          </cell>
          <cell r="B514">
            <v>0</v>
          </cell>
          <cell r="C514">
            <v>0</v>
          </cell>
          <cell r="D514">
            <v>0</v>
          </cell>
          <cell r="E514">
            <v>0</v>
          </cell>
        </row>
        <row r="515">
          <cell r="A515" t="str">
            <v>form_carac_factor_11_pm_name30</v>
          </cell>
          <cell r="B515">
            <v>0</v>
          </cell>
          <cell r="C515">
            <v>0</v>
          </cell>
          <cell r="D515">
            <v>0</v>
          </cell>
          <cell r="E515">
            <v>0</v>
          </cell>
        </row>
        <row r="516">
          <cell r="A516" t="str">
            <v>form_carac_factor_11_pm_name31</v>
          </cell>
          <cell r="B516">
            <v>0</v>
          </cell>
          <cell r="C516">
            <v>0</v>
          </cell>
          <cell r="D516">
            <v>0</v>
          </cell>
          <cell r="E516">
            <v>0</v>
          </cell>
        </row>
        <row r="517">
          <cell r="A517" t="str">
            <v>form_carac_factor_11_pm_name32</v>
          </cell>
          <cell r="B517">
            <v>0</v>
          </cell>
          <cell r="C517">
            <v>0</v>
          </cell>
          <cell r="D517">
            <v>0</v>
          </cell>
          <cell r="E517">
            <v>0</v>
          </cell>
        </row>
        <row r="518">
          <cell r="A518" t="str">
            <v>form_carac_factor_11_pm_name33</v>
          </cell>
          <cell r="B518">
            <v>0</v>
          </cell>
          <cell r="C518">
            <v>0</v>
          </cell>
          <cell r="D518">
            <v>0</v>
          </cell>
          <cell r="E518">
            <v>0</v>
          </cell>
        </row>
        <row r="519">
          <cell r="A519" t="str">
            <v>form_carac_factor_11_pm_name34</v>
          </cell>
          <cell r="B519">
            <v>0</v>
          </cell>
          <cell r="C519">
            <v>0</v>
          </cell>
          <cell r="D519">
            <v>0</v>
          </cell>
          <cell r="E519">
            <v>0</v>
          </cell>
        </row>
        <row r="520">
          <cell r="A520" t="str">
            <v>form_carac_factor_11_pm_name35</v>
          </cell>
          <cell r="B520">
            <v>0</v>
          </cell>
          <cell r="C520">
            <v>0</v>
          </cell>
          <cell r="D520">
            <v>0</v>
          </cell>
          <cell r="E520">
            <v>0</v>
          </cell>
        </row>
        <row r="521">
          <cell r="A521" t="str">
            <v>form_carac_factor_11_pm_name36</v>
          </cell>
          <cell r="B521">
            <v>0</v>
          </cell>
          <cell r="C521">
            <v>0</v>
          </cell>
          <cell r="D521">
            <v>0</v>
          </cell>
          <cell r="E521">
            <v>0</v>
          </cell>
        </row>
        <row r="522">
          <cell r="A522" t="str">
            <v>form_carac_factor_11_pm_name37</v>
          </cell>
          <cell r="B522">
            <v>0</v>
          </cell>
          <cell r="C522">
            <v>0</v>
          </cell>
          <cell r="D522">
            <v>0</v>
          </cell>
          <cell r="E522">
            <v>0</v>
          </cell>
        </row>
        <row r="523">
          <cell r="A523" t="str">
            <v>form_carac_factor_11_pm_name38</v>
          </cell>
          <cell r="B523">
            <v>0</v>
          </cell>
          <cell r="C523">
            <v>0</v>
          </cell>
          <cell r="D523">
            <v>0</v>
          </cell>
          <cell r="E523">
            <v>0</v>
          </cell>
        </row>
        <row r="524">
          <cell r="A524" t="str">
            <v>form_carac_factor_11_pm_name39</v>
          </cell>
          <cell r="B524">
            <v>0</v>
          </cell>
          <cell r="C524">
            <v>0</v>
          </cell>
          <cell r="D524">
            <v>0</v>
          </cell>
          <cell r="E524">
            <v>0</v>
          </cell>
        </row>
        <row r="525">
          <cell r="A525" t="str">
            <v>form_carac_factor_11_pm_name40</v>
          </cell>
          <cell r="B525">
            <v>0</v>
          </cell>
          <cell r="C525">
            <v>0</v>
          </cell>
          <cell r="D525">
            <v>0</v>
          </cell>
          <cell r="E525">
            <v>0</v>
          </cell>
        </row>
        <row r="526">
          <cell r="A526" t="str">
            <v>form_carac_factor_12_te_name01</v>
          </cell>
          <cell r="B526">
            <v>4.2371478987E-2</v>
          </cell>
          <cell r="C526">
            <v>4.2371478987E-2</v>
          </cell>
          <cell r="D526">
            <v>4.2371478987E-2</v>
          </cell>
          <cell r="E526">
            <v>4.2371478987E-2</v>
          </cell>
        </row>
        <row r="527">
          <cell r="A527" t="str">
            <v>form_carac_factor_12_te_name02</v>
          </cell>
          <cell r="B527">
            <v>5.762954445E-2</v>
          </cell>
          <cell r="C527">
            <v>5.762954445E-2</v>
          </cell>
          <cell r="D527">
            <v>5.762954445E-2</v>
          </cell>
          <cell r="E527">
            <v>5.762954445E-2</v>
          </cell>
        </row>
        <row r="528">
          <cell r="A528" t="str">
            <v>form_carac_factor_12_te_name03</v>
          </cell>
          <cell r="B528">
            <v>0</v>
          </cell>
          <cell r="C528">
            <v>0</v>
          </cell>
          <cell r="D528">
            <v>0</v>
          </cell>
          <cell r="E528">
            <v>0</v>
          </cell>
        </row>
        <row r="529">
          <cell r="A529" t="str">
            <v>form_carac_factor_12_te_name04</v>
          </cell>
          <cell r="B529">
            <v>0</v>
          </cell>
          <cell r="C529">
            <v>0</v>
          </cell>
          <cell r="D529">
            <v>0</v>
          </cell>
          <cell r="E529">
            <v>0</v>
          </cell>
        </row>
        <row r="530">
          <cell r="A530" t="str">
            <v>form_carac_factor_12_te_name05</v>
          </cell>
          <cell r="B530">
            <v>0</v>
          </cell>
          <cell r="C530">
            <v>0</v>
          </cell>
          <cell r="D530">
            <v>0</v>
          </cell>
          <cell r="E530">
            <v>0</v>
          </cell>
        </row>
        <row r="531">
          <cell r="A531" t="str">
            <v>form_carac_factor_12_te_name06</v>
          </cell>
          <cell r="B531">
            <v>0</v>
          </cell>
          <cell r="C531">
            <v>0</v>
          </cell>
          <cell r="D531">
            <v>0</v>
          </cell>
          <cell r="E531">
            <v>0</v>
          </cell>
        </row>
        <row r="532">
          <cell r="A532" t="str">
            <v>form_carac_factor_12_te_name07</v>
          </cell>
          <cell r="B532">
            <v>0</v>
          </cell>
          <cell r="C532">
            <v>0</v>
          </cell>
          <cell r="D532">
            <v>0</v>
          </cell>
          <cell r="E532">
            <v>0</v>
          </cell>
        </row>
        <row r="533">
          <cell r="A533" t="str">
            <v>form_carac_factor_12_te_name08</v>
          </cell>
          <cell r="B533">
            <v>0</v>
          </cell>
          <cell r="C533">
            <v>0</v>
          </cell>
          <cell r="D533">
            <v>0</v>
          </cell>
          <cell r="E533">
            <v>0</v>
          </cell>
        </row>
        <row r="534">
          <cell r="A534" t="str">
            <v>form_carac_factor_12_te_name09</v>
          </cell>
          <cell r="B534">
            <v>0</v>
          </cell>
          <cell r="C534">
            <v>0</v>
          </cell>
          <cell r="D534">
            <v>0</v>
          </cell>
          <cell r="E534">
            <v>0</v>
          </cell>
        </row>
        <row r="535">
          <cell r="A535" t="str">
            <v>form_carac_factor_12_te_name10</v>
          </cell>
          <cell r="B535">
            <v>0</v>
          </cell>
          <cell r="C535">
            <v>0</v>
          </cell>
          <cell r="D535">
            <v>0</v>
          </cell>
          <cell r="E535">
            <v>0</v>
          </cell>
        </row>
        <row r="536">
          <cell r="A536" t="str">
            <v>form_carac_factor_12_te_name11</v>
          </cell>
          <cell r="B536">
            <v>0</v>
          </cell>
          <cell r="C536">
            <v>0</v>
          </cell>
          <cell r="D536">
            <v>0</v>
          </cell>
          <cell r="E536">
            <v>0</v>
          </cell>
        </row>
        <row r="537">
          <cell r="A537" t="str">
            <v>form_carac_factor_12_te_name12</v>
          </cell>
          <cell r="B537">
            <v>0</v>
          </cell>
          <cell r="C537">
            <v>0</v>
          </cell>
          <cell r="D537">
            <v>0</v>
          </cell>
          <cell r="E537">
            <v>0</v>
          </cell>
        </row>
        <row r="538">
          <cell r="A538" t="str">
            <v>form_carac_factor_12_te_name13</v>
          </cell>
          <cell r="B538">
            <v>0</v>
          </cell>
          <cell r="C538">
            <v>0</v>
          </cell>
          <cell r="D538">
            <v>0</v>
          </cell>
          <cell r="E538">
            <v>0</v>
          </cell>
        </row>
        <row r="539">
          <cell r="A539" t="str">
            <v>form_carac_factor_12_te_name14</v>
          </cell>
          <cell r="B539">
            <v>0</v>
          </cell>
          <cell r="C539">
            <v>0</v>
          </cell>
          <cell r="D539">
            <v>0</v>
          </cell>
          <cell r="E539">
            <v>0</v>
          </cell>
        </row>
        <row r="540">
          <cell r="A540" t="str">
            <v>form_carac_factor_12_te_name15</v>
          </cell>
          <cell r="B540">
            <v>0</v>
          </cell>
          <cell r="C540">
            <v>0</v>
          </cell>
          <cell r="D540">
            <v>0</v>
          </cell>
          <cell r="E540">
            <v>0</v>
          </cell>
        </row>
        <row r="541">
          <cell r="A541" t="str">
            <v>form_carac_factor_12_te_name16</v>
          </cell>
          <cell r="B541">
            <v>0</v>
          </cell>
          <cell r="C541">
            <v>0</v>
          </cell>
          <cell r="D541">
            <v>0</v>
          </cell>
          <cell r="E541">
            <v>0</v>
          </cell>
        </row>
        <row r="542">
          <cell r="A542" t="str">
            <v>form_carac_factor_12_te_name17</v>
          </cell>
          <cell r="B542">
            <v>0</v>
          </cell>
          <cell r="C542">
            <v>0</v>
          </cell>
          <cell r="D542">
            <v>0</v>
          </cell>
          <cell r="E542">
            <v>0</v>
          </cell>
        </row>
        <row r="543">
          <cell r="A543" t="str">
            <v>form_carac_factor_12_te_name18</v>
          </cell>
          <cell r="B543">
            <v>0</v>
          </cell>
          <cell r="C543">
            <v>0</v>
          </cell>
          <cell r="D543">
            <v>0</v>
          </cell>
          <cell r="E543">
            <v>0</v>
          </cell>
        </row>
        <row r="544">
          <cell r="A544" t="str">
            <v>form_carac_factor_12_te_name19</v>
          </cell>
          <cell r="B544">
            <v>0</v>
          </cell>
          <cell r="C544">
            <v>0</v>
          </cell>
          <cell r="D544">
            <v>0</v>
          </cell>
          <cell r="E544">
            <v>0</v>
          </cell>
        </row>
        <row r="545">
          <cell r="A545" t="str">
            <v>form_carac_factor_12_te_name20</v>
          </cell>
          <cell r="B545">
            <v>0</v>
          </cell>
          <cell r="C545">
            <v>0</v>
          </cell>
          <cell r="D545">
            <v>0</v>
          </cell>
          <cell r="E545">
            <v>0</v>
          </cell>
        </row>
        <row r="546">
          <cell r="A546" t="str">
            <v>form_carac_factor_12_te_name21</v>
          </cell>
          <cell r="B546">
            <v>0</v>
          </cell>
          <cell r="C546">
            <v>0</v>
          </cell>
          <cell r="D546">
            <v>0</v>
          </cell>
          <cell r="E546">
            <v>0</v>
          </cell>
        </row>
        <row r="547">
          <cell r="A547" t="str">
            <v>form_carac_factor_12_te_name22</v>
          </cell>
          <cell r="B547">
            <v>0</v>
          </cell>
          <cell r="C547">
            <v>0</v>
          </cell>
          <cell r="D547">
            <v>0</v>
          </cell>
          <cell r="E547">
            <v>0</v>
          </cell>
        </row>
        <row r="548">
          <cell r="A548" t="str">
            <v>form_carac_factor_12_te_name23</v>
          </cell>
          <cell r="B548">
            <v>0</v>
          </cell>
          <cell r="C548">
            <v>0</v>
          </cell>
          <cell r="D548">
            <v>0</v>
          </cell>
          <cell r="E548">
            <v>0</v>
          </cell>
        </row>
        <row r="549">
          <cell r="A549" t="str">
            <v>form_carac_factor_12_te_name24</v>
          </cell>
          <cell r="B549">
            <v>0</v>
          </cell>
          <cell r="C549">
            <v>0</v>
          </cell>
          <cell r="D549">
            <v>0</v>
          </cell>
          <cell r="E549">
            <v>0</v>
          </cell>
        </row>
        <row r="550">
          <cell r="A550" t="str">
            <v>form_carac_factor_12_te_name25</v>
          </cell>
          <cell r="B550">
            <v>0</v>
          </cell>
          <cell r="C550">
            <v>0</v>
          </cell>
          <cell r="D550">
            <v>0</v>
          </cell>
          <cell r="E550">
            <v>0</v>
          </cell>
        </row>
        <row r="551">
          <cell r="A551" t="str">
            <v>form_carac_factor_12_te_name26</v>
          </cell>
          <cell r="B551">
            <v>0</v>
          </cell>
          <cell r="C551">
            <v>0</v>
          </cell>
          <cell r="D551">
            <v>0</v>
          </cell>
          <cell r="E551">
            <v>0</v>
          </cell>
        </row>
        <row r="552">
          <cell r="A552" t="str">
            <v>form_carac_factor_12_te_name27</v>
          </cell>
          <cell r="B552">
            <v>0</v>
          </cell>
          <cell r="C552">
            <v>0</v>
          </cell>
          <cell r="D552">
            <v>0</v>
          </cell>
          <cell r="E552">
            <v>0</v>
          </cell>
        </row>
        <row r="553">
          <cell r="A553" t="str">
            <v>form_carac_factor_12_te_name28</v>
          </cell>
          <cell r="B553">
            <v>0</v>
          </cell>
          <cell r="C553">
            <v>0</v>
          </cell>
          <cell r="D553">
            <v>0</v>
          </cell>
          <cell r="E553">
            <v>0</v>
          </cell>
        </row>
        <row r="554">
          <cell r="A554" t="str">
            <v>form_carac_factor_12_te_name29</v>
          </cell>
          <cell r="B554">
            <v>0</v>
          </cell>
          <cell r="C554">
            <v>0</v>
          </cell>
          <cell r="D554">
            <v>0</v>
          </cell>
          <cell r="E554">
            <v>0</v>
          </cell>
        </row>
        <row r="555">
          <cell r="A555" t="str">
            <v>form_carac_factor_12_te_name30</v>
          </cell>
          <cell r="B555">
            <v>0</v>
          </cell>
          <cell r="C555">
            <v>0</v>
          </cell>
          <cell r="D555">
            <v>0</v>
          </cell>
          <cell r="E555">
            <v>0</v>
          </cell>
        </row>
        <row r="556">
          <cell r="A556" t="str">
            <v>form_carac_factor_12_te_name31</v>
          </cell>
          <cell r="B556">
            <v>0</v>
          </cell>
          <cell r="C556">
            <v>0</v>
          </cell>
          <cell r="D556">
            <v>0</v>
          </cell>
          <cell r="E556">
            <v>0</v>
          </cell>
        </row>
        <row r="557">
          <cell r="A557" t="str">
            <v>form_carac_factor_12_te_name32</v>
          </cell>
          <cell r="B557">
            <v>0</v>
          </cell>
          <cell r="C557">
            <v>0</v>
          </cell>
          <cell r="D557">
            <v>0</v>
          </cell>
          <cell r="E557">
            <v>0</v>
          </cell>
        </row>
        <row r="558">
          <cell r="A558" t="str">
            <v>form_carac_factor_12_te_name33</v>
          </cell>
          <cell r="B558">
            <v>0</v>
          </cell>
          <cell r="C558">
            <v>0</v>
          </cell>
          <cell r="D558">
            <v>0</v>
          </cell>
          <cell r="E558">
            <v>0</v>
          </cell>
        </row>
        <row r="559">
          <cell r="A559" t="str">
            <v>form_carac_factor_12_te_name34</v>
          </cell>
          <cell r="B559">
            <v>0</v>
          </cell>
          <cell r="C559">
            <v>0</v>
          </cell>
          <cell r="D559">
            <v>0</v>
          </cell>
          <cell r="E559">
            <v>0</v>
          </cell>
        </row>
        <row r="560">
          <cell r="A560" t="str">
            <v>form_carac_factor_12_te_name35</v>
          </cell>
          <cell r="B560">
            <v>0</v>
          </cell>
          <cell r="C560">
            <v>0</v>
          </cell>
          <cell r="D560">
            <v>0</v>
          </cell>
          <cell r="E560">
            <v>0</v>
          </cell>
        </row>
        <row r="561">
          <cell r="A561" t="str">
            <v>form_carac_factor_12_te_name36</v>
          </cell>
          <cell r="B561">
            <v>0</v>
          </cell>
          <cell r="C561">
            <v>0</v>
          </cell>
          <cell r="D561">
            <v>0</v>
          </cell>
          <cell r="E561">
            <v>0</v>
          </cell>
        </row>
        <row r="562">
          <cell r="A562" t="str">
            <v>form_carac_factor_12_te_name37</v>
          </cell>
          <cell r="B562">
            <v>0</v>
          </cell>
          <cell r="C562">
            <v>0</v>
          </cell>
          <cell r="D562">
            <v>0</v>
          </cell>
          <cell r="E562">
            <v>0</v>
          </cell>
        </row>
        <row r="563">
          <cell r="A563" t="str">
            <v>form_carac_factor_12_te_name38</v>
          </cell>
          <cell r="B563">
            <v>0</v>
          </cell>
          <cell r="C563">
            <v>0</v>
          </cell>
          <cell r="D563">
            <v>0</v>
          </cell>
          <cell r="E563">
            <v>0</v>
          </cell>
        </row>
        <row r="564">
          <cell r="A564" t="str">
            <v>form_carac_factor_12_te_name39</v>
          </cell>
          <cell r="B564">
            <v>0</v>
          </cell>
          <cell r="C564">
            <v>0</v>
          </cell>
          <cell r="D564">
            <v>0</v>
          </cell>
          <cell r="E564">
            <v>0</v>
          </cell>
        </row>
        <row r="565">
          <cell r="A565" t="str">
            <v>form_carac_factor_12_te_name40</v>
          </cell>
          <cell r="B565">
            <v>0</v>
          </cell>
          <cell r="C565">
            <v>0</v>
          </cell>
          <cell r="D565">
            <v>0</v>
          </cell>
          <cell r="E565">
            <v>0</v>
          </cell>
        </row>
        <row r="566">
          <cell r="A566" t="str">
            <v>form_carac_factor_13_ir_name01</v>
          </cell>
          <cell r="B566">
            <v>0.169055891831</v>
          </cell>
          <cell r="C566">
            <v>0.169055891831</v>
          </cell>
          <cell r="D566">
            <v>0.169055891831</v>
          </cell>
          <cell r="E566">
            <v>0.169055891831</v>
          </cell>
        </row>
        <row r="567">
          <cell r="A567" t="str">
            <v>form_carac_factor_13_ir_name02</v>
          </cell>
          <cell r="B567">
            <v>4.3747081788999997E-2</v>
          </cell>
          <cell r="C567">
            <v>4.3747081788999997E-2</v>
          </cell>
          <cell r="D567">
            <v>4.3747081788999997E-2</v>
          </cell>
          <cell r="E567">
            <v>4.3747081788999997E-2</v>
          </cell>
        </row>
        <row r="568">
          <cell r="A568" t="str">
            <v>form_carac_factor_13_ir_name03</v>
          </cell>
          <cell r="B568">
            <v>0</v>
          </cell>
          <cell r="C568">
            <v>0</v>
          </cell>
          <cell r="D568">
            <v>0</v>
          </cell>
          <cell r="E568">
            <v>0</v>
          </cell>
        </row>
        <row r="569">
          <cell r="A569" t="str">
            <v>form_carac_factor_13_ir_name04</v>
          </cell>
          <cell r="B569">
            <v>0</v>
          </cell>
          <cell r="C569">
            <v>0</v>
          </cell>
          <cell r="D569">
            <v>0</v>
          </cell>
          <cell r="E569">
            <v>0</v>
          </cell>
        </row>
        <row r="570">
          <cell r="A570" t="str">
            <v>form_carac_factor_13_ir_name05</v>
          </cell>
          <cell r="B570">
            <v>0</v>
          </cell>
          <cell r="C570">
            <v>0</v>
          </cell>
          <cell r="D570">
            <v>0</v>
          </cell>
          <cell r="E570">
            <v>0</v>
          </cell>
        </row>
        <row r="571">
          <cell r="A571" t="str">
            <v>form_carac_factor_13_ir_name06</v>
          </cell>
          <cell r="B571">
            <v>0</v>
          </cell>
          <cell r="C571">
            <v>0</v>
          </cell>
          <cell r="D571">
            <v>0</v>
          </cell>
          <cell r="E571">
            <v>0</v>
          </cell>
        </row>
        <row r="572">
          <cell r="A572" t="str">
            <v>form_carac_factor_13_ir_name07</v>
          </cell>
          <cell r="B572">
            <v>0</v>
          </cell>
          <cell r="C572">
            <v>0</v>
          </cell>
          <cell r="D572">
            <v>0</v>
          </cell>
          <cell r="E572">
            <v>0</v>
          </cell>
        </row>
        <row r="573">
          <cell r="A573" t="str">
            <v>form_carac_factor_13_ir_name08</v>
          </cell>
          <cell r="B573">
            <v>0</v>
          </cell>
          <cell r="C573">
            <v>0</v>
          </cell>
          <cell r="D573">
            <v>0</v>
          </cell>
          <cell r="E573">
            <v>0</v>
          </cell>
        </row>
        <row r="574">
          <cell r="A574" t="str">
            <v>form_carac_factor_13_ir_name09</v>
          </cell>
          <cell r="B574">
            <v>0</v>
          </cell>
          <cell r="C574">
            <v>0</v>
          </cell>
          <cell r="D574">
            <v>0</v>
          </cell>
          <cell r="E574">
            <v>0</v>
          </cell>
        </row>
        <row r="575">
          <cell r="A575" t="str">
            <v>form_carac_factor_13_ir_name10</v>
          </cell>
          <cell r="B575">
            <v>0</v>
          </cell>
          <cell r="C575">
            <v>0</v>
          </cell>
          <cell r="D575">
            <v>0</v>
          </cell>
          <cell r="E575">
            <v>0</v>
          </cell>
        </row>
        <row r="576">
          <cell r="A576" t="str">
            <v>form_carac_factor_13_ir_name11</v>
          </cell>
          <cell r="B576">
            <v>0</v>
          </cell>
          <cell r="C576">
            <v>0</v>
          </cell>
          <cell r="D576">
            <v>0</v>
          </cell>
          <cell r="E576">
            <v>0</v>
          </cell>
        </row>
        <row r="577">
          <cell r="A577" t="str">
            <v>form_carac_factor_13_ir_name12</v>
          </cell>
          <cell r="B577">
            <v>0</v>
          </cell>
          <cell r="C577">
            <v>0</v>
          </cell>
          <cell r="D577">
            <v>0</v>
          </cell>
          <cell r="E577">
            <v>0</v>
          </cell>
        </row>
        <row r="578">
          <cell r="A578" t="str">
            <v>form_carac_factor_13_ir_name13</v>
          </cell>
          <cell r="B578">
            <v>0</v>
          </cell>
          <cell r="C578">
            <v>0</v>
          </cell>
          <cell r="D578">
            <v>0</v>
          </cell>
          <cell r="E578">
            <v>0</v>
          </cell>
        </row>
        <row r="579">
          <cell r="A579" t="str">
            <v>form_carac_factor_13_ir_name14</v>
          </cell>
          <cell r="B579">
            <v>0</v>
          </cell>
          <cell r="C579">
            <v>0</v>
          </cell>
          <cell r="D579">
            <v>0</v>
          </cell>
          <cell r="E579">
            <v>0</v>
          </cell>
        </row>
        <row r="580">
          <cell r="A580" t="str">
            <v>form_carac_factor_13_ir_name15</v>
          </cell>
          <cell r="B580">
            <v>0</v>
          </cell>
          <cell r="C580">
            <v>0</v>
          </cell>
          <cell r="D580">
            <v>0</v>
          </cell>
          <cell r="E580">
            <v>0</v>
          </cell>
        </row>
        <row r="581">
          <cell r="A581" t="str">
            <v>form_carac_factor_13_ir_name16</v>
          </cell>
          <cell r="B581">
            <v>0</v>
          </cell>
          <cell r="C581">
            <v>0</v>
          </cell>
          <cell r="D581">
            <v>0</v>
          </cell>
          <cell r="E581">
            <v>0</v>
          </cell>
        </row>
        <row r="582">
          <cell r="A582" t="str">
            <v>form_carac_factor_13_ir_name17</v>
          </cell>
          <cell r="B582">
            <v>0</v>
          </cell>
          <cell r="C582">
            <v>0</v>
          </cell>
          <cell r="D582">
            <v>0</v>
          </cell>
          <cell r="E582">
            <v>0</v>
          </cell>
        </row>
        <row r="583">
          <cell r="A583" t="str">
            <v>form_carac_factor_13_ir_name18</v>
          </cell>
          <cell r="B583">
            <v>0</v>
          </cell>
          <cell r="C583">
            <v>0</v>
          </cell>
          <cell r="D583">
            <v>0</v>
          </cell>
          <cell r="E583">
            <v>0</v>
          </cell>
        </row>
        <row r="584">
          <cell r="A584" t="str">
            <v>form_carac_factor_13_ir_name19</v>
          </cell>
          <cell r="B584">
            <v>0</v>
          </cell>
          <cell r="C584">
            <v>0</v>
          </cell>
          <cell r="D584">
            <v>0</v>
          </cell>
          <cell r="E584">
            <v>0</v>
          </cell>
        </row>
        <row r="585">
          <cell r="A585" t="str">
            <v>form_carac_factor_13_ir_name20</v>
          </cell>
          <cell r="B585">
            <v>0</v>
          </cell>
          <cell r="C585">
            <v>0</v>
          </cell>
          <cell r="D585">
            <v>0</v>
          </cell>
          <cell r="E585">
            <v>0</v>
          </cell>
        </row>
        <row r="586">
          <cell r="A586" t="str">
            <v>form_carac_factor_13_ir_name21</v>
          </cell>
          <cell r="B586">
            <v>0</v>
          </cell>
          <cell r="C586">
            <v>0</v>
          </cell>
          <cell r="D586">
            <v>0</v>
          </cell>
          <cell r="E586">
            <v>0</v>
          </cell>
        </row>
        <row r="587">
          <cell r="A587" t="str">
            <v>form_carac_factor_13_ir_name22</v>
          </cell>
          <cell r="B587">
            <v>0</v>
          </cell>
          <cell r="C587">
            <v>0</v>
          </cell>
          <cell r="D587">
            <v>0</v>
          </cell>
          <cell r="E587">
            <v>0</v>
          </cell>
        </row>
        <row r="588">
          <cell r="A588" t="str">
            <v>form_carac_factor_13_ir_name23</v>
          </cell>
          <cell r="B588">
            <v>0</v>
          </cell>
          <cell r="C588">
            <v>0</v>
          </cell>
          <cell r="D588">
            <v>0</v>
          </cell>
          <cell r="E588">
            <v>0</v>
          </cell>
        </row>
        <row r="589">
          <cell r="A589" t="str">
            <v>form_carac_factor_13_ir_name24</v>
          </cell>
          <cell r="B589">
            <v>0</v>
          </cell>
          <cell r="C589">
            <v>0</v>
          </cell>
          <cell r="D589">
            <v>0</v>
          </cell>
          <cell r="E589">
            <v>0</v>
          </cell>
        </row>
        <row r="590">
          <cell r="A590" t="str">
            <v>form_carac_factor_13_ir_name25</v>
          </cell>
          <cell r="B590">
            <v>0</v>
          </cell>
          <cell r="C590">
            <v>0</v>
          </cell>
          <cell r="D590">
            <v>0</v>
          </cell>
          <cell r="E590">
            <v>0</v>
          </cell>
        </row>
        <row r="591">
          <cell r="A591" t="str">
            <v>form_carac_factor_13_ir_name26</v>
          </cell>
          <cell r="B591">
            <v>0</v>
          </cell>
          <cell r="C591">
            <v>0</v>
          </cell>
          <cell r="D591">
            <v>0</v>
          </cell>
          <cell r="E591">
            <v>0</v>
          </cell>
        </row>
        <row r="592">
          <cell r="A592" t="str">
            <v>form_carac_factor_13_ir_name27</v>
          </cell>
          <cell r="B592">
            <v>0</v>
          </cell>
          <cell r="C592">
            <v>0</v>
          </cell>
          <cell r="D592">
            <v>0</v>
          </cell>
          <cell r="E592">
            <v>0</v>
          </cell>
        </row>
        <row r="593">
          <cell r="A593" t="str">
            <v>form_carac_factor_13_ir_name28</v>
          </cell>
          <cell r="B593">
            <v>0</v>
          </cell>
          <cell r="C593">
            <v>0</v>
          </cell>
          <cell r="D593">
            <v>0</v>
          </cell>
          <cell r="E593">
            <v>0</v>
          </cell>
        </row>
        <row r="594">
          <cell r="A594" t="str">
            <v>form_carac_factor_13_ir_name29</v>
          </cell>
          <cell r="B594">
            <v>0</v>
          </cell>
          <cell r="C594">
            <v>0</v>
          </cell>
          <cell r="D594">
            <v>0</v>
          </cell>
          <cell r="E594">
            <v>0</v>
          </cell>
        </row>
        <row r="595">
          <cell r="A595" t="str">
            <v>form_carac_factor_13_ir_name30</v>
          </cell>
          <cell r="B595">
            <v>0</v>
          </cell>
          <cell r="C595">
            <v>0</v>
          </cell>
          <cell r="D595">
            <v>0</v>
          </cell>
          <cell r="E595">
            <v>0</v>
          </cell>
        </row>
        <row r="596">
          <cell r="A596" t="str">
            <v>form_carac_factor_13_ir_name31</v>
          </cell>
          <cell r="B596">
            <v>0</v>
          </cell>
          <cell r="C596">
            <v>0</v>
          </cell>
          <cell r="D596">
            <v>0</v>
          </cell>
          <cell r="E596">
            <v>0</v>
          </cell>
        </row>
        <row r="597">
          <cell r="A597" t="str">
            <v>form_carac_factor_13_ir_name32</v>
          </cell>
          <cell r="B597">
            <v>0</v>
          </cell>
          <cell r="C597">
            <v>0</v>
          </cell>
          <cell r="D597">
            <v>0</v>
          </cell>
          <cell r="E597">
            <v>0</v>
          </cell>
        </row>
        <row r="598">
          <cell r="A598" t="str">
            <v>form_carac_factor_13_ir_name33</v>
          </cell>
          <cell r="B598">
            <v>0</v>
          </cell>
          <cell r="C598">
            <v>0</v>
          </cell>
          <cell r="D598">
            <v>0</v>
          </cell>
          <cell r="E598">
            <v>0</v>
          </cell>
        </row>
        <row r="599">
          <cell r="A599" t="str">
            <v>form_carac_factor_13_ir_name34</v>
          </cell>
          <cell r="B599">
            <v>0</v>
          </cell>
          <cell r="C599">
            <v>0</v>
          </cell>
          <cell r="D599">
            <v>0</v>
          </cell>
          <cell r="E599">
            <v>0</v>
          </cell>
        </row>
        <row r="600">
          <cell r="A600" t="str">
            <v>form_carac_factor_13_ir_name35</v>
          </cell>
          <cell r="B600">
            <v>0</v>
          </cell>
          <cell r="C600">
            <v>0</v>
          </cell>
          <cell r="D600">
            <v>0</v>
          </cell>
          <cell r="E600">
            <v>0</v>
          </cell>
        </row>
        <row r="601">
          <cell r="A601" t="str">
            <v>form_carac_factor_13_ir_name36</v>
          </cell>
          <cell r="B601">
            <v>0</v>
          </cell>
          <cell r="C601">
            <v>0</v>
          </cell>
          <cell r="D601">
            <v>0</v>
          </cell>
          <cell r="E601">
            <v>0</v>
          </cell>
        </row>
        <row r="602">
          <cell r="A602" t="str">
            <v>form_carac_factor_13_ir_name37</v>
          </cell>
          <cell r="B602">
            <v>0</v>
          </cell>
          <cell r="C602">
            <v>0</v>
          </cell>
          <cell r="D602">
            <v>0</v>
          </cell>
          <cell r="E602">
            <v>0</v>
          </cell>
        </row>
        <row r="603">
          <cell r="A603" t="str">
            <v>form_carac_factor_13_ir_name38</v>
          </cell>
          <cell r="B603">
            <v>0</v>
          </cell>
          <cell r="C603">
            <v>0</v>
          </cell>
          <cell r="D603">
            <v>0</v>
          </cell>
          <cell r="E603">
            <v>0</v>
          </cell>
        </row>
        <row r="604">
          <cell r="A604" t="str">
            <v>form_carac_factor_13_ir_name39</v>
          </cell>
          <cell r="B604">
            <v>0</v>
          </cell>
          <cell r="C604">
            <v>0</v>
          </cell>
          <cell r="D604">
            <v>0</v>
          </cell>
          <cell r="E604">
            <v>0</v>
          </cell>
        </row>
        <row r="605">
          <cell r="A605" t="str">
            <v>form_carac_factor_13_ir_name40</v>
          </cell>
          <cell r="B605">
            <v>0</v>
          </cell>
          <cell r="C605">
            <v>0</v>
          </cell>
          <cell r="D605">
            <v>0</v>
          </cell>
          <cell r="E605">
            <v>0</v>
          </cell>
        </row>
        <row r="606">
          <cell r="A606" t="str">
            <v>form_carac_factor_14_lu_name01</v>
          </cell>
          <cell r="B606">
            <v>5.1133182143019997</v>
          </cell>
          <cell r="C606">
            <v>5.1133182143019997</v>
          </cell>
          <cell r="D606">
            <v>5.1133182143019997</v>
          </cell>
          <cell r="E606">
            <v>5.1133182143019997</v>
          </cell>
        </row>
        <row r="607">
          <cell r="A607" t="str">
            <v>form_carac_factor_14_lu_name02</v>
          </cell>
          <cell r="B607">
            <v>77.871813380000006</v>
          </cell>
          <cell r="C607">
            <v>77.871813380000006</v>
          </cell>
          <cell r="D607">
            <v>77.871813380000006</v>
          </cell>
          <cell r="E607">
            <v>77.871813380000006</v>
          </cell>
        </row>
        <row r="608">
          <cell r="A608" t="str">
            <v>form_carac_factor_14_lu_name03</v>
          </cell>
          <cell r="B608">
            <v>0</v>
          </cell>
          <cell r="C608">
            <v>0</v>
          </cell>
          <cell r="D608">
            <v>0</v>
          </cell>
          <cell r="E608">
            <v>0</v>
          </cell>
        </row>
        <row r="609">
          <cell r="A609" t="str">
            <v>form_carac_factor_14_lu_name04</v>
          </cell>
          <cell r="B609">
            <v>0</v>
          </cell>
          <cell r="C609">
            <v>0</v>
          </cell>
          <cell r="D609">
            <v>0</v>
          </cell>
          <cell r="E609">
            <v>0</v>
          </cell>
        </row>
        <row r="610">
          <cell r="A610" t="str">
            <v>form_carac_factor_14_lu_name05</v>
          </cell>
          <cell r="B610">
            <v>0</v>
          </cell>
          <cell r="C610">
            <v>0</v>
          </cell>
          <cell r="D610">
            <v>0</v>
          </cell>
          <cell r="E610">
            <v>0</v>
          </cell>
        </row>
        <row r="611">
          <cell r="A611" t="str">
            <v>form_carac_factor_14_lu_name06</v>
          </cell>
          <cell r="B611">
            <v>0</v>
          </cell>
          <cell r="C611">
            <v>0</v>
          </cell>
          <cell r="D611">
            <v>0</v>
          </cell>
          <cell r="E611">
            <v>0</v>
          </cell>
        </row>
        <row r="612">
          <cell r="A612" t="str">
            <v>form_carac_factor_14_lu_name07</v>
          </cell>
          <cell r="B612">
            <v>0</v>
          </cell>
          <cell r="C612">
            <v>0</v>
          </cell>
          <cell r="D612">
            <v>0</v>
          </cell>
          <cell r="E612">
            <v>0</v>
          </cell>
        </row>
        <row r="613">
          <cell r="A613" t="str">
            <v>form_carac_factor_14_lu_name08</v>
          </cell>
          <cell r="B613">
            <v>0</v>
          </cell>
          <cell r="C613">
            <v>0</v>
          </cell>
          <cell r="D613">
            <v>0</v>
          </cell>
          <cell r="E613">
            <v>0</v>
          </cell>
        </row>
        <row r="614">
          <cell r="A614" t="str">
            <v>form_carac_factor_14_lu_name09</v>
          </cell>
          <cell r="B614">
            <v>0</v>
          </cell>
          <cell r="C614">
            <v>0</v>
          </cell>
          <cell r="D614">
            <v>0</v>
          </cell>
          <cell r="E614">
            <v>0</v>
          </cell>
        </row>
        <row r="615">
          <cell r="A615" t="str">
            <v>form_carac_factor_14_lu_name10</v>
          </cell>
          <cell r="B615">
            <v>0</v>
          </cell>
          <cell r="C615">
            <v>0</v>
          </cell>
          <cell r="D615">
            <v>0</v>
          </cell>
          <cell r="E615">
            <v>0</v>
          </cell>
        </row>
        <row r="616">
          <cell r="A616" t="str">
            <v>form_carac_factor_14_lu_name11</v>
          </cell>
          <cell r="B616">
            <v>0</v>
          </cell>
          <cell r="C616">
            <v>0</v>
          </cell>
          <cell r="D616">
            <v>0</v>
          </cell>
          <cell r="E616">
            <v>0</v>
          </cell>
        </row>
        <row r="617">
          <cell r="A617" t="str">
            <v>form_carac_factor_14_lu_name12</v>
          </cell>
          <cell r="B617">
            <v>0</v>
          </cell>
          <cell r="C617">
            <v>0</v>
          </cell>
          <cell r="D617">
            <v>0</v>
          </cell>
          <cell r="E617">
            <v>0</v>
          </cell>
        </row>
        <row r="618">
          <cell r="A618" t="str">
            <v>form_carac_factor_14_lu_name13</v>
          </cell>
          <cell r="B618">
            <v>0</v>
          </cell>
          <cell r="C618">
            <v>0</v>
          </cell>
          <cell r="D618">
            <v>0</v>
          </cell>
          <cell r="E618">
            <v>0</v>
          </cell>
        </row>
        <row r="619">
          <cell r="A619" t="str">
            <v>form_carac_factor_14_lu_name14</v>
          </cell>
          <cell r="B619">
            <v>0</v>
          </cell>
          <cell r="C619">
            <v>0</v>
          </cell>
          <cell r="D619">
            <v>0</v>
          </cell>
          <cell r="E619">
            <v>0</v>
          </cell>
        </row>
        <row r="620">
          <cell r="A620" t="str">
            <v>form_carac_factor_14_lu_name15</v>
          </cell>
          <cell r="B620">
            <v>0</v>
          </cell>
          <cell r="C620">
            <v>0</v>
          </cell>
          <cell r="D620">
            <v>0</v>
          </cell>
          <cell r="E620">
            <v>0</v>
          </cell>
        </row>
        <row r="621">
          <cell r="A621" t="str">
            <v>form_carac_factor_14_lu_name16</v>
          </cell>
          <cell r="B621">
            <v>0</v>
          </cell>
          <cell r="C621">
            <v>0</v>
          </cell>
          <cell r="D621">
            <v>0</v>
          </cell>
          <cell r="E621">
            <v>0</v>
          </cell>
        </row>
        <row r="622">
          <cell r="A622" t="str">
            <v>form_carac_factor_14_lu_name17</v>
          </cell>
          <cell r="B622">
            <v>0</v>
          </cell>
          <cell r="C622">
            <v>0</v>
          </cell>
          <cell r="D622">
            <v>0</v>
          </cell>
          <cell r="E622">
            <v>0</v>
          </cell>
        </row>
        <row r="623">
          <cell r="A623" t="str">
            <v>form_carac_factor_14_lu_name18</v>
          </cell>
          <cell r="B623">
            <v>0</v>
          </cell>
          <cell r="C623">
            <v>0</v>
          </cell>
          <cell r="D623">
            <v>0</v>
          </cell>
          <cell r="E623">
            <v>0</v>
          </cell>
        </row>
        <row r="624">
          <cell r="A624" t="str">
            <v>form_carac_factor_14_lu_name19</v>
          </cell>
          <cell r="B624">
            <v>0</v>
          </cell>
          <cell r="C624">
            <v>0</v>
          </cell>
          <cell r="D624">
            <v>0</v>
          </cell>
          <cell r="E624">
            <v>0</v>
          </cell>
        </row>
        <row r="625">
          <cell r="A625" t="str">
            <v>form_carac_factor_14_lu_name20</v>
          </cell>
          <cell r="B625">
            <v>0</v>
          </cell>
          <cell r="C625">
            <v>0</v>
          </cell>
          <cell r="D625">
            <v>0</v>
          </cell>
          <cell r="E625">
            <v>0</v>
          </cell>
        </row>
        <row r="626">
          <cell r="A626" t="str">
            <v>form_carac_factor_14_lu_name21</v>
          </cell>
          <cell r="B626">
            <v>0</v>
          </cell>
          <cell r="C626">
            <v>0</v>
          </cell>
          <cell r="D626">
            <v>0</v>
          </cell>
          <cell r="E626">
            <v>0</v>
          </cell>
        </row>
        <row r="627">
          <cell r="A627" t="str">
            <v>form_carac_factor_14_lu_name22</v>
          </cell>
          <cell r="B627">
            <v>0</v>
          </cell>
          <cell r="C627">
            <v>0</v>
          </cell>
          <cell r="D627">
            <v>0</v>
          </cell>
          <cell r="E627">
            <v>0</v>
          </cell>
        </row>
        <row r="628">
          <cell r="A628" t="str">
            <v>form_carac_factor_14_lu_name23</v>
          </cell>
          <cell r="B628">
            <v>0</v>
          </cell>
          <cell r="C628">
            <v>0</v>
          </cell>
          <cell r="D628">
            <v>0</v>
          </cell>
          <cell r="E628">
            <v>0</v>
          </cell>
        </row>
        <row r="629">
          <cell r="A629" t="str">
            <v>form_carac_factor_14_lu_name24</v>
          </cell>
          <cell r="B629">
            <v>0</v>
          </cell>
          <cell r="C629">
            <v>0</v>
          </cell>
          <cell r="D629">
            <v>0</v>
          </cell>
          <cell r="E629">
            <v>0</v>
          </cell>
        </row>
        <row r="630">
          <cell r="A630" t="str">
            <v>form_carac_factor_14_lu_name25</v>
          </cell>
          <cell r="B630">
            <v>0</v>
          </cell>
          <cell r="C630">
            <v>0</v>
          </cell>
          <cell r="D630">
            <v>0</v>
          </cell>
          <cell r="E630">
            <v>0</v>
          </cell>
        </row>
        <row r="631">
          <cell r="A631" t="str">
            <v>form_carac_factor_14_lu_name26</v>
          </cell>
          <cell r="B631">
            <v>0</v>
          </cell>
          <cell r="C631">
            <v>0</v>
          </cell>
          <cell r="D631">
            <v>0</v>
          </cell>
          <cell r="E631">
            <v>0</v>
          </cell>
        </row>
        <row r="632">
          <cell r="A632" t="str">
            <v>form_carac_factor_14_lu_name27</v>
          </cell>
          <cell r="B632">
            <v>0</v>
          </cell>
          <cell r="C632">
            <v>0</v>
          </cell>
          <cell r="D632">
            <v>0</v>
          </cell>
          <cell r="E632">
            <v>0</v>
          </cell>
        </row>
        <row r="633">
          <cell r="A633" t="str">
            <v>form_carac_factor_14_lu_name28</v>
          </cell>
          <cell r="B633">
            <v>0</v>
          </cell>
          <cell r="C633">
            <v>0</v>
          </cell>
          <cell r="D633">
            <v>0</v>
          </cell>
          <cell r="E633">
            <v>0</v>
          </cell>
        </row>
        <row r="634">
          <cell r="A634" t="str">
            <v>form_carac_factor_14_lu_name29</v>
          </cell>
          <cell r="B634">
            <v>0</v>
          </cell>
          <cell r="C634">
            <v>0</v>
          </cell>
          <cell r="D634">
            <v>0</v>
          </cell>
          <cell r="E634">
            <v>0</v>
          </cell>
        </row>
        <row r="635">
          <cell r="A635" t="str">
            <v>form_carac_factor_14_lu_name30</v>
          </cell>
          <cell r="B635">
            <v>0</v>
          </cell>
          <cell r="C635">
            <v>0</v>
          </cell>
          <cell r="D635">
            <v>0</v>
          </cell>
          <cell r="E635">
            <v>0</v>
          </cell>
        </row>
        <row r="636">
          <cell r="A636" t="str">
            <v>form_carac_factor_14_lu_name31</v>
          </cell>
          <cell r="B636">
            <v>0</v>
          </cell>
          <cell r="C636">
            <v>0</v>
          </cell>
          <cell r="D636">
            <v>0</v>
          </cell>
          <cell r="E636">
            <v>0</v>
          </cell>
        </row>
        <row r="637">
          <cell r="A637" t="str">
            <v>form_carac_factor_14_lu_name32</v>
          </cell>
          <cell r="B637">
            <v>0</v>
          </cell>
          <cell r="C637">
            <v>0</v>
          </cell>
          <cell r="D637">
            <v>0</v>
          </cell>
          <cell r="E637">
            <v>0</v>
          </cell>
        </row>
        <row r="638">
          <cell r="A638" t="str">
            <v>form_carac_factor_14_lu_name33</v>
          </cell>
          <cell r="B638">
            <v>0</v>
          </cell>
          <cell r="C638">
            <v>0</v>
          </cell>
          <cell r="D638">
            <v>0</v>
          </cell>
          <cell r="E638">
            <v>0</v>
          </cell>
        </row>
        <row r="639">
          <cell r="A639" t="str">
            <v>form_carac_factor_14_lu_name34</v>
          </cell>
          <cell r="B639">
            <v>0</v>
          </cell>
          <cell r="C639">
            <v>0</v>
          </cell>
          <cell r="D639">
            <v>0</v>
          </cell>
          <cell r="E639">
            <v>0</v>
          </cell>
        </row>
        <row r="640">
          <cell r="A640" t="str">
            <v>form_carac_factor_14_lu_name35</v>
          </cell>
          <cell r="B640">
            <v>0</v>
          </cell>
          <cell r="C640">
            <v>0</v>
          </cell>
          <cell r="D640">
            <v>0</v>
          </cell>
          <cell r="E640">
            <v>0</v>
          </cell>
        </row>
        <row r="641">
          <cell r="A641" t="str">
            <v>form_carac_factor_14_lu_name36</v>
          </cell>
          <cell r="B641">
            <v>0</v>
          </cell>
          <cell r="C641">
            <v>0</v>
          </cell>
          <cell r="D641">
            <v>0</v>
          </cell>
          <cell r="E641">
            <v>0</v>
          </cell>
        </row>
        <row r="642">
          <cell r="A642" t="str">
            <v>form_carac_factor_14_lu_name37</v>
          </cell>
          <cell r="B642">
            <v>0</v>
          </cell>
          <cell r="C642">
            <v>0</v>
          </cell>
          <cell r="D642">
            <v>0</v>
          </cell>
          <cell r="E642">
            <v>0</v>
          </cell>
        </row>
        <row r="643">
          <cell r="A643" t="str">
            <v>form_carac_factor_14_lu_name38</v>
          </cell>
          <cell r="B643">
            <v>0</v>
          </cell>
          <cell r="C643">
            <v>0</v>
          </cell>
          <cell r="D643">
            <v>0</v>
          </cell>
          <cell r="E643">
            <v>0</v>
          </cell>
        </row>
        <row r="644">
          <cell r="A644" t="str">
            <v>form_carac_factor_14_lu_name39</v>
          </cell>
          <cell r="B644">
            <v>0</v>
          </cell>
          <cell r="C644">
            <v>0</v>
          </cell>
          <cell r="D644">
            <v>0</v>
          </cell>
          <cell r="E644">
            <v>0</v>
          </cell>
        </row>
        <row r="645">
          <cell r="A645" t="str">
            <v>form_carac_factor_14_lu_name40</v>
          </cell>
          <cell r="B645">
            <v>0</v>
          </cell>
          <cell r="C645">
            <v>0</v>
          </cell>
          <cell r="D645">
            <v>0</v>
          </cell>
          <cell r="E645">
            <v>0</v>
          </cell>
        </row>
        <row r="646">
          <cell r="A646" t="str">
            <v>form_cocamide_diethanolamine</v>
          </cell>
          <cell r="B646">
            <v>0</v>
          </cell>
          <cell r="C646">
            <v>0</v>
          </cell>
          <cell r="D646">
            <v>0</v>
          </cell>
          <cell r="E646">
            <v>0</v>
          </cell>
        </row>
        <row r="647">
          <cell r="A647" t="str">
            <v>form_cocoate</v>
          </cell>
          <cell r="B647">
            <v>0</v>
          </cell>
          <cell r="C647">
            <v>0</v>
          </cell>
          <cell r="D647">
            <v>0</v>
          </cell>
          <cell r="E647">
            <v>0</v>
          </cell>
        </row>
        <row r="648">
          <cell r="A648" t="str">
            <v>form_colorants</v>
          </cell>
          <cell r="B648">
            <v>1E-3</v>
          </cell>
          <cell r="C648">
            <v>1E-3</v>
          </cell>
          <cell r="D648">
            <v>1E-3</v>
          </cell>
          <cell r="E648">
            <v>1E-3</v>
          </cell>
        </row>
        <row r="649">
          <cell r="A649" t="str">
            <v>form_enzymes</v>
          </cell>
          <cell r="B649">
            <v>2.605</v>
          </cell>
          <cell r="C649">
            <v>2.605</v>
          </cell>
          <cell r="D649">
            <v>2.605</v>
          </cell>
          <cell r="E649">
            <v>2.605</v>
          </cell>
        </row>
        <row r="650">
          <cell r="A650" t="str">
            <v>form_fatty_alcohol_etho_c16_c18</v>
          </cell>
          <cell r="B650">
            <v>0</v>
          </cell>
          <cell r="C650">
            <v>0</v>
          </cell>
          <cell r="D650">
            <v>0</v>
          </cell>
          <cell r="E650">
            <v>0</v>
          </cell>
        </row>
        <row r="651">
          <cell r="A651" t="str">
            <v>form_glycerin</v>
          </cell>
          <cell r="B651">
            <v>0</v>
          </cell>
          <cell r="C651">
            <v>0</v>
          </cell>
          <cell r="D651">
            <v>0</v>
          </cell>
          <cell r="E651">
            <v>0</v>
          </cell>
        </row>
        <row r="652">
          <cell r="A652" t="str">
            <v>form_glycerin_palmoil</v>
          </cell>
          <cell r="B652">
            <v>0</v>
          </cell>
          <cell r="C652">
            <v>0</v>
          </cell>
          <cell r="D652">
            <v>0</v>
          </cell>
          <cell r="E652">
            <v>0</v>
          </cell>
        </row>
        <row r="653">
          <cell r="A653" t="str">
            <v>form_glycerin_rapeoil</v>
          </cell>
          <cell r="B653">
            <v>0</v>
          </cell>
          <cell r="C653">
            <v>0</v>
          </cell>
          <cell r="D653">
            <v>0</v>
          </cell>
          <cell r="E653">
            <v>0</v>
          </cell>
        </row>
        <row r="654">
          <cell r="A654" t="str">
            <v>form_glycerin_soybeanoil</v>
          </cell>
          <cell r="B654">
            <v>0</v>
          </cell>
          <cell r="C654">
            <v>0</v>
          </cell>
          <cell r="D654">
            <v>0</v>
          </cell>
          <cell r="E654">
            <v>0</v>
          </cell>
        </row>
        <row r="655">
          <cell r="A655" t="str">
            <v>form_glycerin_soybeanoil_br</v>
          </cell>
          <cell r="B655">
            <v>0</v>
          </cell>
          <cell r="C655">
            <v>0</v>
          </cell>
          <cell r="D655">
            <v>0</v>
          </cell>
          <cell r="E655">
            <v>0</v>
          </cell>
        </row>
        <row r="656">
          <cell r="A656" t="str">
            <v>form_glycerin_vegetable</v>
          </cell>
          <cell r="B656">
            <v>0.03</v>
          </cell>
          <cell r="C656">
            <v>0.03</v>
          </cell>
          <cell r="D656">
            <v>0.03</v>
          </cell>
          <cell r="E656">
            <v>0.03</v>
          </cell>
        </row>
        <row r="657">
          <cell r="A657" t="str">
            <v>form_l_super_c_fu_density</v>
          </cell>
          <cell r="B657">
            <v>1.077</v>
          </cell>
          <cell r="C657">
            <v>1.077</v>
          </cell>
          <cell r="D657">
            <v>1.077</v>
          </cell>
          <cell r="E657">
            <v>1.077</v>
          </cell>
        </row>
        <row r="658">
          <cell r="A658" t="str">
            <v>form_l_super_c_fu_volume</v>
          </cell>
          <cell r="B658">
            <v>35</v>
          </cell>
          <cell r="C658">
            <v>35</v>
          </cell>
          <cell r="D658">
            <v>35</v>
          </cell>
          <cell r="E658">
            <v>35</v>
          </cell>
        </row>
        <row r="659">
          <cell r="A659" t="str">
            <v>form_las</v>
          </cell>
          <cell r="B659">
            <v>11.535</v>
          </cell>
          <cell r="C659">
            <v>11.535</v>
          </cell>
          <cell r="D659">
            <v>11.535</v>
          </cell>
          <cell r="E659">
            <v>11.535</v>
          </cell>
        </row>
        <row r="660">
          <cell r="A660" t="str">
            <v>form_las_petro_oleo</v>
          </cell>
          <cell r="B660">
            <v>0</v>
          </cell>
          <cell r="C660">
            <v>0</v>
          </cell>
          <cell r="D660">
            <v>0</v>
          </cell>
          <cell r="E660">
            <v>0</v>
          </cell>
        </row>
        <row r="661">
          <cell r="A661" t="str">
            <v>form_name01</v>
          </cell>
          <cell r="B661">
            <v>6.2</v>
          </cell>
          <cell r="C661">
            <v>6.2</v>
          </cell>
          <cell r="D661">
            <v>6.2</v>
          </cell>
          <cell r="E661">
            <v>6.2</v>
          </cell>
        </row>
        <row r="662">
          <cell r="A662" t="str">
            <v>form_name02</v>
          </cell>
          <cell r="B662">
            <v>3.5</v>
          </cell>
          <cell r="C662">
            <v>3.5</v>
          </cell>
          <cell r="D662">
            <v>3.5</v>
          </cell>
          <cell r="E662">
            <v>3.5</v>
          </cell>
        </row>
        <row r="663">
          <cell r="A663" t="str">
            <v>form_name03</v>
          </cell>
          <cell r="B663">
            <v>0</v>
          </cell>
          <cell r="C663">
            <v>0</v>
          </cell>
          <cell r="D663">
            <v>0</v>
          </cell>
          <cell r="E663">
            <v>0</v>
          </cell>
        </row>
        <row r="664">
          <cell r="A664" t="str">
            <v>form_name04</v>
          </cell>
          <cell r="B664">
            <v>0</v>
          </cell>
          <cell r="C664">
            <v>0</v>
          </cell>
          <cell r="D664">
            <v>0</v>
          </cell>
          <cell r="E664">
            <v>0</v>
          </cell>
        </row>
        <row r="665">
          <cell r="A665" t="str">
            <v>form_name05</v>
          </cell>
          <cell r="B665">
            <v>0</v>
          </cell>
          <cell r="C665">
            <v>0</v>
          </cell>
          <cell r="D665">
            <v>0</v>
          </cell>
          <cell r="E665">
            <v>0</v>
          </cell>
        </row>
        <row r="666">
          <cell r="A666" t="str">
            <v>form_name06</v>
          </cell>
          <cell r="B666">
            <v>0</v>
          </cell>
          <cell r="C666">
            <v>0</v>
          </cell>
          <cell r="D666">
            <v>0</v>
          </cell>
          <cell r="E666">
            <v>0</v>
          </cell>
        </row>
        <row r="667">
          <cell r="A667" t="str">
            <v>form_name07</v>
          </cell>
          <cell r="B667">
            <v>0</v>
          </cell>
          <cell r="C667">
            <v>0</v>
          </cell>
          <cell r="D667">
            <v>0</v>
          </cell>
          <cell r="E667">
            <v>0</v>
          </cell>
        </row>
        <row r="668">
          <cell r="A668" t="str">
            <v>form_name08</v>
          </cell>
          <cell r="B668">
            <v>0</v>
          </cell>
          <cell r="C668">
            <v>0</v>
          </cell>
          <cell r="D668">
            <v>0</v>
          </cell>
          <cell r="E668">
            <v>0</v>
          </cell>
        </row>
        <row r="669">
          <cell r="A669" t="str">
            <v>form_name09</v>
          </cell>
          <cell r="B669">
            <v>0</v>
          </cell>
          <cell r="C669">
            <v>0</v>
          </cell>
          <cell r="D669">
            <v>0</v>
          </cell>
          <cell r="E669">
            <v>0</v>
          </cell>
        </row>
        <row r="670">
          <cell r="A670" t="str">
            <v>form_name10</v>
          </cell>
          <cell r="B670">
            <v>0</v>
          </cell>
          <cell r="C670">
            <v>0</v>
          </cell>
          <cell r="D670">
            <v>0</v>
          </cell>
          <cell r="E670">
            <v>0</v>
          </cell>
        </row>
        <row r="671">
          <cell r="A671" t="str">
            <v>form_name11</v>
          </cell>
          <cell r="B671">
            <v>0</v>
          </cell>
          <cell r="C671">
            <v>0</v>
          </cell>
          <cell r="D671">
            <v>0</v>
          </cell>
          <cell r="E671">
            <v>0</v>
          </cell>
        </row>
        <row r="672">
          <cell r="A672" t="str">
            <v>form_name12</v>
          </cell>
          <cell r="B672">
            <v>0</v>
          </cell>
          <cell r="C672">
            <v>0</v>
          </cell>
          <cell r="D672">
            <v>0</v>
          </cell>
          <cell r="E672">
            <v>0</v>
          </cell>
        </row>
        <row r="673">
          <cell r="A673" t="str">
            <v>form_name13</v>
          </cell>
          <cell r="B673">
            <v>0</v>
          </cell>
          <cell r="C673">
            <v>0</v>
          </cell>
          <cell r="D673">
            <v>0</v>
          </cell>
          <cell r="E673">
            <v>0</v>
          </cell>
        </row>
        <row r="674">
          <cell r="A674" t="str">
            <v>form_name14</v>
          </cell>
          <cell r="B674">
            <v>0</v>
          </cell>
          <cell r="C674">
            <v>0</v>
          </cell>
          <cell r="D674">
            <v>0</v>
          </cell>
          <cell r="E674">
            <v>0</v>
          </cell>
        </row>
        <row r="675">
          <cell r="A675" t="str">
            <v>form_name15</v>
          </cell>
          <cell r="B675">
            <v>0</v>
          </cell>
          <cell r="C675">
            <v>0</v>
          </cell>
          <cell r="D675">
            <v>0</v>
          </cell>
          <cell r="E675">
            <v>0</v>
          </cell>
        </row>
        <row r="676">
          <cell r="A676" t="str">
            <v>form_name16</v>
          </cell>
          <cell r="B676">
            <v>0</v>
          </cell>
          <cell r="C676">
            <v>0</v>
          </cell>
          <cell r="D676">
            <v>0</v>
          </cell>
          <cell r="E676">
            <v>0</v>
          </cell>
        </row>
        <row r="677">
          <cell r="A677" t="str">
            <v>form_name17</v>
          </cell>
          <cell r="B677">
            <v>0</v>
          </cell>
          <cell r="C677">
            <v>0</v>
          </cell>
          <cell r="D677">
            <v>0</v>
          </cell>
          <cell r="E677">
            <v>0</v>
          </cell>
        </row>
        <row r="678">
          <cell r="A678" t="str">
            <v>form_name18</v>
          </cell>
          <cell r="B678">
            <v>0</v>
          </cell>
          <cell r="C678">
            <v>0</v>
          </cell>
          <cell r="D678">
            <v>0</v>
          </cell>
          <cell r="E678">
            <v>0</v>
          </cell>
        </row>
        <row r="679">
          <cell r="A679" t="str">
            <v>form_name19</v>
          </cell>
          <cell r="B679">
            <v>0</v>
          </cell>
          <cell r="C679">
            <v>0</v>
          </cell>
          <cell r="D679">
            <v>0</v>
          </cell>
          <cell r="E679">
            <v>0</v>
          </cell>
        </row>
        <row r="680">
          <cell r="A680" t="str">
            <v>form_name20</v>
          </cell>
          <cell r="B680">
            <v>0</v>
          </cell>
          <cell r="C680">
            <v>0</v>
          </cell>
          <cell r="D680">
            <v>0</v>
          </cell>
          <cell r="E680">
            <v>0</v>
          </cell>
        </row>
        <row r="681">
          <cell r="A681" t="str">
            <v>form_name21</v>
          </cell>
          <cell r="B681">
            <v>0</v>
          </cell>
          <cell r="C681">
            <v>0</v>
          </cell>
          <cell r="D681">
            <v>0</v>
          </cell>
          <cell r="E681">
            <v>0</v>
          </cell>
        </row>
        <row r="682">
          <cell r="A682" t="str">
            <v>form_name22</v>
          </cell>
          <cell r="B682">
            <v>0</v>
          </cell>
          <cell r="C682">
            <v>0</v>
          </cell>
          <cell r="D682">
            <v>0</v>
          </cell>
          <cell r="E682">
            <v>0</v>
          </cell>
        </row>
        <row r="683">
          <cell r="A683" t="str">
            <v>form_name23</v>
          </cell>
          <cell r="B683">
            <v>0</v>
          </cell>
          <cell r="C683">
            <v>0</v>
          </cell>
          <cell r="D683">
            <v>0</v>
          </cell>
          <cell r="E683">
            <v>0</v>
          </cell>
        </row>
        <row r="684">
          <cell r="A684" t="str">
            <v>form_name24</v>
          </cell>
          <cell r="B684">
            <v>0</v>
          </cell>
          <cell r="C684">
            <v>0</v>
          </cell>
          <cell r="D684">
            <v>0</v>
          </cell>
          <cell r="E684">
            <v>0</v>
          </cell>
        </row>
        <row r="685">
          <cell r="A685" t="str">
            <v>form_name25</v>
          </cell>
          <cell r="B685">
            <v>0</v>
          </cell>
          <cell r="C685">
            <v>0</v>
          </cell>
          <cell r="D685">
            <v>0</v>
          </cell>
          <cell r="E685">
            <v>0</v>
          </cell>
        </row>
        <row r="686">
          <cell r="A686" t="str">
            <v>form_name26</v>
          </cell>
          <cell r="B686">
            <v>0</v>
          </cell>
          <cell r="C686">
            <v>0</v>
          </cell>
          <cell r="D686">
            <v>0</v>
          </cell>
          <cell r="E686">
            <v>0</v>
          </cell>
        </row>
        <row r="687">
          <cell r="A687" t="str">
            <v>form_name27</v>
          </cell>
          <cell r="B687">
            <v>0</v>
          </cell>
          <cell r="C687">
            <v>0</v>
          </cell>
          <cell r="D687">
            <v>0</v>
          </cell>
          <cell r="E687">
            <v>0</v>
          </cell>
        </row>
        <row r="688">
          <cell r="A688" t="str">
            <v>form_name28</v>
          </cell>
          <cell r="B688">
            <v>0</v>
          </cell>
          <cell r="C688">
            <v>0</v>
          </cell>
          <cell r="D688">
            <v>0</v>
          </cell>
          <cell r="E688">
            <v>0</v>
          </cell>
        </row>
        <row r="689">
          <cell r="A689" t="str">
            <v>form_name29</v>
          </cell>
          <cell r="B689">
            <v>0</v>
          </cell>
          <cell r="C689">
            <v>0</v>
          </cell>
          <cell r="D689">
            <v>0</v>
          </cell>
          <cell r="E689">
            <v>0</v>
          </cell>
        </row>
        <row r="690">
          <cell r="A690" t="str">
            <v>form_name30</v>
          </cell>
          <cell r="B690">
            <v>0</v>
          </cell>
          <cell r="C690">
            <v>0</v>
          </cell>
          <cell r="D690">
            <v>0</v>
          </cell>
          <cell r="E690">
            <v>0</v>
          </cell>
        </row>
        <row r="691">
          <cell r="A691" t="str">
            <v>form_name31</v>
          </cell>
          <cell r="B691">
            <v>0</v>
          </cell>
          <cell r="C691">
            <v>0</v>
          </cell>
          <cell r="D691">
            <v>0</v>
          </cell>
          <cell r="E691">
            <v>0</v>
          </cell>
        </row>
        <row r="692">
          <cell r="A692" t="str">
            <v>form_name32</v>
          </cell>
          <cell r="B692">
            <v>0</v>
          </cell>
          <cell r="C692">
            <v>0</v>
          </cell>
          <cell r="D692">
            <v>0</v>
          </cell>
          <cell r="E692">
            <v>0</v>
          </cell>
        </row>
        <row r="693">
          <cell r="A693" t="str">
            <v>form_name33</v>
          </cell>
          <cell r="B693">
            <v>0</v>
          </cell>
          <cell r="C693">
            <v>0</v>
          </cell>
          <cell r="D693">
            <v>0</v>
          </cell>
          <cell r="E693">
            <v>0</v>
          </cell>
        </row>
        <row r="694">
          <cell r="A694" t="str">
            <v>form_name34</v>
          </cell>
          <cell r="B694">
            <v>0</v>
          </cell>
          <cell r="C694">
            <v>0</v>
          </cell>
          <cell r="D694">
            <v>0</v>
          </cell>
          <cell r="E694">
            <v>0</v>
          </cell>
        </row>
        <row r="695">
          <cell r="A695" t="str">
            <v>form_name35</v>
          </cell>
          <cell r="B695">
            <v>0</v>
          </cell>
          <cell r="C695">
            <v>0</v>
          </cell>
          <cell r="D695">
            <v>0</v>
          </cell>
          <cell r="E695">
            <v>0</v>
          </cell>
        </row>
        <row r="696">
          <cell r="A696" t="str">
            <v>form_name36</v>
          </cell>
          <cell r="B696">
            <v>0</v>
          </cell>
          <cell r="C696">
            <v>0</v>
          </cell>
          <cell r="D696">
            <v>0</v>
          </cell>
          <cell r="E696">
            <v>0</v>
          </cell>
        </row>
        <row r="697">
          <cell r="A697" t="str">
            <v>form_name37</v>
          </cell>
          <cell r="B697">
            <v>0</v>
          </cell>
          <cell r="C697">
            <v>0</v>
          </cell>
          <cell r="D697">
            <v>0</v>
          </cell>
          <cell r="E697">
            <v>0</v>
          </cell>
        </row>
        <row r="698">
          <cell r="A698" t="str">
            <v>form_name38</v>
          </cell>
          <cell r="B698">
            <v>0</v>
          </cell>
          <cell r="C698">
            <v>0</v>
          </cell>
          <cell r="D698">
            <v>0</v>
          </cell>
          <cell r="E698">
            <v>0</v>
          </cell>
        </row>
        <row r="699">
          <cell r="A699" t="str">
            <v>form_name39</v>
          </cell>
          <cell r="B699">
            <v>0</v>
          </cell>
          <cell r="C699">
            <v>0</v>
          </cell>
          <cell r="D699">
            <v>0</v>
          </cell>
          <cell r="E699">
            <v>0</v>
          </cell>
        </row>
        <row r="700">
          <cell r="A700" t="str">
            <v>form_name40</v>
          </cell>
          <cell r="B700">
            <v>0</v>
          </cell>
          <cell r="C700">
            <v>0</v>
          </cell>
          <cell r="D700">
            <v>0</v>
          </cell>
          <cell r="E700">
            <v>0</v>
          </cell>
        </row>
        <row r="701">
          <cell r="A701" t="str">
            <v>form_non_ionic_surf_c1214_20mol</v>
          </cell>
          <cell r="B701">
            <v>0</v>
          </cell>
          <cell r="C701">
            <v>0</v>
          </cell>
          <cell r="D701">
            <v>0</v>
          </cell>
          <cell r="E701">
            <v>0</v>
          </cell>
        </row>
        <row r="702">
          <cell r="A702" t="str">
            <v>form_non_ionic_surf_c1214_3mol</v>
          </cell>
          <cell r="B702">
            <v>0</v>
          </cell>
          <cell r="C702">
            <v>0</v>
          </cell>
          <cell r="D702">
            <v>0</v>
          </cell>
          <cell r="E702">
            <v>0</v>
          </cell>
        </row>
        <row r="703">
          <cell r="A703" t="str">
            <v>form_non_ionic_surf_c1214_7mol</v>
          </cell>
          <cell r="B703">
            <v>0</v>
          </cell>
          <cell r="C703">
            <v>0</v>
          </cell>
          <cell r="D703">
            <v>0</v>
          </cell>
          <cell r="E703">
            <v>0</v>
          </cell>
        </row>
        <row r="704">
          <cell r="A704" t="str">
            <v>form_non_ionic_surf_c1215_3mol</v>
          </cell>
          <cell r="B704">
            <v>0</v>
          </cell>
          <cell r="C704">
            <v>0</v>
          </cell>
          <cell r="D704">
            <v>0</v>
          </cell>
          <cell r="E704">
            <v>0</v>
          </cell>
        </row>
        <row r="705">
          <cell r="A705" t="str">
            <v>form_non_ionic_surf_c1215_7mol</v>
          </cell>
          <cell r="B705">
            <v>8.4</v>
          </cell>
          <cell r="C705">
            <v>8.4</v>
          </cell>
          <cell r="D705">
            <v>8.4</v>
          </cell>
          <cell r="E705">
            <v>8.4</v>
          </cell>
        </row>
        <row r="706">
          <cell r="A706" t="str">
            <v>form_others</v>
          </cell>
          <cell r="B706">
            <v>2.5</v>
          </cell>
          <cell r="C706">
            <v>2.5</v>
          </cell>
          <cell r="D706">
            <v>2.5</v>
          </cell>
          <cell r="E706">
            <v>2.5</v>
          </cell>
        </row>
        <row r="707">
          <cell r="A707" t="str">
            <v>form_parfum</v>
          </cell>
          <cell r="B707">
            <v>0</v>
          </cell>
          <cell r="C707">
            <v>0</v>
          </cell>
          <cell r="D707">
            <v>0</v>
          </cell>
          <cell r="E707">
            <v>0</v>
          </cell>
        </row>
        <row r="708">
          <cell r="A708" t="str">
            <v>form_parfum_alpha</v>
          </cell>
          <cell r="B708">
            <v>0</v>
          </cell>
          <cell r="C708">
            <v>0</v>
          </cell>
          <cell r="D708">
            <v>0</v>
          </cell>
          <cell r="E708">
            <v>0</v>
          </cell>
        </row>
        <row r="709">
          <cell r="A709" t="str">
            <v>form_parfum_beta</v>
          </cell>
          <cell r="B709">
            <v>0</v>
          </cell>
          <cell r="C709">
            <v>0</v>
          </cell>
          <cell r="D709">
            <v>0</v>
          </cell>
          <cell r="E709">
            <v>0</v>
          </cell>
        </row>
        <row r="710">
          <cell r="A710" t="str">
            <v>form_parfum_dihydo</v>
          </cell>
          <cell r="B710">
            <v>0</v>
          </cell>
          <cell r="C710">
            <v>0</v>
          </cell>
          <cell r="D710">
            <v>0</v>
          </cell>
          <cell r="E710">
            <v>0</v>
          </cell>
        </row>
        <row r="711">
          <cell r="A711" t="str">
            <v>form_parfum_hexyl</v>
          </cell>
          <cell r="B711">
            <v>0</v>
          </cell>
          <cell r="C711">
            <v>0</v>
          </cell>
          <cell r="D711">
            <v>0</v>
          </cell>
          <cell r="E711">
            <v>0</v>
          </cell>
        </row>
        <row r="712">
          <cell r="A712" t="str">
            <v>form_parfum_others</v>
          </cell>
          <cell r="B712">
            <v>1.39</v>
          </cell>
          <cell r="C712">
            <v>1.39</v>
          </cell>
          <cell r="D712">
            <v>1.39</v>
          </cell>
          <cell r="E712">
            <v>1.39</v>
          </cell>
        </row>
        <row r="713">
          <cell r="A713" t="str">
            <v>form_polymers</v>
          </cell>
          <cell r="B713">
            <v>6.33</v>
          </cell>
          <cell r="C713">
            <v>6.33</v>
          </cell>
          <cell r="D713">
            <v>6.33</v>
          </cell>
          <cell r="E713">
            <v>6.33</v>
          </cell>
        </row>
        <row r="714">
          <cell r="A714" t="str">
            <v>form_prim_cap_hdpe_mass</v>
          </cell>
          <cell r="B714">
            <v>0</v>
          </cell>
          <cell r="C714">
            <v>0</v>
          </cell>
          <cell r="D714">
            <v>0</v>
          </cell>
          <cell r="E714">
            <v>0</v>
          </cell>
        </row>
        <row r="715">
          <cell r="A715" t="str">
            <v>form_prim_cap_pp_mass</v>
          </cell>
          <cell r="B715">
            <v>17.399999999999999</v>
          </cell>
          <cell r="C715">
            <v>17.399999999999999</v>
          </cell>
          <cell r="D715">
            <v>17.399999999999999</v>
          </cell>
          <cell r="E715">
            <v>17.399999999999999</v>
          </cell>
        </row>
        <row r="716">
          <cell r="A716" t="str">
            <v>form_prim_lab_paper_mass</v>
          </cell>
          <cell r="B716">
            <v>0</v>
          </cell>
          <cell r="C716">
            <v>0</v>
          </cell>
          <cell r="D716">
            <v>0</v>
          </cell>
          <cell r="E716">
            <v>0</v>
          </cell>
        </row>
        <row r="717">
          <cell r="A717" t="str">
            <v>form_prim_number_use</v>
          </cell>
          <cell r="B717">
            <v>1</v>
          </cell>
          <cell r="C717">
            <v>1</v>
          </cell>
          <cell r="D717">
            <v>1</v>
          </cell>
          <cell r="E717">
            <v>1</v>
          </cell>
        </row>
        <row r="718">
          <cell r="A718" t="str">
            <v>form_prim_pack_hdpe_mass</v>
          </cell>
          <cell r="B718">
            <v>60</v>
          </cell>
          <cell r="C718">
            <v>60</v>
          </cell>
          <cell r="D718">
            <v>60</v>
          </cell>
          <cell r="E718">
            <v>60</v>
          </cell>
        </row>
        <row r="719">
          <cell r="A719" t="str">
            <v>form_prim_pack_hdpe_rec</v>
          </cell>
          <cell r="B719">
            <v>0</v>
          </cell>
          <cell r="C719">
            <v>0</v>
          </cell>
          <cell r="D719">
            <v>0</v>
          </cell>
          <cell r="E719">
            <v>0</v>
          </cell>
        </row>
        <row r="720">
          <cell r="A720" t="str">
            <v>form_prim_pack_pp_mass</v>
          </cell>
          <cell r="B720">
            <v>0</v>
          </cell>
          <cell r="C720">
            <v>0</v>
          </cell>
          <cell r="D720">
            <v>0</v>
          </cell>
          <cell r="E720">
            <v>0</v>
          </cell>
        </row>
        <row r="721">
          <cell r="A721" t="str">
            <v>form_prim_pack_pp_rec</v>
          </cell>
          <cell r="B721">
            <v>0</v>
          </cell>
          <cell r="C721">
            <v>0</v>
          </cell>
          <cell r="D721">
            <v>0</v>
          </cell>
          <cell r="E721">
            <v>0</v>
          </cell>
        </row>
        <row r="722">
          <cell r="A722" t="str">
            <v>form_prim_reuse</v>
          </cell>
          <cell r="B722" t="str">
            <v>false</v>
          </cell>
          <cell r="C722" t="str">
            <v>false</v>
          </cell>
          <cell r="D722" t="str">
            <v>false</v>
          </cell>
          <cell r="E722" t="str">
            <v>false</v>
          </cell>
        </row>
        <row r="723">
          <cell r="A723" t="str">
            <v>form_propylene_glycol</v>
          </cell>
          <cell r="B723">
            <v>8</v>
          </cell>
          <cell r="C723">
            <v>8</v>
          </cell>
          <cell r="D723">
            <v>8</v>
          </cell>
          <cell r="E723">
            <v>8</v>
          </cell>
        </row>
        <row r="724">
          <cell r="A724" t="str">
            <v>form_salts_citric</v>
          </cell>
          <cell r="B724">
            <v>0.25</v>
          </cell>
          <cell r="C724">
            <v>0.25</v>
          </cell>
          <cell r="D724">
            <v>0.25</v>
          </cell>
          <cell r="E724">
            <v>0.25</v>
          </cell>
        </row>
        <row r="725">
          <cell r="A725" t="str">
            <v>form_salts_citric</v>
          </cell>
          <cell r="B725">
            <v>0.25</v>
          </cell>
          <cell r="C725">
            <v>0.25</v>
          </cell>
          <cell r="D725">
            <v>0.25</v>
          </cell>
          <cell r="E725">
            <v>0.25</v>
          </cell>
        </row>
        <row r="726">
          <cell r="A726" t="str">
            <v>form_sodium_chloride</v>
          </cell>
          <cell r="B726">
            <v>0</v>
          </cell>
          <cell r="C726">
            <v>0</v>
          </cell>
          <cell r="D726">
            <v>0</v>
          </cell>
          <cell r="E726">
            <v>0</v>
          </cell>
        </row>
        <row r="727">
          <cell r="A727" t="str">
            <v>form_sodium_cocoamphoacetate</v>
          </cell>
          <cell r="B727">
            <v>0</v>
          </cell>
          <cell r="C727">
            <v>0</v>
          </cell>
          <cell r="D727">
            <v>0</v>
          </cell>
          <cell r="E727">
            <v>0</v>
          </cell>
        </row>
        <row r="728">
          <cell r="A728" t="str">
            <v>form_sodium_cumene</v>
          </cell>
          <cell r="B728">
            <v>0</v>
          </cell>
          <cell r="C728">
            <v>0</v>
          </cell>
          <cell r="D728">
            <v>0</v>
          </cell>
          <cell r="E728">
            <v>0</v>
          </cell>
        </row>
        <row r="729">
          <cell r="A729" t="str">
            <v>form_sodium_hydroxide</v>
          </cell>
          <cell r="B729">
            <v>0</v>
          </cell>
          <cell r="C729">
            <v>0</v>
          </cell>
          <cell r="D729">
            <v>0</v>
          </cell>
          <cell r="E729">
            <v>0</v>
          </cell>
        </row>
        <row r="730">
          <cell r="A730" t="str">
            <v>form_sodium_laureth_sulfate</v>
          </cell>
          <cell r="B730">
            <v>0</v>
          </cell>
          <cell r="C730">
            <v>0</v>
          </cell>
          <cell r="D730">
            <v>0</v>
          </cell>
          <cell r="E730">
            <v>0</v>
          </cell>
        </row>
        <row r="731">
          <cell r="A731" t="str">
            <v>form_sodium_laureth_sulfate_petro</v>
          </cell>
          <cell r="B731">
            <v>12</v>
          </cell>
          <cell r="C731">
            <v>12</v>
          </cell>
          <cell r="D731">
            <v>12</v>
          </cell>
          <cell r="E731">
            <v>12</v>
          </cell>
        </row>
        <row r="732">
          <cell r="A732" t="str">
            <v>form_sodium_phosphanate</v>
          </cell>
          <cell r="B732">
            <v>0</v>
          </cell>
          <cell r="C732">
            <v>0</v>
          </cell>
          <cell r="D732">
            <v>0</v>
          </cell>
          <cell r="E732">
            <v>0</v>
          </cell>
        </row>
        <row r="733">
          <cell r="A733" t="str">
            <v>form_sodium_phosphanate</v>
          </cell>
          <cell r="B733">
            <v>0</v>
          </cell>
          <cell r="C733">
            <v>0</v>
          </cell>
          <cell r="D733">
            <v>0</v>
          </cell>
          <cell r="E733">
            <v>0</v>
          </cell>
        </row>
        <row r="734">
          <cell r="A734" t="str">
            <v>form_sodium_silicate</v>
          </cell>
          <cell r="B734">
            <v>0</v>
          </cell>
          <cell r="C734">
            <v>0</v>
          </cell>
          <cell r="D734">
            <v>0</v>
          </cell>
          <cell r="E734">
            <v>0</v>
          </cell>
        </row>
        <row r="735">
          <cell r="A735" t="str">
            <v>form_spu_net_mass</v>
          </cell>
          <cell r="B735">
            <v>980</v>
          </cell>
          <cell r="C735">
            <v>980</v>
          </cell>
          <cell r="D735">
            <v>980</v>
          </cell>
          <cell r="E735">
            <v>980</v>
          </cell>
        </row>
        <row r="736">
          <cell r="A736" t="str">
            <v>form_spu_net_mass_ow</v>
          </cell>
          <cell r="B736">
            <v>0</v>
          </cell>
          <cell r="C736">
            <v>0</v>
          </cell>
          <cell r="D736">
            <v>0</v>
          </cell>
          <cell r="E736">
            <v>0</v>
          </cell>
        </row>
        <row r="737">
          <cell r="A737" t="str">
            <v>form_spu_net_mass_ref</v>
          </cell>
          <cell r="B737">
            <v>0</v>
          </cell>
          <cell r="C737">
            <v>0</v>
          </cell>
          <cell r="D737">
            <v>0</v>
          </cell>
          <cell r="E737">
            <v>0</v>
          </cell>
        </row>
        <row r="738">
          <cell r="A738" t="str">
            <v>form_taed</v>
          </cell>
          <cell r="B738">
            <v>4.04</v>
          </cell>
          <cell r="C738">
            <v>4.04</v>
          </cell>
          <cell r="D738">
            <v>4.04</v>
          </cell>
          <cell r="E738">
            <v>4.04</v>
          </cell>
        </row>
        <row r="739">
          <cell r="A739" t="str">
            <v>form_tea_quat</v>
          </cell>
          <cell r="B739">
            <v>0</v>
          </cell>
          <cell r="C739">
            <v>0</v>
          </cell>
          <cell r="D739">
            <v>0</v>
          </cell>
          <cell r="E739">
            <v>0</v>
          </cell>
        </row>
        <row r="740">
          <cell r="A740" t="str">
            <v>form_use</v>
          </cell>
          <cell r="B740" t="str">
            <v>Machine wash</v>
          </cell>
          <cell r="C740" t="str">
            <v>Machine wash</v>
          </cell>
          <cell r="D740" t="str">
            <v>Machine wash</v>
          </cell>
          <cell r="E740" t="str">
            <v>Machine wash</v>
          </cell>
        </row>
        <row r="741">
          <cell r="A741" t="str">
            <v>form_use_elect_cons</v>
          </cell>
          <cell r="B741">
            <v>0</v>
          </cell>
          <cell r="C741">
            <v>0</v>
          </cell>
          <cell r="D741">
            <v>0</v>
          </cell>
          <cell r="E741">
            <v>0</v>
          </cell>
        </row>
        <row r="742">
          <cell r="A742" t="str">
            <v>form_use_heat_cons</v>
          </cell>
          <cell r="B742">
            <v>0</v>
          </cell>
          <cell r="C742">
            <v>0</v>
          </cell>
          <cell r="D742">
            <v>0</v>
          </cell>
          <cell r="E742">
            <v>0</v>
          </cell>
        </row>
        <row r="743">
          <cell r="A743" t="str">
            <v>form_use_temp</v>
          </cell>
          <cell r="B743">
            <v>30</v>
          </cell>
          <cell r="C743">
            <v>30</v>
          </cell>
          <cell r="D743">
            <v>40</v>
          </cell>
          <cell r="E743">
            <v>30</v>
          </cell>
        </row>
        <row r="744">
          <cell r="A744" t="str">
            <v>form_use_water_cons</v>
          </cell>
          <cell r="B744">
            <v>50</v>
          </cell>
          <cell r="C744">
            <v>50</v>
          </cell>
          <cell r="D744">
            <v>50</v>
          </cell>
          <cell r="E744">
            <v>50</v>
          </cell>
        </row>
        <row r="745">
          <cell r="A745" t="str">
            <v>g_au</v>
          </cell>
          <cell r="B745">
            <v>0</v>
          </cell>
          <cell r="C745">
            <v>0</v>
          </cell>
          <cell r="D745">
            <v>0</v>
          </cell>
          <cell r="E745">
            <v>0</v>
          </cell>
        </row>
        <row r="746">
          <cell r="A746" t="str">
            <v>g_be</v>
          </cell>
          <cell r="B746">
            <v>0</v>
          </cell>
          <cell r="C746">
            <v>0</v>
          </cell>
          <cell r="D746">
            <v>0</v>
          </cell>
          <cell r="E746">
            <v>0</v>
          </cell>
        </row>
        <row r="747">
          <cell r="A747" t="str">
            <v>g_bu</v>
          </cell>
          <cell r="B747">
            <v>0</v>
          </cell>
          <cell r="C747">
            <v>0</v>
          </cell>
          <cell r="D747">
            <v>0</v>
          </cell>
          <cell r="E747">
            <v>0</v>
          </cell>
        </row>
        <row r="748">
          <cell r="A748" t="str">
            <v>g_cr</v>
          </cell>
          <cell r="B748">
            <v>0</v>
          </cell>
          <cell r="C748">
            <v>0</v>
          </cell>
          <cell r="D748">
            <v>0</v>
          </cell>
          <cell r="E748">
            <v>0</v>
          </cell>
        </row>
        <row r="749">
          <cell r="A749" t="str">
            <v>g_cy</v>
          </cell>
          <cell r="B749">
            <v>0</v>
          </cell>
          <cell r="C749">
            <v>0</v>
          </cell>
          <cell r="D749">
            <v>0</v>
          </cell>
          <cell r="E749">
            <v>0</v>
          </cell>
        </row>
        <row r="750">
          <cell r="A750" t="str">
            <v>g_de</v>
          </cell>
          <cell r="B750">
            <v>0</v>
          </cell>
          <cell r="C750">
            <v>0</v>
          </cell>
          <cell r="D750">
            <v>0</v>
          </cell>
          <cell r="E750">
            <v>0</v>
          </cell>
        </row>
        <row r="751">
          <cell r="A751" t="str">
            <v>g_es</v>
          </cell>
          <cell r="B751">
            <v>0</v>
          </cell>
          <cell r="C751">
            <v>0</v>
          </cell>
          <cell r="D751">
            <v>0</v>
          </cell>
          <cell r="E751">
            <v>0</v>
          </cell>
        </row>
        <row r="752">
          <cell r="A752" t="str">
            <v>g_fi</v>
          </cell>
          <cell r="B752">
            <v>0</v>
          </cell>
          <cell r="C752">
            <v>0</v>
          </cell>
          <cell r="D752">
            <v>0</v>
          </cell>
          <cell r="E752">
            <v>0</v>
          </cell>
        </row>
        <row r="753">
          <cell r="A753" t="str">
            <v>g_fr</v>
          </cell>
          <cell r="B753">
            <v>0</v>
          </cell>
          <cell r="C753">
            <v>0</v>
          </cell>
          <cell r="D753">
            <v>0</v>
          </cell>
          <cell r="E753">
            <v>0</v>
          </cell>
        </row>
        <row r="754">
          <cell r="A754" t="str">
            <v>g_ge</v>
          </cell>
          <cell r="B754">
            <v>0</v>
          </cell>
          <cell r="C754">
            <v>0</v>
          </cell>
          <cell r="D754">
            <v>0</v>
          </cell>
          <cell r="E754">
            <v>0</v>
          </cell>
        </row>
        <row r="755">
          <cell r="A755" t="str">
            <v>g_gr</v>
          </cell>
          <cell r="B755">
            <v>0</v>
          </cell>
          <cell r="C755">
            <v>0</v>
          </cell>
          <cell r="D755">
            <v>0</v>
          </cell>
          <cell r="E755">
            <v>0</v>
          </cell>
        </row>
        <row r="756">
          <cell r="A756" t="str">
            <v>g_hu</v>
          </cell>
          <cell r="B756">
            <v>0</v>
          </cell>
          <cell r="C756">
            <v>0</v>
          </cell>
          <cell r="D756">
            <v>0</v>
          </cell>
          <cell r="E756">
            <v>0</v>
          </cell>
        </row>
        <row r="757">
          <cell r="A757" t="str">
            <v>g_ir</v>
          </cell>
          <cell r="B757">
            <v>0</v>
          </cell>
          <cell r="C757">
            <v>0</v>
          </cell>
          <cell r="D757">
            <v>0</v>
          </cell>
          <cell r="E757">
            <v>0</v>
          </cell>
        </row>
        <row r="758">
          <cell r="A758" t="str">
            <v>g_it</v>
          </cell>
          <cell r="B758">
            <v>0</v>
          </cell>
          <cell r="C758">
            <v>0</v>
          </cell>
          <cell r="D758">
            <v>0</v>
          </cell>
          <cell r="E758">
            <v>0</v>
          </cell>
        </row>
        <row r="759">
          <cell r="A759" t="str">
            <v>g_la</v>
          </cell>
          <cell r="B759">
            <v>0</v>
          </cell>
          <cell r="C759">
            <v>0</v>
          </cell>
          <cell r="D759">
            <v>0</v>
          </cell>
          <cell r="E759">
            <v>0</v>
          </cell>
        </row>
        <row r="760">
          <cell r="A760" t="str">
            <v>g_li</v>
          </cell>
          <cell r="B760">
            <v>0</v>
          </cell>
          <cell r="C760">
            <v>0</v>
          </cell>
          <cell r="D760">
            <v>0</v>
          </cell>
          <cell r="E760">
            <v>0</v>
          </cell>
        </row>
        <row r="761">
          <cell r="A761" t="str">
            <v>g_lu</v>
          </cell>
          <cell r="B761">
            <v>0</v>
          </cell>
          <cell r="C761">
            <v>0</v>
          </cell>
          <cell r="D761">
            <v>0</v>
          </cell>
          <cell r="E761">
            <v>0</v>
          </cell>
        </row>
        <row r="762">
          <cell r="A762" t="str">
            <v>g_ma</v>
          </cell>
          <cell r="B762">
            <v>0</v>
          </cell>
          <cell r="C762">
            <v>0</v>
          </cell>
          <cell r="D762">
            <v>0</v>
          </cell>
          <cell r="E762">
            <v>0</v>
          </cell>
        </row>
        <row r="763">
          <cell r="A763" t="str">
            <v>g_ne</v>
          </cell>
          <cell r="B763">
            <v>0</v>
          </cell>
          <cell r="C763">
            <v>0</v>
          </cell>
          <cell r="D763">
            <v>0</v>
          </cell>
          <cell r="E763">
            <v>0</v>
          </cell>
        </row>
        <row r="764">
          <cell r="A764" t="str">
            <v>g_pl</v>
          </cell>
          <cell r="B764">
            <v>0</v>
          </cell>
          <cell r="C764">
            <v>0</v>
          </cell>
          <cell r="D764">
            <v>0</v>
          </cell>
          <cell r="E764">
            <v>0</v>
          </cell>
        </row>
        <row r="765">
          <cell r="A765" t="str">
            <v>g_pt</v>
          </cell>
          <cell r="B765">
            <v>0</v>
          </cell>
          <cell r="C765">
            <v>0</v>
          </cell>
          <cell r="D765">
            <v>0</v>
          </cell>
          <cell r="E765">
            <v>0</v>
          </cell>
        </row>
        <row r="766">
          <cell r="A766" t="str">
            <v>g_ro</v>
          </cell>
          <cell r="B766">
            <v>0</v>
          </cell>
          <cell r="C766">
            <v>0</v>
          </cell>
          <cell r="D766">
            <v>0</v>
          </cell>
          <cell r="E766">
            <v>0</v>
          </cell>
        </row>
        <row r="767">
          <cell r="A767" t="str">
            <v>g_sk</v>
          </cell>
          <cell r="B767">
            <v>0</v>
          </cell>
          <cell r="C767">
            <v>0</v>
          </cell>
          <cell r="D767">
            <v>0</v>
          </cell>
          <cell r="E767">
            <v>0</v>
          </cell>
        </row>
        <row r="768">
          <cell r="A768" t="str">
            <v>g_sn</v>
          </cell>
          <cell r="B768">
            <v>0</v>
          </cell>
          <cell r="C768">
            <v>0</v>
          </cell>
          <cell r="D768">
            <v>0</v>
          </cell>
          <cell r="E768">
            <v>0</v>
          </cell>
        </row>
        <row r="769">
          <cell r="A769" t="str">
            <v>g_sp</v>
          </cell>
          <cell r="B769">
            <v>0</v>
          </cell>
          <cell r="C769">
            <v>0</v>
          </cell>
          <cell r="D769">
            <v>0</v>
          </cell>
          <cell r="E769">
            <v>0</v>
          </cell>
        </row>
        <row r="770">
          <cell r="A770" t="str">
            <v>g_sw</v>
          </cell>
          <cell r="B770">
            <v>0</v>
          </cell>
          <cell r="C770">
            <v>0</v>
          </cell>
          <cell r="D770">
            <v>0</v>
          </cell>
          <cell r="E770">
            <v>0</v>
          </cell>
        </row>
        <row r="771">
          <cell r="A771" t="str">
            <v>g_uk</v>
          </cell>
          <cell r="B771">
            <v>0</v>
          </cell>
          <cell r="C771">
            <v>0</v>
          </cell>
          <cell r="D771">
            <v>0</v>
          </cell>
          <cell r="E771">
            <v>0</v>
          </cell>
        </row>
        <row r="772">
          <cell r="A772" t="str">
            <v>g_us</v>
          </cell>
          <cell r="B772">
            <v>0</v>
          </cell>
          <cell r="C772">
            <v>0</v>
          </cell>
          <cell r="D772">
            <v>0</v>
          </cell>
          <cell r="E772">
            <v>0</v>
          </cell>
        </row>
        <row r="773">
          <cell r="A773" t="str">
            <v>general_country</v>
          </cell>
          <cell r="B773" t="str">
            <v>United Kingdom</v>
          </cell>
          <cell r="C773" t="str">
            <v>United Kingdom</v>
          </cell>
          <cell r="D773" t="str">
            <v>Europe-27</v>
          </cell>
          <cell r="E773" t="str">
            <v>Europe-27</v>
          </cell>
        </row>
        <row r="774">
          <cell r="A774" t="str">
            <v>general_unspecified_choice</v>
          </cell>
          <cell r="B774" t="str">
            <v>false</v>
          </cell>
          <cell r="C774" t="str">
            <v>false</v>
          </cell>
          <cell r="D774" t="str">
            <v>false</v>
          </cell>
          <cell r="E774" t="str">
            <v>false</v>
          </cell>
        </row>
        <row r="775">
          <cell r="A775" t="str">
            <v>lci_choice</v>
          </cell>
          <cell r="B775" t="str">
            <v>pefcr</v>
          </cell>
          <cell r="C775" t="str">
            <v>pefcr</v>
          </cell>
          <cell r="D775" t="str">
            <v>pefcr</v>
          </cell>
          <cell r="E775" t="str">
            <v>pefcr</v>
          </cell>
        </row>
        <row r="776">
          <cell r="A776" t="str">
            <v>other_carac_factor_1_cc_other_1</v>
          </cell>
          <cell r="B776">
            <v>2.5381162647000002</v>
          </cell>
          <cell r="C776">
            <v>2.5381162647000002</v>
          </cell>
          <cell r="D776">
            <v>2.5381162647000002</v>
          </cell>
          <cell r="E776">
            <v>2.5381162647000002</v>
          </cell>
        </row>
        <row r="777">
          <cell r="A777" t="str">
            <v>other_carac_factor_1_cc_other_2</v>
          </cell>
          <cell r="B777">
            <v>2.6101145898000002</v>
          </cell>
          <cell r="C777">
            <v>2.6101145898000002</v>
          </cell>
          <cell r="D777">
            <v>2.6101145898000002</v>
          </cell>
          <cell r="E777">
            <v>2.6101145898000002</v>
          </cell>
        </row>
        <row r="778">
          <cell r="A778" t="str">
            <v>other_carac_factor_1_cc_other_3</v>
          </cell>
          <cell r="B778">
            <v>0</v>
          </cell>
          <cell r="C778">
            <v>0</v>
          </cell>
          <cell r="D778">
            <v>0</v>
          </cell>
          <cell r="E778">
            <v>0</v>
          </cell>
        </row>
        <row r="779">
          <cell r="A779" t="str">
            <v>other_carac_factor_1_cc_other_4</v>
          </cell>
          <cell r="B779">
            <v>0</v>
          </cell>
          <cell r="C779">
            <v>0</v>
          </cell>
          <cell r="D779">
            <v>0</v>
          </cell>
          <cell r="E779">
            <v>0</v>
          </cell>
        </row>
        <row r="780">
          <cell r="A780" t="str">
            <v>other_carac_factor_1_cc_other_5</v>
          </cell>
          <cell r="B780">
            <v>0</v>
          </cell>
          <cell r="C780">
            <v>0</v>
          </cell>
          <cell r="D780">
            <v>0</v>
          </cell>
          <cell r="E780">
            <v>0</v>
          </cell>
        </row>
        <row r="781">
          <cell r="A781" t="str">
            <v>other_carac_factor_10_wc_other_1</v>
          </cell>
          <cell r="B781">
            <v>1.8239155E-2</v>
          </cell>
          <cell r="C781">
            <v>1.8239155E-2</v>
          </cell>
          <cell r="D781">
            <v>1.8239155E-2</v>
          </cell>
          <cell r="E781">
            <v>1.8239155E-2</v>
          </cell>
        </row>
        <row r="782">
          <cell r="A782" t="str">
            <v>other_carac_factor_10_wc_other_2</v>
          </cell>
          <cell r="B782">
            <v>1.90754572E-2</v>
          </cell>
          <cell r="C782">
            <v>1.90754572E-2</v>
          </cell>
          <cell r="D782">
            <v>1.90754572E-2</v>
          </cell>
          <cell r="E782">
            <v>1.90754572E-2</v>
          </cell>
        </row>
        <row r="783">
          <cell r="A783" t="str">
            <v>other_carac_factor_10_wc_other_3</v>
          </cell>
          <cell r="B783">
            <v>0</v>
          </cell>
          <cell r="C783">
            <v>0</v>
          </cell>
          <cell r="D783">
            <v>0</v>
          </cell>
          <cell r="E783">
            <v>0</v>
          </cell>
        </row>
        <row r="784">
          <cell r="A784" t="str">
            <v>other_carac_factor_10_wc_other_4</v>
          </cell>
          <cell r="B784">
            <v>0</v>
          </cell>
          <cell r="C784">
            <v>0</v>
          </cell>
          <cell r="D784">
            <v>0</v>
          </cell>
          <cell r="E784">
            <v>0</v>
          </cell>
        </row>
        <row r="785">
          <cell r="A785" t="str">
            <v>other_carac_factor_10_wc_other_5</v>
          </cell>
          <cell r="B785">
            <v>0</v>
          </cell>
          <cell r="C785">
            <v>0</v>
          </cell>
          <cell r="D785">
            <v>0</v>
          </cell>
          <cell r="E785">
            <v>0</v>
          </cell>
        </row>
        <row r="786">
          <cell r="A786" t="str">
            <v>other_carac_factor_11_pm_other_1</v>
          </cell>
          <cell r="B786">
            <v>7.1460320000000003E-4</v>
          </cell>
          <cell r="C786">
            <v>7.1460320000000003E-4</v>
          </cell>
          <cell r="D786">
            <v>7.1460320000000003E-4</v>
          </cell>
          <cell r="E786">
            <v>7.1460320000000003E-4</v>
          </cell>
        </row>
        <row r="787">
          <cell r="A787" t="str">
            <v>other_carac_factor_11_pm_other_2</v>
          </cell>
          <cell r="B787">
            <v>1.0989579000000001E-3</v>
          </cell>
          <cell r="C787">
            <v>1.0989579000000001E-3</v>
          </cell>
          <cell r="D787">
            <v>1.0989579000000001E-3</v>
          </cell>
          <cell r="E787">
            <v>1.0989579000000001E-3</v>
          </cell>
        </row>
        <row r="788">
          <cell r="A788" t="str">
            <v>other_carac_factor_11_pm_other_3</v>
          </cell>
          <cell r="B788">
            <v>0</v>
          </cell>
          <cell r="C788">
            <v>0</v>
          </cell>
          <cell r="D788">
            <v>0</v>
          </cell>
          <cell r="E788">
            <v>0</v>
          </cell>
        </row>
        <row r="789">
          <cell r="A789" t="str">
            <v>other_carac_factor_11_pm_other_4</v>
          </cell>
          <cell r="B789">
            <v>0</v>
          </cell>
          <cell r="C789">
            <v>0</v>
          </cell>
          <cell r="D789">
            <v>0</v>
          </cell>
          <cell r="E789">
            <v>0</v>
          </cell>
        </row>
        <row r="790">
          <cell r="A790" t="str">
            <v>other_carac_factor_11_pm_other_5</v>
          </cell>
          <cell r="B790">
            <v>0</v>
          </cell>
          <cell r="C790">
            <v>0</v>
          </cell>
          <cell r="D790">
            <v>0</v>
          </cell>
          <cell r="E790">
            <v>0</v>
          </cell>
        </row>
        <row r="791">
          <cell r="A791" t="str">
            <v>other_carac_factor_12_te_other_1</v>
          </cell>
          <cell r="B791">
            <v>1.98327331E-2</v>
          </cell>
          <cell r="C791">
            <v>1.98327331E-2</v>
          </cell>
          <cell r="D791">
            <v>1.98327331E-2</v>
          </cell>
          <cell r="E791">
            <v>1.98327331E-2</v>
          </cell>
        </row>
        <row r="792">
          <cell r="A792" t="str">
            <v>other_carac_factor_12_te_other_2</v>
          </cell>
          <cell r="B792">
            <v>2.1346910600000001E-2</v>
          </cell>
          <cell r="C792">
            <v>2.1346910600000001E-2</v>
          </cell>
          <cell r="D792">
            <v>2.1346910600000001E-2</v>
          </cell>
          <cell r="E792">
            <v>2.1346910600000001E-2</v>
          </cell>
        </row>
        <row r="793">
          <cell r="A793" t="str">
            <v>other_carac_factor_12_te_other_3</v>
          </cell>
          <cell r="B793">
            <v>0</v>
          </cell>
          <cell r="C793">
            <v>0</v>
          </cell>
          <cell r="D793">
            <v>0</v>
          </cell>
          <cell r="E793">
            <v>0</v>
          </cell>
        </row>
        <row r="794">
          <cell r="A794" t="str">
            <v>other_carac_factor_12_te_other_4</v>
          </cell>
          <cell r="B794">
            <v>0</v>
          </cell>
          <cell r="C794">
            <v>0</v>
          </cell>
          <cell r="D794">
            <v>0</v>
          </cell>
          <cell r="E794">
            <v>0</v>
          </cell>
        </row>
        <row r="795">
          <cell r="A795" t="str">
            <v>other_carac_factor_12_te_other_5</v>
          </cell>
          <cell r="B795">
            <v>0</v>
          </cell>
          <cell r="C795">
            <v>0</v>
          </cell>
          <cell r="D795">
            <v>0</v>
          </cell>
          <cell r="E795">
            <v>0</v>
          </cell>
        </row>
        <row r="796">
          <cell r="A796" t="str">
            <v>other_carac_factor_13_ir_other_1</v>
          </cell>
          <cell r="B796">
            <v>0.10082315629999999</v>
          </cell>
          <cell r="C796">
            <v>0.10082315629999999</v>
          </cell>
          <cell r="D796">
            <v>0.10082315629999999</v>
          </cell>
          <cell r="E796">
            <v>0.10082315629999999</v>
          </cell>
        </row>
        <row r="797">
          <cell r="A797" t="str">
            <v>other_carac_factor_13_ir_other_2</v>
          </cell>
          <cell r="B797">
            <v>0.2135488442</v>
          </cell>
          <cell r="C797">
            <v>0.2135488442</v>
          </cell>
          <cell r="D797">
            <v>0.2135488442</v>
          </cell>
          <cell r="E797">
            <v>0.2135488442</v>
          </cell>
        </row>
        <row r="798">
          <cell r="A798" t="str">
            <v>other_carac_factor_13_ir_other_3</v>
          </cell>
          <cell r="B798">
            <v>0</v>
          </cell>
          <cell r="C798">
            <v>0</v>
          </cell>
          <cell r="D798">
            <v>0</v>
          </cell>
          <cell r="E798">
            <v>0</v>
          </cell>
        </row>
        <row r="799">
          <cell r="A799" t="str">
            <v>other_carac_factor_13_ir_other_4</v>
          </cell>
          <cell r="B799">
            <v>0</v>
          </cell>
          <cell r="C799">
            <v>0</v>
          </cell>
          <cell r="D799">
            <v>0</v>
          </cell>
          <cell r="E799">
            <v>0</v>
          </cell>
        </row>
        <row r="800">
          <cell r="A800" t="str">
            <v>other_carac_factor_13_ir_other_5</v>
          </cell>
          <cell r="B800">
            <v>0</v>
          </cell>
          <cell r="C800">
            <v>0</v>
          </cell>
          <cell r="D800">
            <v>0</v>
          </cell>
          <cell r="E800">
            <v>0</v>
          </cell>
        </row>
        <row r="801">
          <cell r="A801" t="str">
            <v>other_carac_factor_14_lu_other_1</v>
          </cell>
          <cell r="B801">
            <v>0.93491483379999996</v>
          </cell>
          <cell r="C801">
            <v>0.93491483379999996</v>
          </cell>
          <cell r="D801">
            <v>0.93491483379999996</v>
          </cell>
          <cell r="E801">
            <v>0.93491483379999996</v>
          </cell>
        </row>
        <row r="802">
          <cell r="A802" t="str">
            <v>other_carac_factor_14_lu_other_2</v>
          </cell>
          <cell r="B802">
            <v>5.1539626894000001</v>
          </cell>
          <cell r="C802">
            <v>5.1539626894000001</v>
          </cell>
          <cell r="D802">
            <v>5.1539626894000001</v>
          </cell>
          <cell r="E802">
            <v>5.1539626894000001</v>
          </cell>
        </row>
        <row r="803">
          <cell r="A803" t="str">
            <v>other_carac_factor_14_lu_other_3</v>
          </cell>
          <cell r="B803">
            <v>0</v>
          </cell>
          <cell r="C803">
            <v>0</v>
          </cell>
          <cell r="D803">
            <v>0</v>
          </cell>
          <cell r="E803">
            <v>0</v>
          </cell>
        </row>
        <row r="804">
          <cell r="A804" t="str">
            <v>other_carac_factor_14_lu_other_4</v>
          </cell>
          <cell r="B804">
            <v>0</v>
          </cell>
          <cell r="C804">
            <v>0</v>
          </cell>
          <cell r="D804">
            <v>0</v>
          </cell>
          <cell r="E804">
            <v>0</v>
          </cell>
        </row>
        <row r="805">
          <cell r="A805" t="str">
            <v>other_carac_factor_14_lu_other_5</v>
          </cell>
          <cell r="B805">
            <v>0</v>
          </cell>
          <cell r="C805">
            <v>0</v>
          </cell>
          <cell r="D805">
            <v>0</v>
          </cell>
          <cell r="E805">
            <v>0</v>
          </cell>
        </row>
        <row r="806">
          <cell r="A806" t="str">
            <v>other_carac_factor_2_ar_other_1</v>
          </cell>
          <cell r="B806">
            <v>5.4314000000000002E-6</v>
          </cell>
          <cell r="C806">
            <v>5.4314000000000002E-6</v>
          </cell>
          <cell r="D806">
            <v>5.4314000000000002E-6</v>
          </cell>
          <cell r="E806">
            <v>5.4314000000000002E-6</v>
          </cell>
        </row>
        <row r="807">
          <cell r="A807" t="str">
            <v>other_carac_factor_2_ar_other_2</v>
          </cell>
          <cell r="B807">
            <v>4.1860878999999997E-3</v>
          </cell>
          <cell r="C807">
            <v>4.1860878999999997E-3</v>
          </cell>
          <cell r="D807">
            <v>4.1860878999999997E-3</v>
          </cell>
          <cell r="E807">
            <v>4.1860878999999997E-3</v>
          </cell>
        </row>
        <row r="808">
          <cell r="A808" t="str">
            <v>other_carac_factor_2_ar_other_3</v>
          </cell>
          <cell r="B808">
            <v>0</v>
          </cell>
          <cell r="C808">
            <v>0</v>
          </cell>
          <cell r="D808">
            <v>0</v>
          </cell>
          <cell r="E808">
            <v>0</v>
          </cell>
        </row>
        <row r="809">
          <cell r="A809" t="str">
            <v>other_carac_factor_2_ar_other_4</v>
          </cell>
          <cell r="B809">
            <v>0</v>
          </cell>
          <cell r="C809">
            <v>0</v>
          </cell>
          <cell r="D809">
            <v>0</v>
          </cell>
          <cell r="E809">
            <v>0</v>
          </cell>
        </row>
        <row r="810">
          <cell r="A810" t="str">
            <v>other_carac_factor_2_ar_other_5</v>
          </cell>
          <cell r="B810">
            <v>0</v>
          </cell>
          <cell r="C810">
            <v>0</v>
          </cell>
          <cell r="D810">
            <v>0</v>
          </cell>
          <cell r="E810">
            <v>0</v>
          </cell>
        </row>
        <row r="811">
          <cell r="A811" t="str">
            <v>other_carac_factor_3_ht_other_1</v>
          </cell>
          <cell r="B811">
            <v>2.9399999999999999E-8</v>
          </cell>
          <cell r="C811">
            <v>2.9399999999999999E-8</v>
          </cell>
          <cell r="D811">
            <v>2.9399999999999999E-8</v>
          </cell>
          <cell r="E811">
            <v>2.9399999999999999E-8</v>
          </cell>
        </row>
        <row r="812">
          <cell r="A812" t="str">
            <v>other_carac_factor_3_ht_other_2</v>
          </cell>
          <cell r="B812">
            <v>1.4070000000000001E-7</v>
          </cell>
          <cell r="C812">
            <v>1.4070000000000001E-7</v>
          </cell>
          <cell r="D812">
            <v>1.4070000000000001E-7</v>
          </cell>
          <cell r="E812">
            <v>1.4070000000000001E-7</v>
          </cell>
        </row>
        <row r="813">
          <cell r="A813" t="str">
            <v>other_carac_factor_3_ht_other_3</v>
          </cell>
          <cell r="B813">
            <v>0</v>
          </cell>
          <cell r="C813">
            <v>0</v>
          </cell>
          <cell r="D813">
            <v>0</v>
          </cell>
          <cell r="E813">
            <v>0</v>
          </cell>
        </row>
        <row r="814">
          <cell r="A814" t="str">
            <v>other_carac_factor_3_ht_other_4</v>
          </cell>
          <cell r="B814">
            <v>0</v>
          </cell>
          <cell r="C814">
            <v>0</v>
          </cell>
          <cell r="D814">
            <v>0</v>
          </cell>
          <cell r="E814">
            <v>0</v>
          </cell>
        </row>
        <row r="815">
          <cell r="A815" t="str">
            <v>other_carac_factor_3_ht_other_5</v>
          </cell>
          <cell r="B815">
            <v>0</v>
          </cell>
          <cell r="C815">
            <v>0</v>
          </cell>
          <cell r="D815">
            <v>0</v>
          </cell>
          <cell r="E815">
            <v>0</v>
          </cell>
        </row>
        <row r="816">
          <cell r="A816" t="str">
            <v>other_carac_factor_4_et_other_1</v>
          </cell>
          <cell r="B816">
            <v>0.12776039810000001</v>
          </cell>
          <cell r="C816">
            <v>0.12776039810000001</v>
          </cell>
          <cell r="D816">
            <v>0.12776039810000001</v>
          </cell>
          <cell r="E816">
            <v>0.12776039810000001</v>
          </cell>
        </row>
        <row r="817">
          <cell r="A817" t="str">
            <v>other_carac_factor_4_et_other_2</v>
          </cell>
          <cell r="B817">
            <v>0.54116541689999997</v>
          </cell>
          <cell r="C817">
            <v>0.54116541689999997</v>
          </cell>
          <cell r="D817">
            <v>0.54116541689999997</v>
          </cell>
          <cell r="E817">
            <v>0.54116541689999997</v>
          </cell>
        </row>
        <row r="818">
          <cell r="A818" t="str">
            <v>other_carac_factor_4_et_other_3</v>
          </cell>
          <cell r="B818">
            <v>0</v>
          </cell>
          <cell r="C818">
            <v>0</v>
          </cell>
          <cell r="D818">
            <v>0</v>
          </cell>
          <cell r="E818">
            <v>0</v>
          </cell>
        </row>
        <row r="819">
          <cell r="A819" t="str">
            <v>other_carac_factor_4_et_other_4</v>
          </cell>
          <cell r="B819">
            <v>0</v>
          </cell>
          <cell r="C819">
            <v>0</v>
          </cell>
          <cell r="D819">
            <v>0</v>
          </cell>
          <cell r="E819">
            <v>0</v>
          </cell>
        </row>
        <row r="820">
          <cell r="A820" t="str">
            <v>other_carac_factor_4_et_other_5</v>
          </cell>
          <cell r="B820">
            <v>0</v>
          </cell>
          <cell r="C820">
            <v>0</v>
          </cell>
          <cell r="D820">
            <v>0</v>
          </cell>
          <cell r="E820">
            <v>0</v>
          </cell>
        </row>
        <row r="821">
          <cell r="A821" t="str">
            <v>other_carac_factor_5_ac_other_1</v>
          </cell>
          <cell r="B821">
            <v>1.1880563300000001E-2</v>
          </cell>
          <cell r="C821">
            <v>1.1880563300000001E-2</v>
          </cell>
          <cell r="D821">
            <v>1.1880563300000001E-2</v>
          </cell>
          <cell r="E821">
            <v>1.1880563300000001E-2</v>
          </cell>
        </row>
        <row r="822">
          <cell r="A822" t="str">
            <v>other_carac_factor_5_ac_other_2</v>
          </cell>
          <cell r="B822">
            <v>1.2702399099999999E-2</v>
          </cell>
          <cell r="C822">
            <v>1.2702399099999999E-2</v>
          </cell>
          <cell r="D822">
            <v>1.2702399099999999E-2</v>
          </cell>
          <cell r="E822">
            <v>1.2702399099999999E-2</v>
          </cell>
        </row>
        <row r="823">
          <cell r="A823" t="str">
            <v>other_carac_factor_5_ac_other_3</v>
          </cell>
          <cell r="B823">
            <v>0</v>
          </cell>
          <cell r="C823">
            <v>0</v>
          </cell>
          <cell r="D823">
            <v>0</v>
          </cell>
          <cell r="E823">
            <v>0</v>
          </cell>
        </row>
        <row r="824">
          <cell r="A824" t="str">
            <v>other_carac_factor_5_ac_other_4</v>
          </cell>
          <cell r="B824">
            <v>0</v>
          </cell>
          <cell r="C824">
            <v>0</v>
          </cell>
          <cell r="D824">
            <v>0</v>
          </cell>
          <cell r="E824">
            <v>0</v>
          </cell>
        </row>
        <row r="825">
          <cell r="A825" t="str">
            <v>other_carac_factor_5_ac_other_5</v>
          </cell>
          <cell r="B825">
            <v>0</v>
          </cell>
          <cell r="C825">
            <v>0</v>
          </cell>
          <cell r="D825">
            <v>0</v>
          </cell>
          <cell r="E825">
            <v>0</v>
          </cell>
        </row>
        <row r="826">
          <cell r="A826" t="str">
            <v>other_carac_factor_6_fe_other_1</v>
          </cell>
          <cell r="B826">
            <v>4.19578E-5</v>
          </cell>
          <cell r="C826">
            <v>4.19578E-5</v>
          </cell>
          <cell r="D826">
            <v>4.19578E-5</v>
          </cell>
          <cell r="E826">
            <v>4.19578E-5</v>
          </cell>
        </row>
        <row r="827">
          <cell r="A827" t="str">
            <v>other_carac_factor_6_fe_other_2</v>
          </cell>
          <cell r="B827">
            <v>1.416384E-4</v>
          </cell>
          <cell r="C827">
            <v>1.416384E-4</v>
          </cell>
          <cell r="D827">
            <v>1.416384E-4</v>
          </cell>
          <cell r="E827">
            <v>1.416384E-4</v>
          </cell>
        </row>
        <row r="828">
          <cell r="A828" t="str">
            <v>other_carac_factor_6_fe_other_3</v>
          </cell>
          <cell r="B828">
            <v>0</v>
          </cell>
          <cell r="C828">
            <v>0</v>
          </cell>
          <cell r="D828">
            <v>0</v>
          </cell>
          <cell r="E828">
            <v>0</v>
          </cell>
        </row>
        <row r="829">
          <cell r="A829" t="str">
            <v>other_carac_factor_6_fe_other_4</v>
          </cell>
          <cell r="B829">
            <v>0</v>
          </cell>
          <cell r="C829">
            <v>0</v>
          </cell>
          <cell r="D829">
            <v>0</v>
          </cell>
          <cell r="E829">
            <v>0</v>
          </cell>
        </row>
        <row r="830">
          <cell r="A830" t="str">
            <v>other_carac_factor_6_fe_other_5</v>
          </cell>
          <cell r="B830">
            <v>0</v>
          </cell>
          <cell r="C830">
            <v>0</v>
          </cell>
          <cell r="D830">
            <v>0</v>
          </cell>
          <cell r="E830">
            <v>0</v>
          </cell>
        </row>
        <row r="831">
          <cell r="A831" t="str">
            <v>other_carac_factor_7_me_other_1</v>
          </cell>
          <cell r="B831">
            <v>1.8115341000000001E-3</v>
          </cell>
          <cell r="C831">
            <v>1.8115341000000001E-3</v>
          </cell>
          <cell r="D831">
            <v>1.8115341000000001E-3</v>
          </cell>
          <cell r="E831">
            <v>1.8115341000000001E-3</v>
          </cell>
        </row>
        <row r="832">
          <cell r="A832" t="str">
            <v>other_carac_factor_7_me_other_2</v>
          </cell>
          <cell r="B832">
            <v>1.8825336E-3</v>
          </cell>
          <cell r="C832">
            <v>1.8825336E-3</v>
          </cell>
          <cell r="D832">
            <v>1.8825336E-3</v>
          </cell>
          <cell r="E832">
            <v>1.8825336E-3</v>
          </cell>
        </row>
        <row r="833">
          <cell r="A833" t="str">
            <v>other_carac_factor_7_me_other_3</v>
          </cell>
          <cell r="B833">
            <v>0</v>
          </cell>
          <cell r="C833">
            <v>0</v>
          </cell>
          <cell r="D833">
            <v>0</v>
          </cell>
          <cell r="E833">
            <v>0</v>
          </cell>
        </row>
        <row r="834">
          <cell r="A834" t="str">
            <v>other_carac_factor_7_me_other_4</v>
          </cell>
          <cell r="B834">
            <v>0</v>
          </cell>
          <cell r="C834">
            <v>0</v>
          </cell>
          <cell r="D834">
            <v>0</v>
          </cell>
          <cell r="E834">
            <v>0</v>
          </cell>
        </row>
        <row r="835">
          <cell r="A835" t="str">
            <v>other_carac_factor_7_me_other_5</v>
          </cell>
          <cell r="B835">
            <v>0</v>
          </cell>
          <cell r="C835">
            <v>0</v>
          </cell>
          <cell r="D835">
            <v>0</v>
          </cell>
          <cell r="E835">
            <v>0</v>
          </cell>
        </row>
        <row r="836">
          <cell r="A836" t="str">
            <v>other_carac_factor_8_of_other_1</v>
          </cell>
          <cell r="B836">
            <v>1.03999956E-2</v>
          </cell>
          <cell r="C836">
            <v>1.03999956E-2</v>
          </cell>
          <cell r="D836">
            <v>1.03999956E-2</v>
          </cell>
          <cell r="E836">
            <v>1.03999956E-2</v>
          </cell>
        </row>
        <row r="837">
          <cell r="A837" t="str">
            <v>other_carac_factor_8_of_other_2</v>
          </cell>
          <cell r="B837">
            <v>9.5658168999999994E-3</v>
          </cell>
          <cell r="C837">
            <v>9.5658168999999994E-3</v>
          </cell>
          <cell r="D837">
            <v>9.5658168999999994E-3</v>
          </cell>
          <cell r="E837">
            <v>9.5658168999999994E-3</v>
          </cell>
        </row>
        <row r="838">
          <cell r="A838" t="str">
            <v>other_carac_factor_8_of_other_3</v>
          </cell>
          <cell r="B838">
            <v>0</v>
          </cell>
          <cell r="C838">
            <v>0</v>
          </cell>
          <cell r="D838">
            <v>0</v>
          </cell>
          <cell r="E838">
            <v>0</v>
          </cell>
        </row>
        <row r="839">
          <cell r="A839" t="str">
            <v>other_carac_factor_8_of_other_4</v>
          </cell>
          <cell r="B839">
            <v>0</v>
          </cell>
          <cell r="C839">
            <v>0</v>
          </cell>
          <cell r="D839">
            <v>0</v>
          </cell>
          <cell r="E839">
            <v>0</v>
          </cell>
        </row>
        <row r="840">
          <cell r="A840" t="str">
            <v>other_carac_factor_8_of_other_5</v>
          </cell>
          <cell r="B840">
            <v>0</v>
          </cell>
          <cell r="C840">
            <v>0</v>
          </cell>
          <cell r="D840">
            <v>0</v>
          </cell>
          <cell r="E840">
            <v>0</v>
          </cell>
        </row>
        <row r="841">
          <cell r="A841" t="str">
            <v>other_carac_factor_9_od_other_1</v>
          </cell>
          <cell r="B841">
            <v>3.0199999999999999E-8</v>
          </cell>
          <cell r="C841">
            <v>3.0199999999999999E-8</v>
          </cell>
          <cell r="D841">
            <v>3.0199999999999999E-8</v>
          </cell>
          <cell r="E841">
            <v>3.0199999999999999E-8</v>
          </cell>
        </row>
        <row r="842">
          <cell r="A842" t="str">
            <v>other_carac_factor_9_od_other_2</v>
          </cell>
          <cell r="B842">
            <v>6.4249999999999999E-7</v>
          </cell>
          <cell r="C842">
            <v>6.4249999999999999E-7</v>
          </cell>
          <cell r="D842">
            <v>6.4249999999999999E-7</v>
          </cell>
          <cell r="E842">
            <v>6.4249999999999999E-7</v>
          </cell>
        </row>
        <row r="843">
          <cell r="A843" t="str">
            <v>other_carac_factor_9_od_other_3</v>
          </cell>
          <cell r="B843">
            <v>0</v>
          </cell>
          <cell r="C843">
            <v>0</v>
          </cell>
          <cell r="D843">
            <v>0</v>
          </cell>
          <cell r="E843">
            <v>0</v>
          </cell>
        </row>
        <row r="844">
          <cell r="A844" t="str">
            <v>other_carac_factor_9_od_other_4</v>
          </cell>
          <cell r="B844">
            <v>0</v>
          </cell>
          <cell r="C844">
            <v>0</v>
          </cell>
          <cell r="D844">
            <v>0</v>
          </cell>
          <cell r="E844">
            <v>0</v>
          </cell>
        </row>
        <row r="845">
          <cell r="A845" t="str">
            <v>other_carac_factor_9_od_other_5</v>
          </cell>
          <cell r="B845">
            <v>0</v>
          </cell>
          <cell r="C845">
            <v>0</v>
          </cell>
          <cell r="D845">
            <v>0</v>
          </cell>
          <cell r="E845">
            <v>0</v>
          </cell>
        </row>
        <row r="846">
          <cell r="A846" t="str">
            <v>other_comp_1</v>
          </cell>
          <cell r="B846">
            <v>1.93</v>
          </cell>
          <cell r="C846">
            <v>1.93</v>
          </cell>
          <cell r="D846">
            <v>1.93</v>
          </cell>
          <cell r="E846">
            <v>1.93</v>
          </cell>
        </row>
        <row r="847">
          <cell r="A847" t="str">
            <v>other_comp_2</v>
          </cell>
          <cell r="B847">
            <v>11.4</v>
          </cell>
          <cell r="C847">
            <v>11.4</v>
          </cell>
          <cell r="D847">
            <v>11.4</v>
          </cell>
          <cell r="E847">
            <v>11.4</v>
          </cell>
        </row>
        <row r="848">
          <cell r="A848" t="str">
            <v>other_comp_3</v>
          </cell>
          <cell r="B848">
            <v>0</v>
          </cell>
          <cell r="C848">
            <v>0</v>
          </cell>
          <cell r="D848">
            <v>0</v>
          </cell>
          <cell r="E848">
            <v>0</v>
          </cell>
        </row>
        <row r="849">
          <cell r="A849" t="str">
            <v>other_comp_4</v>
          </cell>
          <cell r="B849">
            <v>0</v>
          </cell>
          <cell r="C849">
            <v>0</v>
          </cell>
          <cell r="D849">
            <v>0</v>
          </cell>
          <cell r="E849">
            <v>0</v>
          </cell>
        </row>
        <row r="850">
          <cell r="A850" t="str">
            <v>other_comp_5</v>
          </cell>
          <cell r="B850">
            <v>0</v>
          </cell>
          <cell r="C850">
            <v>0</v>
          </cell>
          <cell r="D850">
            <v>0</v>
          </cell>
          <cell r="E850">
            <v>0</v>
          </cell>
        </row>
        <row r="851">
          <cell r="A851" t="str">
            <v>paper_rec</v>
          </cell>
          <cell r="B851">
            <v>0</v>
          </cell>
          <cell r="C851">
            <v>0</v>
          </cell>
          <cell r="D851">
            <v>0</v>
          </cell>
          <cell r="E851">
            <v>0</v>
          </cell>
        </row>
        <row r="852">
          <cell r="A852" t="str">
            <v>pouch_carac_factor_1_cc_pouch_1</v>
          </cell>
          <cell r="B852">
            <v>0</v>
          </cell>
          <cell r="C852">
            <v>0</v>
          </cell>
          <cell r="D852">
            <v>0</v>
          </cell>
          <cell r="E852">
            <v>0</v>
          </cell>
        </row>
        <row r="853">
          <cell r="A853" t="str">
            <v>pouch_carac_factor_1_cc_pouch_2</v>
          </cell>
          <cell r="B853">
            <v>0</v>
          </cell>
          <cell r="C853">
            <v>0</v>
          </cell>
          <cell r="D853">
            <v>0</v>
          </cell>
          <cell r="E853">
            <v>0</v>
          </cell>
        </row>
        <row r="854">
          <cell r="A854" t="str">
            <v>pouch_carac_factor_1_cc_pouch_3</v>
          </cell>
          <cell r="B854">
            <v>0</v>
          </cell>
          <cell r="C854">
            <v>0</v>
          </cell>
          <cell r="D854">
            <v>0</v>
          </cell>
          <cell r="E854">
            <v>0</v>
          </cell>
        </row>
        <row r="855">
          <cell r="A855" t="str">
            <v>pouch_carac_factor_1_cc_pouch_4</v>
          </cell>
          <cell r="B855">
            <v>0</v>
          </cell>
          <cell r="C855">
            <v>0</v>
          </cell>
          <cell r="D855">
            <v>0</v>
          </cell>
          <cell r="E855">
            <v>0</v>
          </cell>
        </row>
        <row r="856">
          <cell r="A856" t="str">
            <v>pouch_carac_factor_1_cc_pouch_5</v>
          </cell>
          <cell r="B856">
            <v>0</v>
          </cell>
          <cell r="C856">
            <v>0</v>
          </cell>
          <cell r="D856">
            <v>0</v>
          </cell>
          <cell r="E856">
            <v>0</v>
          </cell>
        </row>
        <row r="857">
          <cell r="A857" t="str">
            <v>pouch_carac_factor_10_wc_pouch_1</v>
          </cell>
          <cell r="B857">
            <v>0</v>
          </cell>
          <cell r="C857">
            <v>0</v>
          </cell>
          <cell r="D857">
            <v>0</v>
          </cell>
          <cell r="E857">
            <v>0</v>
          </cell>
        </row>
        <row r="858">
          <cell r="A858" t="str">
            <v>pouch_carac_factor_10_wc_pouch_2</v>
          </cell>
          <cell r="B858">
            <v>0</v>
          </cell>
          <cell r="C858">
            <v>0</v>
          </cell>
          <cell r="D858">
            <v>0</v>
          </cell>
          <cell r="E858">
            <v>0</v>
          </cell>
        </row>
        <row r="859">
          <cell r="A859" t="str">
            <v>pouch_carac_factor_10_wc_pouch_3</v>
          </cell>
          <cell r="B859">
            <v>0</v>
          </cell>
          <cell r="C859">
            <v>0</v>
          </cell>
          <cell r="D859">
            <v>0</v>
          </cell>
          <cell r="E859">
            <v>0</v>
          </cell>
        </row>
        <row r="860">
          <cell r="A860" t="str">
            <v>pouch_carac_factor_10_wc_pouch_4</v>
          </cell>
          <cell r="B860">
            <v>0</v>
          </cell>
          <cell r="C860">
            <v>0</v>
          </cell>
          <cell r="D860">
            <v>0</v>
          </cell>
          <cell r="E860">
            <v>0</v>
          </cell>
        </row>
        <row r="861">
          <cell r="A861" t="str">
            <v>pouch_carac_factor_10_wc_pouch_5</v>
          </cell>
          <cell r="B861">
            <v>0</v>
          </cell>
          <cell r="C861">
            <v>0</v>
          </cell>
          <cell r="D861">
            <v>0</v>
          </cell>
          <cell r="E861">
            <v>0</v>
          </cell>
        </row>
        <row r="862">
          <cell r="A862" t="str">
            <v>pouch_carac_factor_11_pm_pouch_1</v>
          </cell>
          <cell r="B862">
            <v>0</v>
          </cell>
          <cell r="C862">
            <v>0</v>
          </cell>
          <cell r="D862">
            <v>0</v>
          </cell>
          <cell r="E862">
            <v>0</v>
          </cell>
        </row>
        <row r="863">
          <cell r="A863" t="str">
            <v>pouch_carac_factor_11_pm_pouch_2</v>
          </cell>
          <cell r="B863">
            <v>0</v>
          </cell>
          <cell r="C863">
            <v>0</v>
          </cell>
          <cell r="D863">
            <v>0</v>
          </cell>
          <cell r="E863">
            <v>0</v>
          </cell>
        </row>
        <row r="864">
          <cell r="A864" t="str">
            <v>pouch_carac_factor_11_pm_pouch_3</v>
          </cell>
          <cell r="B864">
            <v>0</v>
          </cell>
          <cell r="C864">
            <v>0</v>
          </cell>
          <cell r="D864">
            <v>0</v>
          </cell>
          <cell r="E864">
            <v>0</v>
          </cell>
        </row>
        <row r="865">
          <cell r="A865" t="str">
            <v>pouch_carac_factor_11_pm_pouch_4</v>
          </cell>
          <cell r="B865">
            <v>0</v>
          </cell>
          <cell r="C865">
            <v>0</v>
          </cell>
          <cell r="D865">
            <v>0</v>
          </cell>
          <cell r="E865">
            <v>0</v>
          </cell>
        </row>
        <row r="866">
          <cell r="A866" t="str">
            <v>pouch_carac_factor_11_pm_pouch_5</v>
          </cell>
          <cell r="B866">
            <v>0</v>
          </cell>
          <cell r="C866">
            <v>0</v>
          </cell>
          <cell r="D866">
            <v>0</v>
          </cell>
          <cell r="E866">
            <v>0</v>
          </cell>
        </row>
        <row r="867">
          <cell r="A867" t="str">
            <v>pouch_carac_factor_12_te_pouch_1</v>
          </cell>
          <cell r="B867">
            <v>0</v>
          </cell>
          <cell r="C867">
            <v>0</v>
          </cell>
          <cell r="D867">
            <v>0</v>
          </cell>
          <cell r="E867">
            <v>0</v>
          </cell>
        </row>
        <row r="868">
          <cell r="A868" t="str">
            <v>pouch_carac_factor_12_te_pouch_2</v>
          </cell>
          <cell r="B868">
            <v>0</v>
          </cell>
          <cell r="C868">
            <v>0</v>
          </cell>
          <cell r="D868">
            <v>0</v>
          </cell>
          <cell r="E868">
            <v>0</v>
          </cell>
        </row>
        <row r="869">
          <cell r="A869" t="str">
            <v>pouch_carac_factor_12_te_pouch_3</v>
          </cell>
          <cell r="B869">
            <v>0</v>
          </cell>
          <cell r="C869">
            <v>0</v>
          </cell>
          <cell r="D869">
            <v>0</v>
          </cell>
          <cell r="E869">
            <v>0</v>
          </cell>
        </row>
        <row r="870">
          <cell r="A870" t="str">
            <v>pouch_carac_factor_12_te_pouch_4</v>
          </cell>
          <cell r="B870">
            <v>0</v>
          </cell>
          <cell r="C870">
            <v>0</v>
          </cell>
          <cell r="D870">
            <v>0</v>
          </cell>
          <cell r="E870">
            <v>0</v>
          </cell>
        </row>
        <row r="871">
          <cell r="A871" t="str">
            <v>pouch_carac_factor_12_te_pouch_5</v>
          </cell>
          <cell r="B871">
            <v>0</v>
          </cell>
          <cell r="C871">
            <v>0</v>
          </cell>
          <cell r="D871">
            <v>0</v>
          </cell>
          <cell r="E871">
            <v>0</v>
          </cell>
        </row>
        <row r="872">
          <cell r="A872" t="str">
            <v>pouch_carac_factor_13_ir_pouch_1</v>
          </cell>
          <cell r="B872">
            <v>0</v>
          </cell>
          <cell r="C872">
            <v>0</v>
          </cell>
          <cell r="D872">
            <v>0</v>
          </cell>
          <cell r="E872">
            <v>0</v>
          </cell>
        </row>
        <row r="873">
          <cell r="A873" t="str">
            <v>pouch_carac_factor_13_ir_pouch_2</v>
          </cell>
          <cell r="B873">
            <v>0</v>
          </cell>
          <cell r="C873">
            <v>0</v>
          </cell>
          <cell r="D873">
            <v>0</v>
          </cell>
          <cell r="E873">
            <v>0</v>
          </cell>
        </row>
        <row r="874">
          <cell r="A874" t="str">
            <v>pouch_carac_factor_13_ir_pouch_3</v>
          </cell>
          <cell r="B874">
            <v>0</v>
          </cell>
          <cell r="C874">
            <v>0</v>
          </cell>
          <cell r="D874">
            <v>0</v>
          </cell>
          <cell r="E874">
            <v>0</v>
          </cell>
        </row>
        <row r="875">
          <cell r="A875" t="str">
            <v>pouch_carac_factor_13_ir_pouch_4</v>
          </cell>
          <cell r="B875">
            <v>0</v>
          </cell>
          <cell r="C875">
            <v>0</v>
          </cell>
          <cell r="D875">
            <v>0</v>
          </cell>
          <cell r="E875">
            <v>0</v>
          </cell>
        </row>
        <row r="876">
          <cell r="A876" t="str">
            <v>pouch_carac_factor_13_ir_pouch_5</v>
          </cell>
          <cell r="B876">
            <v>0</v>
          </cell>
          <cell r="C876">
            <v>0</v>
          </cell>
          <cell r="D876">
            <v>0</v>
          </cell>
          <cell r="E876">
            <v>0</v>
          </cell>
        </row>
        <row r="877">
          <cell r="A877" t="str">
            <v>pouch_carac_factor_14_lu_pouch_1</v>
          </cell>
          <cell r="B877">
            <v>0</v>
          </cell>
          <cell r="C877">
            <v>0</v>
          </cell>
          <cell r="D877">
            <v>0</v>
          </cell>
          <cell r="E877">
            <v>0</v>
          </cell>
        </row>
        <row r="878">
          <cell r="A878" t="str">
            <v>pouch_carac_factor_14_lu_pouch_2</v>
          </cell>
          <cell r="B878">
            <v>0</v>
          </cell>
          <cell r="C878">
            <v>0</v>
          </cell>
          <cell r="D878">
            <v>0</v>
          </cell>
          <cell r="E878">
            <v>0</v>
          </cell>
        </row>
        <row r="879">
          <cell r="A879" t="str">
            <v>pouch_carac_factor_14_lu_pouch_3</v>
          </cell>
          <cell r="B879">
            <v>0</v>
          </cell>
          <cell r="C879">
            <v>0</v>
          </cell>
          <cell r="D879">
            <v>0</v>
          </cell>
          <cell r="E879">
            <v>0</v>
          </cell>
        </row>
        <row r="880">
          <cell r="A880" t="str">
            <v>pouch_carac_factor_14_lu_pouch_4</v>
          </cell>
          <cell r="B880">
            <v>0</v>
          </cell>
          <cell r="C880">
            <v>0</v>
          </cell>
          <cell r="D880">
            <v>0</v>
          </cell>
          <cell r="E880">
            <v>0</v>
          </cell>
        </row>
        <row r="881">
          <cell r="A881" t="str">
            <v>pouch_carac_factor_14_lu_pouch_5</v>
          </cell>
          <cell r="B881">
            <v>0</v>
          </cell>
          <cell r="C881">
            <v>0</v>
          </cell>
          <cell r="D881">
            <v>0</v>
          </cell>
          <cell r="E881">
            <v>0</v>
          </cell>
        </row>
        <row r="882">
          <cell r="A882" t="str">
            <v>pouch_carac_factor_2_ar_pouch_1</v>
          </cell>
          <cell r="B882">
            <v>0</v>
          </cell>
          <cell r="C882">
            <v>0</v>
          </cell>
          <cell r="D882">
            <v>0</v>
          </cell>
          <cell r="E882">
            <v>0</v>
          </cell>
        </row>
        <row r="883">
          <cell r="A883" t="str">
            <v>pouch_carac_factor_2_ar_pouch_2</v>
          </cell>
          <cell r="B883">
            <v>0</v>
          </cell>
          <cell r="C883">
            <v>0</v>
          </cell>
          <cell r="D883">
            <v>0</v>
          </cell>
          <cell r="E883">
            <v>0</v>
          </cell>
        </row>
        <row r="884">
          <cell r="A884" t="str">
            <v>pouch_carac_factor_2_ar_pouch_3</v>
          </cell>
          <cell r="B884">
            <v>0</v>
          </cell>
          <cell r="C884">
            <v>0</v>
          </cell>
          <cell r="D884">
            <v>0</v>
          </cell>
          <cell r="E884">
            <v>0</v>
          </cell>
        </row>
        <row r="885">
          <cell r="A885" t="str">
            <v>pouch_carac_factor_2_ar_pouch_4</v>
          </cell>
          <cell r="B885">
            <v>0</v>
          </cell>
          <cell r="C885">
            <v>0</v>
          </cell>
          <cell r="D885">
            <v>0</v>
          </cell>
          <cell r="E885">
            <v>0</v>
          </cell>
        </row>
        <row r="886">
          <cell r="A886" t="str">
            <v>pouch_carac_factor_2_ar_pouch_5</v>
          </cell>
          <cell r="B886">
            <v>0</v>
          </cell>
          <cell r="C886">
            <v>0</v>
          </cell>
          <cell r="D886">
            <v>0</v>
          </cell>
          <cell r="E886">
            <v>0</v>
          </cell>
        </row>
        <row r="887">
          <cell r="A887" t="str">
            <v>pouch_carac_factor_3_ht_pouch_1</v>
          </cell>
          <cell r="B887">
            <v>0</v>
          </cell>
          <cell r="C887">
            <v>0</v>
          </cell>
          <cell r="D887">
            <v>0</v>
          </cell>
          <cell r="E887">
            <v>0</v>
          </cell>
        </row>
        <row r="888">
          <cell r="A888" t="str">
            <v>pouch_carac_factor_3_ht_pouch_2</v>
          </cell>
          <cell r="B888">
            <v>0</v>
          </cell>
          <cell r="C888">
            <v>0</v>
          </cell>
          <cell r="D888">
            <v>0</v>
          </cell>
          <cell r="E888">
            <v>0</v>
          </cell>
        </row>
        <row r="889">
          <cell r="A889" t="str">
            <v>pouch_carac_factor_3_ht_pouch_3</v>
          </cell>
          <cell r="B889">
            <v>0</v>
          </cell>
          <cell r="C889">
            <v>0</v>
          </cell>
          <cell r="D889">
            <v>0</v>
          </cell>
          <cell r="E889">
            <v>0</v>
          </cell>
        </row>
        <row r="890">
          <cell r="A890" t="str">
            <v>pouch_carac_factor_3_ht_pouch_4</v>
          </cell>
          <cell r="B890">
            <v>0</v>
          </cell>
          <cell r="C890">
            <v>0</v>
          </cell>
          <cell r="D890">
            <v>0</v>
          </cell>
          <cell r="E890">
            <v>0</v>
          </cell>
        </row>
        <row r="891">
          <cell r="A891" t="str">
            <v>pouch_carac_factor_3_ht_pouch_5</v>
          </cell>
          <cell r="B891">
            <v>0</v>
          </cell>
          <cell r="C891">
            <v>0</v>
          </cell>
          <cell r="D891">
            <v>0</v>
          </cell>
          <cell r="E891">
            <v>0</v>
          </cell>
        </row>
        <row r="892">
          <cell r="A892" t="str">
            <v>pouch_carac_factor_4_et_pouch_1</v>
          </cell>
          <cell r="B892">
            <v>0</v>
          </cell>
          <cell r="C892">
            <v>0</v>
          </cell>
          <cell r="D892">
            <v>0</v>
          </cell>
          <cell r="E892">
            <v>0</v>
          </cell>
        </row>
        <row r="893">
          <cell r="A893" t="str">
            <v>pouch_carac_factor_4_et_pouch_2</v>
          </cell>
          <cell r="B893">
            <v>0</v>
          </cell>
          <cell r="C893">
            <v>0</v>
          </cell>
          <cell r="D893">
            <v>0</v>
          </cell>
          <cell r="E893">
            <v>0</v>
          </cell>
        </row>
        <row r="894">
          <cell r="A894" t="str">
            <v>pouch_carac_factor_4_et_pouch_3</v>
          </cell>
          <cell r="B894">
            <v>0</v>
          </cell>
          <cell r="C894">
            <v>0</v>
          </cell>
          <cell r="D894">
            <v>0</v>
          </cell>
          <cell r="E894">
            <v>0</v>
          </cell>
        </row>
        <row r="895">
          <cell r="A895" t="str">
            <v>pouch_carac_factor_4_et_pouch_4</v>
          </cell>
          <cell r="B895">
            <v>0</v>
          </cell>
          <cell r="C895">
            <v>0</v>
          </cell>
          <cell r="D895">
            <v>0</v>
          </cell>
          <cell r="E895">
            <v>0</v>
          </cell>
        </row>
        <row r="896">
          <cell r="A896" t="str">
            <v>pouch_carac_factor_4_et_pouch_5</v>
          </cell>
          <cell r="B896">
            <v>0</v>
          </cell>
          <cell r="C896">
            <v>0</v>
          </cell>
          <cell r="D896">
            <v>0</v>
          </cell>
          <cell r="E896">
            <v>0</v>
          </cell>
        </row>
        <row r="897">
          <cell r="A897" t="str">
            <v>pouch_carac_factor_5_ac_pouch_1</v>
          </cell>
          <cell r="B897">
            <v>0</v>
          </cell>
          <cell r="C897">
            <v>0</v>
          </cell>
          <cell r="D897">
            <v>0</v>
          </cell>
          <cell r="E897">
            <v>0</v>
          </cell>
        </row>
        <row r="898">
          <cell r="A898" t="str">
            <v>pouch_carac_factor_5_ac_pouch_2</v>
          </cell>
          <cell r="B898">
            <v>0</v>
          </cell>
          <cell r="C898">
            <v>0</v>
          </cell>
          <cell r="D898">
            <v>0</v>
          </cell>
          <cell r="E898">
            <v>0</v>
          </cell>
        </row>
        <row r="899">
          <cell r="A899" t="str">
            <v>pouch_carac_factor_5_ac_pouch_3</v>
          </cell>
          <cell r="B899">
            <v>0</v>
          </cell>
          <cell r="C899">
            <v>0</v>
          </cell>
          <cell r="D899">
            <v>0</v>
          </cell>
          <cell r="E899">
            <v>0</v>
          </cell>
        </row>
        <row r="900">
          <cell r="A900" t="str">
            <v>pouch_carac_factor_5_ac_pouch_4</v>
          </cell>
          <cell r="B900">
            <v>0</v>
          </cell>
          <cell r="C900">
            <v>0</v>
          </cell>
          <cell r="D900">
            <v>0</v>
          </cell>
          <cell r="E900">
            <v>0</v>
          </cell>
        </row>
        <row r="901">
          <cell r="A901" t="str">
            <v>pouch_carac_factor_5_ac_pouch_5</v>
          </cell>
          <cell r="B901">
            <v>0</v>
          </cell>
          <cell r="C901">
            <v>0</v>
          </cell>
          <cell r="D901">
            <v>0</v>
          </cell>
          <cell r="E901">
            <v>0</v>
          </cell>
        </row>
        <row r="902">
          <cell r="A902" t="str">
            <v>pouch_carac_factor_6_fe_pouch_1</v>
          </cell>
          <cell r="B902">
            <v>0</v>
          </cell>
          <cell r="C902">
            <v>0</v>
          </cell>
          <cell r="D902">
            <v>0</v>
          </cell>
          <cell r="E902">
            <v>0</v>
          </cell>
        </row>
        <row r="903">
          <cell r="A903" t="str">
            <v>pouch_carac_factor_6_fe_pouch_2</v>
          </cell>
          <cell r="B903">
            <v>0</v>
          </cell>
          <cell r="C903">
            <v>0</v>
          </cell>
          <cell r="D903">
            <v>0</v>
          </cell>
          <cell r="E903">
            <v>0</v>
          </cell>
        </row>
        <row r="904">
          <cell r="A904" t="str">
            <v>pouch_carac_factor_6_fe_pouch_3</v>
          </cell>
          <cell r="B904">
            <v>0</v>
          </cell>
          <cell r="C904">
            <v>0</v>
          </cell>
          <cell r="D904">
            <v>0</v>
          </cell>
          <cell r="E904">
            <v>0</v>
          </cell>
        </row>
        <row r="905">
          <cell r="A905" t="str">
            <v>pouch_carac_factor_6_fe_pouch_4</v>
          </cell>
          <cell r="B905">
            <v>0</v>
          </cell>
          <cell r="C905">
            <v>0</v>
          </cell>
          <cell r="D905">
            <v>0</v>
          </cell>
          <cell r="E905">
            <v>0</v>
          </cell>
        </row>
        <row r="906">
          <cell r="A906" t="str">
            <v>pouch_carac_factor_6_fe_pouch_5</v>
          </cell>
          <cell r="B906">
            <v>0</v>
          </cell>
          <cell r="C906">
            <v>0</v>
          </cell>
          <cell r="D906">
            <v>0</v>
          </cell>
          <cell r="E906">
            <v>0</v>
          </cell>
        </row>
        <row r="907">
          <cell r="A907" t="str">
            <v>pouch_carac_factor_7_me_pouch_1</v>
          </cell>
          <cell r="B907">
            <v>0</v>
          </cell>
          <cell r="C907">
            <v>0</v>
          </cell>
          <cell r="D907">
            <v>0</v>
          </cell>
          <cell r="E907">
            <v>0</v>
          </cell>
        </row>
        <row r="908">
          <cell r="A908" t="str">
            <v>pouch_carac_factor_7_me_pouch_2</v>
          </cell>
          <cell r="B908">
            <v>0</v>
          </cell>
          <cell r="C908">
            <v>0</v>
          </cell>
          <cell r="D908">
            <v>0</v>
          </cell>
          <cell r="E908">
            <v>0</v>
          </cell>
        </row>
        <row r="909">
          <cell r="A909" t="str">
            <v>pouch_carac_factor_7_me_pouch_3</v>
          </cell>
          <cell r="B909">
            <v>0</v>
          </cell>
          <cell r="C909">
            <v>0</v>
          </cell>
          <cell r="D909">
            <v>0</v>
          </cell>
          <cell r="E909">
            <v>0</v>
          </cell>
        </row>
        <row r="910">
          <cell r="A910" t="str">
            <v>pouch_carac_factor_7_me_pouch_4</v>
          </cell>
          <cell r="B910">
            <v>0</v>
          </cell>
          <cell r="C910">
            <v>0</v>
          </cell>
          <cell r="D910">
            <v>0</v>
          </cell>
          <cell r="E910">
            <v>0</v>
          </cell>
        </row>
        <row r="911">
          <cell r="A911" t="str">
            <v>pouch_carac_factor_7_me_pouch_5</v>
          </cell>
          <cell r="B911">
            <v>0</v>
          </cell>
          <cell r="C911">
            <v>0</v>
          </cell>
          <cell r="D911">
            <v>0</v>
          </cell>
          <cell r="E911">
            <v>0</v>
          </cell>
        </row>
        <row r="912">
          <cell r="A912" t="str">
            <v>pouch_carac_factor_8_of_pouch_1</v>
          </cell>
          <cell r="B912">
            <v>0</v>
          </cell>
          <cell r="C912">
            <v>0</v>
          </cell>
          <cell r="D912">
            <v>0</v>
          </cell>
          <cell r="E912">
            <v>0</v>
          </cell>
        </row>
        <row r="913">
          <cell r="A913" t="str">
            <v>pouch_carac_factor_8_of_pouch_2</v>
          </cell>
          <cell r="B913">
            <v>0</v>
          </cell>
          <cell r="C913">
            <v>0</v>
          </cell>
          <cell r="D913">
            <v>0</v>
          </cell>
          <cell r="E913">
            <v>0</v>
          </cell>
        </row>
        <row r="914">
          <cell r="A914" t="str">
            <v>pouch_carac_factor_8_of_pouch_3</v>
          </cell>
          <cell r="B914">
            <v>0</v>
          </cell>
          <cell r="C914">
            <v>0</v>
          </cell>
          <cell r="D914">
            <v>0</v>
          </cell>
          <cell r="E914">
            <v>0</v>
          </cell>
        </row>
        <row r="915">
          <cell r="A915" t="str">
            <v>pouch_carac_factor_8_of_pouch_4</v>
          </cell>
          <cell r="B915">
            <v>0</v>
          </cell>
          <cell r="C915">
            <v>0</v>
          </cell>
          <cell r="D915">
            <v>0</v>
          </cell>
          <cell r="E915">
            <v>0</v>
          </cell>
        </row>
        <row r="916">
          <cell r="A916" t="str">
            <v>pouch_carac_factor_8_of_pouch_5</v>
          </cell>
          <cell r="B916">
            <v>0</v>
          </cell>
          <cell r="C916">
            <v>0</v>
          </cell>
          <cell r="D916">
            <v>0</v>
          </cell>
          <cell r="E916">
            <v>0</v>
          </cell>
        </row>
        <row r="917">
          <cell r="A917" t="str">
            <v>pouch_carac_factor_9_od_pouch_1</v>
          </cell>
          <cell r="B917">
            <v>0</v>
          </cell>
          <cell r="C917">
            <v>0</v>
          </cell>
          <cell r="D917">
            <v>0</v>
          </cell>
          <cell r="E917">
            <v>0</v>
          </cell>
        </row>
        <row r="918">
          <cell r="A918" t="str">
            <v>pouch_carac_factor_9_od_pouch_2</v>
          </cell>
          <cell r="B918">
            <v>0</v>
          </cell>
          <cell r="C918">
            <v>0</v>
          </cell>
          <cell r="D918">
            <v>0</v>
          </cell>
          <cell r="E918">
            <v>0</v>
          </cell>
        </row>
        <row r="919">
          <cell r="A919" t="str">
            <v>pouch_carac_factor_9_od_pouch_3</v>
          </cell>
          <cell r="B919">
            <v>0</v>
          </cell>
          <cell r="C919">
            <v>0</v>
          </cell>
          <cell r="D919">
            <v>0</v>
          </cell>
          <cell r="E919">
            <v>0</v>
          </cell>
        </row>
        <row r="920">
          <cell r="A920" t="str">
            <v>pouch_carac_factor_9_od_pouch_4</v>
          </cell>
          <cell r="B920">
            <v>0</v>
          </cell>
          <cell r="C920">
            <v>0</v>
          </cell>
          <cell r="D920">
            <v>0</v>
          </cell>
          <cell r="E920">
            <v>0</v>
          </cell>
        </row>
        <row r="921">
          <cell r="A921" t="str">
            <v>pouch_carac_factor_9_od_pouch_5</v>
          </cell>
          <cell r="B921">
            <v>0</v>
          </cell>
          <cell r="C921">
            <v>0</v>
          </cell>
          <cell r="D921">
            <v>0</v>
          </cell>
          <cell r="E921">
            <v>0</v>
          </cell>
        </row>
        <row r="922">
          <cell r="A922" t="str">
            <v>pouch_comp_1</v>
          </cell>
          <cell r="B922">
            <v>0</v>
          </cell>
          <cell r="C922">
            <v>0</v>
          </cell>
          <cell r="D922">
            <v>0</v>
          </cell>
          <cell r="E922">
            <v>0</v>
          </cell>
        </row>
        <row r="923">
          <cell r="A923" t="str">
            <v>pouch_comp_2</v>
          </cell>
          <cell r="B923">
            <v>0</v>
          </cell>
          <cell r="C923">
            <v>0</v>
          </cell>
          <cell r="D923">
            <v>0</v>
          </cell>
          <cell r="E923">
            <v>0</v>
          </cell>
        </row>
        <row r="924">
          <cell r="A924" t="str">
            <v>pouch_comp_3</v>
          </cell>
          <cell r="B924">
            <v>0</v>
          </cell>
          <cell r="C924">
            <v>0</v>
          </cell>
          <cell r="D924">
            <v>0</v>
          </cell>
          <cell r="E924">
            <v>0</v>
          </cell>
        </row>
        <row r="925">
          <cell r="A925" t="str">
            <v>pouch_comp_4</v>
          </cell>
          <cell r="B925">
            <v>0</v>
          </cell>
          <cell r="C925">
            <v>0</v>
          </cell>
          <cell r="D925">
            <v>0</v>
          </cell>
          <cell r="E925">
            <v>0</v>
          </cell>
        </row>
        <row r="926">
          <cell r="A926" t="str">
            <v>pouch_comp_5</v>
          </cell>
          <cell r="B926">
            <v>0</v>
          </cell>
          <cell r="C926">
            <v>0</v>
          </cell>
          <cell r="D926">
            <v>0</v>
          </cell>
          <cell r="E926">
            <v>0</v>
          </cell>
        </row>
        <row r="927">
          <cell r="A927" t="str">
            <v>secondary_number_product_per_cardboard_box</v>
          </cell>
          <cell r="B927">
            <v>6</v>
          </cell>
          <cell r="C927">
            <v>6</v>
          </cell>
          <cell r="D927">
            <v>6</v>
          </cell>
          <cell r="E927">
            <v>6</v>
          </cell>
        </row>
        <row r="928">
          <cell r="A928" t="str">
            <v>secondary_number_product_per_ldpe_film</v>
          </cell>
          <cell r="B928">
            <v>0</v>
          </cell>
          <cell r="C928">
            <v>0</v>
          </cell>
          <cell r="D928">
            <v>0</v>
          </cell>
          <cell r="E928">
            <v>0</v>
          </cell>
        </row>
        <row r="929">
          <cell r="A929" t="str">
            <v>secondary_weight_cardboard_box</v>
          </cell>
          <cell r="B929">
            <v>284</v>
          </cell>
          <cell r="C929">
            <v>284</v>
          </cell>
          <cell r="D929">
            <v>284</v>
          </cell>
          <cell r="E929">
            <v>284</v>
          </cell>
        </row>
        <row r="930">
          <cell r="A930" t="str">
            <v>secondary_weight_ldpe_plastic_film</v>
          </cell>
          <cell r="B930">
            <v>0</v>
          </cell>
          <cell r="C930">
            <v>0</v>
          </cell>
          <cell r="D930">
            <v>0</v>
          </cell>
          <cell r="E930">
            <v>0</v>
          </cell>
        </row>
        <row r="931">
          <cell r="A931" t="str">
            <v>tertiary_number_intercalary_per_pallet</v>
          </cell>
          <cell r="B931">
            <v>0</v>
          </cell>
          <cell r="C931">
            <v>0</v>
          </cell>
          <cell r="D931">
            <v>0</v>
          </cell>
          <cell r="E931">
            <v>0</v>
          </cell>
        </row>
        <row r="932">
          <cell r="A932" t="str">
            <v>tertiary_number_product_per_wood_pallet</v>
          </cell>
          <cell r="B932">
            <v>576</v>
          </cell>
          <cell r="C932">
            <v>576</v>
          </cell>
          <cell r="D932">
            <v>576</v>
          </cell>
          <cell r="E932">
            <v>576</v>
          </cell>
        </row>
        <row r="933">
          <cell r="A933" t="str">
            <v>tertiary_weight_cardboard_intercalary</v>
          </cell>
          <cell r="B933">
            <v>400</v>
          </cell>
          <cell r="C933">
            <v>400</v>
          </cell>
          <cell r="D933">
            <v>400</v>
          </cell>
          <cell r="E933">
            <v>400</v>
          </cell>
        </row>
        <row r="934">
          <cell r="A934" t="str">
            <v>tertiary_weight_ldpe_plastic_film_per_pallet</v>
          </cell>
          <cell r="B934">
            <v>242</v>
          </cell>
          <cell r="C934">
            <v>242</v>
          </cell>
          <cell r="D934">
            <v>242</v>
          </cell>
          <cell r="E934">
            <v>242</v>
          </cell>
        </row>
        <row r="935">
          <cell r="A935" t="str">
            <v>tertiary_weight_wood_pallet</v>
          </cell>
          <cell r="B935">
            <v>28</v>
          </cell>
          <cell r="C935">
            <v>28</v>
          </cell>
          <cell r="D935">
            <v>28</v>
          </cell>
          <cell r="E935">
            <v>28</v>
          </cell>
        </row>
        <row r="936">
          <cell r="A936" t="str">
            <v>trans_dis_trip1_boat_distance</v>
          </cell>
          <cell r="B936">
            <v>0</v>
          </cell>
          <cell r="C936">
            <v>0</v>
          </cell>
          <cell r="D936">
            <v>0</v>
          </cell>
          <cell r="E936">
            <v>0</v>
          </cell>
        </row>
        <row r="937">
          <cell r="A937" t="str">
            <v>trans_dis_trip1_boat_err</v>
          </cell>
          <cell r="B937">
            <v>0</v>
          </cell>
          <cell r="C937">
            <v>0</v>
          </cell>
          <cell r="D937">
            <v>0</v>
          </cell>
          <cell r="E937">
            <v>0</v>
          </cell>
        </row>
        <row r="938">
          <cell r="A938" t="str">
            <v>trans_dis_trip1_market_part</v>
          </cell>
          <cell r="B938">
            <v>100</v>
          </cell>
          <cell r="C938">
            <v>100</v>
          </cell>
          <cell r="D938">
            <v>100</v>
          </cell>
          <cell r="E938">
            <v>100</v>
          </cell>
        </row>
        <row r="939">
          <cell r="A939" t="str">
            <v>trans_dis_trip1_train1_distance</v>
          </cell>
          <cell r="B939">
            <v>0</v>
          </cell>
          <cell r="C939">
            <v>0</v>
          </cell>
          <cell r="D939">
            <v>0</v>
          </cell>
          <cell r="E939">
            <v>0</v>
          </cell>
        </row>
        <row r="940">
          <cell r="A940" t="str">
            <v>trans_dis_trip1_train1_energy</v>
          </cell>
          <cell r="B940" t="str">
            <v>Electric</v>
          </cell>
          <cell r="C940" t="str">
            <v>Electric</v>
          </cell>
          <cell r="D940" t="str">
            <v>Electric</v>
          </cell>
          <cell r="E940" t="str">
            <v>Electric</v>
          </cell>
        </row>
        <row r="941">
          <cell r="A941" t="str">
            <v>trans_dis_trip1_train1_err</v>
          </cell>
          <cell r="B941">
            <v>0</v>
          </cell>
          <cell r="C941">
            <v>0</v>
          </cell>
          <cell r="D941">
            <v>0</v>
          </cell>
          <cell r="E941">
            <v>0</v>
          </cell>
        </row>
        <row r="942">
          <cell r="A942" t="str">
            <v>trans_dis_trip1_train2_distance</v>
          </cell>
          <cell r="B942">
            <v>0</v>
          </cell>
          <cell r="C942">
            <v>0</v>
          </cell>
          <cell r="D942">
            <v>0</v>
          </cell>
          <cell r="E942">
            <v>0</v>
          </cell>
        </row>
        <row r="943">
          <cell r="A943" t="str">
            <v>trans_dis_trip1_train2_energy</v>
          </cell>
          <cell r="B943" t="str">
            <v>Electric</v>
          </cell>
          <cell r="C943" t="str">
            <v>Electric</v>
          </cell>
          <cell r="D943" t="str">
            <v>Electric</v>
          </cell>
          <cell r="E943" t="str">
            <v>Electric</v>
          </cell>
        </row>
        <row r="944">
          <cell r="A944" t="str">
            <v>trans_dis_trip1_train2_err</v>
          </cell>
          <cell r="B944">
            <v>0</v>
          </cell>
          <cell r="C944">
            <v>0</v>
          </cell>
          <cell r="D944">
            <v>0</v>
          </cell>
          <cell r="E944">
            <v>0</v>
          </cell>
        </row>
        <row r="945">
          <cell r="A945" t="str">
            <v>trans_dis_trip1_truck1_distance</v>
          </cell>
          <cell r="B945">
            <v>600</v>
          </cell>
          <cell r="C945">
            <v>600</v>
          </cell>
          <cell r="D945">
            <v>600</v>
          </cell>
          <cell r="E945">
            <v>600</v>
          </cell>
        </row>
        <row r="946">
          <cell r="A946" t="str">
            <v>trans_dis_trip1_truck1_effpayload</v>
          </cell>
          <cell r="B946">
            <v>24</v>
          </cell>
          <cell r="C946">
            <v>24</v>
          </cell>
          <cell r="D946">
            <v>24</v>
          </cell>
          <cell r="E946">
            <v>24</v>
          </cell>
        </row>
        <row r="947">
          <cell r="A947" t="str">
            <v>trans_dis_trip1_truck1_err</v>
          </cell>
          <cell r="B947">
            <v>28</v>
          </cell>
          <cell r="C947">
            <v>28</v>
          </cell>
          <cell r="D947">
            <v>28</v>
          </cell>
          <cell r="E947">
            <v>28</v>
          </cell>
        </row>
        <row r="948">
          <cell r="A948" t="str">
            <v>trans_dis_trip1_truck1_payloadmax</v>
          </cell>
          <cell r="B948" t="str">
            <v>max 24t</v>
          </cell>
          <cell r="C948" t="str">
            <v>max 24t</v>
          </cell>
          <cell r="D948" t="str">
            <v>max 24t</v>
          </cell>
          <cell r="E948" t="str">
            <v>max 24t</v>
          </cell>
        </row>
        <row r="949">
          <cell r="A949" t="str">
            <v>trans_dis_trip1_truck2_distance</v>
          </cell>
          <cell r="B949">
            <v>0</v>
          </cell>
          <cell r="C949">
            <v>0</v>
          </cell>
          <cell r="D949">
            <v>0</v>
          </cell>
          <cell r="E949">
            <v>0</v>
          </cell>
        </row>
        <row r="950">
          <cell r="A950" t="str">
            <v>trans_dis_trip1_truck2_effpayload</v>
          </cell>
          <cell r="B950">
            <v>0</v>
          </cell>
          <cell r="C950">
            <v>0</v>
          </cell>
          <cell r="D950">
            <v>0</v>
          </cell>
          <cell r="E950">
            <v>0</v>
          </cell>
        </row>
        <row r="951">
          <cell r="A951" t="str">
            <v>trans_dis_trip1_truck2_err</v>
          </cell>
          <cell r="B951">
            <v>28</v>
          </cell>
          <cell r="C951">
            <v>28</v>
          </cell>
          <cell r="D951">
            <v>28</v>
          </cell>
          <cell r="E951">
            <v>28</v>
          </cell>
        </row>
        <row r="952">
          <cell r="A952" t="str">
            <v>trans_dis_trip1_truck2_payloadmax</v>
          </cell>
          <cell r="B952" t="str">
            <v>max 24t</v>
          </cell>
          <cell r="C952" t="str">
            <v>max 24t</v>
          </cell>
          <cell r="D952" t="str">
            <v>max 24t</v>
          </cell>
          <cell r="E952" t="str">
            <v>max 24t</v>
          </cell>
        </row>
        <row r="953">
          <cell r="A953" t="str">
            <v>trans_dis_trip2_boat_distance</v>
          </cell>
          <cell r="B953">
            <v>0</v>
          </cell>
          <cell r="C953">
            <v>0</v>
          </cell>
          <cell r="D953">
            <v>0</v>
          </cell>
          <cell r="E953">
            <v>0</v>
          </cell>
        </row>
        <row r="954">
          <cell r="A954" t="str">
            <v>trans_dis_trip2_boat_err</v>
          </cell>
          <cell r="B954">
            <v>0</v>
          </cell>
          <cell r="C954">
            <v>0</v>
          </cell>
          <cell r="D954">
            <v>0</v>
          </cell>
          <cell r="E954">
            <v>0</v>
          </cell>
        </row>
        <row r="955">
          <cell r="A955" t="str">
            <v>trans_dis_trip2_market_part</v>
          </cell>
          <cell r="B955">
            <v>0</v>
          </cell>
          <cell r="C955">
            <v>0</v>
          </cell>
          <cell r="D955">
            <v>0</v>
          </cell>
          <cell r="E955">
            <v>0</v>
          </cell>
        </row>
        <row r="956">
          <cell r="A956" t="str">
            <v>trans_dis_trip2_train1_distance</v>
          </cell>
          <cell r="B956">
            <v>0</v>
          </cell>
          <cell r="C956">
            <v>0</v>
          </cell>
          <cell r="D956">
            <v>0</v>
          </cell>
          <cell r="E956">
            <v>0</v>
          </cell>
        </row>
        <row r="957">
          <cell r="A957" t="str">
            <v>trans_dis_trip2_train1_energy</v>
          </cell>
          <cell r="B957" t="str">
            <v>Electric</v>
          </cell>
          <cell r="C957" t="str">
            <v>Electric</v>
          </cell>
          <cell r="D957" t="str">
            <v>Electric</v>
          </cell>
          <cell r="E957" t="str">
            <v>Electric</v>
          </cell>
        </row>
        <row r="958">
          <cell r="A958" t="str">
            <v>trans_dis_trip2_train1_err</v>
          </cell>
          <cell r="B958">
            <v>0</v>
          </cell>
          <cell r="C958">
            <v>0</v>
          </cell>
          <cell r="D958">
            <v>0</v>
          </cell>
          <cell r="E958">
            <v>0</v>
          </cell>
        </row>
        <row r="959">
          <cell r="A959" t="str">
            <v>trans_dis_trip2_train2_distance</v>
          </cell>
          <cell r="B959">
            <v>0</v>
          </cell>
          <cell r="C959">
            <v>0</v>
          </cell>
          <cell r="D959">
            <v>0</v>
          </cell>
          <cell r="E959">
            <v>0</v>
          </cell>
        </row>
        <row r="960">
          <cell r="A960" t="str">
            <v>trans_dis_trip2_train2_energy</v>
          </cell>
          <cell r="B960" t="str">
            <v>Electric</v>
          </cell>
          <cell r="C960" t="str">
            <v>Electric</v>
          </cell>
          <cell r="D960" t="str">
            <v>Electric</v>
          </cell>
          <cell r="E960" t="str">
            <v>Electric</v>
          </cell>
        </row>
        <row r="961">
          <cell r="A961" t="str">
            <v>trans_dis_trip2_train2_err</v>
          </cell>
          <cell r="B961">
            <v>0</v>
          </cell>
          <cell r="C961">
            <v>0</v>
          </cell>
          <cell r="D961">
            <v>0</v>
          </cell>
          <cell r="E961">
            <v>0</v>
          </cell>
        </row>
        <row r="962">
          <cell r="A962" t="str">
            <v>trans_dis_trip2_truck1_distance</v>
          </cell>
          <cell r="B962">
            <v>0</v>
          </cell>
          <cell r="C962">
            <v>0</v>
          </cell>
          <cell r="D962">
            <v>0</v>
          </cell>
          <cell r="E962">
            <v>0</v>
          </cell>
        </row>
        <row r="963">
          <cell r="A963" t="str">
            <v>trans_dis_trip2_truck1_effpayload</v>
          </cell>
          <cell r="B963">
            <v>0</v>
          </cell>
          <cell r="C963">
            <v>0</v>
          </cell>
          <cell r="D963">
            <v>0</v>
          </cell>
          <cell r="E963">
            <v>0</v>
          </cell>
        </row>
        <row r="964">
          <cell r="A964" t="str">
            <v>trans_dis_trip2_truck1_err</v>
          </cell>
          <cell r="B964">
            <v>28</v>
          </cell>
          <cell r="C964">
            <v>28</v>
          </cell>
          <cell r="D964">
            <v>28</v>
          </cell>
          <cell r="E964">
            <v>28</v>
          </cell>
        </row>
        <row r="965">
          <cell r="A965" t="str">
            <v>trans_dis_trip2_truck1_payloadmax</v>
          </cell>
          <cell r="B965" t="str">
            <v>max 24t</v>
          </cell>
          <cell r="C965" t="str">
            <v>max 24t</v>
          </cell>
          <cell r="D965" t="str">
            <v>max 24t</v>
          </cell>
          <cell r="E965" t="str">
            <v>max 24t</v>
          </cell>
        </row>
        <row r="966">
          <cell r="A966" t="str">
            <v>trans_dis_trip2_truck2_distance</v>
          </cell>
          <cell r="B966">
            <v>0</v>
          </cell>
          <cell r="C966">
            <v>0</v>
          </cell>
          <cell r="D966">
            <v>0</v>
          </cell>
          <cell r="E966">
            <v>0</v>
          </cell>
        </row>
        <row r="967">
          <cell r="A967" t="str">
            <v>trans_dis_trip2_truck2_effpayload</v>
          </cell>
          <cell r="B967">
            <v>0</v>
          </cell>
          <cell r="C967">
            <v>0</v>
          </cell>
          <cell r="D967">
            <v>0</v>
          </cell>
          <cell r="E967">
            <v>0</v>
          </cell>
        </row>
        <row r="968">
          <cell r="A968" t="str">
            <v>trans_dis_trip2_truck2_err</v>
          </cell>
          <cell r="B968">
            <v>28</v>
          </cell>
          <cell r="C968">
            <v>28</v>
          </cell>
          <cell r="D968">
            <v>28</v>
          </cell>
          <cell r="E968">
            <v>28</v>
          </cell>
        </row>
        <row r="969">
          <cell r="A969" t="str">
            <v>trans_dis_trip2_truck2_payloadmax</v>
          </cell>
          <cell r="B969" t="str">
            <v>max 24t</v>
          </cell>
          <cell r="C969" t="str">
            <v>max 24t</v>
          </cell>
          <cell r="D969" t="str">
            <v>max 24t</v>
          </cell>
          <cell r="E969" t="str">
            <v>max 24t</v>
          </cell>
        </row>
        <row r="970">
          <cell r="A970" t="str">
            <v>trans_dis_trip3_boat_distance</v>
          </cell>
          <cell r="B970">
            <v>0</v>
          </cell>
          <cell r="C970">
            <v>0</v>
          </cell>
          <cell r="D970">
            <v>0</v>
          </cell>
          <cell r="E970">
            <v>0</v>
          </cell>
        </row>
        <row r="971">
          <cell r="A971" t="str">
            <v>trans_dis_trip3_boat_err</v>
          </cell>
          <cell r="B971">
            <v>0</v>
          </cell>
          <cell r="C971">
            <v>0</v>
          </cell>
          <cell r="D971">
            <v>0</v>
          </cell>
          <cell r="E971">
            <v>0</v>
          </cell>
        </row>
        <row r="972">
          <cell r="A972" t="str">
            <v>trans_dis_trip3_market_part</v>
          </cell>
          <cell r="B972">
            <v>0</v>
          </cell>
          <cell r="C972">
            <v>0</v>
          </cell>
          <cell r="D972">
            <v>0</v>
          </cell>
          <cell r="E972">
            <v>0</v>
          </cell>
        </row>
        <row r="973">
          <cell r="A973" t="str">
            <v>trans_dis_trip3_train1_distance</v>
          </cell>
          <cell r="B973">
            <v>0</v>
          </cell>
          <cell r="C973">
            <v>0</v>
          </cell>
          <cell r="D973">
            <v>0</v>
          </cell>
          <cell r="E973">
            <v>0</v>
          </cell>
        </row>
        <row r="974">
          <cell r="A974" t="str">
            <v>trans_dis_trip3_train1_energy</v>
          </cell>
          <cell r="B974" t="str">
            <v>Electric</v>
          </cell>
          <cell r="C974" t="str">
            <v>Electric</v>
          </cell>
          <cell r="D974" t="str">
            <v>Electric</v>
          </cell>
          <cell r="E974" t="str">
            <v>Electric</v>
          </cell>
        </row>
        <row r="975">
          <cell r="A975" t="str">
            <v>trans_dis_trip3_train1_err</v>
          </cell>
          <cell r="B975">
            <v>0</v>
          </cell>
          <cell r="C975">
            <v>0</v>
          </cell>
          <cell r="D975">
            <v>0</v>
          </cell>
          <cell r="E975">
            <v>0</v>
          </cell>
        </row>
        <row r="976">
          <cell r="A976" t="str">
            <v>trans_dis_trip3_train2_distance</v>
          </cell>
          <cell r="B976">
            <v>0</v>
          </cell>
          <cell r="C976">
            <v>0</v>
          </cell>
          <cell r="D976">
            <v>0</v>
          </cell>
          <cell r="E976">
            <v>0</v>
          </cell>
        </row>
        <row r="977">
          <cell r="A977" t="str">
            <v>trans_dis_trip3_train2_energy</v>
          </cell>
          <cell r="B977" t="str">
            <v>Electric</v>
          </cell>
          <cell r="C977" t="str">
            <v>Electric</v>
          </cell>
          <cell r="D977" t="str">
            <v>Electric</v>
          </cell>
          <cell r="E977" t="str">
            <v>Electric</v>
          </cell>
        </row>
        <row r="978">
          <cell r="A978" t="str">
            <v>trans_dis_trip3_train2_err</v>
          </cell>
          <cell r="B978">
            <v>0</v>
          </cell>
          <cell r="C978">
            <v>0</v>
          </cell>
          <cell r="D978">
            <v>0</v>
          </cell>
          <cell r="E978">
            <v>0</v>
          </cell>
        </row>
        <row r="979">
          <cell r="A979" t="str">
            <v>trans_dis_trip3_truck1_distance</v>
          </cell>
          <cell r="B979">
            <v>0</v>
          </cell>
          <cell r="C979">
            <v>0</v>
          </cell>
          <cell r="D979">
            <v>0</v>
          </cell>
          <cell r="E979">
            <v>0</v>
          </cell>
        </row>
        <row r="980">
          <cell r="A980" t="str">
            <v>trans_dis_trip3_truck1_effpayload</v>
          </cell>
          <cell r="B980">
            <v>0</v>
          </cell>
          <cell r="C980">
            <v>0</v>
          </cell>
          <cell r="D980">
            <v>0</v>
          </cell>
          <cell r="E980">
            <v>0</v>
          </cell>
        </row>
        <row r="981">
          <cell r="A981" t="str">
            <v>trans_dis_trip3_truck1_err</v>
          </cell>
          <cell r="B981">
            <v>28</v>
          </cell>
          <cell r="C981">
            <v>28</v>
          </cell>
          <cell r="D981">
            <v>28</v>
          </cell>
          <cell r="E981">
            <v>28</v>
          </cell>
        </row>
        <row r="982">
          <cell r="A982" t="str">
            <v>trans_dis_trip3_truck1_payloadmax</v>
          </cell>
          <cell r="B982" t="str">
            <v>max 24t</v>
          </cell>
          <cell r="C982" t="str">
            <v>max 24t</v>
          </cell>
          <cell r="D982" t="str">
            <v>max 24t</v>
          </cell>
          <cell r="E982" t="str">
            <v>max 24t</v>
          </cell>
        </row>
        <row r="983">
          <cell r="A983" t="str">
            <v>trans_dis_trip3_truck2_distance</v>
          </cell>
          <cell r="B983">
            <v>0</v>
          </cell>
          <cell r="C983">
            <v>0</v>
          </cell>
          <cell r="D983">
            <v>0</v>
          </cell>
          <cell r="E983">
            <v>0</v>
          </cell>
        </row>
        <row r="984">
          <cell r="A984" t="str">
            <v>trans_dis_trip3_truck2_effpayload</v>
          </cell>
          <cell r="B984">
            <v>0</v>
          </cell>
          <cell r="C984">
            <v>0</v>
          </cell>
          <cell r="D984">
            <v>0</v>
          </cell>
          <cell r="E984">
            <v>0</v>
          </cell>
        </row>
        <row r="985">
          <cell r="A985" t="str">
            <v>trans_dis_trip3_truck2_err</v>
          </cell>
          <cell r="B985">
            <v>28</v>
          </cell>
          <cell r="C985">
            <v>28</v>
          </cell>
          <cell r="D985">
            <v>28</v>
          </cell>
          <cell r="E985">
            <v>28</v>
          </cell>
        </row>
        <row r="986">
          <cell r="A986" t="str">
            <v>trans_dis_trip3_truck2_payloadmax</v>
          </cell>
          <cell r="B986" t="str">
            <v>max 24t</v>
          </cell>
          <cell r="C986" t="str">
            <v>max 24t</v>
          </cell>
          <cell r="D986" t="str">
            <v>max 24t</v>
          </cell>
          <cell r="E986" t="str">
            <v>max 24t</v>
          </cell>
        </row>
        <row r="987">
          <cell r="A987" t="str">
            <v>trans_ing_boat_distance</v>
          </cell>
          <cell r="B987">
            <v>12000</v>
          </cell>
          <cell r="C987">
            <v>12000</v>
          </cell>
          <cell r="D987">
            <v>12000</v>
          </cell>
          <cell r="E987">
            <v>12000</v>
          </cell>
        </row>
        <row r="988">
          <cell r="A988" t="str">
            <v>trans_ing_boat_err</v>
          </cell>
          <cell r="B988">
            <v>30</v>
          </cell>
          <cell r="C988">
            <v>30</v>
          </cell>
          <cell r="D988">
            <v>30</v>
          </cell>
          <cell r="E988">
            <v>30</v>
          </cell>
        </row>
        <row r="989">
          <cell r="A989" t="str">
            <v>trans_ing_train_distance</v>
          </cell>
          <cell r="B989">
            <v>0</v>
          </cell>
          <cell r="C989">
            <v>0</v>
          </cell>
          <cell r="D989">
            <v>0</v>
          </cell>
          <cell r="E989">
            <v>0</v>
          </cell>
        </row>
        <row r="990">
          <cell r="A990" t="str">
            <v>trans_ing_train_energy</v>
          </cell>
          <cell r="B990" t="str">
            <v>Electric</v>
          </cell>
          <cell r="C990" t="str">
            <v>Electric</v>
          </cell>
          <cell r="D990" t="str">
            <v>Electric</v>
          </cell>
          <cell r="E990" t="str">
            <v>Electric</v>
          </cell>
        </row>
        <row r="991">
          <cell r="A991" t="str">
            <v>trans_ing_train_err</v>
          </cell>
          <cell r="B991">
            <v>0</v>
          </cell>
          <cell r="C991">
            <v>0</v>
          </cell>
          <cell r="D991">
            <v>0</v>
          </cell>
          <cell r="E991">
            <v>0</v>
          </cell>
        </row>
        <row r="992">
          <cell r="A992" t="str">
            <v>trans_ing_truck_distance</v>
          </cell>
          <cell r="B992">
            <v>2250</v>
          </cell>
          <cell r="C992">
            <v>2250</v>
          </cell>
          <cell r="D992">
            <v>2250</v>
          </cell>
          <cell r="E992">
            <v>2250</v>
          </cell>
        </row>
        <row r="993">
          <cell r="A993" t="str">
            <v>trans_ing_truck_effpayload</v>
          </cell>
          <cell r="B993">
            <v>24</v>
          </cell>
          <cell r="C993">
            <v>24</v>
          </cell>
          <cell r="D993">
            <v>24</v>
          </cell>
          <cell r="E993">
            <v>24</v>
          </cell>
        </row>
        <row r="994">
          <cell r="A994" t="str">
            <v>trans_ing_truck_err</v>
          </cell>
          <cell r="B994">
            <v>28</v>
          </cell>
          <cell r="C994">
            <v>28</v>
          </cell>
          <cell r="D994">
            <v>28</v>
          </cell>
          <cell r="E994">
            <v>28</v>
          </cell>
        </row>
        <row r="995">
          <cell r="A995" t="str">
            <v>trans_ing_truck_payloadmax</v>
          </cell>
          <cell r="B995" t="str">
            <v>max 24t</v>
          </cell>
          <cell r="C995" t="str">
            <v>max 24t</v>
          </cell>
          <cell r="D995" t="str">
            <v>max 24t</v>
          </cell>
          <cell r="E995" t="str">
            <v>max 24t</v>
          </cell>
        </row>
        <row r="996">
          <cell r="A996" t="str">
            <v>transp_distribution_scenario</v>
          </cell>
          <cell r="B996" t="str">
            <v>Local</v>
          </cell>
          <cell r="C996" t="str">
            <v>Local</v>
          </cell>
          <cell r="D996" t="str">
            <v>Local</v>
          </cell>
          <cell r="E996" t="str">
            <v>Local</v>
          </cell>
        </row>
        <row r="997">
          <cell r="A997" t="str">
            <v>up_product_alloc</v>
          </cell>
          <cell r="B997">
            <v>5</v>
          </cell>
          <cell r="C997">
            <v>5</v>
          </cell>
          <cell r="D997">
            <v>5</v>
          </cell>
          <cell r="E997">
            <v>5</v>
          </cell>
        </row>
        <row r="998">
          <cell r="A998" t="str">
            <v>up_transp_distance</v>
          </cell>
          <cell r="B998">
            <v>4.8</v>
          </cell>
          <cell r="C998">
            <v>4.8</v>
          </cell>
          <cell r="D998">
            <v>4.8</v>
          </cell>
          <cell r="E998">
            <v>4.8</v>
          </cell>
        </row>
        <row r="999">
          <cell r="A999" t="str">
            <v>use_eol_country</v>
          </cell>
          <cell r="B999" t="str">
            <v>Europe-27</v>
          </cell>
          <cell r="C999" t="str">
            <v>France</v>
          </cell>
          <cell r="D999" t="str">
            <v>Europe-27</v>
          </cell>
          <cell r="E999" t="str">
            <v>Europe-27</v>
          </cell>
        </row>
        <row r="1000">
          <cell r="A1000" t="str">
            <v>wwt_connected_pop</v>
          </cell>
          <cell r="B1000">
            <v>100</v>
          </cell>
          <cell r="C1000">
            <v>100</v>
          </cell>
          <cell r="D1000">
            <v>100</v>
          </cell>
          <cell r="E1000">
            <v>100</v>
          </cell>
        </row>
        <row r="1001">
          <cell r="A1001" t="str">
            <v>wwt_removal_rate_01_aqua</v>
          </cell>
          <cell r="B1001">
            <v>100</v>
          </cell>
          <cell r="C1001">
            <v>100</v>
          </cell>
          <cell r="D1001">
            <v>100</v>
          </cell>
          <cell r="E1001">
            <v>100</v>
          </cell>
        </row>
        <row r="1002">
          <cell r="A1002" t="str">
            <v>wwt_removal_rate_02_acid_citric</v>
          </cell>
          <cell r="B1002">
            <v>93</v>
          </cell>
          <cell r="C1002">
            <v>93</v>
          </cell>
          <cell r="D1002">
            <v>93</v>
          </cell>
          <cell r="E1002">
            <v>93</v>
          </cell>
        </row>
        <row r="1003">
          <cell r="A1003" t="str">
            <v>wwt_removal_rate_03_sodium_phosphanate</v>
          </cell>
          <cell r="B1003">
            <v>60</v>
          </cell>
          <cell r="C1003">
            <v>60</v>
          </cell>
          <cell r="D1003">
            <v>60</v>
          </cell>
          <cell r="E1003">
            <v>60</v>
          </cell>
        </row>
        <row r="1004">
          <cell r="A1004" t="str">
            <v>wwt_removal_rate_04_colorants</v>
          </cell>
          <cell r="B1004">
            <v>60</v>
          </cell>
          <cell r="C1004">
            <v>60</v>
          </cell>
          <cell r="D1004">
            <v>60</v>
          </cell>
          <cell r="E1004">
            <v>60</v>
          </cell>
        </row>
        <row r="1005">
          <cell r="A1005" t="str">
            <v>wwt_removal_rate_05_enzymes</v>
          </cell>
          <cell r="B1005">
            <v>87</v>
          </cell>
          <cell r="C1005">
            <v>87</v>
          </cell>
          <cell r="D1005">
            <v>87</v>
          </cell>
          <cell r="E1005">
            <v>87</v>
          </cell>
        </row>
        <row r="1006">
          <cell r="A1006" t="str">
            <v>wwt_removal_rate_06_parfum</v>
          </cell>
          <cell r="B1006">
            <v>93.94</v>
          </cell>
          <cell r="C1006">
            <v>93.94</v>
          </cell>
          <cell r="D1006">
            <v>93.94</v>
          </cell>
          <cell r="E1006">
            <v>93.94</v>
          </cell>
        </row>
        <row r="1007">
          <cell r="A1007" t="str">
            <v>wwt_removal_rate_06_parfum_01_dihydro</v>
          </cell>
          <cell r="B1007">
            <v>99.9</v>
          </cell>
          <cell r="C1007">
            <v>99.9</v>
          </cell>
          <cell r="D1007">
            <v>99.9</v>
          </cell>
          <cell r="E1007">
            <v>99.9</v>
          </cell>
        </row>
        <row r="1008">
          <cell r="A1008" t="str">
            <v>wwt_removal_rate_06_parfum_02_alpha</v>
          </cell>
          <cell r="B1008">
            <v>99.8</v>
          </cell>
          <cell r="C1008">
            <v>99.8</v>
          </cell>
          <cell r="D1008">
            <v>99.8</v>
          </cell>
          <cell r="E1008">
            <v>99.8</v>
          </cell>
        </row>
        <row r="1009">
          <cell r="A1009" t="str">
            <v>wwt_removal_rate_06_parfum_03_hexyl</v>
          </cell>
          <cell r="B1009">
            <v>99.8</v>
          </cell>
          <cell r="C1009">
            <v>99.8</v>
          </cell>
          <cell r="D1009">
            <v>99.8</v>
          </cell>
          <cell r="E1009">
            <v>99.8</v>
          </cell>
        </row>
        <row r="1010">
          <cell r="A1010" t="str">
            <v>wwt_removal_rate_06_parfum_04_beta</v>
          </cell>
          <cell r="B1010">
            <v>90</v>
          </cell>
          <cell r="C1010">
            <v>90</v>
          </cell>
          <cell r="D1010">
            <v>90</v>
          </cell>
          <cell r="E1010">
            <v>90</v>
          </cell>
        </row>
        <row r="1011">
          <cell r="A1011" t="str">
            <v>wwt_removal_rate_06_parfum_05_isoe</v>
          </cell>
          <cell r="B1011">
            <v>92</v>
          </cell>
          <cell r="C1011">
            <v>92</v>
          </cell>
          <cell r="D1011">
            <v>92</v>
          </cell>
          <cell r="E1011">
            <v>92</v>
          </cell>
        </row>
        <row r="1012">
          <cell r="A1012" t="str">
            <v>wwt_removal_rate_06_parfum_06_methyl</v>
          </cell>
          <cell r="B1012">
            <v>97</v>
          </cell>
          <cell r="C1012">
            <v>97</v>
          </cell>
          <cell r="D1012">
            <v>97</v>
          </cell>
          <cell r="E1012">
            <v>97</v>
          </cell>
        </row>
        <row r="1013">
          <cell r="A1013" t="str">
            <v>wwt_removal_rate_06_parfum_07_diprop</v>
          </cell>
          <cell r="B1013">
            <v>87</v>
          </cell>
          <cell r="C1013">
            <v>87</v>
          </cell>
          <cell r="D1013">
            <v>87</v>
          </cell>
          <cell r="E1013">
            <v>87</v>
          </cell>
        </row>
        <row r="1014">
          <cell r="A1014" t="str">
            <v>wwt_removal_rate_06_parfum_08_phenyl</v>
          </cell>
          <cell r="B1014">
            <v>90</v>
          </cell>
          <cell r="C1014">
            <v>90</v>
          </cell>
          <cell r="D1014">
            <v>90</v>
          </cell>
          <cell r="E1014">
            <v>90</v>
          </cell>
        </row>
        <row r="1015">
          <cell r="A1015" t="str">
            <v>wwt_removal_rate_06_parfum_09_4ter</v>
          </cell>
          <cell r="B1015">
            <v>90</v>
          </cell>
          <cell r="C1015">
            <v>90</v>
          </cell>
          <cell r="D1015">
            <v>90</v>
          </cell>
          <cell r="E1015">
            <v>90</v>
          </cell>
        </row>
        <row r="1016">
          <cell r="A1016" t="str">
            <v>wwt_removal_rate_07_azurant</v>
          </cell>
          <cell r="B1016">
            <v>60</v>
          </cell>
          <cell r="C1016">
            <v>60</v>
          </cell>
          <cell r="D1016">
            <v>60</v>
          </cell>
          <cell r="E1016">
            <v>60</v>
          </cell>
        </row>
        <row r="1017">
          <cell r="A1017" t="str">
            <v>wwt_removal_rate_08_sodium_laureth_sulfate</v>
          </cell>
          <cell r="B1017">
            <v>98</v>
          </cell>
          <cell r="C1017">
            <v>98</v>
          </cell>
          <cell r="D1017">
            <v>98</v>
          </cell>
          <cell r="E1017">
            <v>98</v>
          </cell>
        </row>
        <row r="1018">
          <cell r="A1018" t="str">
            <v>wwt_removal_rate_09_las</v>
          </cell>
          <cell r="B1018">
            <v>95</v>
          </cell>
          <cell r="C1018">
            <v>95</v>
          </cell>
          <cell r="D1018">
            <v>95</v>
          </cell>
          <cell r="E1018">
            <v>95</v>
          </cell>
        </row>
        <row r="1019">
          <cell r="A1019" t="str">
            <v>wwt_removal_rate_10_cocoate</v>
          </cell>
          <cell r="B1019">
            <v>95</v>
          </cell>
          <cell r="C1019">
            <v>95</v>
          </cell>
          <cell r="D1019">
            <v>95</v>
          </cell>
          <cell r="E1019">
            <v>95</v>
          </cell>
        </row>
        <row r="1020">
          <cell r="A1020" t="str">
            <v>wwt_removal_rate_11_fatty_alcohol_etho_c16_c18</v>
          </cell>
          <cell r="B1020">
            <v>95</v>
          </cell>
          <cell r="C1020">
            <v>95</v>
          </cell>
          <cell r="D1020">
            <v>95</v>
          </cell>
          <cell r="E1020">
            <v>95</v>
          </cell>
        </row>
        <row r="1021">
          <cell r="A1021" t="str">
            <v>wwt_removal_rate_12_sodium_hydroxide</v>
          </cell>
          <cell r="B1021">
            <v>100</v>
          </cell>
          <cell r="C1021">
            <v>100</v>
          </cell>
          <cell r="D1021">
            <v>100</v>
          </cell>
          <cell r="E1021">
            <v>100</v>
          </cell>
        </row>
        <row r="1022">
          <cell r="A1022" t="str">
            <v>wwt_removal_rate_13_taed</v>
          </cell>
          <cell r="B1022">
            <v>96</v>
          </cell>
          <cell r="C1022">
            <v>96</v>
          </cell>
          <cell r="D1022">
            <v>96</v>
          </cell>
          <cell r="E1022">
            <v>96</v>
          </cell>
        </row>
        <row r="1023">
          <cell r="A1023" t="str">
            <v>wwt_removal_rate_14_glycerin</v>
          </cell>
          <cell r="B1023">
            <v>87</v>
          </cell>
          <cell r="C1023">
            <v>87</v>
          </cell>
          <cell r="D1023">
            <v>87</v>
          </cell>
          <cell r="E1023">
            <v>87</v>
          </cell>
        </row>
        <row r="1024">
          <cell r="A1024" t="str">
            <v>wwt_removal_rate_15_propylene_glycol</v>
          </cell>
          <cell r="B1024">
            <v>87</v>
          </cell>
          <cell r="C1024">
            <v>87</v>
          </cell>
          <cell r="D1024">
            <v>87</v>
          </cell>
          <cell r="E1024">
            <v>87</v>
          </cell>
        </row>
        <row r="1025">
          <cell r="A1025" t="str">
            <v>wwt_removal_rate_16_sodium_chloride</v>
          </cell>
          <cell r="B1025">
            <v>50</v>
          </cell>
          <cell r="C1025">
            <v>50</v>
          </cell>
          <cell r="D1025">
            <v>50</v>
          </cell>
          <cell r="E1025">
            <v>50</v>
          </cell>
        </row>
        <row r="1026">
          <cell r="A1026" t="str">
            <v>wwt_removal_rate_17_polymers</v>
          </cell>
          <cell r="B1026">
            <v>60</v>
          </cell>
          <cell r="C1026">
            <v>60</v>
          </cell>
          <cell r="D1026">
            <v>60</v>
          </cell>
          <cell r="E1026">
            <v>60</v>
          </cell>
        </row>
        <row r="1027">
          <cell r="A1027" t="str">
            <v>wwt_removal_rate_19_others</v>
          </cell>
          <cell r="B1027">
            <v>100</v>
          </cell>
          <cell r="C1027">
            <v>100</v>
          </cell>
          <cell r="D1027">
            <v>100</v>
          </cell>
          <cell r="E1027">
            <v>100</v>
          </cell>
        </row>
        <row r="1028">
          <cell r="A1028" t="str">
            <v>wwt_removal_rate_name01</v>
          </cell>
          <cell r="B1028">
            <v>90</v>
          </cell>
          <cell r="C1028">
            <v>90</v>
          </cell>
          <cell r="D1028">
            <v>90</v>
          </cell>
          <cell r="E1028">
            <v>90</v>
          </cell>
        </row>
        <row r="1029">
          <cell r="A1029" t="str">
            <v>wwt_removal_rate_name02</v>
          </cell>
          <cell r="B1029">
            <v>99.1</v>
          </cell>
          <cell r="C1029">
            <v>99.1</v>
          </cell>
          <cell r="D1029">
            <v>99.1</v>
          </cell>
          <cell r="E1029">
            <v>99.1</v>
          </cell>
        </row>
        <row r="1030">
          <cell r="A1030" t="str">
            <v>wwt_removal_rate_name03</v>
          </cell>
          <cell r="B1030">
            <v>0</v>
          </cell>
          <cell r="C1030">
            <v>0</v>
          </cell>
          <cell r="D1030">
            <v>0</v>
          </cell>
          <cell r="E1030">
            <v>0</v>
          </cell>
        </row>
        <row r="1031">
          <cell r="A1031" t="str">
            <v>wwt_removal_rate_name04</v>
          </cell>
          <cell r="B1031">
            <v>0</v>
          </cell>
          <cell r="C1031">
            <v>0</v>
          </cell>
          <cell r="D1031">
            <v>0</v>
          </cell>
          <cell r="E1031">
            <v>0</v>
          </cell>
        </row>
        <row r="1032">
          <cell r="A1032" t="str">
            <v>wwt_removal_rate_name05</v>
          </cell>
          <cell r="B1032">
            <v>0</v>
          </cell>
          <cell r="C1032">
            <v>0</v>
          </cell>
          <cell r="D1032">
            <v>0</v>
          </cell>
          <cell r="E1032">
            <v>0</v>
          </cell>
        </row>
        <row r="1033">
          <cell r="A1033" t="str">
            <v>wwt_removal_rate_name06</v>
          </cell>
          <cell r="B1033">
            <v>0</v>
          </cell>
          <cell r="C1033">
            <v>0</v>
          </cell>
          <cell r="D1033">
            <v>0</v>
          </cell>
          <cell r="E1033">
            <v>0</v>
          </cell>
        </row>
        <row r="1034">
          <cell r="A1034" t="str">
            <v>wwt_removal_rate_name07</v>
          </cell>
          <cell r="B1034">
            <v>0</v>
          </cell>
          <cell r="C1034">
            <v>0</v>
          </cell>
          <cell r="D1034">
            <v>0</v>
          </cell>
          <cell r="E1034">
            <v>0</v>
          </cell>
        </row>
        <row r="1035">
          <cell r="A1035" t="str">
            <v>wwt_removal_rate_name08</v>
          </cell>
          <cell r="B1035">
            <v>0</v>
          </cell>
          <cell r="C1035">
            <v>0</v>
          </cell>
          <cell r="D1035">
            <v>0</v>
          </cell>
          <cell r="E1035">
            <v>0</v>
          </cell>
        </row>
        <row r="1036">
          <cell r="A1036" t="str">
            <v>wwt_removal_rate_name09</v>
          </cell>
          <cell r="B1036">
            <v>0</v>
          </cell>
          <cell r="C1036">
            <v>0</v>
          </cell>
          <cell r="D1036">
            <v>0</v>
          </cell>
          <cell r="E1036">
            <v>0</v>
          </cell>
        </row>
        <row r="1037">
          <cell r="A1037" t="str">
            <v>wwt_removal_rate_name10</v>
          </cell>
          <cell r="B1037">
            <v>0</v>
          </cell>
          <cell r="C1037">
            <v>0</v>
          </cell>
          <cell r="D1037">
            <v>0</v>
          </cell>
          <cell r="E1037">
            <v>0</v>
          </cell>
        </row>
        <row r="1038">
          <cell r="A1038" t="str">
            <v>wwt_removal_rate_name11</v>
          </cell>
          <cell r="B1038">
            <v>0</v>
          </cell>
          <cell r="C1038">
            <v>0</v>
          </cell>
          <cell r="D1038">
            <v>0</v>
          </cell>
          <cell r="E1038">
            <v>0</v>
          </cell>
        </row>
        <row r="1039">
          <cell r="A1039" t="str">
            <v>wwt_removal_rate_name12</v>
          </cell>
          <cell r="B1039">
            <v>0</v>
          </cell>
          <cell r="C1039">
            <v>0</v>
          </cell>
          <cell r="D1039">
            <v>0</v>
          </cell>
          <cell r="E1039">
            <v>0</v>
          </cell>
        </row>
        <row r="1040">
          <cell r="A1040" t="str">
            <v>wwt_removal_rate_name13</v>
          </cell>
          <cell r="B1040">
            <v>0</v>
          </cell>
          <cell r="C1040">
            <v>0</v>
          </cell>
          <cell r="D1040">
            <v>0</v>
          </cell>
          <cell r="E1040">
            <v>0</v>
          </cell>
        </row>
        <row r="1041">
          <cell r="A1041" t="str">
            <v>wwt_removal_rate_name14</v>
          </cell>
          <cell r="B1041">
            <v>0</v>
          </cell>
          <cell r="C1041">
            <v>0</v>
          </cell>
          <cell r="D1041">
            <v>0</v>
          </cell>
          <cell r="E1041">
            <v>0</v>
          </cell>
        </row>
        <row r="1042">
          <cell r="A1042" t="str">
            <v>wwt_removal_rate_name15</v>
          </cell>
          <cell r="B1042">
            <v>0</v>
          </cell>
          <cell r="C1042">
            <v>0</v>
          </cell>
          <cell r="D1042">
            <v>0</v>
          </cell>
          <cell r="E1042">
            <v>0</v>
          </cell>
        </row>
        <row r="1043">
          <cell r="A1043" t="str">
            <v>wwt_removal_rate_name16</v>
          </cell>
          <cell r="B1043">
            <v>0</v>
          </cell>
          <cell r="C1043">
            <v>0</v>
          </cell>
          <cell r="D1043">
            <v>0</v>
          </cell>
          <cell r="E1043">
            <v>0</v>
          </cell>
        </row>
        <row r="1044">
          <cell r="A1044" t="str">
            <v>wwt_removal_rate_name17</v>
          </cell>
          <cell r="B1044">
            <v>0</v>
          </cell>
          <cell r="C1044">
            <v>0</v>
          </cell>
          <cell r="D1044">
            <v>0</v>
          </cell>
          <cell r="E1044">
            <v>0</v>
          </cell>
        </row>
        <row r="1045">
          <cell r="A1045" t="str">
            <v>wwt_removal_rate_name18</v>
          </cell>
          <cell r="B1045">
            <v>0</v>
          </cell>
          <cell r="C1045">
            <v>0</v>
          </cell>
          <cell r="D1045">
            <v>0</v>
          </cell>
          <cell r="E1045">
            <v>0</v>
          </cell>
        </row>
        <row r="1046">
          <cell r="A1046" t="str">
            <v>wwt_removal_rate_name19</v>
          </cell>
          <cell r="B1046">
            <v>0</v>
          </cell>
          <cell r="C1046">
            <v>0</v>
          </cell>
          <cell r="D1046">
            <v>0</v>
          </cell>
          <cell r="E1046">
            <v>0</v>
          </cell>
        </row>
        <row r="1047">
          <cell r="A1047" t="str">
            <v>wwt_removal_rate_name20</v>
          </cell>
          <cell r="B1047">
            <v>0</v>
          </cell>
          <cell r="C1047">
            <v>0</v>
          </cell>
          <cell r="D1047">
            <v>0</v>
          </cell>
          <cell r="E1047">
            <v>0</v>
          </cell>
        </row>
        <row r="1048">
          <cell r="A1048" t="str">
            <v>wwt_removal_rate_name21</v>
          </cell>
          <cell r="B1048">
            <v>0</v>
          </cell>
          <cell r="C1048">
            <v>0</v>
          </cell>
          <cell r="D1048">
            <v>0</v>
          </cell>
          <cell r="E1048">
            <v>0</v>
          </cell>
        </row>
        <row r="1049">
          <cell r="A1049" t="str">
            <v>wwt_removal_rate_name22</v>
          </cell>
          <cell r="B1049">
            <v>0</v>
          </cell>
          <cell r="C1049">
            <v>0</v>
          </cell>
          <cell r="D1049">
            <v>0</v>
          </cell>
          <cell r="E1049">
            <v>0</v>
          </cell>
        </row>
        <row r="1050">
          <cell r="A1050" t="str">
            <v>wwt_removal_rate_name23</v>
          </cell>
          <cell r="B1050">
            <v>0</v>
          </cell>
          <cell r="C1050">
            <v>0</v>
          </cell>
          <cell r="D1050">
            <v>0</v>
          </cell>
          <cell r="E1050">
            <v>0</v>
          </cell>
        </row>
        <row r="1051">
          <cell r="A1051" t="str">
            <v>wwt_removal_rate_name24</v>
          </cell>
          <cell r="B1051">
            <v>0</v>
          </cell>
          <cell r="C1051">
            <v>0</v>
          </cell>
          <cell r="D1051">
            <v>0</v>
          </cell>
          <cell r="E1051">
            <v>0</v>
          </cell>
        </row>
        <row r="1052">
          <cell r="A1052" t="str">
            <v>wwt_removal_rate_name25</v>
          </cell>
          <cell r="B1052">
            <v>0</v>
          </cell>
          <cell r="C1052">
            <v>0</v>
          </cell>
          <cell r="D1052">
            <v>0</v>
          </cell>
          <cell r="E1052">
            <v>0</v>
          </cell>
        </row>
        <row r="1053">
          <cell r="A1053" t="str">
            <v>wwt_removal_rate_name26</v>
          </cell>
          <cell r="B1053">
            <v>0</v>
          </cell>
          <cell r="C1053">
            <v>0</v>
          </cell>
          <cell r="D1053">
            <v>0</v>
          </cell>
          <cell r="E1053">
            <v>0</v>
          </cell>
        </row>
        <row r="1054">
          <cell r="A1054" t="str">
            <v>wwt_removal_rate_name27</v>
          </cell>
          <cell r="B1054">
            <v>0</v>
          </cell>
          <cell r="C1054">
            <v>0</v>
          </cell>
          <cell r="D1054">
            <v>0</v>
          </cell>
          <cell r="E1054">
            <v>0</v>
          </cell>
        </row>
        <row r="1055">
          <cell r="A1055" t="str">
            <v>wwt_removal_rate_name28</v>
          </cell>
          <cell r="B1055">
            <v>0</v>
          </cell>
          <cell r="C1055">
            <v>0</v>
          </cell>
          <cell r="D1055">
            <v>0</v>
          </cell>
          <cell r="E1055">
            <v>0</v>
          </cell>
        </row>
        <row r="1056">
          <cell r="A1056" t="str">
            <v>wwt_removal_rate_name29</v>
          </cell>
          <cell r="B1056">
            <v>0</v>
          </cell>
          <cell r="C1056">
            <v>0</v>
          </cell>
          <cell r="D1056">
            <v>0</v>
          </cell>
          <cell r="E1056">
            <v>0</v>
          </cell>
        </row>
        <row r="1057">
          <cell r="A1057" t="str">
            <v>wwt_removal_rate_name30</v>
          </cell>
          <cell r="B1057">
            <v>0</v>
          </cell>
          <cell r="C1057">
            <v>0</v>
          </cell>
          <cell r="D1057">
            <v>0</v>
          </cell>
          <cell r="E1057">
            <v>0</v>
          </cell>
        </row>
        <row r="1058">
          <cell r="A1058" t="str">
            <v>wwt_removal_rate_name31</v>
          </cell>
          <cell r="B1058">
            <v>0</v>
          </cell>
          <cell r="C1058">
            <v>0</v>
          </cell>
          <cell r="D1058">
            <v>0</v>
          </cell>
          <cell r="E1058">
            <v>0</v>
          </cell>
        </row>
        <row r="1059">
          <cell r="A1059" t="str">
            <v>wwt_removal_rate_name32</v>
          </cell>
          <cell r="B1059">
            <v>0</v>
          </cell>
          <cell r="C1059">
            <v>0</v>
          </cell>
          <cell r="D1059">
            <v>0</v>
          </cell>
          <cell r="E1059">
            <v>0</v>
          </cell>
        </row>
        <row r="1060">
          <cell r="A1060" t="str">
            <v>wwt_removal_rate_name33</v>
          </cell>
          <cell r="B1060">
            <v>0</v>
          </cell>
          <cell r="C1060">
            <v>0</v>
          </cell>
          <cell r="D1060">
            <v>0</v>
          </cell>
          <cell r="E1060">
            <v>0</v>
          </cell>
        </row>
        <row r="1061">
          <cell r="A1061" t="str">
            <v>wwt_removal_rate_name34</v>
          </cell>
          <cell r="B1061">
            <v>0</v>
          </cell>
          <cell r="C1061">
            <v>0</v>
          </cell>
          <cell r="D1061">
            <v>0</v>
          </cell>
          <cell r="E1061">
            <v>0</v>
          </cell>
        </row>
        <row r="1062">
          <cell r="A1062" t="str">
            <v>wwt_removal_rate_name35</v>
          </cell>
          <cell r="B1062">
            <v>0</v>
          </cell>
          <cell r="C1062">
            <v>0</v>
          </cell>
          <cell r="D1062">
            <v>0</v>
          </cell>
          <cell r="E1062">
            <v>0</v>
          </cell>
        </row>
        <row r="1063">
          <cell r="A1063" t="str">
            <v>wwt_removal_rate_name36</v>
          </cell>
          <cell r="B1063">
            <v>0</v>
          </cell>
          <cell r="C1063">
            <v>0</v>
          </cell>
          <cell r="D1063">
            <v>0</v>
          </cell>
          <cell r="E1063">
            <v>0</v>
          </cell>
        </row>
        <row r="1064">
          <cell r="A1064" t="str">
            <v>wwt_removal_rate_name37</v>
          </cell>
          <cell r="B1064">
            <v>0</v>
          </cell>
          <cell r="C1064">
            <v>0</v>
          </cell>
          <cell r="D1064">
            <v>0</v>
          </cell>
          <cell r="E1064">
            <v>0</v>
          </cell>
        </row>
        <row r="1065">
          <cell r="A1065" t="str">
            <v>wwt_removal_rate_name38</v>
          </cell>
          <cell r="B1065">
            <v>0</v>
          </cell>
          <cell r="C1065">
            <v>0</v>
          </cell>
          <cell r="D1065">
            <v>0</v>
          </cell>
          <cell r="E1065">
            <v>0</v>
          </cell>
        </row>
        <row r="1066">
          <cell r="A1066" t="str">
            <v>wwt_removal_rate_name39</v>
          </cell>
          <cell r="B1066">
            <v>0</v>
          </cell>
          <cell r="C1066">
            <v>0</v>
          </cell>
          <cell r="D1066">
            <v>0</v>
          </cell>
          <cell r="E1066">
            <v>0</v>
          </cell>
        </row>
        <row r="1067">
          <cell r="A1067" t="str">
            <v>wwt_removal_rate_name40</v>
          </cell>
          <cell r="B1067">
            <v>0</v>
          </cell>
          <cell r="C1067">
            <v>0</v>
          </cell>
          <cell r="D1067">
            <v>0</v>
          </cell>
          <cell r="E1067">
            <v>0</v>
          </cell>
        </row>
        <row r="1068">
          <cell r="A1068" t="str">
            <v>wwt_usetox_cd_01_aqua</v>
          </cell>
          <cell r="B1068">
            <v>0</v>
          </cell>
          <cell r="C1068">
            <v>0</v>
          </cell>
          <cell r="D1068">
            <v>0</v>
          </cell>
          <cell r="E1068">
            <v>0</v>
          </cell>
        </row>
        <row r="1069">
          <cell r="A1069" t="str">
            <v>wwt_usetox_cd_02_acid_citric</v>
          </cell>
          <cell r="B1069">
            <v>1.8</v>
          </cell>
          <cell r="C1069">
            <v>1.8</v>
          </cell>
          <cell r="D1069">
            <v>1.8</v>
          </cell>
          <cell r="E1069">
            <v>1.8</v>
          </cell>
        </row>
        <row r="1070">
          <cell r="A1070" t="str">
            <v>wwt_usetox_cd_03_sodium_phosphanate</v>
          </cell>
          <cell r="B1070">
            <v>165.4</v>
          </cell>
          <cell r="C1070">
            <v>165.4</v>
          </cell>
          <cell r="D1070">
            <v>165.4</v>
          </cell>
          <cell r="E1070">
            <v>165.4</v>
          </cell>
        </row>
        <row r="1071">
          <cell r="A1071" t="str">
            <v>wwt_usetox_cd_04_colorants</v>
          </cell>
          <cell r="B1071">
            <v>10529.9</v>
          </cell>
          <cell r="C1071">
            <v>10529.9</v>
          </cell>
          <cell r="D1071">
            <v>10529.9</v>
          </cell>
          <cell r="E1071">
            <v>10529.9</v>
          </cell>
        </row>
        <row r="1072">
          <cell r="A1072" t="str">
            <v>wwt_usetox_cd_05_enzymes</v>
          </cell>
          <cell r="B1072">
            <v>131.5</v>
          </cell>
          <cell r="C1072">
            <v>131.5</v>
          </cell>
          <cell r="D1072">
            <v>131.5</v>
          </cell>
          <cell r="E1072">
            <v>131.5</v>
          </cell>
        </row>
        <row r="1073">
          <cell r="A1073" t="str">
            <v>wwt_usetox_cd_06_parfum</v>
          </cell>
          <cell r="B1073">
            <v>443.2</v>
          </cell>
          <cell r="C1073">
            <v>443.2</v>
          </cell>
          <cell r="D1073">
            <v>443.2</v>
          </cell>
          <cell r="E1073">
            <v>443.2</v>
          </cell>
        </row>
        <row r="1074">
          <cell r="A1074" t="str">
            <v>wwt_usetox_cd_06_parfum_01_dihydro</v>
          </cell>
          <cell r="B1074">
            <v>100000</v>
          </cell>
          <cell r="C1074">
            <v>100000</v>
          </cell>
          <cell r="D1074">
            <v>100000</v>
          </cell>
          <cell r="E1074">
            <v>100000</v>
          </cell>
        </row>
        <row r="1075">
          <cell r="A1075" t="str">
            <v>wwt_usetox_cd_06_parfum_02_alpha</v>
          </cell>
          <cell r="B1075">
            <v>340000</v>
          </cell>
          <cell r="C1075">
            <v>340000</v>
          </cell>
          <cell r="D1075">
            <v>340000</v>
          </cell>
          <cell r="E1075">
            <v>340000</v>
          </cell>
        </row>
        <row r="1076">
          <cell r="A1076" t="str">
            <v>wwt_usetox_cd_06_parfum_03_hexyl</v>
          </cell>
          <cell r="B1076">
            <v>2000000</v>
          </cell>
          <cell r="C1076">
            <v>2000000</v>
          </cell>
          <cell r="D1076">
            <v>2000000</v>
          </cell>
          <cell r="E1076">
            <v>2000000</v>
          </cell>
        </row>
        <row r="1077">
          <cell r="A1077" t="str">
            <v>wwt_usetox_cd_06_parfum_04_beta</v>
          </cell>
          <cell r="B1077">
            <v>770000</v>
          </cell>
          <cell r="C1077">
            <v>770000</v>
          </cell>
          <cell r="D1077">
            <v>770000</v>
          </cell>
          <cell r="E1077">
            <v>770000</v>
          </cell>
        </row>
        <row r="1078">
          <cell r="A1078" t="str">
            <v>wwt_usetox_cd_06_parfum_05_isoe</v>
          </cell>
          <cell r="B1078">
            <v>210000</v>
          </cell>
          <cell r="C1078">
            <v>210000</v>
          </cell>
          <cell r="D1078">
            <v>210000</v>
          </cell>
          <cell r="E1078">
            <v>210000</v>
          </cell>
        </row>
        <row r="1079">
          <cell r="A1079" t="str">
            <v>wwt_usetox_cd_06_parfum_06_methyl</v>
          </cell>
          <cell r="B1079">
            <v>300000</v>
          </cell>
          <cell r="C1079">
            <v>300000</v>
          </cell>
          <cell r="D1079">
            <v>300000</v>
          </cell>
          <cell r="E1079">
            <v>300000</v>
          </cell>
        </row>
        <row r="1080">
          <cell r="A1080" t="str">
            <v>wwt_usetox_cd_06_parfum_07_diprop</v>
          </cell>
          <cell r="B1080">
            <v>4.9000000000000004</v>
          </cell>
          <cell r="C1080">
            <v>4.9000000000000004</v>
          </cell>
          <cell r="D1080">
            <v>4.9000000000000004</v>
          </cell>
          <cell r="E1080">
            <v>4.9000000000000004</v>
          </cell>
        </row>
        <row r="1081">
          <cell r="A1081" t="str">
            <v>wwt_usetox_cd_06_parfum_08_phenyl</v>
          </cell>
          <cell r="B1081">
            <v>130000</v>
          </cell>
          <cell r="C1081">
            <v>130000</v>
          </cell>
          <cell r="D1081">
            <v>130000</v>
          </cell>
          <cell r="E1081">
            <v>130000</v>
          </cell>
        </row>
        <row r="1082">
          <cell r="A1082" t="str">
            <v>wwt_usetox_cd_06_parfum_09_4ter</v>
          </cell>
          <cell r="B1082">
            <v>120000</v>
          </cell>
          <cell r="C1082">
            <v>120000</v>
          </cell>
          <cell r="D1082">
            <v>120000</v>
          </cell>
          <cell r="E1082">
            <v>120000</v>
          </cell>
        </row>
        <row r="1083">
          <cell r="A1083" t="str">
            <v>wwt_usetox_cd_07_azurant</v>
          </cell>
          <cell r="B1083">
            <v>4446.8999999999996</v>
          </cell>
          <cell r="C1083">
            <v>4446.8999999999996</v>
          </cell>
          <cell r="D1083">
            <v>4446.8999999999996</v>
          </cell>
          <cell r="E1083">
            <v>4446.8999999999996</v>
          </cell>
        </row>
        <row r="1084">
          <cell r="A1084" t="str">
            <v>wwt_usetox_cd_08_sodium_laureth_sulfate</v>
          </cell>
          <cell r="B1084">
            <v>14.2</v>
          </cell>
          <cell r="C1084">
            <v>14.2</v>
          </cell>
          <cell r="D1084">
            <v>14.2</v>
          </cell>
          <cell r="E1084">
            <v>14.2</v>
          </cell>
        </row>
        <row r="1085">
          <cell r="A1085" t="str">
            <v>wwt_usetox_cd_09_las</v>
          </cell>
          <cell r="B1085">
            <v>308.10000000000002</v>
          </cell>
          <cell r="C1085">
            <v>308.10000000000002</v>
          </cell>
          <cell r="D1085">
            <v>308.10000000000002</v>
          </cell>
          <cell r="E1085">
            <v>308.10000000000002</v>
          </cell>
        </row>
        <row r="1086">
          <cell r="A1086" t="str">
            <v>wwt_usetox_cd_10_cocoate</v>
          </cell>
          <cell r="B1086">
            <v>26.8</v>
          </cell>
          <cell r="C1086">
            <v>26.8</v>
          </cell>
          <cell r="D1086">
            <v>26.8</v>
          </cell>
          <cell r="E1086">
            <v>26.8</v>
          </cell>
        </row>
        <row r="1087">
          <cell r="A1087" t="str">
            <v>wwt_usetox_cd_11_fatty_alcohol_etho_c16_c18</v>
          </cell>
          <cell r="B1087">
            <v>192.6</v>
          </cell>
          <cell r="C1087">
            <v>192.6</v>
          </cell>
          <cell r="D1087">
            <v>192.6</v>
          </cell>
          <cell r="E1087">
            <v>192.6</v>
          </cell>
        </row>
        <row r="1088">
          <cell r="A1088" t="str">
            <v>wwt_usetox_cd_12_sodium_hydroxide</v>
          </cell>
          <cell r="B1088">
            <v>0</v>
          </cell>
          <cell r="C1088">
            <v>0</v>
          </cell>
          <cell r="D1088">
            <v>0</v>
          </cell>
          <cell r="E1088">
            <v>0</v>
          </cell>
        </row>
        <row r="1089">
          <cell r="A1089" t="str">
            <v>wwt_usetox_cd_13_taed</v>
          </cell>
          <cell r="B1089">
            <v>11.1</v>
          </cell>
          <cell r="C1089">
            <v>11.1</v>
          </cell>
          <cell r="D1089">
            <v>11.1</v>
          </cell>
          <cell r="E1089">
            <v>11.1</v>
          </cell>
        </row>
        <row r="1090">
          <cell r="A1090" t="str">
            <v>wwt_usetox_cd_14_glycerin</v>
          </cell>
          <cell r="B1090">
            <v>1.4</v>
          </cell>
          <cell r="C1090">
            <v>1.4</v>
          </cell>
          <cell r="D1090">
            <v>1.4</v>
          </cell>
          <cell r="E1090">
            <v>1.4</v>
          </cell>
        </row>
        <row r="1091">
          <cell r="A1091" t="str">
            <v>wwt_usetox_cd_15_propylene_glycol</v>
          </cell>
          <cell r="B1091">
            <v>0.5</v>
          </cell>
          <cell r="C1091">
            <v>0.5</v>
          </cell>
          <cell r="D1091">
            <v>0.5</v>
          </cell>
          <cell r="E1091">
            <v>0.5</v>
          </cell>
        </row>
        <row r="1092">
          <cell r="A1092" t="str">
            <v>wwt_usetox_cd_16_sodium_chloride</v>
          </cell>
          <cell r="B1092">
            <v>6239.4</v>
          </cell>
          <cell r="C1092">
            <v>6239.4</v>
          </cell>
          <cell r="D1092">
            <v>6239.4</v>
          </cell>
          <cell r="E1092">
            <v>6239.4</v>
          </cell>
        </row>
        <row r="1093">
          <cell r="A1093" t="str">
            <v>wwt_usetox_cd_17_polymers</v>
          </cell>
          <cell r="B1093">
            <v>278.39999999999998</v>
          </cell>
          <cell r="C1093">
            <v>278.39999999999998</v>
          </cell>
          <cell r="D1093">
            <v>278.39999999999998</v>
          </cell>
          <cell r="E1093">
            <v>278.39999999999998</v>
          </cell>
        </row>
        <row r="1094">
          <cell r="A1094" t="str">
            <v>wwt_usetox_cd_18_sodium_silicate</v>
          </cell>
          <cell r="B1094">
            <v>0</v>
          </cell>
          <cell r="C1094">
            <v>0</v>
          </cell>
          <cell r="D1094">
            <v>0</v>
          </cell>
          <cell r="E1094">
            <v>0</v>
          </cell>
        </row>
        <row r="1095">
          <cell r="A1095" t="str">
            <v>wwt_usetox_cd_19_others</v>
          </cell>
          <cell r="B1095">
            <v>0</v>
          </cell>
          <cell r="C1095">
            <v>0</v>
          </cell>
          <cell r="D1095">
            <v>0</v>
          </cell>
          <cell r="E1095">
            <v>0</v>
          </cell>
        </row>
        <row r="1096">
          <cell r="A1096" t="str">
            <v>wwt_usetox_cd_name01</v>
          </cell>
          <cell r="B1096">
            <v>71.099999999999994</v>
          </cell>
          <cell r="C1096">
            <v>71.099999999999994</v>
          </cell>
          <cell r="D1096">
            <v>71.099999999999994</v>
          </cell>
          <cell r="E1096">
            <v>71.099999999999994</v>
          </cell>
        </row>
        <row r="1097">
          <cell r="A1097" t="str">
            <v>wwt_usetox_cd_name02</v>
          </cell>
          <cell r="B1097">
            <v>445</v>
          </cell>
          <cell r="C1097">
            <v>445</v>
          </cell>
          <cell r="D1097">
            <v>445</v>
          </cell>
          <cell r="E1097">
            <v>445</v>
          </cell>
        </row>
        <row r="1098">
          <cell r="A1098" t="str">
            <v>wwt_usetox_cd_name03</v>
          </cell>
          <cell r="B1098">
            <v>0</v>
          </cell>
          <cell r="C1098">
            <v>0</v>
          </cell>
          <cell r="D1098">
            <v>0</v>
          </cell>
          <cell r="E1098">
            <v>0</v>
          </cell>
        </row>
        <row r="1099">
          <cell r="A1099" t="str">
            <v>wwt_usetox_cd_name04</v>
          </cell>
          <cell r="B1099">
            <v>0</v>
          </cell>
          <cell r="C1099">
            <v>0</v>
          </cell>
          <cell r="D1099">
            <v>0</v>
          </cell>
          <cell r="E1099">
            <v>0</v>
          </cell>
        </row>
        <row r="1100">
          <cell r="A1100" t="str">
            <v>wwt_usetox_cd_name05</v>
          </cell>
          <cell r="B1100">
            <v>0</v>
          </cell>
          <cell r="C1100">
            <v>0</v>
          </cell>
          <cell r="D1100">
            <v>0</v>
          </cell>
          <cell r="E1100">
            <v>0</v>
          </cell>
        </row>
        <row r="1101">
          <cell r="A1101" t="str">
            <v>wwt_usetox_cd_name06</v>
          </cell>
          <cell r="B1101">
            <v>0</v>
          </cell>
          <cell r="C1101">
            <v>0</v>
          </cell>
          <cell r="D1101">
            <v>0</v>
          </cell>
          <cell r="E1101">
            <v>0</v>
          </cell>
        </row>
        <row r="1102">
          <cell r="A1102" t="str">
            <v>wwt_usetox_cd_name07</v>
          </cell>
          <cell r="B1102">
            <v>0</v>
          </cell>
          <cell r="C1102">
            <v>0</v>
          </cell>
          <cell r="D1102">
            <v>0</v>
          </cell>
          <cell r="E1102">
            <v>0</v>
          </cell>
        </row>
        <row r="1103">
          <cell r="A1103" t="str">
            <v>wwt_usetox_cd_name08</v>
          </cell>
          <cell r="B1103">
            <v>0</v>
          </cell>
          <cell r="C1103">
            <v>0</v>
          </cell>
          <cell r="D1103">
            <v>0</v>
          </cell>
          <cell r="E1103">
            <v>0</v>
          </cell>
        </row>
        <row r="1104">
          <cell r="A1104" t="str">
            <v>wwt_usetox_cd_name09</v>
          </cell>
          <cell r="B1104">
            <v>0</v>
          </cell>
          <cell r="C1104">
            <v>0</v>
          </cell>
          <cell r="D1104">
            <v>0</v>
          </cell>
          <cell r="E1104">
            <v>0</v>
          </cell>
        </row>
        <row r="1105">
          <cell r="A1105" t="str">
            <v>wwt_usetox_cd_name10</v>
          </cell>
          <cell r="B1105">
            <v>0</v>
          </cell>
          <cell r="C1105">
            <v>0</v>
          </cell>
          <cell r="D1105">
            <v>0</v>
          </cell>
          <cell r="E1105">
            <v>0</v>
          </cell>
        </row>
        <row r="1106">
          <cell r="A1106" t="str">
            <v>wwt_usetox_cd_name11</v>
          </cell>
          <cell r="B1106">
            <v>0</v>
          </cell>
          <cell r="C1106">
            <v>0</v>
          </cell>
          <cell r="D1106">
            <v>0</v>
          </cell>
          <cell r="E1106">
            <v>0</v>
          </cell>
        </row>
        <row r="1107">
          <cell r="A1107" t="str">
            <v>wwt_usetox_cd_name12</v>
          </cell>
          <cell r="B1107">
            <v>0</v>
          </cell>
          <cell r="C1107">
            <v>0</v>
          </cell>
          <cell r="D1107">
            <v>0</v>
          </cell>
          <cell r="E1107">
            <v>0</v>
          </cell>
        </row>
        <row r="1108">
          <cell r="A1108" t="str">
            <v>wwt_usetox_cd_name13</v>
          </cell>
          <cell r="B1108">
            <v>0</v>
          </cell>
          <cell r="C1108">
            <v>0</v>
          </cell>
          <cell r="D1108">
            <v>0</v>
          </cell>
          <cell r="E1108">
            <v>0</v>
          </cell>
        </row>
        <row r="1109">
          <cell r="A1109" t="str">
            <v>wwt_usetox_cd_name14</v>
          </cell>
          <cell r="B1109">
            <v>0</v>
          </cell>
          <cell r="C1109">
            <v>0</v>
          </cell>
          <cell r="D1109">
            <v>0</v>
          </cell>
          <cell r="E1109">
            <v>0</v>
          </cell>
        </row>
        <row r="1110">
          <cell r="A1110" t="str">
            <v>wwt_usetox_cd_name15</v>
          </cell>
          <cell r="B1110">
            <v>0</v>
          </cell>
          <cell r="C1110">
            <v>0</v>
          </cell>
          <cell r="D1110">
            <v>0</v>
          </cell>
          <cell r="E1110">
            <v>0</v>
          </cell>
        </row>
        <row r="1111">
          <cell r="A1111" t="str">
            <v>wwt_usetox_cd_name16</v>
          </cell>
          <cell r="B1111">
            <v>0</v>
          </cell>
          <cell r="C1111">
            <v>0</v>
          </cell>
          <cell r="D1111">
            <v>0</v>
          </cell>
          <cell r="E1111">
            <v>0</v>
          </cell>
        </row>
        <row r="1112">
          <cell r="A1112" t="str">
            <v>wwt_usetox_cd_name17</v>
          </cell>
          <cell r="B1112">
            <v>0</v>
          </cell>
          <cell r="C1112">
            <v>0</v>
          </cell>
          <cell r="D1112">
            <v>0</v>
          </cell>
          <cell r="E1112">
            <v>0</v>
          </cell>
        </row>
        <row r="1113">
          <cell r="A1113" t="str">
            <v>wwt_usetox_cd_name18</v>
          </cell>
          <cell r="B1113">
            <v>0</v>
          </cell>
          <cell r="C1113">
            <v>0</v>
          </cell>
          <cell r="D1113">
            <v>0</v>
          </cell>
          <cell r="E1113">
            <v>0</v>
          </cell>
        </row>
        <row r="1114">
          <cell r="A1114" t="str">
            <v>wwt_usetox_cd_name19</v>
          </cell>
          <cell r="B1114">
            <v>0</v>
          </cell>
          <cell r="C1114">
            <v>0</v>
          </cell>
          <cell r="D1114">
            <v>0</v>
          </cell>
          <cell r="E1114">
            <v>0</v>
          </cell>
        </row>
        <row r="1115">
          <cell r="A1115" t="str">
            <v>wwt_usetox_cd_name20</v>
          </cell>
          <cell r="B1115">
            <v>0</v>
          </cell>
          <cell r="C1115">
            <v>0</v>
          </cell>
          <cell r="D1115">
            <v>0</v>
          </cell>
          <cell r="E1115">
            <v>0</v>
          </cell>
        </row>
        <row r="1116">
          <cell r="A1116" t="str">
            <v>wwt_usetox_cd_name21</v>
          </cell>
          <cell r="B1116">
            <v>0</v>
          </cell>
          <cell r="C1116">
            <v>0</v>
          </cell>
          <cell r="D1116">
            <v>0</v>
          </cell>
          <cell r="E1116">
            <v>0</v>
          </cell>
        </row>
        <row r="1117">
          <cell r="A1117" t="str">
            <v>wwt_usetox_cd_name22</v>
          </cell>
          <cell r="B1117">
            <v>0</v>
          </cell>
          <cell r="C1117">
            <v>0</v>
          </cell>
          <cell r="D1117">
            <v>0</v>
          </cell>
          <cell r="E1117">
            <v>0</v>
          </cell>
        </row>
        <row r="1118">
          <cell r="A1118" t="str">
            <v>wwt_usetox_cd_name23</v>
          </cell>
          <cell r="B1118">
            <v>0</v>
          </cell>
          <cell r="C1118">
            <v>0</v>
          </cell>
          <cell r="D1118">
            <v>0</v>
          </cell>
          <cell r="E1118">
            <v>0</v>
          </cell>
        </row>
        <row r="1119">
          <cell r="A1119" t="str">
            <v>wwt_usetox_cd_name24</v>
          </cell>
          <cell r="B1119">
            <v>0</v>
          </cell>
          <cell r="C1119">
            <v>0</v>
          </cell>
          <cell r="D1119">
            <v>0</v>
          </cell>
          <cell r="E1119">
            <v>0</v>
          </cell>
        </row>
        <row r="1120">
          <cell r="A1120" t="str">
            <v>wwt_usetox_cd_name25</v>
          </cell>
          <cell r="B1120">
            <v>0</v>
          </cell>
          <cell r="C1120">
            <v>0</v>
          </cell>
          <cell r="D1120">
            <v>0</v>
          </cell>
          <cell r="E1120">
            <v>0</v>
          </cell>
        </row>
        <row r="1121">
          <cell r="A1121" t="str">
            <v>wwt_usetox_cd_name26</v>
          </cell>
          <cell r="B1121">
            <v>0</v>
          </cell>
          <cell r="C1121">
            <v>0</v>
          </cell>
          <cell r="D1121">
            <v>0</v>
          </cell>
          <cell r="E1121">
            <v>0</v>
          </cell>
        </row>
        <row r="1122">
          <cell r="A1122" t="str">
            <v>wwt_usetox_cd_name27</v>
          </cell>
          <cell r="B1122">
            <v>0</v>
          </cell>
          <cell r="C1122">
            <v>0</v>
          </cell>
          <cell r="D1122">
            <v>0</v>
          </cell>
          <cell r="E1122">
            <v>0</v>
          </cell>
        </row>
        <row r="1123">
          <cell r="A1123" t="str">
            <v>wwt_usetox_cd_name28</v>
          </cell>
          <cell r="B1123">
            <v>0</v>
          </cell>
          <cell r="C1123">
            <v>0</v>
          </cell>
          <cell r="D1123">
            <v>0</v>
          </cell>
          <cell r="E1123">
            <v>0</v>
          </cell>
        </row>
        <row r="1124">
          <cell r="A1124" t="str">
            <v>wwt_usetox_cd_name29</v>
          </cell>
          <cell r="B1124">
            <v>0</v>
          </cell>
          <cell r="C1124">
            <v>0</v>
          </cell>
          <cell r="D1124">
            <v>0</v>
          </cell>
          <cell r="E1124">
            <v>0</v>
          </cell>
        </row>
        <row r="1125">
          <cell r="A1125" t="str">
            <v>wwt_usetox_cd_name30</v>
          </cell>
          <cell r="B1125">
            <v>0</v>
          </cell>
          <cell r="C1125">
            <v>0</v>
          </cell>
          <cell r="D1125">
            <v>0</v>
          </cell>
          <cell r="E1125">
            <v>0</v>
          </cell>
        </row>
        <row r="1126">
          <cell r="A1126" t="str">
            <v>wwt_usetox_cd_name31</v>
          </cell>
          <cell r="B1126">
            <v>0</v>
          </cell>
          <cell r="C1126">
            <v>0</v>
          </cell>
          <cell r="D1126">
            <v>0</v>
          </cell>
          <cell r="E1126">
            <v>0</v>
          </cell>
        </row>
        <row r="1127">
          <cell r="A1127" t="str">
            <v>wwt_usetox_cd_name32</v>
          </cell>
          <cell r="B1127">
            <v>0</v>
          </cell>
          <cell r="C1127">
            <v>0</v>
          </cell>
          <cell r="D1127">
            <v>0</v>
          </cell>
          <cell r="E1127">
            <v>0</v>
          </cell>
        </row>
        <row r="1128">
          <cell r="A1128" t="str">
            <v>wwt_usetox_cd_name33</v>
          </cell>
          <cell r="B1128">
            <v>0</v>
          </cell>
          <cell r="C1128">
            <v>0</v>
          </cell>
          <cell r="D1128">
            <v>0</v>
          </cell>
          <cell r="E1128">
            <v>0</v>
          </cell>
        </row>
        <row r="1129">
          <cell r="A1129" t="str">
            <v>wwt_usetox_cd_name34</v>
          </cell>
          <cell r="B1129">
            <v>0</v>
          </cell>
          <cell r="C1129">
            <v>0</v>
          </cell>
          <cell r="D1129">
            <v>0</v>
          </cell>
          <cell r="E1129">
            <v>0</v>
          </cell>
        </row>
        <row r="1130">
          <cell r="A1130" t="str">
            <v>wwt_usetox_cd_name35</v>
          </cell>
          <cell r="B1130">
            <v>0</v>
          </cell>
          <cell r="C1130">
            <v>0</v>
          </cell>
          <cell r="D1130">
            <v>0</v>
          </cell>
          <cell r="E1130">
            <v>0</v>
          </cell>
        </row>
        <row r="1131">
          <cell r="A1131" t="str">
            <v>wwt_usetox_cd_name36</v>
          </cell>
          <cell r="B1131">
            <v>0</v>
          </cell>
          <cell r="C1131">
            <v>0</v>
          </cell>
          <cell r="D1131">
            <v>0</v>
          </cell>
          <cell r="E1131">
            <v>0</v>
          </cell>
        </row>
        <row r="1132">
          <cell r="A1132" t="str">
            <v>wwt_usetox_cd_name37</v>
          </cell>
          <cell r="B1132">
            <v>0</v>
          </cell>
          <cell r="C1132">
            <v>0</v>
          </cell>
          <cell r="D1132">
            <v>0</v>
          </cell>
          <cell r="E1132">
            <v>0</v>
          </cell>
        </row>
        <row r="1133">
          <cell r="A1133" t="str">
            <v>wwt_usetox_cd_name38</v>
          </cell>
          <cell r="B1133">
            <v>0</v>
          </cell>
          <cell r="C1133">
            <v>0</v>
          </cell>
          <cell r="D1133">
            <v>0</v>
          </cell>
          <cell r="E1133">
            <v>0</v>
          </cell>
        </row>
        <row r="1134">
          <cell r="A1134" t="str">
            <v>wwt_usetox_cd_name39</v>
          </cell>
          <cell r="B1134">
            <v>0</v>
          </cell>
          <cell r="C1134">
            <v>0</v>
          </cell>
          <cell r="D1134">
            <v>0</v>
          </cell>
          <cell r="E1134">
            <v>0</v>
          </cell>
        </row>
        <row r="1135">
          <cell r="A1135" t="str">
            <v>wwt_usetox_cd_name40</v>
          </cell>
          <cell r="B1135">
            <v>0</v>
          </cell>
          <cell r="C1135">
            <v>0</v>
          </cell>
          <cell r="D1135">
            <v>0</v>
          </cell>
          <cell r="E1135">
            <v>0</v>
          </cell>
        </row>
        <row r="1136">
          <cell r="A1136" t="str">
            <v>wwt_removal_rate_sodium_cumene</v>
          </cell>
          <cell r="B1136">
            <v>0</v>
          </cell>
          <cell r="C1136">
            <v>0</v>
          </cell>
          <cell r="D1136">
            <v>0</v>
          </cell>
          <cell r="E1136">
            <v>0</v>
          </cell>
        </row>
        <row r="1137">
          <cell r="A1137" t="str">
            <v>wwt_removal_rate_cocamide_diethanolamine</v>
          </cell>
          <cell r="B1137">
            <v>0</v>
          </cell>
          <cell r="C1137">
            <v>0</v>
          </cell>
          <cell r="D1137">
            <v>0</v>
          </cell>
          <cell r="E1137">
            <v>0</v>
          </cell>
        </row>
        <row r="1138">
          <cell r="A1138" t="str">
            <v>wwt_removal_rate_amine_oxide</v>
          </cell>
          <cell r="B1138">
            <v>0</v>
          </cell>
          <cell r="C1138">
            <v>0</v>
          </cell>
          <cell r="D1138">
            <v>0</v>
          </cell>
          <cell r="E1138">
            <v>0</v>
          </cell>
        </row>
        <row r="1139">
          <cell r="A1139" t="str">
            <v>wwt_removal_rate_tea_quat</v>
          </cell>
          <cell r="B1139">
            <v>0</v>
          </cell>
          <cell r="C1139">
            <v>0</v>
          </cell>
          <cell r="D1139">
            <v>0</v>
          </cell>
          <cell r="E1139">
            <v>0</v>
          </cell>
        </row>
        <row r="1140">
          <cell r="A1140" t="str">
            <v>wwt_removal_rate_amidopropyl_betaine</v>
          </cell>
          <cell r="B1140">
            <v>0</v>
          </cell>
          <cell r="C1140">
            <v>0</v>
          </cell>
          <cell r="D1140">
            <v>0</v>
          </cell>
          <cell r="E1140">
            <v>0</v>
          </cell>
        </row>
        <row r="1141">
          <cell r="A1141" t="str">
            <v>wwt_removal_rate_cocoamphoacetate</v>
          </cell>
          <cell r="B1141">
            <v>0</v>
          </cell>
          <cell r="C1141">
            <v>0</v>
          </cell>
          <cell r="D1141">
            <v>0</v>
          </cell>
          <cell r="E1141">
            <v>0</v>
          </cell>
        </row>
        <row r="1142">
          <cell r="A1142" t="str">
            <v>wwt_usetox_cd_09_sodium_cumene</v>
          </cell>
          <cell r="B1142">
            <v>0</v>
          </cell>
          <cell r="C1142">
            <v>0</v>
          </cell>
          <cell r="D1142">
            <v>0</v>
          </cell>
          <cell r="E1142">
            <v>0</v>
          </cell>
        </row>
        <row r="1143">
          <cell r="A1143" t="str">
            <v>wwt_usetox_cd_cocamide_diethanolamine</v>
          </cell>
          <cell r="B1143">
            <v>0</v>
          </cell>
          <cell r="C1143">
            <v>0</v>
          </cell>
          <cell r="D1143">
            <v>0</v>
          </cell>
          <cell r="E1143">
            <v>0</v>
          </cell>
        </row>
        <row r="1144">
          <cell r="A1144" t="str">
            <v>wwt_usetox_cd_amine_oxide</v>
          </cell>
          <cell r="B1144">
            <v>0</v>
          </cell>
          <cell r="C1144">
            <v>0</v>
          </cell>
          <cell r="D1144">
            <v>0</v>
          </cell>
          <cell r="E1144">
            <v>0</v>
          </cell>
        </row>
        <row r="1145">
          <cell r="A1145" t="str">
            <v>wwt_usetox_cd_tea_quat</v>
          </cell>
          <cell r="B1145">
            <v>0</v>
          </cell>
          <cell r="C1145">
            <v>0</v>
          </cell>
          <cell r="D1145">
            <v>0</v>
          </cell>
          <cell r="E1145">
            <v>0</v>
          </cell>
        </row>
        <row r="1146">
          <cell r="A1146" t="str">
            <v>wwt_usetox_cd_amidopropyl_betaine</v>
          </cell>
          <cell r="B1146">
            <v>0</v>
          </cell>
          <cell r="C1146">
            <v>0</v>
          </cell>
          <cell r="D1146">
            <v>0</v>
          </cell>
          <cell r="E1146">
            <v>0</v>
          </cell>
        </row>
        <row r="1147">
          <cell r="A1147" t="str">
            <v>wwt_usetox_cd_cocoamphoacetate</v>
          </cell>
          <cell r="B1147">
            <v>0</v>
          </cell>
          <cell r="C1147">
            <v>0</v>
          </cell>
          <cell r="D1147">
            <v>0</v>
          </cell>
          <cell r="E1147">
            <v>0</v>
          </cell>
        </row>
        <row r="1148">
          <cell r="A1148" t="str">
            <v>form_prim_pack_hdpe_rec</v>
          </cell>
          <cell r="B1148">
            <v>0</v>
          </cell>
          <cell r="C1148">
            <v>0</v>
          </cell>
          <cell r="D1148">
            <v>0</v>
          </cell>
          <cell r="E1148">
            <v>0</v>
          </cell>
        </row>
        <row r="1149">
          <cell r="A1149" t="str">
            <v>form_prim_pack_pet_rec</v>
          </cell>
          <cell r="B1149">
            <v>0</v>
          </cell>
          <cell r="C1149">
            <v>0</v>
          </cell>
          <cell r="D1149">
            <v>0</v>
          </cell>
          <cell r="E1149">
            <v>0</v>
          </cell>
        </row>
        <row r="1150">
          <cell r="A1150" t="str">
            <v>form_prim_pack_pp_rec</v>
          </cell>
          <cell r="B1150">
            <v>0</v>
          </cell>
          <cell r="C1150">
            <v>0</v>
          </cell>
          <cell r="D1150">
            <v>0</v>
          </cell>
          <cell r="E1150">
            <v>0</v>
          </cell>
        </row>
        <row r="1151">
          <cell r="A1151" t="str">
            <v>secondary_cardboard_rec</v>
          </cell>
          <cell r="B1151">
            <v>100</v>
          </cell>
          <cell r="C1151">
            <v>100</v>
          </cell>
          <cell r="D1151">
            <v>100</v>
          </cell>
          <cell r="E1151">
            <v>100</v>
          </cell>
        </row>
        <row r="1152">
          <cell r="A1152" t="str">
            <v>qs_qp_prim_hdpe</v>
          </cell>
          <cell r="B1152">
            <v>1</v>
          </cell>
          <cell r="C1152">
            <v>1</v>
          </cell>
          <cell r="D1152">
            <v>1</v>
          </cell>
          <cell r="E1152">
            <v>1</v>
          </cell>
        </row>
        <row r="1153">
          <cell r="A1153" t="str">
            <v>qs_qp_prim_pet</v>
          </cell>
          <cell r="B1153">
            <v>0.9</v>
          </cell>
          <cell r="C1153">
            <v>0.9</v>
          </cell>
          <cell r="D1153">
            <v>0.9</v>
          </cell>
          <cell r="E1153">
            <v>0.9</v>
          </cell>
        </row>
        <row r="1154">
          <cell r="A1154" t="str">
            <v>qs_qp_prim_pp</v>
          </cell>
          <cell r="B1154">
            <v>1</v>
          </cell>
          <cell r="C1154">
            <v>1</v>
          </cell>
          <cell r="D1154">
            <v>1</v>
          </cell>
          <cell r="E1154">
            <v>1</v>
          </cell>
        </row>
        <row r="1155">
          <cell r="A1155" t="str">
            <v>qs_qp_prim_carboard</v>
          </cell>
          <cell r="B1155">
            <v>0.85</v>
          </cell>
          <cell r="C1155">
            <v>0.85</v>
          </cell>
          <cell r="D1155">
            <v>0.85</v>
          </cell>
          <cell r="E1155">
            <v>0.85</v>
          </cell>
        </row>
        <row r="1156">
          <cell r="A1156" t="str">
            <v>exp_detergent_man_oil</v>
          </cell>
          <cell r="B1156">
            <v>0</v>
          </cell>
          <cell r="C1156">
            <v>0</v>
          </cell>
          <cell r="D1156">
            <v>0</v>
          </cell>
          <cell r="E1156">
            <v>0</v>
          </cell>
        </row>
        <row r="1157">
          <cell r="A1157" t="str">
            <v>exp_detergent_man_gas</v>
          </cell>
          <cell r="B1157">
            <v>0.67</v>
          </cell>
          <cell r="C1157">
            <v>0.67</v>
          </cell>
          <cell r="D1157">
            <v>0.67</v>
          </cell>
          <cell r="E1157">
            <v>0.67</v>
          </cell>
        </row>
        <row r="1158">
          <cell r="A1158" t="str">
            <v>tertiary_nb_wood_pallet</v>
          </cell>
          <cell r="B1158">
            <v>40</v>
          </cell>
          <cell r="C1158">
            <v>40</v>
          </cell>
          <cell r="D1158">
            <v>40</v>
          </cell>
          <cell r="E1158">
            <v>40</v>
          </cell>
        </row>
        <row r="1159">
          <cell r="A1159" t="str">
            <v>form_prim_pack_pet_mass</v>
          </cell>
          <cell r="B1159">
            <v>0</v>
          </cell>
          <cell r="C1159">
            <v>0</v>
          </cell>
          <cell r="D1159">
            <v>0</v>
          </cell>
          <cell r="E1159">
            <v>0</v>
          </cell>
        </row>
        <row r="1160">
          <cell r="A1160" t="str">
            <v>up_transp_distance_car</v>
          </cell>
          <cell r="B1160">
            <v>4.8</v>
          </cell>
          <cell r="C1160">
            <v>4.8</v>
          </cell>
          <cell r="D1160">
            <v>4.8</v>
          </cell>
          <cell r="E1160">
            <v>4.8</v>
          </cell>
        </row>
        <row r="1161">
          <cell r="A1161" t="str">
            <v>up_transp_distance_van</v>
          </cell>
          <cell r="B1161">
            <v>4.8</v>
          </cell>
          <cell r="C1161">
            <v>4.8</v>
          </cell>
          <cell r="D1161">
            <v>4.8</v>
          </cell>
          <cell r="E1161">
            <v>4.8</v>
          </cell>
        </row>
        <row r="1162">
          <cell r="A1162" t="str">
            <v>up_transp_distance_bus</v>
          </cell>
          <cell r="B1162">
            <v>1</v>
          </cell>
          <cell r="C1162">
            <v>1</v>
          </cell>
          <cell r="D1162">
            <v>1</v>
          </cell>
          <cell r="E1162">
            <v>1</v>
          </cell>
        </row>
      </sheetData>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5.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 Type="http://schemas.openxmlformats.org/officeDocument/2006/relationships/hyperlink" Target="https://www.euronuclear.org/info/encyclopedia/coalequivalent.ht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theme="5" tint="-0.249977111117893"/>
  </sheetPr>
  <dimension ref="A2:J55"/>
  <sheetViews>
    <sheetView topLeftCell="A19" zoomScale="115" zoomScaleNormal="115" workbookViewId="0">
      <selection activeCell="A44" sqref="A44"/>
    </sheetView>
  </sheetViews>
  <sheetFormatPr defaultRowHeight="15" x14ac:dyDescent="0.25"/>
  <cols>
    <col min="1" max="1" width="25.140625" customWidth="1"/>
    <col min="2" max="2" width="33.28515625" customWidth="1"/>
    <col min="10" max="10" width="79.28515625" customWidth="1"/>
  </cols>
  <sheetData>
    <row r="2" spans="1:10" ht="23.25" x14ac:dyDescent="0.35">
      <c r="A2" s="47" t="s">
        <v>667</v>
      </c>
    </row>
    <row r="3" spans="1:10" ht="18.75" x14ac:dyDescent="0.25">
      <c r="A3" s="48" t="s">
        <v>624</v>
      </c>
    </row>
    <row r="4" spans="1:10" ht="38.25" customHeight="1" x14ac:dyDescent="0.25">
      <c r="A4" s="91" t="s">
        <v>625</v>
      </c>
      <c r="B4" s="91"/>
      <c r="C4" s="91"/>
      <c r="D4" s="91"/>
      <c r="E4" s="91"/>
      <c r="F4" s="91"/>
      <c r="G4" s="91"/>
      <c r="H4" s="91"/>
      <c r="I4" s="91"/>
      <c r="J4" s="91"/>
    </row>
    <row r="5" spans="1:10" s="8" customFormat="1" x14ac:dyDescent="0.25">
      <c r="A5" s="4"/>
      <c r="B5" s="4"/>
      <c r="C5" s="4"/>
      <c r="D5" s="4"/>
      <c r="E5" s="4"/>
      <c r="F5" s="4"/>
      <c r="G5" s="4"/>
      <c r="H5" s="4"/>
      <c r="I5" s="4"/>
      <c r="J5" s="4"/>
    </row>
    <row r="6" spans="1:10" ht="17.25" customHeight="1" x14ac:dyDescent="0.25">
      <c r="A6" s="92" t="s">
        <v>626</v>
      </c>
      <c r="B6" s="92"/>
      <c r="C6" s="92"/>
      <c r="D6" s="92"/>
      <c r="E6" s="92"/>
      <c r="F6" s="92"/>
      <c r="G6" s="92"/>
      <c r="H6" s="92"/>
      <c r="I6" s="92"/>
      <c r="J6" s="92"/>
    </row>
    <row r="7" spans="1:10" s="8" customFormat="1" ht="17.25" customHeight="1" x14ac:dyDescent="0.25">
      <c r="A7" s="92" t="s">
        <v>627</v>
      </c>
      <c r="B7" s="92"/>
      <c r="C7" s="92"/>
      <c r="D7" s="92"/>
      <c r="E7" s="92"/>
      <c r="F7" s="92"/>
      <c r="G7" s="92"/>
      <c r="H7" s="92"/>
      <c r="I7" s="92"/>
      <c r="J7" s="92"/>
    </row>
    <row r="8" spans="1:10" s="8" customFormat="1" ht="17.25" customHeight="1" x14ac:dyDescent="0.25">
      <c r="A8" s="92" t="s">
        <v>628</v>
      </c>
      <c r="B8" s="92"/>
      <c r="C8" s="92"/>
      <c r="D8" s="92"/>
      <c r="E8" s="92"/>
      <c r="F8" s="92"/>
      <c r="G8" s="92"/>
      <c r="H8" s="92"/>
      <c r="I8" s="92"/>
      <c r="J8" s="92"/>
    </row>
    <row r="9" spans="1:10" s="8" customFormat="1" ht="17.25" customHeight="1" x14ac:dyDescent="0.25">
      <c r="A9" s="92" t="s">
        <v>629</v>
      </c>
      <c r="B9" s="92"/>
      <c r="C9" s="92"/>
      <c r="D9" s="92"/>
      <c r="E9" s="92"/>
      <c r="F9" s="92"/>
      <c r="G9" s="92"/>
      <c r="H9" s="92"/>
      <c r="I9" s="92"/>
      <c r="J9" s="92"/>
    </row>
    <row r="10" spans="1:10" s="8" customFormat="1" ht="17.25" customHeight="1" x14ac:dyDescent="0.25">
      <c r="A10" s="92" t="s">
        <v>630</v>
      </c>
      <c r="B10" s="92"/>
      <c r="C10" s="92"/>
      <c r="D10" s="92"/>
      <c r="E10" s="92"/>
      <c r="F10" s="92"/>
      <c r="G10" s="92"/>
      <c r="H10" s="92"/>
      <c r="I10" s="92"/>
      <c r="J10" s="92"/>
    </row>
    <row r="11" spans="1:10" s="8" customFormat="1" ht="17.25" customHeight="1" x14ac:dyDescent="0.25">
      <c r="A11" s="92" t="s">
        <v>631</v>
      </c>
      <c r="B11" s="92"/>
      <c r="C11" s="92"/>
      <c r="D11" s="92"/>
      <c r="E11" s="92"/>
      <c r="F11" s="92"/>
      <c r="G11" s="92"/>
      <c r="H11" s="92"/>
      <c r="I11" s="92"/>
      <c r="J11" s="92"/>
    </row>
    <row r="12" spans="1:10" s="8" customFormat="1" ht="17.25" customHeight="1" x14ac:dyDescent="0.25">
      <c r="A12" s="92" t="s">
        <v>632</v>
      </c>
      <c r="B12" s="92"/>
      <c r="C12" s="92"/>
      <c r="D12" s="92"/>
      <c r="E12" s="92"/>
      <c r="F12" s="92"/>
      <c r="G12" s="92"/>
      <c r="H12" s="92"/>
      <c r="I12" s="92"/>
      <c r="J12" s="92"/>
    </row>
    <row r="13" spans="1:10" s="8" customFormat="1" ht="17.25" customHeight="1" x14ac:dyDescent="0.25">
      <c r="A13" s="92" t="s">
        <v>633</v>
      </c>
      <c r="B13" s="92"/>
      <c r="C13" s="92"/>
      <c r="D13" s="92"/>
      <c r="E13" s="92"/>
      <c r="F13" s="92"/>
      <c r="G13" s="92"/>
      <c r="H13" s="92"/>
      <c r="I13" s="92"/>
      <c r="J13" s="92"/>
    </row>
    <row r="14" spans="1:10" s="8" customFormat="1" ht="17.25" customHeight="1" x14ac:dyDescent="0.25">
      <c r="A14" s="84"/>
      <c r="B14" s="84"/>
      <c r="C14" s="84"/>
      <c r="D14" s="84"/>
      <c r="E14" s="84"/>
      <c r="F14" s="84"/>
      <c r="G14" s="84"/>
      <c r="H14" s="84"/>
      <c r="I14" s="84"/>
      <c r="J14" s="84"/>
    </row>
    <row r="15" spans="1:10" s="8" customFormat="1" x14ac:dyDescent="0.25">
      <c r="A15" s="89" t="s">
        <v>613</v>
      </c>
      <c r="B15" s="89"/>
      <c r="C15" s="89"/>
      <c r="D15" s="89"/>
      <c r="E15" s="89"/>
      <c r="F15" s="89"/>
      <c r="G15" s="89"/>
      <c r="H15" s="89"/>
      <c r="I15" s="89"/>
      <c r="J15" s="89"/>
    </row>
    <row r="16" spans="1:10" s="8" customFormat="1" x14ac:dyDescent="0.25">
      <c r="A16" s="72"/>
      <c r="B16" s="72"/>
      <c r="C16" s="72"/>
      <c r="D16" s="72"/>
      <c r="E16" s="72"/>
      <c r="F16" s="72"/>
      <c r="G16" s="72"/>
      <c r="H16" s="72"/>
      <c r="I16" s="72"/>
      <c r="J16" s="72"/>
    </row>
    <row r="17" spans="1:10" x14ac:dyDescent="0.25">
      <c r="J17" s="8"/>
    </row>
    <row r="18" spans="1:10" ht="15" customHeight="1" x14ac:dyDescent="0.25">
      <c r="A18" s="90" t="s">
        <v>672</v>
      </c>
      <c r="B18" s="90"/>
      <c r="C18" s="90"/>
      <c r="D18" s="90"/>
      <c r="E18" s="90"/>
      <c r="F18" s="90"/>
      <c r="G18" s="90"/>
      <c r="H18" s="90"/>
      <c r="I18" s="90"/>
      <c r="J18" s="8"/>
    </row>
    <row r="19" spans="1:10" x14ac:dyDescent="0.25">
      <c r="A19" s="90"/>
      <c r="B19" s="90"/>
      <c r="C19" s="90"/>
      <c r="D19" s="90"/>
      <c r="E19" s="90"/>
      <c r="F19" s="90"/>
      <c r="G19" s="90"/>
      <c r="H19" s="90"/>
      <c r="I19" s="90"/>
      <c r="J19" s="8"/>
    </row>
    <row r="20" spans="1:10" x14ac:dyDescent="0.25">
      <c r="A20" s="90"/>
      <c r="B20" s="90"/>
      <c r="C20" s="90"/>
      <c r="D20" s="90"/>
      <c r="E20" s="90"/>
      <c r="F20" s="90"/>
      <c r="G20" s="90"/>
      <c r="H20" s="90"/>
      <c r="I20" s="90"/>
      <c r="J20" s="8"/>
    </row>
    <row r="21" spans="1:10" x14ac:dyDescent="0.25">
      <c r="A21" s="90"/>
      <c r="B21" s="90"/>
      <c r="C21" s="90"/>
      <c r="D21" s="90"/>
      <c r="E21" s="90"/>
      <c r="F21" s="90"/>
      <c r="G21" s="90"/>
      <c r="H21" s="90"/>
      <c r="I21" s="90"/>
      <c r="J21" s="8"/>
    </row>
    <row r="22" spans="1:10" x14ac:dyDescent="0.25">
      <c r="A22" s="90"/>
      <c r="B22" s="90"/>
      <c r="C22" s="90"/>
      <c r="D22" s="90"/>
      <c r="E22" s="90"/>
      <c r="F22" s="90"/>
      <c r="G22" s="90"/>
      <c r="H22" s="90"/>
      <c r="I22" s="90"/>
      <c r="J22" s="8"/>
    </row>
    <row r="23" spans="1:10" x14ac:dyDescent="0.25">
      <c r="I23" s="8"/>
      <c r="J23" s="8"/>
    </row>
    <row r="25" spans="1:10" x14ac:dyDescent="0.25">
      <c r="A25" s="1" t="s">
        <v>651</v>
      </c>
    </row>
    <row r="26" spans="1:10" x14ac:dyDescent="0.25">
      <c r="A26" s="3"/>
      <c r="B26" t="s">
        <v>653</v>
      </c>
    </row>
    <row r="27" spans="1:10" x14ac:dyDescent="0.25">
      <c r="A27" s="49"/>
      <c r="B27" t="s">
        <v>652</v>
      </c>
    </row>
    <row r="28" spans="1:10" s="8" customFormat="1" x14ac:dyDescent="0.25"/>
    <row r="29" spans="1:10" x14ac:dyDescent="0.25">
      <c r="A29" s="1" t="s">
        <v>654</v>
      </c>
    </row>
    <row r="30" spans="1:10" x14ac:dyDescent="0.25">
      <c r="A30" s="1" t="s">
        <v>663</v>
      </c>
      <c r="B30" s="1" t="s">
        <v>664</v>
      </c>
    </row>
    <row r="31" spans="1:10" x14ac:dyDescent="0.25">
      <c r="A31" s="85" t="s">
        <v>656</v>
      </c>
    </row>
    <row r="32" spans="1:10" x14ac:dyDescent="0.25">
      <c r="A32" s="54" t="s">
        <v>655</v>
      </c>
      <c r="B32" t="s">
        <v>665</v>
      </c>
    </row>
    <row r="33" spans="1:2" x14ac:dyDescent="0.25">
      <c r="A33" s="54" t="s">
        <v>657</v>
      </c>
      <c r="B33" t="s">
        <v>666</v>
      </c>
    </row>
    <row r="34" spans="1:2" x14ac:dyDescent="0.25">
      <c r="A34" s="54" t="s">
        <v>29</v>
      </c>
      <c r="B34" s="8" t="s">
        <v>668</v>
      </c>
    </row>
    <row r="35" spans="1:2" x14ac:dyDescent="0.25">
      <c r="A35" s="54" t="s">
        <v>55</v>
      </c>
      <c r="B35" s="8" t="s">
        <v>668</v>
      </c>
    </row>
    <row r="36" spans="1:2" x14ac:dyDescent="0.25">
      <c r="A36" s="54" t="s">
        <v>694</v>
      </c>
      <c r="B36" s="8" t="s">
        <v>668</v>
      </c>
    </row>
    <row r="37" spans="1:2" x14ac:dyDescent="0.25">
      <c r="A37" s="85" t="s">
        <v>167</v>
      </c>
      <c r="B37" s="8" t="s">
        <v>668</v>
      </c>
    </row>
    <row r="38" spans="1:2" x14ac:dyDescent="0.25">
      <c r="A38" s="85" t="s">
        <v>695</v>
      </c>
      <c r="B38" s="8" t="s">
        <v>668</v>
      </c>
    </row>
    <row r="39" spans="1:2" x14ac:dyDescent="0.25">
      <c r="A39" s="85" t="s">
        <v>215</v>
      </c>
      <c r="B39" s="8" t="s">
        <v>668</v>
      </c>
    </row>
    <row r="40" spans="1:2" x14ac:dyDescent="0.25">
      <c r="A40" s="85" t="s">
        <v>658</v>
      </c>
      <c r="B40" s="8" t="s">
        <v>668</v>
      </c>
    </row>
    <row r="41" spans="1:2" x14ac:dyDescent="0.25">
      <c r="A41" s="85" t="s">
        <v>659</v>
      </c>
      <c r="B41" s="8" t="s">
        <v>668</v>
      </c>
    </row>
    <row r="42" spans="1:2" x14ac:dyDescent="0.25">
      <c r="A42" s="85" t="s">
        <v>660</v>
      </c>
      <c r="B42" s="8" t="s">
        <v>668</v>
      </c>
    </row>
    <row r="43" spans="1:2" x14ac:dyDescent="0.25">
      <c r="A43" s="85" t="s">
        <v>701</v>
      </c>
      <c r="B43" s="8" t="s">
        <v>668</v>
      </c>
    </row>
    <row r="44" spans="1:2" x14ac:dyDescent="0.25">
      <c r="A44" s="85" t="s">
        <v>661</v>
      </c>
      <c r="B44" s="8" t="s">
        <v>668</v>
      </c>
    </row>
    <row r="45" spans="1:2" x14ac:dyDescent="0.25">
      <c r="A45" s="85" t="s">
        <v>662</v>
      </c>
      <c r="B45" s="8" t="s">
        <v>668</v>
      </c>
    </row>
    <row r="46" spans="1:2" s="8" customFormat="1" x14ac:dyDescent="0.25">
      <c r="A46" s="85" t="s">
        <v>318</v>
      </c>
      <c r="B46" s="8" t="s">
        <v>668</v>
      </c>
    </row>
    <row r="47" spans="1:2" s="8" customFormat="1" x14ac:dyDescent="0.25">
      <c r="A47" s="85" t="s">
        <v>317</v>
      </c>
      <c r="B47" s="8" t="s">
        <v>668</v>
      </c>
    </row>
    <row r="48" spans="1:2" x14ac:dyDescent="0.25">
      <c r="A48" s="85" t="s">
        <v>327</v>
      </c>
      <c r="B48" s="8" t="s">
        <v>668</v>
      </c>
    </row>
    <row r="49" spans="1:2" x14ac:dyDescent="0.25">
      <c r="A49" s="85" t="s">
        <v>345</v>
      </c>
      <c r="B49" s="8" t="s">
        <v>668</v>
      </c>
    </row>
    <row r="50" spans="1:2" x14ac:dyDescent="0.25">
      <c r="A50" s="85" t="s">
        <v>344</v>
      </c>
      <c r="B50" s="8" t="s">
        <v>668</v>
      </c>
    </row>
    <row r="51" spans="1:2" x14ac:dyDescent="0.25">
      <c r="A51" s="85" t="s">
        <v>346</v>
      </c>
      <c r="B51" s="8" t="s">
        <v>668</v>
      </c>
    </row>
    <row r="52" spans="1:2" x14ac:dyDescent="0.25">
      <c r="A52" s="85" t="s">
        <v>347</v>
      </c>
      <c r="B52" s="8" t="s">
        <v>668</v>
      </c>
    </row>
    <row r="53" spans="1:2" x14ac:dyDescent="0.25">
      <c r="A53" s="85" t="s">
        <v>698</v>
      </c>
      <c r="B53" s="8" t="s">
        <v>669</v>
      </c>
    </row>
    <row r="54" spans="1:2" x14ac:dyDescent="0.25">
      <c r="A54" s="85" t="s">
        <v>699</v>
      </c>
      <c r="B54" s="8" t="s">
        <v>670</v>
      </c>
    </row>
    <row r="55" spans="1:2" x14ac:dyDescent="0.25">
      <c r="A55" s="85" t="s">
        <v>700</v>
      </c>
      <c r="B55" t="s">
        <v>671</v>
      </c>
    </row>
  </sheetData>
  <mergeCells count="11">
    <mergeCell ref="A15:J15"/>
    <mergeCell ref="A18:I22"/>
    <mergeCell ref="A4:J4"/>
    <mergeCell ref="A13:J13"/>
    <mergeCell ref="A6:J6"/>
    <mergeCell ref="A7:J7"/>
    <mergeCell ref="A8:J8"/>
    <mergeCell ref="A9:J9"/>
    <mergeCell ref="A10:J10"/>
    <mergeCell ref="A11:J11"/>
    <mergeCell ref="A12:J12"/>
  </mergeCells>
  <hyperlinks>
    <hyperlink ref="A31" location="'Front Page'!A1" display="Front Page"/>
    <hyperlink ref="A32" location="References!A1" display="References"/>
    <hyperlink ref="A33" location="Parameters!A1" display="Parameters"/>
    <hyperlink ref="A34" location="Mining!A1" display="Mining"/>
    <hyperlink ref="A35" location="Sintering!A1" display="Sintering"/>
    <hyperlink ref="A36" location="Pelletizing!A1" display="Pelletizing"/>
    <hyperlink ref="A37" location="'Blast furnace'!A1" display="'Blast furnace"/>
    <hyperlink ref="A38" location="'Direct iron reduction'!A1" display="'Direct iron reduction"/>
    <hyperlink ref="A39" location="'Iron Foundry'!A1" display="'Iron Foundry"/>
    <hyperlink ref="A40" location="'SM1 Puddling'!A1" display="'SM1 Puddling"/>
    <hyperlink ref="A41" location="'SM2 OHF'!A1" display="'SM2 Open Hearth Furnace"/>
    <hyperlink ref="A42" location="'SM3 B-T,C'!A1" display="SM3 Bessemer and Thomas process"/>
    <hyperlink ref="A43" location="'SM4 BOF'!A1" display="'SM4 Blast Oxygen Furnace"/>
    <hyperlink ref="A44" location="'SM5 Crucible'!A1" display="'SM5 Crucible"/>
    <hyperlink ref="A45" location="'SM6 EAF'!A1" display="'SM6 Electric Arc Furnace"/>
    <hyperlink ref="A48" location="'Rod bar mill'!A1" display="Rod bar mill'!A1"/>
    <hyperlink ref="A49" location="'Plate mill'!A1" display="'Plate mill'!A1"/>
    <hyperlink ref="A50" location="'Section mill'!A1" display="'Section mill'!A1"/>
    <hyperlink ref="A51" location="'Strip mill'!A1" display="'Strip mill'!A1"/>
    <hyperlink ref="A46" location="'Continuous casting'!A1" display="'Continuous casting'!A1"/>
    <hyperlink ref="A47" location="'Ingot casting'!A1" display="'Ingot casting'!A1"/>
    <hyperlink ref="A52" location="'Cold rolling'!A1" display="'Cold rolling'!A1"/>
    <hyperlink ref="A53" location="'Electricity generation'!A1" display="'Electricity generation'!A1"/>
    <hyperlink ref="A54" location="'Other processes'!A1" display="'Other processes'!A1"/>
    <hyperlink ref="A55" location="'Energy mix'!A1" display="'Energy mix'!A1"/>
  </hyperlinks>
  <pageMargins left="0.7" right="0.7" top="0.75" bottom="0.75" header="0.3" footer="0.3"/>
  <pageSetup paperSize="9" orientation="portrai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theme="9" tint="0.59999389629810485"/>
  </sheetPr>
  <dimension ref="A4:J33"/>
  <sheetViews>
    <sheetView workbookViewId="0">
      <selection activeCell="C35" sqref="C35"/>
    </sheetView>
  </sheetViews>
  <sheetFormatPr defaultColWidth="9.140625" defaultRowHeight="15" x14ac:dyDescent="0.25"/>
  <cols>
    <col min="1" max="1" width="82.5703125" style="8" customWidth="1"/>
    <col min="2" max="2" width="12" style="8" bestFit="1" customWidth="1"/>
    <col min="3" max="4" width="9.140625" style="8"/>
    <col min="5" max="5" width="18" style="8" bestFit="1" customWidth="1"/>
    <col min="6" max="7" width="12" style="8" bestFit="1" customWidth="1"/>
    <col min="8" max="8" width="9.140625" style="8"/>
    <col min="9" max="9" width="12" style="8" customWidth="1"/>
    <col min="10" max="10" width="23.85546875" style="8" customWidth="1"/>
    <col min="11" max="11" width="9.140625" style="8" customWidth="1"/>
    <col min="12" max="16384" width="9.140625" style="8"/>
  </cols>
  <sheetData>
    <row r="4" spans="1:10" x14ac:dyDescent="0.25">
      <c r="A4" s="2" t="s">
        <v>610</v>
      </c>
      <c r="B4" s="2"/>
      <c r="C4" s="2"/>
      <c r="D4" s="2"/>
      <c r="E4" s="2"/>
      <c r="F4" s="1"/>
      <c r="G4" s="1"/>
      <c r="H4" s="1"/>
      <c r="I4" s="1"/>
      <c r="J4" s="1"/>
    </row>
    <row r="5" spans="1:10" x14ac:dyDescent="0.25">
      <c r="A5" s="1" t="s">
        <v>10</v>
      </c>
      <c r="B5" s="1" t="s">
        <v>2</v>
      </c>
      <c r="C5" s="1" t="s">
        <v>0</v>
      </c>
      <c r="D5" s="1"/>
      <c r="E5" s="1" t="s">
        <v>3</v>
      </c>
      <c r="F5" s="1" t="s">
        <v>4</v>
      </c>
      <c r="G5" s="1" t="s">
        <v>5</v>
      </c>
      <c r="H5" s="1" t="s">
        <v>6</v>
      </c>
      <c r="I5" s="1" t="s">
        <v>7</v>
      </c>
      <c r="J5" s="1" t="s">
        <v>8</v>
      </c>
    </row>
    <row r="6" spans="1:10" x14ac:dyDescent="0.25">
      <c r="A6" s="8" t="s">
        <v>610</v>
      </c>
      <c r="B6" s="8">
        <v>1</v>
      </c>
      <c r="C6" s="8" t="s">
        <v>9</v>
      </c>
    </row>
    <row r="7" spans="1:10" x14ac:dyDescent="0.25">
      <c r="A7" s="1" t="s">
        <v>1</v>
      </c>
      <c r="B7" s="1" t="s">
        <v>2</v>
      </c>
      <c r="C7" s="1" t="s">
        <v>0</v>
      </c>
      <c r="D7" s="1"/>
      <c r="E7" s="1" t="s">
        <v>3</v>
      </c>
      <c r="F7" s="1" t="s">
        <v>4</v>
      </c>
      <c r="G7" s="1" t="s">
        <v>5</v>
      </c>
      <c r="H7" s="1" t="s">
        <v>6</v>
      </c>
      <c r="I7" s="1" t="s">
        <v>7</v>
      </c>
      <c r="J7" s="1" t="s">
        <v>8</v>
      </c>
    </row>
    <row r="8" spans="1:10" x14ac:dyDescent="0.25">
      <c r="A8" s="3" t="str">
        <f>A12</f>
        <v>Steel, Puddling | Alloc Rec, U_mr</v>
      </c>
      <c r="B8" s="6">
        <v>1</v>
      </c>
      <c r="C8" s="8" t="s">
        <v>9</v>
      </c>
    </row>
    <row r="10" spans="1:10" x14ac:dyDescent="0.25">
      <c r="A10" s="2" t="s">
        <v>218</v>
      </c>
      <c r="B10" s="2"/>
      <c r="C10" s="2"/>
      <c r="D10" s="2"/>
      <c r="E10" s="2"/>
      <c r="F10" s="1"/>
      <c r="G10" s="1"/>
      <c r="H10" s="1"/>
      <c r="I10" s="1"/>
      <c r="J10" s="1"/>
    </row>
    <row r="11" spans="1:10" x14ac:dyDescent="0.25">
      <c r="A11" s="1" t="s">
        <v>10</v>
      </c>
      <c r="B11" s="1" t="s">
        <v>2</v>
      </c>
      <c r="C11" s="1" t="s">
        <v>0</v>
      </c>
      <c r="D11" s="1"/>
      <c r="E11" s="1" t="s">
        <v>3</v>
      </c>
      <c r="F11" s="1" t="s">
        <v>4</v>
      </c>
      <c r="G11" s="1" t="s">
        <v>5</v>
      </c>
      <c r="H11" s="1" t="s">
        <v>6</v>
      </c>
      <c r="I11" s="1" t="s">
        <v>7</v>
      </c>
      <c r="J11" s="1" t="s">
        <v>8</v>
      </c>
    </row>
    <row r="12" spans="1:10" x14ac:dyDescent="0.25">
      <c r="A12" s="8" t="s">
        <v>218</v>
      </c>
      <c r="B12" s="50">
        <f>1/RE_SM1_Puddling</f>
        <v>1.2663790899189862</v>
      </c>
      <c r="C12" s="8" t="s">
        <v>9</v>
      </c>
      <c r="I12" s="8" t="s">
        <v>212</v>
      </c>
    </row>
    <row r="13" spans="1:10" x14ac:dyDescent="0.25">
      <c r="A13" s="1" t="s">
        <v>1</v>
      </c>
      <c r="B13" s="1" t="s">
        <v>2</v>
      </c>
      <c r="C13" s="1" t="s">
        <v>0</v>
      </c>
      <c r="D13" s="1"/>
      <c r="E13" s="1" t="s">
        <v>3</v>
      </c>
      <c r="F13" s="1" t="s">
        <v>4</v>
      </c>
      <c r="G13" s="1" t="s">
        <v>5</v>
      </c>
      <c r="H13" s="1" t="s">
        <v>6</v>
      </c>
      <c r="I13" s="1" t="s">
        <v>7</v>
      </c>
      <c r="J13" s="1" t="s">
        <v>8</v>
      </c>
    </row>
    <row r="14" spans="1:10" x14ac:dyDescent="0.25">
      <c r="A14" s="3" t="str">
        <f>Mining!A13</f>
        <v>Iron ore, beneficiated, 65% Fe {GLO}| market for | Alloc Rec, U_mr_Scope 3</v>
      </c>
      <c r="B14" s="56">
        <f>0.157/0.648/RE_SM1_Puddling</f>
        <v>0.3068233288846926</v>
      </c>
      <c r="C14" s="4" t="s">
        <v>9</v>
      </c>
      <c r="D14" s="1"/>
      <c r="E14" s="1"/>
      <c r="F14" s="1"/>
      <c r="G14" s="1"/>
      <c r="H14" s="1"/>
      <c r="I14" s="8" t="s">
        <v>212</v>
      </c>
    </row>
    <row r="15" spans="1:10" x14ac:dyDescent="0.25">
      <c r="A15" s="11" t="str">
        <f>'Other processes'!A176</f>
        <v>Quicklime, in pieces, loose {GLO}| market for | Alloc Rec, U_mr_Scope 3</v>
      </c>
      <c r="B15" s="4">
        <v>4.2500000000000003E-2</v>
      </c>
      <c r="C15" s="4" t="s">
        <v>9</v>
      </c>
      <c r="D15" s="1"/>
      <c r="E15" s="1"/>
      <c r="F15" s="1"/>
      <c r="G15" s="1"/>
      <c r="H15" s="1"/>
      <c r="I15" s="8" t="s">
        <v>597</v>
      </c>
    </row>
    <row r="16" spans="1:10" x14ac:dyDescent="0.25">
      <c r="A16" s="3" t="str">
        <f>'Blast furnace'!A12</f>
        <v>Pig iron {GLO}| market for | Alloc Rec, U_mr</v>
      </c>
      <c r="B16" s="56">
        <f>IF(subprocess_MFA=1,0,1.25)</f>
        <v>0</v>
      </c>
      <c r="C16" s="4" t="s">
        <v>9</v>
      </c>
      <c r="D16" s="1"/>
      <c r="E16" s="1"/>
      <c r="F16" s="1"/>
      <c r="G16" s="1"/>
      <c r="H16" s="1"/>
      <c r="I16" s="8" t="s">
        <v>212</v>
      </c>
      <c r="J16" s="8" t="s">
        <v>471</v>
      </c>
    </row>
    <row r="17" spans="1:9" x14ac:dyDescent="0.25">
      <c r="A17" s="4" t="s">
        <v>219</v>
      </c>
      <c r="B17" s="10">
        <v>1.3333000000000001E-11</v>
      </c>
      <c r="C17" s="4" t="s">
        <v>61</v>
      </c>
      <c r="D17" s="1"/>
      <c r="E17" s="1"/>
      <c r="F17" s="1"/>
      <c r="G17" s="1"/>
      <c r="H17" s="1"/>
      <c r="I17" s="8" t="s">
        <v>597</v>
      </c>
    </row>
    <row r="18" spans="1:9" x14ac:dyDescent="0.25">
      <c r="A18" s="3" t="str">
        <f>'Blast furnace'!A37</f>
        <v>Pig iron {GLO}| production | Alloc Rec, U_mr_Scope 3_coal</v>
      </c>
      <c r="B18" s="50">
        <f>33/RE_SM1_Puddling</f>
        <v>41.790509967326543</v>
      </c>
      <c r="C18" s="8" t="s">
        <v>14</v>
      </c>
      <c r="D18" s="1"/>
      <c r="E18" s="1"/>
      <c r="F18" s="1"/>
      <c r="G18" s="1"/>
      <c r="H18" s="1"/>
      <c r="I18" s="8" t="s">
        <v>582</v>
      </c>
    </row>
    <row r="19" spans="1:9" x14ac:dyDescent="0.25">
      <c r="A19" s="1" t="s">
        <v>16</v>
      </c>
      <c r="B19" s="4"/>
      <c r="C19" s="4"/>
      <c r="D19" s="1"/>
      <c r="E19" s="1"/>
      <c r="F19" s="1"/>
      <c r="G19" s="1"/>
      <c r="H19" s="1"/>
      <c r="I19" s="1"/>
    </row>
    <row r="20" spans="1:9" x14ac:dyDescent="0.25">
      <c r="A20" s="4" t="s">
        <v>63</v>
      </c>
      <c r="B20" s="4">
        <v>7.5600000000000001E-2</v>
      </c>
      <c r="C20" s="4" t="s">
        <v>9</v>
      </c>
      <c r="D20" s="1"/>
      <c r="E20" s="1"/>
      <c r="F20" s="1"/>
      <c r="G20" s="1"/>
      <c r="H20" s="1"/>
      <c r="I20" s="8" t="s">
        <v>597</v>
      </c>
    </row>
    <row r="21" spans="1:9" x14ac:dyDescent="0.25">
      <c r="A21" s="4" t="s">
        <v>71</v>
      </c>
      <c r="B21" s="10">
        <v>4.7500000000000003E-5</v>
      </c>
      <c r="C21" s="4" t="s">
        <v>9</v>
      </c>
      <c r="D21" s="1"/>
      <c r="E21" s="1"/>
      <c r="F21" s="1"/>
      <c r="G21" s="1"/>
      <c r="H21" s="1"/>
      <c r="I21" s="8" t="s">
        <v>597</v>
      </c>
    </row>
    <row r="22" spans="1:9" x14ac:dyDescent="0.25">
      <c r="A22" s="4" t="s">
        <v>62</v>
      </c>
      <c r="B22" s="10">
        <v>1.2E-10</v>
      </c>
      <c r="C22" s="4" t="s">
        <v>9</v>
      </c>
      <c r="D22" s="1"/>
      <c r="E22" s="1"/>
      <c r="F22" s="1"/>
      <c r="G22" s="1"/>
      <c r="H22" s="1"/>
      <c r="I22" s="8" t="s">
        <v>597</v>
      </c>
    </row>
    <row r="23" spans="1:9" x14ac:dyDescent="0.25">
      <c r="A23" s="4" t="s">
        <v>72</v>
      </c>
      <c r="B23" s="10">
        <v>3.0500000000000003E-14</v>
      </c>
      <c r="C23" s="4" t="s">
        <v>9</v>
      </c>
      <c r="D23" s="1"/>
      <c r="E23" s="1"/>
      <c r="F23" s="1"/>
      <c r="G23" s="1"/>
      <c r="H23" s="1"/>
      <c r="I23" s="8" t="s">
        <v>597</v>
      </c>
    </row>
    <row r="24" spans="1:9" x14ac:dyDescent="0.25">
      <c r="A24" s="4" t="s">
        <v>18</v>
      </c>
      <c r="B24" s="4">
        <v>4.7299999999999998E-3</v>
      </c>
      <c r="C24" s="4" t="s">
        <v>9</v>
      </c>
      <c r="D24" s="1"/>
      <c r="E24" s="1"/>
      <c r="F24" s="1"/>
      <c r="G24" s="1"/>
      <c r="H24" s="1"/>
      <c r="I24" s="8" t="s">
        <v>597</v>
      </c>
    </row>
    <row r="25" spans="1:9" x14ac:dyDescent="0.25">
      <c r="A25" s="4" t="s">
        <v>15</v>
      </c>
      <c r="B25" s="10">
        <v>1.2500000000000001E-5</v>
      </c>
      <c r="C25" s="4" t="s">
        <v>9</v>
      </c>
      <c r="D25" s="1"/>
      <c r="E25" s="1"/>
      <c r="F25" s="1"/>
      <c r="G25" s="1"/>
      <c r="H25" s="1"/>
      <c r="I25" s="8" t="s">
        <v>597</v>
      </c>
    </row>
    <row r="26" spans="1:9" x14ac:dyDescent="0.25">
      <c r="A26" s="4" t="s">
        <v>25</v>
      </c>
      <c r="B26" s="10">
        <v>1.85E-7</v>
      </c>
      <c r="C26" s="4" t="s">
        <v>9</v>
      </c>
      <c r="D26" s="1"/>
      <c r="E26" s="1"/>
      <c r="F26" s="1"/>
      <c r="G26" s="1"/>
      <c r="H26" s="1"/>
      <c r="I26" s="8" t="s">
        <v>597</v>
      </c>
    </row>
    <row r="27" spans="1:9" x14ac:dyDescent="0.25">
      <c r="A27" s="4" t="s">
        <v>44</v>
      </c>
      <c r="B27" s="4">
        <v>6.1184085870649701E-3</v>
      </c>
      <c r="C27" s="4" t="s">
        <v>41</v>
      </c>
      <c r="D27" s="1"/>
      <c r="E27" s="1"/>
      <c r="F27" s="1"/>
      <c r="G27" s="1"/>
      <c r="H27" s="1"/>
      <c r="I27" s="8" t="s">
        <v>597</v>
      </c>
    </row>
    <row r="28" spans="1:9" x14ac:dyDescent="0.25">
      <c r="A28" s="4" t="s">
        <v>46</v>
      </c>
      <c r="B28" s="10">
        <v>2.4999999999999999E-8</v>
      </c>
      <c r="C28" s="4" t="s">
        <v>9</v>
      </c>
      <c r="D28" s="1"/>
      <c r="E28" s="1"/>
      <c r="F28" s="1"/>
      <c r="G28" s="1"/>
      <c r="H28" s="1"/>
      <c r="I28" s="8" t="s">
        <v>597</v>
      </c>
    </row>
    <row r="29" spans="1:9" x14ac:dyDescent="0.25">
      <c r="A29" s="4" t="s">
        <v>67</v>
      </c>
      <c r="B29" s="10">
        <v>6.0500000000000003E-7</v>
      </c>
      <c r="C29" s="4" t="s">
        <v>9</v>
      </c>
      <c r="D29" s="1"/>
      <c r="E29" s="1"/>
      <c r="F29" s="1"/>
      <c r="G29" s="1"/>
      <c r="H29" s="1"/>
      <c r="I29" s="8" t="s">
        <v>597</v>
      </c>
    </row>
    <row r="30" spans="1:9" x14ac:dyDescent="0.25">
      <c r="A30" s="4" t="s">
        <v>49</v>
      </c>
      <c r="B30" s="10">
        <v>5.1500000000000005E-7</v>
      </c>
      <c r="C30" s="4" t="s">
        <v>9</v>
      </c>
      <c r="D30" s="1"/>
      <c r="E30" s="1"/>
      <c r="F30" s="1"/>
      <c r="G30" s="1"/>
      <c r="H30" s="1"/>
      <c r="I30" s="8" t="s">
        <v>597</v>
      </c>
    </row>
    <row r="31" spans="1:9" x14ac:dyDescent="0.25">
      <c r="A31" s="1" t="s">
        <v>94</v>
      </c>
    </row>
    <row r="32" spans="1:9" x14ac:dyDescent="0.25">
      <c r="A32" s="8" t="s">
        <v>200</v>
      </c>
      <c r="B32" s="8">
        <f>0.11/0.648</f>
        <v>0.16975308641975309</v>
      </c>
      <c r="C32" s="8" t="s">
        <v>9</v>
      </c>
    </row>
    <row r="33" spans="1:3" x14ac:dyDescent="0.25">
      <c r="A33" s="8" t="s">
        <v>217</v>
      </c>
      <c r="B33" s="8">
        <f>0.051/0.648</f>
        <v>7.8703703703703692E-2</v>
      </c>
      <c r="C33" s="8" t="s">
        <v>9</v>
      </c>
    </row>
  </sheetData>
  <pageMargins left="0.7" right="0.7" top="0.75" bottom="0.75" header="0.3" footer="0.3"/>
  <pageSetup paperSize="9"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theme="9" tint="0.59999389629810485"/>
  </sheetPr>
  <dimension ref="A4:J43"/>
  <sheetViews>
    <sheetView workbookViewId="0">
      <selection activeCell="C35" sqref="C35"/>
    </sheetView>
  </sheetViews>
  <sheetFormatPr defaultColWidth="9.140625" defaultRowHeight="15" x14ac:dyDescent="0.25"/>
  <cols>
    <col min="1" max="1" width="82.5703125" style="8" customWidth="1"/>
    <col min="2" max="2" width="12" style="8" bestFit="1" customWidth="1"/>
    <col min="3" max="4" width="9.140625" style="8"/>
    <col min="5" max="5" width="18" style="8" bestFit="1" customWidth="1"/>
    <col min="6" max="7" width="12" style="8" bestFit="1" customWidth="1"/>
    <col min="8" max="8" width="9.140625" style="8"/>
    <col min="9" max="9" width="12" style="8" customWidth="1"/>
    <col min="10" max="10" width="23.85546875" style="8" customWidth="1"/>
    <col min="11" max="11" width="9.140625" style="8" customWidth="1"/>
    <col min="12" max="16384" width="9.140625" style="8"/>
  </cols>
  <sheetData>
    <row r="4" spans="1:10" x14ac:dyDescent="0.25">
      <c r="A4" s="2" t="s">
        <v>220</v>
      </c>
      <c r="B4" s="2"/>
      <c r="C4" s="2"/>
      <c r="D4" s="2"/>
      <c r="E4" s="2"/>
      <c r="F4" s="1"/>
      <c r="G4" s="1"/>
      <c r="H4" s="1"/>
      <c r="I4" s="1"/>
      <c r="J4" s="1"/>
    </row>
    <row r="5" spans="1:10" x14ac:dyDescent="0.25">
      <c r="A5" s="1" t="s">
        <v>10</v>
      </c>
      <c r="B5" s="1" t="s">
        <v>2</v>
      </c>
      <c r="C5" s="1" t="s">
        <v>0</v>
      </c>
      <c r="D5" s="1"/>
      <c r="E5" s="1" t="s">
        <v>3</v>
      </c>
      <c r="F5" s="1" t="s">
        <v>4</v>
      </c>
      <c r="G5" s="1" t="s">
        <v>5</v>
      </c>
      <c r="H5" s="1" t="s">
        <v>6</v>
      </c>
      <c r="I5" s="1" t="s">
        <v>7</v>
      </c>
      <c r="J5" s="1" t="s">
        <v>8</v>
      </c>
    </row>
    <row r="6" spans="1:10" x14ac:dyDescent="0.25">
      <c r="A6" s="8" t="s">
        <v>220</v>
      </c>
      <c r="B6" s="8">
        <v>1</v>
      </c>
      <c r="C6" s="8" t="s">
        <v>9</v>
      </c>
    </row>
    <row r="7" spans="1:10" x14ac:dyDescent="0.25">
      <c r="A7" s="1" t="s">
        <v>1</v>
      </c>
      <c r="B7" s="1" t="s">
        <v>2</v>
      </c>
      <c r="C7" s="1" t="s">
        <v>0</v>
      </c>
      <c r="D7" s="1"/>
      <c r="E7" s="1" t="s">
        <v>3</v>
      </c>
      <c r="F7" s="1" t="s">
        <v>4</v>
      </c>
      <c r="G7" s="1" t="s">
        <v>5</v>
      </c>
      <c r="H7" s="1" t="s">
        <v>6</v>
      </c>
      <c r="I7" s="1" t="s">
        <v>7</v>
      </c>
      <c r="J7" s="1" t="s">
        <v>8</v>
      </c>
    </row>
    <row r="8" spans="1:10" x14ac:dyDescent="0.25">
      <c r="A8" s="3" t="str">
        <f>A14</f>
        <v>Steel, OHF low-alloyed | Alloc Rec, U_mr_Scope 1</v>
      </c>
      <c r="B8" s="6">
        <v>1</v>
      </c>
      <c r="C8" s="8" t="s">
        <v>9</v>
      </c>
    </row>
    <row r="9" spans="1:10" x14ac:dyDescent="0.25">
      <c r="A9" s="3" t="str">
        <f>'Ingot casting'!A5</f>
        <v>Ingot casting</v>
      </c>
      <c r="B9" s="4">
        <f>-1-B10</f>
        <v>-3.8000000000000034E-2</v>
      </c>
      <c r="C9" s="4" t="s">
        <v>9</v>
      </c>
      <c r="D9" s="1"/>
      <c r="E9" s="1"/>
      <c r="F9" s="1"/>
      <c r="G9" s="1"/>
      <c r="H9" s="1"/>
      <c r="I9" s="1"/>
      <c r="J9" s="4" t="s">
        <v>452</v>
      </c>
    </row>
    <row r="10" spans="1:10" x14ac:dyDescent="0.25">
      <c r="A10" s="3" t="str">
        <f>'Continuous casting'!A5</f>
        <v>Continuous casting</v>
      </c>
      <c r="B10" s="4">
        <v>-0.96199999999999997</v>
      </c>
      <c r="C10" s="4" t="s">
        <v>9</v>
      </c>
      <c r="J10" s="4" t="s">
        <v>452</v>
      </c>
    </row>
    <row r="12" spans="1:10" x14ac:dyDescent="0.25">
      <c r="A12" s="2" t="s">
        <v>221</v>
      </c>
      <c r="B12" s="2"/>
      <c r="C12" s="2"/>
      <c r="D12" s="2"/>
      <c r="E12" s="2"/>
      <c r="F12" s="1"/>
      <c r="G12" s="1"/>
      <c r="H12" s="1"/>
      <c r="I12" s="1"/>
      <c r="J12" s="1"/>
    </row>
    <row r="13" spans="1:10" x14ac:dyDescent="0.25">
      <c r="A13" s="1" t="s">
        <v>10</v>
      </c>
      <c r="B13" s="1" t="s">
        <v>2</v>
      </c>
      <c r="C13" s="1" t="s">
        <v>0</v>
      </c>
      <c r="D13" s="1"/>
      <c r="E13" s="1" t="s">
        <v>3</v>
      </c>
      <c r="F13" s="1" t="s">
        <v>4</v>
      </c>
      <c r="G13" s="1" t="s">
        <v>5</v>
      </c>
      <c r="H13" s="1" t="s">
        <v>6</v>
      </c>
      <c r="I13" s="1" t="s">
        <v>7</v>
      </c>
      <c r="J13" s="1" t="s">
        <v>8</v>
      </c>
    </row>
    <row r="14" spans="1:10" x14ac:dyDescent="0.25">
      <c r="A14" s="8" t="s">
        <v>504</v>
      </c>
      <c r="B14" s="50">
        <f>1/RE_OHF</f>
        <v>1.2663790899189862</v>
      </c>
      <c r="C14" s="8" t="s">
        <v>9</v>
      </c>
      <c r="I14" s="8" t="s">
        <v>212</v>
      </c>
    </row>
    <row r="15" spans="1:10" x14ac:dyDescent="0.25">
      <c r="A15" s="1" t="s">
        <v>1</v>
      </c>
      <c r="B15" s="1" t="s">
        <v>2</v>
      </c>
      <c r="C15" s="1" t="s">
        <v>0</v>
      </c>
      <c r="D15" s="1"/>
      <c r="E15" s="1" t="s">
        <v>3</v>
      </c>
      <c r="F15" s="1" t="s">
        <v>4</v>
      </c>
      <c r="G15" s="1" t="s">
        <v>5</v>
      </c>
      <c r="H15" s="1" t="s">
        <v>6</v>
      </c>
      <c r="I15" s="1" t="s">
        <v>7</v>
      </c>
      <c r="J15" s="1" t="s">
        <v>8</v>
      </c>
    </row>
    <row r="16" spans="1:10" x14ac:dyDescent="0.25">
      <c r="A16" s="8" t="s">
        <v>77</v>
      </c>
      <c r="B16" s="8">
        <v>2.7499999999999998E-3</v>
      </c>
      <c r="C16" s="8" t="s">
        <v>9</v>
      </c>
      <c r="D16" s="1"/>
      <c r="E16" s="1"/>
      <c r="F16" s="1"/>
      <c r="G16" s="1"/>
      <c r="H16" s="1"/>
      <c r="I16" s="8" t="s">
        <v>597</v>
      </c>
      <c r="J16" s="1"/>
    </row>
    <row r="17" spans="1:10" x14ac:dyDescent="0.25">
      <c r="A17" s="3" t="str">
        <f>Mining!A13</f>
        <v>Iron ore, beneficiated, 65% Fe {GLO}| market for | Alloc Rec, U_mr_Scope 3</v>
      </c>
      <c r="B17" s="4">
        <f>0.157/0.648</f>
        <v>0.24228395061728394</v>
      </c>
      <c r="C17" s="4" t="s">
        <v>9</v>
      </c>
      <c r="D17" s="1"/>
      <c r="E17" s="1"/>
      <c r="F17" s="1"/>
      <c r="G17" s="1"/>
      <c r="H17" s="1"/>
      <c r="I17" s="8" t="s">
        <v>597</v>
      </c>
      <c r="J17" s="1"/>
    </row>
    <row r="18" spans="1:10" x14ac:dyDescent="0.25">
      <c r="A18" s="11" t="str">
        <f>'Other processes'!A176</f>
        <v>Quicklime, in pieces, loose {GLO}| market for | Alloc Rec, U_mr_Scope 3</v>
      </c>
      <c r="B18" s="4">
        <v>4.2500000000000003E-2</v>
      </c>
      <c r="C18" s="4" t="s">
        <v>9</v>
      </c>
      <c r="D18" s="1"/>
      <c r="E18" s="1"/>
      <c r="F18" s="1"/>
      <c r="G18" s="1"/>
      <c r="H18" s="1"/>
      <c r="I18" s="8" t="s">
        <v>597</v>
      </c>
      <c r="J18" s="1"/>
    </row>
    <row r="19" spans="1:10" x14ac:dyDescent="0.25">
      <c r="A19" s="3" t="str">
        <f>'Other processes'!A346</f>
        <v>Ferronickel, 25% Ni {GLO}| market for | Alloc Rec, U_mr</v>
      </c>
      <c r="B19" s="8">
        <f>0.009/0.648</f>
        <v>1.3888888888888888E-2</v>
      </c>
      <c r="C19" s="4" t="s">
        <v>9</v>
      </c>
      <c r="D19" s="1"/>
      <c r="E19" s="1"/>
      <c r="F19" s="1"/>
      <c r="G19" s="1"/>
      <c r="H19" s="1"/>
      <c r="I19" s="8" t="s">
        <v>597</v>
      </c>
      <c r="J19" s="1"/>
    </row>
    <row r="20" spans="1:10" x14ac:dyDescent="0.25">
      <c r="A20" s="8" t="s">
        <v>223</v>
      </c>
      <c r="B20" s="8">
        <f>0.015278/0.648</f>
        <v>2.357716049382716E-2</v>
      </c>
      <c r="C20" s="4" t="s">
        <v>9</v>
      </c>
      <c r="D20" s="1"/>
      <c r="E20" s="1"/>
      <c r="F20" s="1"/>
      <c r="G20" s="1"/>
      <c r="H20" s="1"/>
      <c r="I20" s="8" t="s">
        <v>597</v>
      </c>
      <c r="J20" s="1"/>
    </row>
    <row r="21" spans="1:10" x14ac:dyDescent="0.25">
      <c r="A21" s="8" t="s">
        <v>224</v>
      </c>
      <c r="B21" s="8">
        <v>3.2853E-2</v>
      </c>
      <c r="C21" s="4" t="s">
        <v>9</v>
      </c>
      <c r="D21" s="1"/>
      <c r="E21" s="1"/>
      <c r="F21" s="1"/>
      <c r="G21" s="1"/>
      <c r="H21" s="1"/>
      <c r="I21" s="8" t="s">
        <v>597</v>
      </c>
      <c r="J21" s="1"/>
    </row>
    <row r="22" spans="1:10" x14ac:dyDescent="0.25">
      <c r="A22" s="3" t="str">
        <f>'Blast furnace'!A12</f>
        <v>Pig iron {GLO}| market for | Alloc Rec, U_mr</v>
      </c>
      <c r="B22" s="56">
        <f>IF(subprocess_MFA=1,0,1.25)</f>
        <v>0</v>
      </c>
      <c r="C22" s="4" t="s">
        <v>9</v>
      </c>
      <c r="D22" s="1"/>
      <c r="E22" s="1"/>
      <c r="F22" s="1"/>
      <c r="G22" s="1"/>
      <c r="H22" s="1"/>
      <c r="I22" s="8" t="s">
        <v>597</v>
      </c>
      <c r="J22" s="8" t="s">
        <v>471</v>
      </c>
    </row>
    <row r="23" spans="1:10" x14ac:dyDescent="0.25">
      <c r="A23" s="4" t="s">
        <v>219</v>
      </c>
      <c r="B23" s="10">
        <v>1.3333000000000001E-11</v>
      </c>
      <c r="C23" s="4" t="s">
        <v>61</v>
      </c>
      <c r="D23" s="1"/>
      <c r="E23" s="1"/>
      <c r="F23" s="1"/>
      <c r="G23" s="1"/>
      <c r="H23" s="1"/>
      <c r="I23" s="8" t="s">
        <v>597</v>
      </c>
      <c r="J23" s="1"/>
    </row>
    <row r="24" spans="1:10" x14ac:dyDescent="0.25">
      <c r="A24" s="8" t="s">
        <v>225</v>
      </c>
      <c r="B24" s="50">
        <f>(5.44*0.8)/1000</f>
        <v>4.352E-3</v>
      </c>
      <c r="C24" s="8" t="s">
        <v>9</v>
      </c>
      <c r="D24" s="1"/>
      <c r="E24" s="1"/>
      <c r="F24" s="1"/>
      <c r="G24" s="1"/>
      <c r="H24" s="1"/>
      <c r="I24" s="8" t="s">
        <v>597</v>
      </c>
      <c r="J24" s="1"/>
    </row>
    <row r="25" spans="1:10" x14ac:dyDescent="0.25">
      <c r="A25" s="3" t="s">
        <v>505</v>
      </c>
      <c r="B25" s="68">
        <f>OHF_coke_oven_gas/RE_OHF</f>
        <v>8.8646536294329031E-2</v>
      </c>
      <c r="C25" s="4" t="s">
        <v>14</v>
      </c>
      <c r="D25" s="1"/>
      <c r="E25" s="1"/>
      <c r="F25" s="1"/>
      <c r="G25" s="1"/>
      <c r="H25" s="1"/>
      <c r="I25" s="8" t="s">
        <v>212</v>
      </c>
    </row>
    <row r="26" spans="1:10" x14ac:dyDescent="0.25">
      <c r="A26" s="11" t="str">
        <f>'Electricity generation'!A32</f>
        <v>Electricity, global mix, medium voltage_mr_Scope 2</v>
      </c>
      <c r="B26" s="69">
        <f>OHF_electricity/RE_OHF</f>
        <v>7.5982745395139162E-2</v>
      </c>
      <c r="C26" s="4" t="s">
        <v>14</v>
      </c>
      <c r="D26" s="1"/>
      <c r="E26" s="1"/>
      <c r="F26" s="1"/>
      <c r="G26" s="1"/>
      <c r="H26" s="1"/>
      <c r="I26" s="8" t="s">
        <v>212</v>
      </c>
    </row>
    <row r="27" spans="1:10" x14ac:dyDescent="0.25">
      <c r="A27" s="3" t="s">
        <v>557</v>
      </c>
      <c r="B27" s="50">
        <f>OHF_heat_steam/RE_OHF</f>
        <v>0.65851712675787277</v>
      </c>
      <c r="C27" s="4" t="s">
        <v>14</v>
      </c>
      <c r="D27" s="1"/>
      <c r="E27" s="1"/>
      <c r="F27" s="1"/>
      <c r="G27" s="1"/>
      <c r="H27" s="1"/>
      <c r="I27" s="8" t="s">
        <v>212</v>
      </c>
    </row>
    <row r="28" spans="1:10" x14ac:dyDescent="0.25">
      <c r="A28" s="8" t="s">
        <v>498</v>
      </c>
      <c r="B28" s="56">
        <f>OHF_oil/RE_OHF</f>
        <v>3.8497924333537177</v>
      </c>
      <c r="C28" s="8" t="s">
        <v>14</v>
      </c>
      <c r="D28" s="1"/>
      <c r="E28" s="1"/>
      <c r="F28" s="1"/>
      <c r="G28" s="1"/>
      <c r="H28" s="1"/>
    </row>
    <row r="29" spans="1:10" x14ac:dyDescent="0.25">
      <c r="A29" s="1" t="s">
        <v>16</v>
      </c>
      <c r="B29" s="4"/>
      <c r="C29" s="4"/>
      <c r="D29" s="1"/>
      <c r="E29" s="1"/>
      <c r="F29" s="1"/>
      <c r="G29" s="1"/>
      <c r="H29" s="1"/>
      <c r="I29" s="1"/>
    </row>
    <row r="30" spans="1:10" x14ac:dyDescent="0.25">
      <c r="A30" s="4" t="s">
        <v>63</v>
      </c>
      <c r="B30" s="4">
        <v>7.5600000000000001E-2</v>
      </c>
      <c r="C30" s="4" t="s">
        <v>9</v>
      </c>
      <c r="D30" s="1"/>
      <c r="E30" s="1"/>
      <c r="F30" s="1"/>
      <c r="G30" s="1"/>
      <c r="H30" s="1"/>
      <c r="I30" s="8" t="s">
        <v>597</v>
      </c>
    </row>
    <row r="31" spans="1:10" x14ac:dyDescent="0.25">
      <c r="A31" s="4" t="s">
        <v>71</v>
      </c>
      <c r="B31" s="10">
        <v>4.7500000000000003E-5</v>
      </c>
      <c r="C31" s="4" t="s">
        <v>9</v>
      </c>
      <c r="D31" s="1"/>
      <c r="E31" s="1"/>
      <c r="F31" s="1"/>
      <c r="G31" s="1"/>
      <c r="H31" s="1"/>
      <c r="I31" s="8" t="s">
        <v>597</v>
      </c>
    </row>
    <row r="32" spans="1:10" x14ac:dyDescent="0.25">
      <c r="A32" s="4" t="s">
        <v>62</v>
      </c>
      <c r="B32" s="10">
        <v>1.2E-10</v>
      </c>
      <c r="C32" s="4" t="s">
        <v>9</v>
      </c>
      <c r="D32" s="1"/>
      <c r="E32" s="1"/>
      <c r="F32" s="1"/>
      <c r="G32" s="1"/>
      <c r="H32" s="1"/>
      <c r="I32" s="8" t="s">
        <v>597</v>
      </c>
    </row>
    <row r="33" spans="1:9" x14ac:dyDescent="0.25">
      <c r="A33" s="4" t="s">
        <v>72</v>
      </c>
      <c r="B33" s="10">
        <v>3.0500000000000003E-14</v>
      </c>
      <c r="C33" s="4" t="s">
        <v>9</v>
      </c>
      <c r="D33" s="1"/>
      <c r="E33" s="1"/>
      <c r="F33" s="1"/>
      <c r="G33" s="1"/>
      <c r="H33" s="1"/>
      <c r="I33" s="8" t="s">
        <v>597</v>
      </c>
    </row>
    <row r="34" spans="1:9" x14ac:dyDescent="0.25">
      <c r="A34" s="4" t="s">
        <v>18</v>
      </c>
      <c r="B34" s="4">
        <v>4.7299999999999998E-3</v>
      </c>
      <c r="C34" s="4" t="s">
        <v>9</v>
      </c>
      <c r="D34" s="1"/>
      <c r="E34" s="1"/>
      <c r="F34" s="1"/>
      <c r="G34" s="1"/>
      <c r="H34" s="1"/>
      <c r="I34" s="8" t="s">
        <v>597</v>
      </c>
    </row>
    <row r="35" spans="1:9" x14ac:dyDescent="0.25">
      <c r="A35" s="4" t="s">
        <v>15</v>
      </c>
      <c r="B35" s="10">
        <v>1.2500000000000001E-5</v>
      </c>
      <c r="C35" s="4" t="s">
        <v>9</v>
      </c>
      <c r="D35" s="1"/>
      <c r="E35" s="1"/>
      <c r="F35" s="1"/>
      <c r="G35" s="1"/>
      <c r="H35" s="1"/>
      <c r="I35" s="8" t="s">
        <v>597</v>
      </c>
    </row>
    <row r="36" spans="1:9" x14ac:dyDescent="0.25">
      <c r="A36" s="4" t="s">
        <v>25</v>
      </c>
      <c r="B36" s="10">
        <v>1.85E-7</v>
      </c>
      <c r="C36" s="4" t="s">
        <v>9</v>
      </c>
      <c r="D36" s="1"/>
      <c r="E36" s="1"/>
      <c r="F36" s="1"/>
      <c r="G36" s="1"/>
      <c r="H36" s="1"/>
      <c r="I36" s="8" t="s">
        <v>597</v>
      </c>
    </row>
    <row r="37" spans="1:9" x14ac:dyDescent="0.25">
      <c r="A37" s="4" t="s">
        <v>44</v>
      </c>
      <c r="B37" s="4">
        <v>6.1184085870649701E-3</v>
      </c>
      <c r="C37" s="4" t="s">
        <v>41</v>
      </c>
      <c r="D37" s="1"/>
      <c r="E37" s="1"/>
      <c r="F37" s="1"/>
      <c r="G37" s="1"/>
      <c r="H37" s="1"/>
      <c r="I37" s="8" t="s">
        <v>597</v>
      </c>
    </row>
    <row r="38" spans="1:9" x14ac:dyDescent="0.25">
      <c r="A38" s="4" t="s">
        <v>46</v>
      </c>
      <c r="B38" s="10">
        <v>2.4999999999999999E-8</v>
      </c>
      <c r="C38" s="4" t="s">
        <v>9</v>
      </c>
      <c r="D38" s="1"/>
      <c r="E38" s="1"/>
      <c r="F38" s="1"/>
      <c r="G38" s="1"/>
      <c r="H38" s="1"/>
      <c r="I38" s="8" t="s">
        <v>597</v>
      </c>
    </row>
    <row r="39" spans="1:9" x14ac:dyDescent="0.25">
      <c r="A39" s="4" t="s">
        <v>67</v>
      </c>
      <c r="B39" s="10">
        <v>6.0500000000000003E-7</v>
      </c>
      <c r="C39" s="4" t="s">
        <v>9</v>
      </c>
      <c r="D39" s="1"/>
      <c r="E39" s="1"/>
      <c r="F39" s="1"/>
      <c r="G39" s="1"/>
      <c r="H39" s="1"/>
      <c r="I39" s="8" t="s">
        <v>597</v>
      </c>
    </row>
    <row r="40" spans="1:9" x14ac:dyDescent="0.25">
      <c r="A40" s="4" t="s">
        <v>49</v>
      </c>
      <c r="B40" s="10">
        <v>5.1500000000000005E-7</v>
      </c>
      <c r="C40" s="4" t="s">
        <v>9</v>
      </c>
      <c r="D40" s="1"/>
      <c r="E40" s="1"/>
      <c r="F40" s="1"/>
      <c r="G40" s="1"/>
      <c r="H40" s="1"/>
      <c r="I40" s="8" t="s">
        <v>597</v>
      </c>
    </row>
    <row r="41" spans="1:9" x14ac:dyDescent="0.25">
      <c r="A41" s="1" t="s">
        <v>94</v>
      </c>
    </row>
    <row r="42" spans="1:9" x14ac:dyDescent="0.25">
      <c r="A42" s="8" t="s">
        <v>200</v>
      </c>
      <c r="B42" s="8">
        <f>0.11/0.648</f>
        <v>0.16975308641975309</v>
      </c>
      <c r="C42" s="8" t="s">
        <v>9</v>
      </c>
      <c r="I42" s="8" t="s">
        <v>597</v>
      </c>
    </row>
    <row r="43" spans="1:9" x14ac:dyDescent="0.25">
      <c r="A43" s="8" t="s">
        <v>217</v>
      </c>
      <c r="B43" s="8">
        <f>0.051/0.648</f>
        <v>7.8703703703703692E-2</v>
      </c>
      <c r="C43" s="8" t="s">
        <v>9</v>
      </c>
      <c r="I43" s="8" t="s">
        <v>597</v>
      </c>
    </row>
  </sheetData>
  <pageMargins left="0.7" right="0.7" top="0.75" bottom="0.75" header="0.3" footer="0.3"/>
  <pageSetup paperSize="9"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theme="9" tint="0.59999389629810485"/>
  </sheetPr>
  <dimension ref="A4:J34"/>
  <sheetViews>
    <sheetView workbookViewId="0">
      <selection activeCell="A12" sqref="A12"/>
    </sheetView>
  </sheetViews>
  <sheetFormatPr defaultColWidth="9.140625" defaultRowHeight="15" x14ac:dyDescent="0.25"/>
  <cols>
    <col min="1" max="1" width="82.5703125" style="8" customWidth="1"/>
    <col min="2" max="2" width="12" style="8" bestFit="1" customWidth="1"/>
    <col min="3" max="4" width="9.140625" style="8"/>
    <col min="5" max="5" width="18" style="8" bestFit="1" customWidth="1"/>
    <col min="6" max="7" width="12" style="8" bestFit="1" customWidth="1"/>
    <col min="8" max="8" width="9.140625" style="8"/>
    <col min="9" max="9" width="12" style="8" customWidth="1"/>
    <col min="10" max="10" width="23.85546875" style="8" customWidth="1"/>
    <col min="11" max="11" width="9.140625" style="8" customWidth="1"/>
    <col min="12" max="16384" width="9.140625" style="8"/>
  </cols>
  <sheetData>
    <row r="4" spans="1:10" x14ac:dyDescent="0.25">
      <c r="A4" s="2" t="s">
        <v>226</v>
      </c>
      <c r="B4" s="2"/>
      <c r="C4" s="2"/>
      <c r="D4" s="2"/>
      <c r="E4" s="2"/>
      <c r="F4" s="1"/>
      <c r="G4" s="1"/>
      <c r="H4" s="1"/>
      <c r="I4" s="1"/>
      <c r="J4" s="1"/>
    </row>
    <row r="5" spans="1:10" x14ac:dyDescent="0.25">
      <c r="A5" s="1" t="s">
        <v>10</v>
      </c>
      <c r="B5" s="1" t="s">
        <v>2</v>
      </c>
      <c r="C5" s="1" t="s">
        <v>0</v>
      </c>
      <c r="D5" s="1"/>
      <c r="E5" s="1" t="s">
        <v>3</v>
      </c>
      <c r="F5" s="1" t="s">
        <v>4</v>
      </c>
      <c r="G5" s="1" t="s">
        <v>5</v>
      </c>
      <c r="H5" s="1" t="s">
        <v>6</v>
      </c>
      <c r="I5" s="1" t="s">
        <v>7</v>
      </c>
      <c r="J5" s="1" t="s">
        <v>8</v>
      </c>
    </row>
    <row r="6" spans="1:10" x14ac:dyDescent="0.25">
      <c r="A6" s="8" t="s">
        <v>696</v>
      </c>
      <c r="B6" s="8">
        <v>1</v>
      </c>
      <c r="C6" s="8" t="s">
        <v>9</v>
      </c>
    </row>
    <row r="7" spans="1:10" x14ac:dyDescent="0.25">
      <c r="A7" s="1" t="s">
        <v>1</v>
      </c>
      <c r="B7" s="1" t="s">
        <v>2</v>
      </c>
      <c r="C7" s="1" t="s">
        <v>0</v>
      </c>
      <c r="D7" s="1"/>
      <c r="E7" s="1" t="s">
        <v>3</v>
      </c>
      <c r="F7" s="1" t="s">
        <v>4</v>
      </c>
      <c r="G7" s="1" t="s">
        <v>5</v>
      </c>
      <c r="H7" s="1" t="s">
        <v>6</v>
      </c>
      <c r="I7" s="1" t="s">
        <v>7</v>
      </c>
      <c r="J7" s="1" t="s">
        <v>8</v>
      </c>
    </row>
    <row r="8" spans="1:10" x14ac:dyDescent="0.25">
      <c r="A8" s="3" t="str">
        <f>A12</f>
        <v>Steel, Bessemer &amp; Thomas process | Alloc Rec, U_mr</v>
      </c>
      <c r="B8" s="6">
        <v>1</v>
      </c>
      <c r="C8" s="8" t="s">
        <v>9</v>
      </c>
    </row>
    <row r="10" spans="1:10" x14ac:dyDescent="0.25">
      <c r="A10" s="2" t="s">
        <v>227</v>
      </c>
      <c r="B10" s="2"/>
      <c r="C10" s="2"/>
      <c r="D10" s="2"/>
      <c r="E10" s="2"/>
      <c r="F10" s="1"/>
      <c r="G10" s="1"/>
      <c r="H10" s="1"/>
      <c r="I10" s="1"/>
      <c r="J10" s="1"/>
    </row>
    <row r="11" spans="1:10" x14ac:dyDescent="0.25">
      <c r="A11" s="1" t="s">
        <v>10</v>
      </c>
      <c r="B11" s="1" t="s">
        <v>2</v>
      </c>
      <c r="C11" s="1" t="s">
        <v>0</v>
      </c>
      <c r="D11" s="1"/>
      <c r="E11" s="1" t="s">
        <v>3</v>
      </c>
      <c r="F11" s="1" t="s">
        <v>4</v>
      </c>
      <c r="G11" s="1" t="s">
        <v>5</v>
      </c>
      <c r="H11" s="1" t="s">
        <v>6</v>
      </c>
      <c r="I11" s="1" t="s">
        <v>7</v>
      </c>
      <c r="J11" s="1" t="s">
        <v>8</v>
      </c>
    </row>
    <row r="12" spans="1:10" x14ac:dyDescent="0.25">
      <c r="A12" s="8" t="s">
        <v>697</v>
      </c>
      <c r="B12" s="50">
        <f>1/RE_BTC</f>
        <v>1.2663790899189862</v>
      </c>
      <c r="C12" s="8" t="s">
        <v>9</v>
      </c>
      <c r="I12" s="8" t="s">
        <v>212</v>
      </c>
    </row>
    <row r="13" spans="1:10" x14ac:dyDescent="0.25">
      <c r="A13" s="1" t="s">
        <v>1</v>
      </c>
      <c r="B13" s="1" t="s">
        <v>2</v>
      </c>
      <c r="C13" s="1" t="s">
        <v>0</v>
      </c>
      <c r="D13" s="1"/>
      <c r="E13" s="1" t="s">
        <v>3</v>
      </c>
      <c r="F13" s="1" t="s">
        <v>4</v>
      </c>
      <c r="G13" s="1" t="s">
        <v>5</v>
      </c>
      <c r="H13" s="1" t="s">
        <v>6</v>
      </c>
      <c r="I13" s="1" t="s">
        <v>7</v>
      </c>
      <c r="J13" s="1" t="s">
        <v>8</v>
      </c>
    </row>
    <row r="14" spans="1:10" x14ac:dyDescent="0.25">
      <c r="A14" s="3" t="str">
        <f>Mining!A13</f>
        <v>Iron ore, beneficiated, 65% Fe {GLO}| market for | Alloc Rec, U_mr_Scope 3</v>
      </c>
      <c r="B14" s="4">
        <f>0.157/0.648</f>
        <v>0.24228395061728394</v>
      </c>
      <c r="C14" s="4" t="s">
        <v>9</v>
      </c>
      <c r="D14" s="1"/>
      <c r="E14" s="1"/>
      <c r="F14" s="1"/>
      <c r="G14" s="1"/>
      <c r="H14" s="1"/>
      <c r="I14" s="8" t="s">
        <v>597</v>
      </c>
    </row>
    <row r="15" spans="1:10" x14ac:dyDescent="0.25">
      <c r="A15" s="3" t="str">
        <f>'Other processes'!A176</f>
        <v>Quicklime, in pieces, loose {GLO}| market for | Alloc Rec, U_mr_Scope 3</v>
      </c>
      <c r="B15" s="4">
        <f>0.11/1000</f>
        <v>1.1E-4</v>
      </c>
      <c r="C15" s="4" t="s">
        <v>9</v>
      </c>
      <c r="D15" s="1"/>
      <c r="E15" s="1"/>
      <c r="F15" s="1"/>
      <c r="G15" s="1"/>
      <c r="H15" s="1"/>
      <c r="I15" s="8" t="s">
        <v>212</v>
      </c>
    </row>
    <row r="16" spans="1:10" x14ac:dyDescent="0.25">
      <c r="A16" s="8" t="s">
        <v>228</v>
      </c>
      <c r="B16" s="8">
        <f>0.024/1000</f>
        <v>2.4000000000000001E-5</v>
      </c>
      <c r="C16" s="4" t="s">
        <v>9</v>
      </c>
      <c r="D16" s="1"/>
      <c r="E16" s="1"/>
      <c r="F16" s="1"/>
      <c r="G16" s="1"/>
      <c r="H16" s="1"/>
      <c r="I16" s="8" t="s">
        <v>212</v>
      </c>
    </row>
    <row r="17" spans="1:10" x14ac:dyDescent="0.25">
      <c r="A17" s="3" t="str">
        <f>'Blast furnace'!A12</f>
        <v>Pig iron {GLO}| market for | Alloc Rec, U_mr</v>
      </c>
      <c r="B17" s="56">
        <f>IF(subprocess_MFA=1,0,1.25)</f>
        <v>0</v>
      </c>
      <c r="C17" s="4" t="s">
        <v>9</v>
      </c>
      <c r="D17" s="1"/>
      <c r="E17" s="1"/>
      <c r="F17" s="1"/>
      <c r="G17" s="1"/>
      <c r="H17" s="1"/>
      <c r="I17" s="8" t="s">
        <v>597</v>
      </c>
      <c r="J17" s="8" t="s">
        <v>471</v>
      </c>
    </row>
    <row r="18" spans="1:10" x14ac:dyDescent="0.25">
      <c r="A18" s="3" t="str">
        <f>'Blast furnace'!A37</f>
        <v>Pig iron {GLO}| production | Alloc Rec, U_mr_Scope 3_coal</v>
      </c>
      <c r="B18" s="50">
        <f>30/RE_BTC</f>
        <v>37.991372697569581</v>
      </c>
      <c r="C18" s="8" t="s">
        <v>14</v>
      </c>
      <c r="D18" s="1"/>
      <c r="E18" s="1"/>
      <c r="F18" s="1"/>
      <c r="G18" s="1"/>
      <c r="H18" s="1"/>
      <c r="I18" s="8" t="s">
        <v>212</v>
      </c>
    </row>
    <row r="19" spans="1:10" x14ac:dyDescent="0.25">
      <c r="A19" s="4" t="s">
        <v>219</v>
      </c>
      <c r="B19" s="10">
        <v>1.3333000000000001E-11</v>
      </c>
      <c r="C19" s="4" t="s">
        <v>61</v>
      </c>
      <c r="D19" s="1"/>
      <c r="E19" s="1"/>
      <c r="F19" s="1"/>
      <c r="G19" s="1"/>
      <c r="H19" s="1"/>
      <c r="I19" s="8" t="s">
        <v>597</v>
      </c>
    </row>
    <row r="20" spans="1:10" x14ac:dyDescent="0.25">
      <c r="A20" s="1" t="s">
        <v>16</v>
      </c>
      <c r="B20" s="4"/>
      <c r="C20" s="4"/>
      <c r="D20" s="1"/>
      <c r="E20" s="1"/>
      <c r="F20" s="1"/>
      <c r="G20" s="1"/>
      <c r="H20" s="1"/>
      <c r="I20" s="1"/>
    </row>
    <row r="21" spans="1:10" x14ac:dyDescent="0.25">
      <c r="A21" s="4" t="s">
        <v>63</v>
      </c>
      <c r="B21" s="4">
        <v>7.5600000000000001E-2</v>
      </c>
      <c r="C21" s="4" t="s">
        <v>9</v>
      </c>
      <c r="D21" s="1"/>
      <c r="E21" s="1"/>
      <c r="F21" s="1"/>
      <c r="G21" s="1"/>
      <c r="H21" s="1"/>
      <c r="I21" s="8" t="s">
        <v>597</v>
      </c>
    </row>
    <row r="22" spans="1:10" x14ac:dyDescent="0.25">
      <c r="A22" s="4" t="s">
        <v>71</v>
      </c>
      <c r="B22" s="10">
        <v>4.7500000000000003E-5</v>
      </c>
      <c r="C22" s="4" t="s">
        <v>9</v>
      </c>
      <c r="D22" s="1"/>
      <c r="E22" s="1"/>
      <c r="F22" s="1"/>
      <c r="G22" s="1"/>
      <c r="H22" s="1"/>
      <c r="I22" s="8" t="s">
        <v>597</v>
      </c>
    </row>
    <row r="23" spans="1:10" x14ac:dyDescent="0.25">
      <c r="A23" s="4" t="s">
        <v>62</v>
      </c>
      <c r="B23" s="10">
        <v>1.2E-10</v>
      </c>
      <c r="C23" s="4" t="s">
        <v>9</v>
      </c>
      <c r="D23" s="1"/>
      <c r="E23" s="1"/>
      <c r="F23" s="1"/>
      <c r="G23" s="1"/>
      <c r="H23" s="1"/>
      <c r="I23" s="8" t="s">
        <v>597</v>
      </c>
    </row>
    <row r="24" spans="1:10" x14ac:dyDescent="0.25">
      <c r="A24" s="4" t="s">
        <v>72</v>
      </c>
      <c r="B24" s="10">
        <v>3.0500000000000003E-14</v>
      </c>
      <c r="C24" s="4" t="s">
        <v>9</v>
      </c>
      <c r="D24" s="1"/>
      <c r="E24" s="1"/>
      <c r="F24" s="1"/>
      <c r="G24" s="1"/>
      <c r="H24" s="1"/>
      <c r="I24" s="8" t="s">
        <v>597</v>
      </c>
    </row>
    <row r="25" spans="1:10" x14ac:dyDescent="0.25">
      <c r="A25" s="4" t="s">
        <v>18</v>
      </c>
      <c r="B25" s="4">
        <v>4.7299999999999998E-3</v>
      </c>
      <c r="C25" s="4" t="s">
        <v>9</v>
      </c>
      <c r="D25" s="1"/>
      <c r="E25" s="1"/>
      <c r="F25" s="1"/>
      <c r="G25" s="1"/>
      <c r="H25" s="1"/>
      <c r="I25" s="8" t="s">
        <v>597</v>
      </c>
    </row>
    <row r="26" spans="1:10" x14ac:dyDescent="0.25">
      <c r="A26" s="4" t="s">
        <v>15</v>
      </c>
      <c r="B26" s="10">
        <v>1.2500000000000001E-5</v>
      </c>
      <c r="C26" s="4" t="s">
        <v>9</v>
      </c>
      <c r="D26" s="1"/>
      <c r="E26" s="1"/>
      <c r="F26" s="1"/>
      <c r="G26" s="1"/>
      <c r="H26" s="1"/>
      <c r="I26" s="8" t="s">
        <v>597</v>
      </c>
    </row>
    <row r="27" spans="1:10" x14ac:dyDescent="0.25">
      <c r="A27" s="4" t="s">
        <v>25</v>
      </c>
      <c r="B27" s="10">
        <v>1.85E-7</v>
      </c>
      <c r="C27" s="4" t="s">
        <v>9</v>
      </c>
      <c r="D27" s="1"/>
      <c r="E27" s="1"/>
      <c r="F27" s="1"/>
      <c r="G27" s="1"/>
      <c r="H27" s="1"/>
      <c r="I27" s="8" t="s">
        <v>597</v>
      </c>
    </row>
    <row r="28" spans="1:10" x14ac:dyDescent="0.25">
      <c r="A28" s="4" t="s">
        <v>44</v>
      </c>
      <c r="B28" s="4">
        <v>6.1184085870649701E-3</v>
      </c>
      <c r="C28" s="4" t="s">
        <v>41</v>
      </c>
      <c r="D28" s="1"/>
      <c r="E28" s="1"/>
      <c r="F28" s="1"/>
      <c r="G28" s="1"/>
      <c r="H28" s="1"/>
      <c r="I28" s="8" t="s">
        <v>597</v>
      </c>
    </row>
    <row r="29" spans="1:10" x14ac:dyDescent="0.25">
      <c r="A29" s="4" t="s">
        <v>46</v>
      </c>
      <c r="B29" s="10">
        <v>2.4999999999999999E-8</v>
      </c>
      <c r="C29" s="4" t="s">
        <v>9</v>
      </c>
      <c r="D29" s="1"/>
      <c r="E29" s="1"/>
      <c r="F29" s="1"/>
      <c r="G29" s="1"/>
      <c r="H29" s="1"/>
      <c r="I29" s="8" t="s">
        <v>597</v>
      </c>
    </row>
    <row r="30" spans="1:10" x14ac:dyDescent="0.25">
      <c r="A30" s="4" t="s">
        <v>67</v>
      </c>
      <c r="B30" s="10">
        <v>6.0500000000000003E-7</v>
      </c>
      <c r="C30" s="4" t="s">
        <v>9</v>
      </c>
      <c r="D30" s="1"/>
      <c r="E30" s="1"/>
      <c r="F30" s="1"/>
      <c r="G30" s="1"/>
      <c r="H30" s="1"/>
      <c r="I30" s="8" t="s">
        <v>597</v>
      </c>
    </row>
    <row r="31" spans="1:10" x14ac:dyDescent="0.25">
      <c r="A31" s="4" t="s">
        <v>49</v>
      </c>
      <c r="B31" s="10">
        <v>5.1500000000000005E-7</v>
      </c>
      <c r="C31" s="4" t="s">
        <v>9</v>
      </c>
      <c r="D31" s="1"/>
      <c r="E31" s="1"/>
      <c r="F31" s="1"/>
      <c r="G31" s="1"/>
      <c r="H31" s="1"/>
      <c r="I31" s="8" t="s">
        <v>597</v>
      </c>
    </row>
    <row r="32" spans="1:10" x14ac:dyDescent="0.25">
      <c r="A32" s="1" t="s">
        <v>94</v>
      </c>
    </row>
    <row r="33" spans="1:9" x14ac:dyDescent="0.25">
      <c r="A33" s="8" t="s">
        <v>200</v>
      </c>
      <c r="B33" s="8">
        <f>0.11/0.648</f>
        <v>0.16975308641975309</v>
      </c>
      <c r="C33" s="8" t="s">
        <v>9</v>
      </c>
      <c r="I33" s="8" t="s">
        <v>597</v>
      </c>
    </row>
    <row r="34" spans="1:9" x14ac:dyDescent="0.25">
      <c r="A34" s="8" t="s">
        <v>217</v>
      </c>
      <c r="B34" s="8">
        <f>0.051/0.648</f>
        <v>7.8703703703703692E-2</v>
      </c>
      <c r="C34" s="8" t="s">
        <v>9</v>
      </c>
      <c r="I34" s="8" t="s">
        <v>597</v>
      </c>
    </row>
  </sheetData>
  <pageMargins left="0.7" right="0.7" top="0.75" bottom="0.75" header="0.3" footer="0.3"/>
  <pageSetup paperSize="9"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theme="9" tint="0.59999389629810485"/>
  </sheetPr>
  <dimension ref="A4:J214"/>
  <sheetViews>
    <sheetView tabSelected="1" workbookViewId="0">
      <selection activeCell="A5" sqref="A5"/>
    </sheetView>
  </sheetViews>
  <sheetFormatPr defaultColWidth="9.140625" defaultRowHeight="15" x14ac:dyDescent="0.25"/>
  <cols>
    <col min="1" max="1" width="88.7109375" style="8" customWidth="1"/>
    <col min="2" max="2" width="12" style="8" bestFit="1" customWidth="1"/>
    <col min="3" max="4" width="9.140625" style="8"/>
    <col min="5" max="5" width="18" style="8" bestFit="1" customWidth="1"/>
    <col min="6" max="7" width="12" style="8" bestFit="1" customWidth="1"/>
    <col min="8" max="8" width="9.140625" style="8"/>
    <col min="9" max="9" width="12" style="8" customWidth="1"/>
    <col min="10" max="10" width="23.85546875" style="8" customWidth="1"/>
    <col min="11" max="11" width="9.140625" style="8" customWidth="1"/>
    <col min="12" max="16384" width="9.140625" style="8"/>
  </cols>
  <sheetData>
    <row r="4" spans="1:10" x14ac:dyDescent="0.25">
      <c r="A4" s="2" t="s">
        <v>314</v>
      </c>
      <c r="B4" s="2"/>
      <c r="C4" s="2"/>
      <c r="D4" s="2"/>
      <c r="E4" s="2"/>
      <c r="F4" s="1"/>
      <c r="G4" s="1"/>
      <c r="H4" s="1"/>
      <c r="I4" s="1"/>
      <c r="J4" s="1"/>
    </row>
    <row r="5" spans="1:10" x14ac:dyDescent="0.25">
      <c r="A5" s="1" t="s">
        <v>10</v>
      </c>
      <c r="B5" s="1" t="s">
        <v>2</v>
      </c>
      <c r="C5" s="1" t="s">
        <v>0</v>
      </c>
      <c r="D5" s="1"/>
      <c r="E5" s="1" t="s">
        <v>3</v>
      </c>
      <c r="F5" s="1" t="s">
        <v>4</v>
      </c>
      <c r="G5" s="1" t="s">
        <v>5</v>
      </c>
      <c r="H5" s="1" t="s">
        <v>6</v>
      </c>
      <c r="I5" s="1" t="s">
        <v>7</v>
      </c>
      <c r="J5" s="1" t="s">
        <v>8</v>
      </c>
    </row>
    <row r="6" spans="1:10" x14ac:dyDescent="0.25">
      <c r="A6" s="8" t="s">
        <v>314</v>
      </c>
      <c r="B6" s="8">
        <v>1</v>
      </c>
      <c r="C6" s="8" t="s">
        <v>9</v>
      </c>
    </row>
    <row r="7" spans="1:10" x14ac:dyDescent="0.25">
      <c r="A7" s="1" t="s">
        <v>1</v>
      </c>
      <c r="B7" s="1" t="s">
        <v>2</v>
      </c>
      <c r="C7" s="1" t="s">
        <v>0</v>
      </c>
      <c r="D7" s="1"/>
      <c r="E7" s="1" t="s">
        <v>3</v>
      </c>
      <c r="F7" s="1" t="s">
        <v>4</v>
      </c>
      <c r="G7" s="1" t="s">
        <v>5</v>
      </c>
      <c r="H7" s="1" t="s">
        <v>6</v>
      </c>
      <c r="I7" s="1" t="s">
        <v>7</v>
      </c>
      <c r="J7" s="1" t="s">
        <v>8</v>
      </c>
    </row>
    <row r="8" spans="1:10" x14ac:dyDescent="0.25">
      <c r="A8" s="3" t="s">
        <v>540</v>
      </c>
      <c r="B8" s="4">
        <v>4.8541003999999999E-2</v>
      </c>
      <c r="C8" s="4" t="s">
        <v>9</v>
      </c>
      <c r="D8" s="1"/>
      <c r="E8" s="1"/>
      <c r="F8" s="1"/>
      <c r="G8" s="1"/>
      <c r="H8" s="1"/>
      <c r="I8" s="8" t="s">
        <v>598</v>
      </c>
    </row>
    <row r="9" spans="1:10" x14ac:dyDescent="0.25">
      <c r="A9" s="3" t="s">
        <v>541</v>
      </c>
      <c r="B9" s="4">
        <v>0.158285227</v>
      </c>
      <c r="C9" s="4" t="s">
        <v>9</v>
      </c>
      <c r="D9" s="1"/>
      <c r="E9" s="1"/>
      <c r="F9" s="1"/>
      <c r="G9" s="1"/>
      <c r="H9" s="1"/>
      <c r="I9" s="8" t="s">
        <v>598</v>
      </c>
    </row>
    <row r="10" spans="1:10" x14ac:dyDescent="0.25">
      <c r="A10" s="3" t="s">
        <v>509</v>
      </c>
      <c r="B10" s="4">
        <v>0.688713134</v>
      </c>
      <c r="C10" s="4"/>
      <c r="D10" s="1"/>
      <c r="E10" s="1"/>
      <c r="F10" s="1"/>
      <c r="G10" s="1"/>
      <c r="H10" s="1"/>
      <c r="I10" s="8" t="s">
        <v>598</v>
      </c>
    </row>
    <row r="11" spans="1:10" x14ac:dyDescent="0.25">
      <c r="A11" s="3" t="s">
        <v>515</v>
      </c>
      <c r="B11" s="4">
        <v>0.104460634</v>
      </c>
      <c r="C11" s="4"/>
      <c r="D11" s="1"/>
      <c r="E11" s="1"/>
      <c r="F11" s="1"/>
      <c r="G11" s="1"/>
      <c r="H11" s="1"/>
      <c r="I11" s="8" t="s">
        <v>598</v>
      </c>
    </row>
    <row r="12" spans="1:10" x14ac:dyDescent="0.25">
      <c r="A12" s="3" t="str">
        <f>'Ingot casting'!A5</f>
        <v>Ingot casting</v>
      </c>
      <c r="B12" s="4">
        <f>-1-B13</f>
        <v>-3.8000000000000034E-2</v>
      </c>
      <c r="C12" s="4" t="s">
        <v>9</v>
      </c>
      <c r="D12" s="1"/>
      <c r="E12" s="1"/>
      <c r="F12" s="1"/>
      <c r="G12" s="1"/>
      <c r="H12" s="1"/>
      <c r="I12" s="1"/>
      <c r="J12" s="4" t="s">
        <v>452</v>
      </c>
    </row>
    <row r="13" spans="1:10" x14ac:dyDescent="0.25">
      <c r="A13" s="3" t="str">
        <f>'Continuous casting'!A5</f>
        <v>Continuous casting</v>
      </c>
      <c r="B13" s="4">
        <v>-0.96199999999999997</v>
      </c>
      <c r="C13" s="4" t="s">
        <v>9</v>
      </c>
      <c r="J13" s="4" t="s">
        <v>452</v>
      </c>
    </row>
    <row r="15" spans="1:10" x14ac:dyDescent="0.25">
      <c r="A15" s="2" t="s">
        <v>315</v>
      </c>
      <c r="B15" s="2"/>
      <c r="C15" s="2"/>
      <c r="D15" s="2"/>
      <c r="E15" s="2"/>
      <c r="F15" s="1"/>
      <c r="G15" s="1"/>
      <c r="H15" s="1"/>
      <c r="I15" s="1"/>
      <c r="J15" s="1"/>
    </row>
    <row r="16" spans="1:10" x14ac:dyDescent="0.25">
      <c r="A16" s="1" t="s">
        <v>10</v>
      </c>
      <c r="B16" s="1" t="s">
        <v>2</v>
      </c>
      <c r="C16" s="1" t="s">
        <v>0</v>
      </c>
      <c r="D16" s="1"/>
      <c r="E16" s="1" t="s">
        <v>3</v>
      </c>
      <c r="F16" s="1" t="s">
        <v>4</v>
      </c>
      <c r="G16" s="1" t="s">
        <v>5</v>
      </c>
      <c r="H16" s="1" t="s">
        <v>6</v>
      </c>
      <c r="I16" s="1" t="s">
        <v>7</v>
      </c>
      <c r="J16" s="1" t="s">
        <v>8</v>
      </c>
    </row>
    <row r="17" spans="1:10" x14ac:dyDescent="0.25">
      <c r="A17" s="8" t="s">
        <v>315</v>
      </c>
      <c r="B17" s="50">
        <f>1/RE_BOF</f>
        <v>1.0378000000761745</v>
      </c>
      <c r="C17" s="8" t="s">
        <v>9</v>
      </c>
      <c r="I17" s="8" t="s">
        <v>212</v>
      </c>
    </row>
    <row r="18" spans="1:10" x14ac:dyDescent="0.25">
      <c r="A18" s="1" t="s">
        <v>1</v>
      </c>
      <c r="B18" s="1" t="s">
        <v>2</v>
      </c>
      <c r="C18" s="1" t="s">
        <v>0</v>
      </c>
      <c r="D18" s="1"/>
      <c r="E18" s="1" t="s">
        <v>3</v>
      </c>
      <c r="F18" s="1" t="s">
        <v>4</v>
      </c>
      <c r="G18" s="1" t="s">
        <v>5</v>
      </c>
      <c r="H18" s="1" t="s">
        <v>6</v>
      </c>
      <c r="I18" s="1" t="s">
        <v>7</v>
      </c>
      <c r="J18" s="1" t="s">
        <v>8</v>
      </c>
    </row>
    <row r="19" spans="1:10" x14ac:dyDescent="0.25">
      <c r="A19" s="4" t="s">
        <v>319</v>
      </c>
      <c r="B19" s="4">
        <f>0.157/0.648</f>
        <v>0.24228395061728394</v>
      </c>
      <c r="C19" s="4" t="s">
        <v>9</v>
      </c>
      <c r="D19" s="1"/>
      <c r="E19" s="1"/>
      <c r="F19" s="1"/>
      <c r="G19" s="1"/>
      <c r="H19" s="1"/>
      <c r="I19" s="8" t="s">
        <v>598</v>
      </c>
    </row>
    <row r="20" spans="1:10" x14ac:dyDescent="0.25">
      <c r="A20" s="4" t="s">
        <v>320</v>
      </c>
      <c r="B20" s="4">
        <f>0.11/1000</f>
        <v>1.1E-4</v>
      </c>
      <c r="C20" s="4" t="s">
        <v>9</v>
      </c>
      <c r="D20" s="1"/>
      <c r="E20" s="1"/>
      <c r="F20" s="1"/>
      <c r="G20" s="1"/>
      <c r="H20" s="1"/>
      <c r="I20" s="8" t="s">
        <v>598</v>
      </c>
    </row>
    <row r="21" spans="1:10" x14ac:dyDescent="0.25">
      <c r="A21" s="8" t="s">
        <v>225</v>
      </c>
      <c r="B21" s="8">
        <v>5.9648999999999998E-4</v>
      </c>
      <c r="C21" s="8" t="s">
        <v>9</v>
      </c>
      <c r="D21" s="1"/>
      <c r="E21" s="1"/>
      <c r="F21" s="1"/>
      <c r="G21" s="1"/>
      <c r="H21" s="1"/>
      <c r="I21" s="8" t="s">
        <v>598</v>
      </c>
    </row>
    <row r="22" spans="1:10" x14ac:dyDescent="0.25">
      <c r="A22" s="3" t="str">
        <f>'Other processes'!A309</f>
        <v>Oxygen, liquid {RER}| market for | Alloc Rec, U_mr</v>
      </c>
      <c r="B22" s="8">
        <v>7.145E-2</v>
      </c>
      <c r="C22" s="8" t="s">
        <v>9</v>
      </c>
      <c r="D22" s="1"/>
      <c r="E22" s="1"/>
      <c r="F22" s="1"/>
      <c r="G22" s="1"/>
      <c r="H22" s="1"/>
      <c r="I22" s="8" t="s">
        <v>212</v>
      </c>
    </row>
    <row r="23" spans="1:10" x14ac:dyDescent="0.25">
      <c r="A23" s="3" t="str">
        <f>'Other processes'!A176</f>
        <v>Quicklime, in pieces, loose {GLO}| market for | Alloc Rec, U_mr_Scope 3</v>
      </c>
      <c r="B23" s="8">
        <v>4.2500000000000003E-2</v>
      </c>
      <c r="C23" s="8" t="s">
        <v>9</v>
      </c>
      <c r="D23" s="1"/>
      <c r="E23" s="1"/>
      <c r="F23" s="1"/>
      <c r="G23" s="1"/>
      <c r="H23" s="1"/>
      <c r="I23" s="8" t="s">
        <v>598</v>
      </c>
    </row>
    <row r="24" spans="1:10" x14ac:dyDescent="0.25">
      <c r="A24" s="8" t="s">
        <v>77</v>
      </c>
      <c r="B24" s="8">
        <v>2.7499999999999998E-3</v>
      </c>
      <c r="C24" s="8" t="s">
        <v>9</v>
      </c>
      <c r="D24" s="1"/>
      <c r="E24" s="1"/>
      <c r="F24" s="1"/>
      <c r="G24" s="1"/>
      <c r="H24" s="1"/>
      <c r="I24" s="8" t="s">
        <v>598</v>
      </c>
    </row>
    <row r="25" spans="1:10" x14ac:dyDescent="0.25">
      <c r="A25" s="8" t="s">
        <v>224</v>
      </c>
      <c r="B25" s="8">
        <v>3.2853E-2</v>
      </c>
      <c r="C25" s="8" t="s">
        <v>9</v>
      </c>
      <c r="D25" s="1"/>
      <c r="E25" s="1"/>
      <c r="F25" s="1"/>
      <c r="G25" s="1"/>
      <c r="H25" s="1"/>
      <c r="I25" s="8" t="s">
        <v>598</v>
      </c>
    </row>
    <row r="26" spans="1:10" x14ac:dyDescent="0.25">
      <c r="A26" s="8" t="s">
        <v>223</v>
      </c>
      <c r="B26" s="8">
        <v>1.5278E-2</v>
      </c>
      <c r="C26" s="8" t="s">
        <v>9</v>
      </c>
      <c r="D26" s="1"/>
      <c r="E26" s="1"/>
      <c r="F26" s="1"/>
      <c r="G26" s="1"/>
      <c r="H26" s="1"/>
      <c r="I26" s="8" t="s">
        <v>598</v>
      </c>
    </row>
    <row r="27" spans="1:10" x14ac:dyDescent="0.25">
      <c r="A27" s="3" t="str">
        <f>'Other processes'!A346</f>
        <v>Ferronickel, 25% Ni {GLO}| market for | Alloc Rec, U_mr</v>
      </c>
      <c r="B27" s="8">
        <v>4.4999999999999998E-2</v>
      </c>
      <c r="C27" s="8" t="s">
        <v>9</v>
      </c>
      <c r="D27" s="1"/>
      <c r="E27" s="1"/>
      <c r="F27" s="1"/>
      <c r="G27" s="1"/>
      <c r="H27" s="1"/>
      <c r="I27" s="8" t="s">
        <v>598</v>
      </c>
    </row>
    <row r="28" spans="1:10" x14ac:dyDescent="0.25">
      <c r="A28" s="3" t="str">
        <f>Mining!A13</f>
        <v>Iron ore, beneficiated, 65% Fe {GLO}| market for | Alloc Rec, U_mr_Scope 3</v>
      </c>
      <c r="B28" s="8">
        <v>2.1999999999999999E-2</v>
      </c>
      <c r="C28" s="8" t="s">
        <v>9</v>
      </c>
      <c r="D28" s="1"/>
      <c r="E28" s="1"/>
      <c r="F28" s="1"/>
      <c r="G28" s="1"/>
      <c r="H28" s="1"/>
      <c r="I28" s="8" t="s">
        <v>598</v>
      </c>
    </row>
    <row r="29" spans="1:10" x14ac:dyDescent="0.25">
      <c r="A29" s="3" t="str">
        <f>'Blast furnace'!A12</f>
        <v>Pig iron {GLO}| market for | Alloc Rec, U_mr</v>
      </c>
      <c r="B29" s="50">
        <f>IF(subprocess_MFA=1,0,1.05)</f>
        <v>0</v>
      </c>
      <c r="C29" s="8" t="s">
        <v>9</v>
      </c>
      <c r="D29" s="1"/>
      <c r="E29" s="1"/>
      <c r="F29" s="1"/>
      <c r="G29" s="1"/>
      <c r="H29" s="1"/>
      <c r="I29" s="8" t="s">
        <v>598</v>
      </c>
      <c r="J29" s="8" t="s">
        <v>471</v>
      </c>
    </row>
    <row r="30" spans="1:10" x14ac:dyDescent="0.25">
      <c r="A30" s="8" t="s">
        <v>219</v>
      </c>
      <c r="B30" s="8">
        <v>1.3333000000000001E-11</v>
      </c>
      <c r="C30" s="8" t="s">
        <v>61</v>
      </c>
      <c r="D30" s="1"/>
      <c r="E30" s="1"/>
      <c r="F30" s="1"/>
      <c r="G30" s="1"/>
      <c r="H30" s="1"/>
      <c r="I30" s="8" t="s">
        <v>598</v>
      </c>
    </row>
    <row r="31" spans="1:10" x14ac:dyDescent="0.25">
      <c r="A31" s="8" t="s">
        <v>321</v>
      </c>
      <c r="B31" s="8">
        <v>0</v>
      </c>
      <c r="C31" s="8" t="s">
        <v>9</v>
      </c>
      <c r="D31" s="1"/>
      <c r="E31" s="1"/>
      <c r="F31" s="1"/>
      <c r="G31" s="1"/>
      <c r="H31" s="1"/>
      <c r="I31" s="8" t="s">
        <v>598</v>
      </c>
    </row>
    <row r="32" spans="1:10" x14ac:dyDescent="0.25">
      <c r="A32" s="8" t="s">
        <v>176</v>
      </c>
      <c r="B32" s="8">
        <v>2.14338377139061E-5</v>
      </c>
      <c r="C32" s="8" t="s">
        <v>41</v>
      </c>
      <c r="D32" s="1"/>
      <c r="E32" s="1"/>
      <c r="F32" s="1"/>
      <c r="G32" s="1"/>
      <c r="H32" s="1"/>
      <c r="I32" s="8" t="s">
        <v>598</v>
      </c>
    </row>
    <row r="33" spans="1:9" x14ac:dyDescent="0.25">
      <c r="A33" s="8" t="s">
        <v>177</v>
      </c>
      <c r="B33" s="8">
        <v>7.0541744374880998E-6</v>
      </c>
      <c r="C33" s="8" t="s">
        <v>41</v>
      </c>
      <c r="D33" s="1"/>
      <c r="E33" s="1"/>
      <c r="F33" s="1"/>
      <c r="G33" s="1"/>
      <c r="H33" s="1"/>
      <c r="I33" s="8" t="s">
        <v>598</v>
      </c>
    </row>
    <row r="34" spans="1:9" x14ac:dyDescent="0.25">
      <c r="A34" s="8" t="s">
        <v>178</v>
      </c>
      <c r="B34" s="8">
        <v>1.6061812565357499E-5</v>
      </c>
      <c r="C34" s="8" t="s">
        <v>41</v>
      </c>
      <c r="D34" s="1"/>
      <c r="E34" s="1"/>
      <c r="F34" s="1"/>
      <c r="G34" s="1"/>
      <c r="H34" s="1"/>
      <c r="I34" s="8" t="s">
        <v>598</v>
      </c>
    </row>
    <row r="35" spans="1:9" x14ac:dyDescent="0.25">
      <c r="A35" s="8" t="s">
        <v>179</v>
      </c>
      <c r="B35" s="8">
        <v>2.4431070189488599E-4</v>
      </c>
      <c r="C35" s="8" t="s">
        <v>41</v>
      </c>
      <c r="D35" s="1"/>
      <c r="E35" s="1"/>
      <c r="F35" s="1"/>
      <c r="G35" s="1"/>
      <c r="H35" s="1"/>
      <c r="I35" s="8" t="s">
        <v>598</v>
      </c>
    </row>
    <row r="36" spans="1:9" x14ac:dyDescent="0.25">
      <c r="A36" s="8" t="s">
        <v>180</v>
      </c>
      <c r="B36" s="8">
        <v>2.98445841586035E-6</v>
      </c>
      <c r="C36" s="8" t="s">
        <v>41</v>
      </c>
      <c r="I36" s="8" t="s">
        <v>598</v>
      </c>
    </row>
    <row r="37" spans="1:9" x14ac:dyDescent="0.25">
      <c r="A37" s="8" t="s">
        <v>181</v>
      </c>
      <c r="B37" s="8">
        <v>3.4294140342249799E-5</v>
      </c>
      <c r="C37" s="8" t="s">
        <v>41</v>
      </c>
      <c r="I37" s="8" t="s">
        <v>598</v>
      </c>
    </row>
    <row r="38" spans="1:9" x14ac:dyDescent="0.25">
      <c r="A38" s="8" t="s">
        <v>182</v>
      </c>
      <c r="B38" s="8">
        <v>1.1533575205293E-4</v>
      </c>
      <c r="C38" s="8" t="s">
        <v>41</v>
      </c>
      <c r="I38" s="8" t="s">
        <v>598</v>
      </c>
    </row>
    <row r="39" spans="1:9" x14ac:dyDescent="0.25">
      <c r="A39" s="8" t="s">
        <v>183</v>
      </c>
      <c r="B39" s="8">
        <v>2.4988056372794401E-5</v>
      </c>
      <c r="C39" s="8" t="s">
        <v>41</v>
      </c>
      <c r="I39" s="8" t="s">
        <v>598</v>
      </c>
    </row>
    <row r="40" spans="1:9" x14ac:dyDescent="0.25">
      <c r="A40" s="8" t="s">
        <v>184</v>
      </c>
      <c r="B40" s="8">
        <v>1.1666519261999499E-5</v>
      </c>
      <c r="C40" s="8" t="s">
        <v>41</v>
      </c>
      <c r="I40" s="8" t="s">
        <v>598</v>
      </c>
    </row>
    <row r="41" spans="1:9" x14ac:dyDescent="0.25">
      <c r="A41" s="8" t="s">
        <v>185</v>
      </c>
      <c r="B41" s="8">
        <v>2.11625233124643E-5</v>
      </c>
      <c r="C41" s="8" t="s">
        <v>41</v>
      </c>
      <c r="I41" s="8" t="s">
        <v>598</v>
      </c>
    </row>
    <row r="42" spans="1:9" x14ac:dyDescent="0.25">
      <c r="A42" s="8" t="s">
        <v>186</v>
      </c>
      <c r="B42" s="8">
        <v>1.50036863997343E-4</v>
      </c>
      <c r="C42" s="8" t="s">
        <v>41</v>
      </c>
      <c r="I42" s="8" t="s">
        <v>598</v>
      </c>
    </row>
    <row r="43" spans="1:9" x14ac:dyDescent="0.25">
      <c r="A43" s="8" t="s">
        <v>187</v>
      </c>
      <c r="B43" s="8">
        <v>3.1445339127110401E-5</v>
      </c>
      <c r="C43" s="8" t="s">
        <v>41</v>
      </c>
      <c r="I43" s="8" t="s">
        <v>598</v>
      </c>
    </row>
    <row r="44" spans="1:9" x14ac:dyDescent="0.25">
      <c r="A44" s="8" t="s">
        <v>189</v>
      </c>
      <c r="B44" s="8">
        <v>7.8762570738569008E-6</v>
      </c>
      <c r="C44" s="8" t="s">
        <v>41</v>
      </c>
      <c r="I44" s="8" t="s">
        <v>598</v>
      </c>
    </row>
    <row r="45" spans="1:9" x14ac:dyDescent="0.25">
      <c r="A45" s="8" t="s">
        <v>190</v>
      </c>
      <c r="B45" s="8">
        <v>2.3115987002845598E-5</v>
      </c>
      <c r="C45" s="8" t="s">
        <v>41</v>
      </c>
      <c r="I45" s="8" t="s">
        <v>598</v>
      </c>
    </row>
    <row r="46" spans="1:9" x14ac:dyDescent="0.25">
      <c r="A46" s="8" t="s">
        <v>191</v>
      </c>
      <c r="B46" s="8">
        <v>7.6130821044583102E-5</v>
      </c>
      <c r="C46" s="8" t="s">
        <v>41</v>
      </c>
      <c r="I46" s="8" t="s">
        <v>598</v>
      </c>
    </row>
    <row r="47" spans="1:9" x14ac:dyDescent="0.25">
      <c r="A47" s="8" t="s">
        <v>192</v>
      </c>
      <c r="B47" s="8">
        <v>1.60346811252133E-4</v>
      </c>
      <c r="C47" s="8" t="s">
        <v>41</v>
      </c>
      <c r="I47" s="8" t="s">
        <v>598</v>
      </c>
    </row>
    <row r="48" spans="1:9" x14ac:dyDescent="0.25">
      <c r="A48" s="8" t="s">
        <v>193</v>
      </c>
      <c r="B48" s="8">
        <v>1.3294405670650601E-5</v>
      </c>
      <c r="C48" s="8" t="s">
        <v>41</v>
      </c>
      <c r="I48" s="8" t="s">
        <v>598</v>
      </c>
    </row>
    <row r="49" spans="1:9" x14ac:dyDescent="0.25">
      <c r="A49" s="3" t="str">
        <f>'Other processes'!A5</f>
        <v>Coke {GLO}| market for | Alloc Rec, U_mr_Scope 2</v>
      </c>
      <c r="B49" s="8">
        <f>0.00025</f>
        <v>2.5000000000000001E-4</v>
      </c>
      <c r="C49" s="8" t="s">
        <v>14</v>
      </c>
      <c r="I49" s="8" t="s">
        <v>598</v>
      </c>
    </row>
    <row r="50" spans="1:9" x14ac:dyDescent="0.25">
      <c r="A50" s="3" t="str">
        <f>'Electricity generation'!$A$32</f>
        <v>Electricity, global mix, medium voltage_mr_Scope 2</v>
      </c>
      <c r="B50" s="50">
        <f>BOF_electricity/RE_BOF</f>
        <v>0.1349140000099027</v>
      </c>
      <c r="C50" s="8" t="s">
        <v>14</v>
      </c>
    </row>
    <row r="51" spans="1:9" x14ac:dyDescent="0.25">
      <c r="A51" s="8" t="s">
        <v>516</v>
      </c>
      <c r="B51" s="50">
        <f>BOF_BF_gas/RE_BOF</f>
        <v>3.1134000002285236E-2</v>
      </c>
      <c r="C51" s="8" t="s">
        <v>14</v>
      </c>
    </row>
    <row r="52" spans="1:9" x14ac:dyDescent="0.25">
      <c r="A52" s="8" t="s">
        <v>517</v>
      </c>
      <c r="B52" s="50">
        <f>BOF_oil/RE_BOF</f>
        <v>0.44625400003275506</v>
      </c>
      <c r="C52" s="8" t="s">
        <v>14</v>
      </c>
    </row>
    <row r="53" spans="1:9" x14ac:dyDescent="0.25">
      <c r="A53" s="8" t="s">
        <v>557</v>
      </c>
      <c r="B53" s="50">
        <f>BOF_heat_steam/RE_BOF</f>
        <v>8.3024000006093959E-2</v>
      </c>
      <c r="C53" s="8" t="s">
        <v>14</v>
      </c>
    </row>
    <row r="54" spans="1:9" x14ac:dyDescent="0.25">
      <c r="A54" s="1" t="s">
        <v>16</v>
      </c>
    </row>
    <row r="55" spans="1:9" x14ac:dyDescent="0.25">
      <c r="A55" s="8" t="s">
        <v>63</v>
      </c>
      <c r="B55" s="8">
        <v>7.5600000000000001E-2</v>
      </c>
      <c r="C55" s="8" t="s">
        <v>9</v>
      </c>
      <c r="I55" s="8" t="s">
        <v>598</v>
      </c>
    </row>
    <row r="56" spans="1:9" x14ac:dyDescent="0.25">
      <c r="A56" s="8" t="s">
        <v>18</v>
      </c>
      <c r="B56" s="8">
        <v>4.7299999999999998E-3</v>
      </c>
      <c r="C56" s="8" t="s">
        <v>9</v>
      </c>
      <c r="I56" s="8" t="s">
        <v>598</v>
      </c>
    </row>
    <row r="57" spans="1:9" x14ac:dyDescent="0.25">
      <c r="A57" s="8" t="s">
        <v>72</v>
      </c>
      <c r="B57" s="8">
        <v>3.0500000000000003E-14</v>
      </c>
      <c r="C57" s="8" t="s">
        <v>9</v>
      </c>
      <c r="I57" s="8" t="s">
        <v>598</v>
      </c>
    </row>
    <row r="58" spans="1:9" x14ac:dyDescent="0.25">
      <c r="A58" s="8" t="s">
        <v>67</v>
      </c>
      <c r="B58" s="8">
        <v>6.0500000000000003E-7</v>
      </c>
      <c r="C58" s="8" t="s">
        <v>9</v>
      </c>
      <c r="I58" s="8" t="s">
        <v>598</v>
      </c>
    </row>
    <row r="59" spans="1:9" x14ac:dyDescent="0.25">
      <c r="A59" s="8" t="s">
        <v>46</v>
      </c>
      <c r="B59" s="8">
        <v>2.4999999999999999E-8</v>
      </c>
      <c r="C59" s="8" t="s">
        <v>9</v>
      </c>
      <c r="I59" s="8" t="s">
        <v>598</v>
      </c>
    </row>
    <row r="60" spans="1:9" x14ac:dyDescent="0.25">
      <c r="A60" s="8" t="s">
        <v>71</v>
      </c>
      <c r="B60" s="8">
        <v>4.7500000000000003E-5</v>
      </c>
      <c r="C60" s="8" t="s">
        <v>9</v>
      </c>
      <c r="I60" s="8" t="s">
        <v>598</v>
      </c>
    </row>
    <row r="61" spans="1:9" x14ac:dyDescent="0.25">
      <c r="A61" s="8" t="s">
        <v>15</v>
      </c>
      <c r="B61" s="8">
        <v>1.2500000000000001E-5</v>
      </c>
      <c r="C61" s="8" t="s">
        <v>9</v>
      </c>
      <c r="I61" s="8" t="s">
        <v>598</v>
      </c>
    </row>
    <row r="62" spans="1:9" x14ac:dyDescent="0.25">
      <c r="A62" s="8" t="s">
        <v>62</v>
      </c>
      <c r="B62" s="8">
        <v>1.2E-10</v>
      </c>
      <c r="C62" s="8" t="s">
        <v>9</v>
      </c>
      <c r="I62" s="8" t="s">
        <v>598</v>
      </c>
    </row>
    <row r="63" spans="1:9" x14ac:dyDescent="0.25">
      <c r="A63" s="8" t="s">
        <v>44</v>
      </c>
      <c r="B63" s="8">
        <v>6.1184085870649597E-3</v>
      </c>
      <c r="C63" s="8" t="s">
        <v>41</v>
      </c>
      <c r="I63" s="8" t="s">
        <v>598</v>
      </c>
    </row>
    <row r="64" spans="1:9" x14ac:dyDescent="0.25">
      <c r="A64" s="8" t="s">
        <v>49</v>
      </c>
      <c r="B64" s="8">
        <v>5.1500000000000005E-7</v>
      </c>
      <c r="C64" s="8" t="s">
        <v>9</v>
      </c>
      <c r="I64" s="8" t="s">
        <v>598</v>
      </c>
    </row>
    <row r="65" spans="1:10" x14ac:dyDescent="0.25">
      <c r="A65" s="8" t="s">
        <v>25</v>
      </c>
      <c r="B65" s="8">
        <v>1.85E-7</v>
      </c>
      <c r="C65" s="8" t="s">
        <v>9</v>
      </c>
      <c r="I65" s="8" t="s">
        <v>598</v>
      </c>
    </row>
    <row r="66" spans="1:10" x14ac:dyDescent="0.25">
      <c r="A66" s="1" t="s">
        <v>20</v>
      </c>
    </row>
    <row r="67" spans="1:10" x14ac:dyDescent="0.25">
      <c r="A67" s="8" t="s">
        <v>322</v>
      </c>
      <c r="B67" s="8">
        <v>6.81797651491958E-3</v>
      </c>
      <c r="C67" s="8" t="s">
        <v>41</v>
      </c>
      <c r="I67" s="8" t="s">
        <v>598</v>
      </c>
    </row>
    <row r="68" spans="1:10" x14ac:dyDescent="0.25">
      <c r="A68" s="1" t="s">
        <v>94</v>
      </c>
    </row>
    <row r="69" spans="1:10" x14ac:dyDescent="0.25">
      <c r="A69" s="8" t="s">
        <v>323</v>
      </c>
      <c r="B69" s="8">
        <v>1.0625000000000001E-3</v>
      </c>
      <c r="C69" s="8" t="s">
        <v>9</v>
      </c>
      <c r="I69" s="8" t="s">
        <v>598</v>
      </c>
    </row>
    <row r="70" spans="1:10" x14ac:dyDescent="0.25">
      <c r="A70" s="8" t="s">
        <v>324</v>
      </c>
      <c r="B70" s="8">
        <v>3.2077000000000001E-2</v>
      </c>
      <c r="C70" s="8" t="s">
        <v>9</v>
      </c>
      <c r="I70" s="8" t="s">
        <v>598</v>
      </c>
    </row>
    <row r="71" spans="1:10" x14ac:dyDescent="0.25">
      <c r="A71" s="8" t="s">
        <v>201</v>
      </c>
      <c r="B71" s="8">
        <v>2.8999999999999998E-3</v>
      </c>
      <c r="C71" s="8" t="s">
        <v>9</v>
      </c>
      <c r="I71" s="8" t="s">
        <v>598</v>
      </c>
    </row>
    <row r="73" spans="1:10" x14ac:dyDescent="0.25">
      <c r="A73" s="2" t="s">
        <v>316</v>
      </c>
      <c r="B73" s="2"/>
      <c r="C73" s="2"/>
      <c r="D73" s="2"/>
      <c r="E73" s="2"/>
      <c r="F73" s="1"/>
      <c r="G73" s="1"/>
      <c r="H73" s="1"/>
      <c r="I73" s="1"/>
      <c r="J73" s="1"/>
    </row>
    <row r="74" spans="1:10" x14ac:dyDescent="0.25">
      <c r="A74" s="1" t="s">
        <v>10</v>
      </c>
      <c r="B74" s="1" t="s">
        <v>2</v>
      </c>
      <c r="C74" s="1" t="s">
        <v>0</v>
      </c>
      <c r="D74" s="1"/>
      <c r="E74" s="1" t="s">
        <v>3</v>
      </c>
      <c r="F74" s="1" t="s">
        <v>4</v>
      </c>
      <c r="G74" s="1" t="s">
        <v>5</v>
      </c>
      <c r="H74" s="1" t="s">
        <v>6</v>
      </c>
      <c r="I74" s="1" t="s">
        <v>7</v>
      </c>
      <c r="J74" s="1" t="s">
        <v>8</v>
      </c>
    </row>
    <row r="75" spans="1:10" x14ac:dyDescent="0.25">
      <c r="A75" s="8" t="s">
        <v>316</v>
      </c>
      <c r="B75" s="50">
        <f>1/RE_BOF</f>
        <v>1.0378000000761745</v>
      </c>
      <c r="C75" s="8" t="s">
        <v>9</v>
      </c>
      <c r="I75" s="8" t="s">
        <v>212</v>
      </c>
    </row>
    <row r="76" spans="1:10" x14ac:dyDescent="0.25">
      <c r="A76" s="1" t="s">
        <v>1</v>
      </c>
      <c r="B76" s="1" t="s">
        <v>2</v>
      </c>
      <c r="C76" s="1" t="s">
        <v>0</v>
      </c>
      <c r="D76" s="1"/>
      <c r="E76" s="1" t="s">
        <v>3</v>
      </c>
      <c r="F76" s="1" t="s">
        <v>4</v>
      </c>
      <c r="G76" s="1" t="s">
        <v>5</v>
      </c>
      <c r="H76" s="1" t="s">
        <v>6</v>
      </c>
      <c r="I76" s="1" t="s">
        <v>7</v>
      </c>
      <c r="J76" s="1" t="s">
        <v>8</v>
      </c>
    </row>
    <row r="77" spans="1:10" x14ac:dyDescent="0.25">
      <c r="A77" s="8" t="s">
        <v>326</v>
      </c>
      <c r="B77" s="8">
        <v>1.0514950542745E-2</v>
      </c>
      <c r="C77" s="8" t="s">
        <v>41</v>
      </c>
      <c r="D77" s="1"/>
      <c r="E77" s="1"/>
      <c r="F77" s="1"/>
      <c r="G77" s="1"/>
      <c r="H77" s="1"/>
      <c r="I77" s="8" t="s">
        <v>598</v>
      </c>
    </row>
    <row r="78" spans="1:10" x14ac:dyDescent="0.25">
      <c r="A78" s="8" t="s">
        <v>75</v>
      </c>
      <c r="B78" s="8">
        <v>2.4214345592395402E-3</v>
      </c>
      <c r="C78" s="8" t="s">
        <v>41</v>
      </c>
      <c r="D78" s="1"/>
      <c r="E78" s="1"/>
      <c r="F78" s="1"/>
      <c r="G78" s="1"/>
      <c r="H78" s="1"/>
      <c r="I78" s="8" t="s">
        <v>598</v>
      </c>
    </row>
    <row r="79" spans="1:10" x14ac:dyDescent="0.25">
      <c r="A79" s="8" t="s">
        <v>77</v>
      </c>
      <c r="B79" s="8">
        <v>2.7499999999999998E-3</v>
      </c>
      <c r="C79" s="8" t="s">
        <v>9</v>
      </c>
      <c r="D79" s="1"/>
      <c r="E79" s="1"/>
      <c r="F79" s="1"/>
      <c r="G79" s="1"/>
      <c r="H79" s="1"/>
      <c r="I79" s="8" t="s">
        <v>598</v>
      </c>
    </row>
    <row r="80" spans="1:10" x14ac:dyDescent="0.25">
      <c r="A80" s="3" t="str">
        <f>Mining!A13</f>
        <v>Iron ore, beneficiated, 65% Fe {GLO}| market for | Alloc Rec, U_mr_Scope 3</v>
      </c>
      <c r="B80" s="8">
        <v>2.1999999999999999E-2</v>
      </c>
      <c r="C80" s="8" t="s">
        <v>9</v>
      </c>
      <c r="D80" s="1"/>
      <c r="E80" s="1"/>
      <c r="F80" s="1"/>
      <c r="G80" s="1"/>
      <c r="H80" s="1"/>
      <c r="I80" s="8" t="s">
        <v>598</v>
      </c>
    </row>
    <row r="81" spans="1:10" x14ac:dyDescent="0.25">
      <c r="A81" s="3" t="str">
        <f>'Other processes'!A176</f>
        <v>Quicklime, in pieces, loose {GLO}| market for | Alloc Rec, U_mr_Scope 3</v>
      </c>
      <c r="B81" s="8">
        <v>4.2500000000000003E-2</v>
      </c>
      <c r="C81" s="8" t="s">
        <v>9</v>
      </c>
      <c r="D81" s="1"/>
      <c r="E81" s="1"/>
      <c r="F81" s="1"/>
      <c r="G81" s="1"/>
      <c r="H81" s="1"/>
      <c r="I81" s="8" t="s">
        <v>598</v>
      </c>
    </row>
    <row r="82" spans="1:10" x14ac:dyDescent="0.25">
      <c r="A82" s="3" t="str">
        <f>'Other processes'!A309</f>
        <v>Oxygen, liquid {RER}| market for | Alloc Rec, U_mr</v>
      </c>
      <c r="B82" s="8">
        <v>7.145E-2</v>
      </c>
      <c r="C82" s="8" t="s">
        <v>9</v>
      </c>
      <c r="D82" s="1"/>
      <c r="E82" s="1"/>
      <c r="F82" s="1"/>
      <c r="G82" s="1"/>
      <c r="H82" s="1"/>
      <c r="I82" s="8" t="s">
        <v>212</v>
      </c>
    </row>
    <row r="83" spans="1:10" x14ac:dyDescent="0.25">
      <c r="A83" s="3" t="str">
        <f>'Other processes'!A346</f>
        <v>Ferronickel, 25% Ni {GLO}| market for | Alloc Rec, U_mr</v>
      </c>
      <c r="B83" s="8">
        <v>4.4999999999999998E-2</v>
      </c>
      <c r="C83" s="8" t="s">
        <v>9</v>
      </c>
      <c r="D83" s="1"/>
      <c r="E83" s="1"/>
      <c r="F83" s="1"/>
      <c r="G83" s="1"/>
      <c r="H83" s="1"/>
      <c r="I83" s="8" t="s">
        <v>598</v>
      </c>
    </row>
    <row r="84" spans="1:10" x14ac:dyDescent="0.25">
      <c r="A84" s="8" t="s">
        <v>223</v>
      </c>
      <c r="B84" s="8">
        <v>1.5278E-2</v>
      </c>
      <c r="C84" s="8" t="s">
        <v>9</v>
      </c>
      <c r="D84" s="1"/>
      <c r="E84" s="1"/>
      <c r="F84" s="1"/>
      <c r="G84" s="1"/>
      <c r="H84" s="1"/>
      <c r="I84" s="8" t="s">
        <v>598</v>
      </c>
    </row>
    <row r="85" spans="1:10" x14ac:dyDescent="0.25">
      <c r="A85" s="8" t="s">
        <v>224</v>
      </c>
      <c r="B85" s="8">
        <v>3.2853E-2</v>
      </c>
      <c r="C85" s="8" t="s">
        <v>9</v>
      </c>
      <c r="D85" s="1"/>
      <c r="E85" s="1"/>
      <c r="F85" s="1"/>
      <c r="G85" s="1"/>
      <c r="H85" s="1"/>
      <c r="I85" s="8" t="s">
        <v>598</v>
      </c>
    </row>
    <row r="86" spans="1:10" x14ac:dyDescent="0.25">
      <c r="A86" s="3" t="str">
        <f>'Blast furnace'!A12</f>
        <v>Pig iron {GLO}| market for | Alloc Rec, U_mr</v>
      </c>
      <c r="B86" s="8">
        <f>IF(subprocess_MFA=1,0,1.05)</f>
        <v>0</v>
      </c>
      <c r="C86" s="8" t="s">
        <v>9</v>
      </c>
      <c r="D86" s="1"/>
      <c r="E86" s="1"/>
      <c r="F86" s="1"/>
      <c r="G86" s="1"/>
      <c r="H86" s="1"/>
      <c r="I86" s="8" t="s">
        <v>598</v>
      </c>
      <c r="J86" s="8" t="s">
        <v>471</v>
      </c>
    </row>
    <row r="87" spans="1:10" x14ac:dyDescent="0.25">
      <c r="A87" s="8" t="s">
        <v>219</v>
      </c>
      <c r="B87" s="8">
        <v>1.3333000000000001E-11</v>
      </c>
      <c r="C87" s="8" t="s">
        <v>12</v>
      </c>
      <c r="D87" s="1"/>
      <c r="E87" s="1"/>
      <c r="F87" s="1"/>
      <c r="G87" s="1"/>
      <c r="H87" s="1"/>
      <c r="I87" s="8" t="s">
        <v>598</v>
      </c>
    </row>
    <row r="88" spans="1:10" x14ac:dyDescent="0.25">
      <c r="A88" s="8" t="s">
        <v>321</v>
      </c>
      <c r="B88" s="8">
        <v>0</v>
      </c>
      <c r="C88" s="8" t="s">
        <v>9</v>
      </c>
      <c r="D88" s="1"/>
      <c r="E88" s="1"/>
      <c r="F88" s="1"/>
      <c r="G88" s="1"/>
      <c r="H88" s="1"/>
      <c r="I88" s="8" t="s">
        <v>598</v>
      </c>
    </row>
    <row r="89" spans="1:10" x14ac:dyDescent="0.25">
      <c r="A89" s="8" t="s">
        <v>225</v>
      </c>
      <c r="B89" s="8">
        <v>5.9648999999999998E-4</v>
      </c>
      <c r="C89" s="8" t="s">
        <v>9</v>
      </c>
      <c r="D89" s="1"/>
      <c r="E89" s="1"/>
      <c r="F89" s="1"/>
      <c r="G89" s="1"/>
      <c r="H89" s="1"/>
      <c r="I89" s="8" t="s">
        <v>598</v>
      </c>
    </row>
    <row r="90" spans="1:10" x14ac:dyDescent="0.25">
      <c r="A90" s="8" t="s">
        <v>197</v>
      </c>
      <c r="B90" s="8">
        <v>3.58801575514403E-5</v>
      </c>
      <c r="C90" s="8" t="s">
        <v>41</v>
      </c>
      <c r="D90" s="1"/>
      <c r="E90" s="1"/>
      <c r="F90" s="1"/>
      <c r="G90" s="1"/>
      <c r="H90" s="1"/>
      <c r="I90" s="8" t="s">
        <v>598</v>
      </c>
    </row>
    <row r="91" spans="1:10" x14ac:dyDescent="0.25">
      <c r="A91" s="8" t="s">
        <v>195</v>
      </c>
      <c r="B91" s="8">
        <v>1.3830363400392001E-6</v>
      </c>
      <c r="C91" s="8" t="s">
        <v>41</v>
      </c>
      <c r="D91" s="1"/>
      <c r="E91" s="1"/>
      <c r="F91" s="1"/>
      <c r="G91" s="1"/>
      <c r="H91" s="1"/>
      <c r="I91" s="8" t="s">
        <v>598</v>
      </c>
    </row>
    <row r="92" spans="1:10" x14ac:dyDescent="0.25">
      <c r="A92" s="8" t="s">
        <v>188</v>
      </c>
      <c r="B92" s="8">
        <v>2.00231632107506E-5</v>
      </c>
      <c r="C92" s="8" t="s">
        <v>41</v>
      </c>
      <c r="D92" s="1"/>
      <c r="E92" s="1"/>
      <c r="F92" s="1"/>
      <c r="G92" s="1"/>
      <c r="H92" s="1"/>
      <c r="I92" s="8" t="s">
        <v>598</v>
      </c>
    </row>
    <row r="93" spans="1:10" x14ac:dyDescent="0.25">
      <c r="A93" s="8" t="s">
        <v>194</v>
      </c>
      <c r="B93" s="8">
        <v>1.4939435134167701E-4</v>
      </c>
      <c r="C93" s="8" t="s">
        <v>41</v>
      </c>
      <c r="D93" s="1"/>
      <c r="E93" s="1"/>
      <c r="F93" s="1"/>
      <c r="G93" s="1"/>
      <c r="H93" s="1"/>
      <c r="I93" s="8" t="s">
        <v>598</v>
      </c>
    </row>
    <row r="94" spans="1:10" x14ac:dyDescent="0.25">
      <c r="A94" s="8" t="s">
        <v>196</v>
      </c>
      <c r="B94" s="8">
        <v>7.5485775309455303E-4</v>
      </c>
      <c r="C94" s="8" t="s">
        <v>41</v>
      </c>
      <c r="I94" s="8" t="s">
        <v>598</v>
      </c>
    </row>
    <row r="95" spans="1:10" x14ac:dyDescent="0.25">
      <c r="A95" s="3" t="str">
        <f>'Other processes'!A5</f>
        <v>Coke {GLO}| market for | Alloc Rec, U_mr_Scope 2</v>
      </c>
      <c r="B95" s="8">
        <v>2.5000000000000001E-4</v>
      </c>
      <c r="C95" s="8" t="s">
        <v>14</v>
      </c>
      <c r="I95" s="8" t="s">
        <v>598</v>
      </c>
    </row>
    <row r="96" spans="1:10" x14ac:dyDescent="0.25">
      <c r="A96" s="3" t="str">
        <f>'Electricity generation'!$A$32</f>
        <v>Electricity, global mix, medium voltage_mr_Scope 2</v>
      </c>
      <c r="B96" s="50">
        <f>BOF_electricity/RE_BOF</f>
        <v>0.1349140000099027</v>
      </c>
      <c r="C96" s="8" t="s">
        <v>14</v>
      </c>
      <c r="I96" s="8" t="s">
        <v>598</v>
      </c>
    </row>
    <row r="97" spans="1:9" x14ac:dyDescent="0.25">
      <c r="A97" s="8" t="s">
        <v>516</v>
      </c>
      <c r="B97" s="50">
        <f>BOF_BF_gas/RE_BOF</f>
        <v>3.1134000002285236E-2</v>
      </c>
      <c r="C97" s="8" t="s">
        <v>14</v>
      </c>
    </row>
    <row r="98" spans="1:9" x14ac:dyDescent="0.25">
      <c r="A98" s="8" t="s">
        <v>517</v>
      </c>
      <c r="B98" s="50">
        <f>BOF_oil/RE_BOF</f>
        <v>0.44625400003275506</v>
      </c>
      <c r="C98" s="8" t="s">
        <v>14</v>
      </c>
    </row>
    <row r="99" spans="1:9" x14ac:dyDescent="0.25">
      <c r="A99" s="8" t="s">
        <v>557</v>
      </c>
      <c r="B99" s="50">
        <f>BOF_heat_steam/RE_BOF</f>
        <v>8.3024000006093959E-2</v>
      </c>
      <c r="C99" s="8" t="s">
        <v>14</v>
      </c>
    </row>
    <row r="100" spans="1:9" x14ac:dyDescent="0.25">
      <c r="A100" s="1" t="s">
        <v>16</v>
      </c>
    </row>
    <row r="101" spans="1:9" x14ac:dyDescent="0.25">
      <c r="A101" s="8" t="s">
        <v>63</v>
      </c>
      <c r="B101" s="8">
        <v>7.5600000000000001E-2</v>
      </c>
      <c r="C101" s="8" t="s">
        <v>9</v>
      </c>
      <c r="I101" s="8" t="s">
        <v>598</v>
      </c>
    </row>
    <row r="102" spans="1:9" x14ac:dyDescent="0.25">
      <c r="A102" s="8" t="s">
        <v>71</v>
      </c>
      <c r="B102" s="8">
        <v>4.7500000000000003E-5</v>
      </c>
      <c r="C102" s="8" t="s">
        <v>9</v>
      </c>
      <c r="I102" s="8" t="s">
        <v>598</v>
      </c>
    </row>
    <row r="103" spans="1:9" x14ac:dyDescent="0.25">
      <c r="A103" s="8" t="s">
        <v>62</v>
      </c>
      <c r="B103" s="8">
        <v>1.2E-10</v>
      </c>
      <c r="C103" s="8" t="s">
        <v>9</v>
      </c>
      <c r="I103" s="8" t="s">
        <v>598</v>
      </c>
    </row>
    <row r="104" spans="1:9" x14ac:dyDescent="0.25">
      <c r="A104" s="8" t="s">
        <v>72</v>
      </c>
      <c r="B104" s="8">
        <v>3.0500000000000003E-14</v>
      </c>
      <c r="C104" s="8" t="s">
        <v>9</v>
      </c>
      <c r="I104" s="8" t="s">
        <v>598</v>
      </c>
    </row>
    <row r="105" spans="1:9" x14ac:dyDescent="0.25">
      <c r="A105" s="8" t="s">
        <v>18</v>
      </c>
      <c r="B105" s="8">
        <v>4.7299999999999998E-3</v>
      </c>
      <c r="C105" s="8" t="s">
        <v>9</v>
      </c>
      <c r="I105" s="8" t="s">
        <v>598</v>
      </c>
    </row>
    <row r="106" spans="1:9" x14ac:dyDescent="0.25">
      <c r="A106" s="8" t="s">
        <v>15</v>
      </c>
      <c r="B106" s="8">
        <v>1.2500000000000001E-5</v>
      </c>
      <c r="C106" s="8" t="s">
        <v>9</v>
      </c>
      <c r="I106" s="8" t="s">
        <v>598</v>
      </c>
    </row>
    <row r="107" spans="1:9" x14ac:dyDescent="0.25">
      <c r="A107" s="8" t="s">
        <v>25</v>
      </c>
      <c r="B107" s="8">
        <v>1.85E-7</v>
      </c>
      <c r="C107" s="8" t="s">
        <v>9</v>
      </c>
      <c r="I107" s="8" t="s">
        <v>598</v>
      </c>
    </row>
    <row r="108" spans="1:9" x14ac:dyDescent="0.25">
      <c r="A108" s="8" t="s">
        <v>44</v>
      </c>
      <c r="B108" s="8">
        <v>6.1184085870649701E-3</v>
      </c>
      <c r="C108" s="8" t="s">
        <v>41</v>
      </c>
      <c r="I108" s="8" t="s">
        <v>598</v>
      </c>
    </row>
    <row r="109" spans="1:9" x14ac:dyDescent="0.25">
      <c r="A109" s="8" t="s">
        <v>46</v>
      </c>
      <c r="B109" s="8">
        <v>2.4999999999999999E-8</v>
      </c>
      <c r="C109" s="8" t="s">
        <v>9</v>
      </c>
      <c r="I109" s="8" t="s">
        <v>598</v>
      </c>
    </row>
    <row r="110" spans="1:9" x14ac:dyDescent="0.25">
      <c r="A110" s="8" t="s">
        <v>67</v>
      </c>
      <c r="B110" s="8">
        <v>6.0500000000000003E-7</v>
      </c>
      <c r="C110" s="8" t="s">
        <v>9</v>
      </c>
      <c r="I110" s="8" t="s">
        <v>598</v>
      </c>
    </row>
    <row r="111" spans="1:9" x14ac:dyDescent="0.25">
      <c r="A111" s="8" t="s">
        <v>49</v>
      </c>
      <c r="B111" s="8">
        <v>5.1500000000000005E-7</v>
      </c>
      <c r="C111" s="8" t="s">
        <v>9</v>
      </c>
      <c r="I111" s="8" t="s">
        <v>598</v>
      </c>
    </row>
    <row r="112" spans="1:9" x14ac:dyDescent="0.25">
      <c r="A112" s="1" t="s">
        <v>20</v>
      </c>
    </row>
    <row r="113" spans="1:10" x14ac:dyDescent="0.25">
      <c r="A113" s="8" t="s">
        <v>93</v>
      </c>
      <c r="B113" s="8">
        <v>6.8179765149195904E-3</v>
      </c>
      <c r="C113" s="8" t="s">
        <v>41</v>
      </c>
      <c r="I113" s="8" t="s">
        <v>598</v>
      </c>
    </row>
    <row r="114" spans="1:10" x14ac:dyDescent="0.25">
      <c r="A114" s="1" t="s">
        <v>94</v>
      </c>
    </row>
    <row r="115" spans="1:10" x14ac:dyDescent="0.25">
      <c r="A115" s="8" t="s">
        <v>201</v>
      </c>
      <c r="B115" s="8">
        <v>2.8999999999999998E-3</v>
      </c>
      <c r="C115" s="8" t="s">
        <v>9</v>
      </c>
      <c r="I115" s="8" t="s">
        <v>598</v>
      </c>
    </row>
    <row r="116" spans="1:10" x14ac:dyDescent="0.25">
      <c r="A116" s="8" t="s">
        <v>323</v>
      </c>
      <c r="B116" s="8">
        <v>1.0625000000000001E-3</v>
      </c>
      <c r="C116" s="8" t="s">
        <v>9</v>
      </c>
      <c r="I116" s="8" t="s">
        <v>598</v>
      </c>
    </row>
    <row r="117" spans="1:10" x14ac:dyDescent="0.25">
      <c r="A117" s="8" t="s">
        <v>324</v>
      </c>
      <c r="B117" s="8">
        <v>3.2077000000000001E-2</v>
      </c>
      <c r="C117" s="8" t="s">
        <v>9</v>
      </c>
      <c r="I117" s="8" t="s">
        <v>598</v>
      </c>
    </row>
    <row r="119" spans="1:10" x14ac:dyDescent="0.25">
      <c r="A119" s="2" t="s">
        <v>509</v>
      </c>
    </row>
    <row r="120" spans="1:10" x14ac:dyDescent="0.25">
      <c r="A120" s="1" t="s">
        <v>10</v>
      </c>
      <c r="B120" s="1" t="s">
        <v>2</v>
      </c>
      <c r="C120" s="1" t="s">
        <v>0</v>
      </c>
      <c r="D120" s="1"/>
      <c r="E120" s="1" t="s">
        <v>3</v>
      </c>
      <c r="F120" s="1" t="s">
        <v>4</v>
      </c>
      <c r="G120" s="1" t="s">
        <v>5</v>
      </c>
      <c r="H120" s="1" t="s">
        <v>6</v>
      </c>
      <c r="I120" s="1" t="s">
        <v>7</v>
      </c>
      <c r="J120" s="1" t="s">
        <v>8</v>
      </c>
    </row>
    <row r="121" spans="1:10" x14ac:dyDescent="0.25">
      <c r="A121" s="8" t="s">
        <v>509</v>
      </c>
      <c r="B121" s="50">
        <f>1/RE_BOF</f>
        <v>1.0378000000761745</v>
      </c>
      <c r="C121" s="8" t="s">
        <v>9</v>
      </c>
      <c r="I121" s="8" t="s">
        <v>212</v>
      </c>
    </row>
    <row r="122" spans="1:10" x14ac:dyDescent="0.25">
      <c r="A122" s="1" t="s">
        <v>1</v>
      </c>
      <c r="B122" s="1" t="s">
        <v>2</v>
      </c>
      <c r="C122" s="1" t="s">
        <v>0</v>
      </c>
      <c r="D122" s="1"/>
      <c r="E122" s="1" t="s">
        <v>3</v>
      </c>
      <c r="F122" s="1" t="s">
        <v>4</v>
      </c>
      <c r="G122" s="1" t="s">
        <v>5</v>
      </c>
      <c r="H122" s="1" t="s">
        <v>6</v>
      </c>
      <c r="I122" s="1" t="s">
        <v>7</v>
      </c>
      <c r="J122" s="1" t="s">
        <v>8</v>
      </c>
    </row>
    <row r="123" spans="1:10" x14ac:dyDescent="0.25">
      <c r="A123" s="8" t="s">
        <v>75</v>
      </c>
      <c r="B123" s="8">
        <v>2.4214345592395402E-3</v>
      </c>
      <c r="C123" s="8" t="s">
        <v>41</v>
      </c>
      <c r="I123" s="8" t="s">
        <v>599</v>
      </c>
    </row>
    <row r="124" spans="1:10" x14ac:dyDescent="0.25">
      <c r="A124" s="8" t="s">
        <v>326</v>
      </c>
      <c r="B124" s="8">
        <v>1.0514950542745E-2</v>
      </c>
      <c r="C124" s="8" t="s">
        <v>41</v>
      </c>
      <c r="I124" s="8" t="s">
        <v>599</v>
      </c>
    </row>
    <row r="125" spans="1:10" x14ac:dyDescent="0.25">
      <c r="A125" s="8" t="s">
        <v>460</v>
      </c>
      <c r="B125" s="8">
        <f>IF(subprocess_MFA=1,0,0.022)</f>
        <v>0</v>
      </c>
      <c r="C125" s="8" t="s">
        <v>9</v>
      </c>
      <c r="F125" s="8" t="s">
        <v>510</v>
      </c>
      <c r="G125" s="8" t="s">
        <v>510</v>
      </c>
    </row>
    <row r="126" spans="1:10" x14ac:dyDescent="0.25">
      <c r="A126" s="8" t="s">
        <v>219</v>
      </c>
      <c r="B126" s="8">
        <v>1.3333000000000001E-11</v>
      </c>
      <c r="C126" s="8" t="s">
        <v>12</v>
      </c>
      <c r="F126" s="8" t="s">
        <v>510</v>
      </c>
      <c r="G126" s="8" t="s">
        <v>510</v>
      </c>
      <c r="I126" s="8" t="s">
        <v>599</v>
      </c>
    </row>
    <row r="127" spans="1:10" x14ac:dyDescent="0.25">
      <c r="A127" s="8" t="s">
        <v>473</v>
      </c>
      <c r="B127" s="8">
        <v>4.2500000000000003E-2</v>
      </c>
      <c r="C127" s="8" t="s">
        <v>9</v>
      </c>
      <c r="F127" s="8" t="s">
        <v>510</v>
      </c>
      <c r="G127" s="8" t="s">
        <v>510</v>
      </c>
      <c r="I127" s="8" t="s">
        <v>599</v>
      </c>
    </row>
    <row r="128" spans="1:10" x14ac:dyDescent="0.25">
      <c r="A128" s="8" t="s">
        <v>511</v>
      </c>
      <c r="B128" s="8">
        <v>6.0000000000000001E-3</v>
      </c>
      <c r="C128" s="8" t="s">
        <v>9</v>
      </c>
      <c r="F128" s="8" t="s">
        <v>510</v>
      </c>
      <c r="G128" s="8" t="s">
        <v>510</v>
      </c>
      <c r="I128" s="8" t="s">
        <v>599</v>
      </c>
    </row>
    <row r="129" spans="1:9" x14ac:dyDescent="0.25">
      <c r="A129" s="8" t="s">
        <v>77</v>
      </c>
      <c r="B129" s="8">
        <v>2.7499999999999998E-3</v>
      </c>
      <c r="C129" s="8" t="s">
        <v>9</v>
      </c>
      <c r="F129" s="8" t="s">
        <v>510</v>
      </c>
      <c r="G129" s="8" t="s">
        <v>510</v>
      </c>
      <c r="I129" s="8" t="s">
        <v>599</v>
      </c>
    </row>
    <row r="130" spans="1:9" x14ac:dyDescent="0.25">
      <c r="A130" s="8" t="s">
        <v>512</v>
      </c>
      <c r="B130" s="8">
        <v>7.145E-2</v>
      </c>
      <c r="C130" s="8" t="s">
        <v>9</v>
      </c>
      <c r="F130" s="8" t="s">
        <v>510</v>
      </c>
      <c r="G130" s="8" t="s">
        <v>510</v>
      </c>
      <c r="I130" s="8" t="s">
        <v>599</v>
      </c>
    </row>
    <row r="131" spans="1:9" x14ac:dyDescent="0.25">
      <c r="A131" s="8" t="s">
        <v>513</v>
      </c>
      <c r="B131" s="8" t="s">
        <v>514</v>
      </c>
      <c r="C131" s="8" t="s">
        <v>9</v>
      </c>
      <c r="F131" s="8" t="s">
        <v>510</v>
      </c>
      <c r="G131" s="8" t="s">
        <v>510</v>
      </c>
      <c r="I131" s="8" t="s">
        <v>599</v>
      </c>
    </row>
    <row r="132" spans="1:9" x14ac:dyDescent="0.25">
      <c r="A132" s="8" t="s">
        <v>321</v>
      </c>
      <c r="B132" s="8">
        <v>0</v>
      </c>
      <c r="C132" s="8" t="s">
        <v>9</v>
      </c>
      <c r="F132" s="8" t="s">
        <v>510</v>
      </c>
      <c r="G132" s="8" t="s">
        <v>510</v>
      </c>
      <c r="I132" s="8" t="s">
        <v>599</v>
      </c>
    </row>
    <row r="133" spans="1:9" x14ac:dyDescent="0.25">
      <c r="A133" s="8" t="s">
        <v>197</v>
      </c>
      <c r="B133" s="8">
        <v>3.58801575514403E-5</v>
      </c>
      <c r="C133" s="8" t="s">
        <v>41</v>
      </c>
      <c r="F133" s="8" t="s">
        <v>510</v>
      </c>
      <c r="G133" s="8" t="s">
        <v>510</v>
      </c>
      <c r="I133" s="8" t="s">
        <v>599</v>
      </c>
    </row>
    <row r="134" spans="1:9" x14ac:dyDescent="0.25">
      <c r="A134" s="8" t="s">
        <v>195</v>
      </c>
      <c r="B134" s="8">
        <v>1.3830363400392001E-6</v>
      </c>
      <c r="C134" s="8" t="s">
        <v>41</v>
      </c>
      <c r="F134" s="8" t="s">
        <v>510</v>
      </c>
      <c r="G134" s="8" t="s">
        <v>510</v>
      </c>
      <c r="I134" s="8" t="s">
        <v>599</v>
      </c>
    </row>
    <row r="135" spans="1:9" x14ac:dyDescent="0.25">
      <c r="A135" s="8" t="s">
        <v>188</v>
      </c>
      <c r="B135" s="8">
        <v>2.00231632107506E-5</v>
      </c>
      <c r="C135" s="8" t="s">
        <v>41</v>
      </c>
      <c r="F135" s="8" t="s">
        <v>510</v>
      </c>
      <c r="G135" s="8" t="s">
        <v>510</v>
      </c>
      <c r="I135" s="8" t="s">
        <v>599</v>
      </c>
    </row>
    <row r="136" spans="1:9" x14ac:dyDescent="0.25">
      <c r="A136" s="8" t="s">
        <v>194</v>
      </c>
      <c r="B136" s="8">
        <v>1.4939435134167701E-4</v>
      </c>
      <c r="C136" s="8" t="s">
        <v>41</v>
      </c>
      <c r="F136" s="8" t="s">
        <v>510</v>
      </c>
      <c r="G136" s="8" t="s">
        <v>510</v>
      </c>
      <c r="I136" s="8" t="s">
        <v>599</v>
      </c>
    </row>
    <row r="137" spans="1:9" x14ac:dyDescent="0.25">
      <c r="A137" s="8" t="s">
        <v>196</v>
      </c>
      <c r="B137" s="8">
        <v>7.5485775309455303E-4</v>
      </c>
      <c r="C137" s="8" t="s">
        <v>41</v>
      </c>
      <c r="F137" s="8" t="s">
        <v>510</v>
      </c>
      <c r="G137" s="8" t="s">
        <v>510</v>
      </c>
      <c r="I137" s="8" t="s">
        <v>599</v>
      </c>
    </row>
    <row r="138" spans="1:9" x14ac:dyDescent="0.25">
      <c r="A138" s="8" t="s">
        <v>505</v>
      </c>
      <c r="B138" s="8">
        <v>2.5000000000000001E-4</v>
      </c>
      <c r="C138" s="8" t="s">
        <v>14</v>
      </c>
      <c r="F138" s="8" t="s">
        <v>510</v>
      </c>
      <c r="G138" s="8" t="s">
        <v>510</v>
      </c>
    </row>
    <row r="139" spans="1:9" x14ac:dyDescent="0.25">
      <c r="A139" s="3" t="str">
        <f>'Electricity generation'!$A$32</f>
        <v>Electricity, global mix, medium voltage_mr_Scope 2</v>
      </c>
      <c r="B139" s="50">
        <f>BOF_electricity/RE_BOF</f>
        <v>0.1349140000099027</v>
      </c>
      <c r="C139" s="8" t="s">
        <v>14</v>
      </c>
      <c r="F139" s="8" t="s">
        <v>510</v>
      </c>
      <c r="G139" s="8" t="s">
        <v>510</v>
      </c>
    </row>
    <row r="140" spans="1:9" x14ac:dyDescent="0.25">
      <c r="A140" s="8" t="s">
        <v>516</v>
      </c>
      <c r="B140" s="50">
        <f>BOF_BF_gas/RE_BOF</f>
        <v>3.1134000002285236E-2</v>
      </c>
      <c r="C140" s="8" t="s">
        <v>14</v>
      </c>
    </row>
    <row r="141" spans="1:9" x14ac:dyDescent="0.25">
      <c r="A141" s="8" t="s">
        <v>517</v>
      </c>
      <c r="B141" s="50">
        <f>BOF_oil/RE_BOF</f>
        <v>0.44625400003275506</v>
      </c>
      <c r="C141" s="8" t="s">
        <v>14</v>
      </c>
    </row>
    <row r="142" spans="1:9" x14ac:dyDescent="0.25">
      <c r="A142" s="8" t="s">
        <v>557</v>
      </c>
      <c r="B142" s="50">
        <f>BOF_heat_steam/RE_BOF</f>
        <v>8.3024000006093959E-2</v>
      </c>
      <c r="C142" s="8" t="s">
        <v>14</v>
      </c>
    </row>
    <row r="143" spans="1:9" x14ac:dyDescent="0.25">
      <c r="A143" s="1" t="s">
        <v>16</v>
      </c>
    </row>
    <row r="144" spans="1:9" x14ac:dyDescent="0.25">
      <c r="A144" s="8" t="s">
        <v>44</v>
      </c>
      <c r="B144" s="8">
        <v>6.1184085870649701E-3</v>
      </c>
      <c r="C144" s="8" t="s">
        <v>41</v>
      </c>
      <c r="G144" s="8" t="s">
        <v>510</v>
      </c>
      <c r="I144" s="8" t="s">
        <v>599</v>
      </c>
    </row>
    <row r="145" spans="1:9" x14ac:dyDescent="0.25">
      <c r="A145" s="8" t="s">
        <v>25</v>
      </c>
      <c r="B145" s="8">
        <v>1.85E-7</v>
      </c>
      <c r="C145" s="8" t="s">
        <v>9</v>
      </c>
      <c r="G145" s="8" t="s">
        <v>510</v>
      </c>
      <c r="I145" s="8" t="s">
        <v>599</v>
      </c>
    </row>
    <row r="146" spans="1:9" x14ac:dyDescent="0.25">
      <c r="A146" s="8" t="s">
        <v>18</v>
      </c>
      <c r="B146" s="8">
        <v>4.7299999999999998E-3</v>
      </c>
      <c r="C146" s="8" t="s">
        <v>9</v>
      </c>
      <c r="G146" s="8" t="s">
        <v>510</v>
      </c>
      <c r="I146" s="8" t="s">
        <v>599</v>
      </c>
    </row>
    <row r="147" spans="1:9" x14ac:dyDescent="0.25">
      <c r="A147" s="8" t="s">
        <v>63</v>
      </c>
      <c r="B147" s="8">
        <v>7.5600000000000001E-2</v>
      </c>
      <c r="C147" s="8" t="s">
        <v>9</v>
      </c>
      <c r="G147" s="8" t="s">
        <v>510</v>
      </c>
      <c r="I147" s="8" t="s">
        <v>599</v>
      </c>
    </row>
    <row r="148" spans="1:9" x14ac:dyDescent="0.25">
      <c r="A148" s="8" t="s">
        <v>71</v>
      </c>
      <c r="B148" s="8">
        <v>4.7500000000000003E-5</v>
      </c>
      <c r="C148" s="8" t="s">
        <v>9</v>
      </c>
      <c r="G148" s="8" t="s">
        <v>510</v>
      </c>
      <c r="I148" s="8" t="s">
        <v>599</v>
      </c>
    </row>
    <row r="149" spans="1:9" x14ac:dyDescent="0.25">
      <c r="A149" s="8" t="s">
        <v>67</v>
      </c>
      <c r="B149" s="8">
        <v>6.0500000000000003E-7</v>
      </c>
      <c r="C149" s="8" t="s">
        <v>9</v>
      </c>
      <c r="G149" s="8" t="s">
        <v>510</v>
      </c>
      <c r="I149" s="8" t="s">
        <v>599</v>
      </c>
    </row>
    <row r="150" spans="1:9" x14ac:dyDescent="0.25">
      <c r="A150" s="8" t="s">
        <v>46</v>
      </c>
      <c r="B150" s="8">
        <v>2.4999999999999999E-8</v>
      </c>
      <c r="C150" s="8" t="s">
        <v>9</v>
      </c>
      <c r="G150" s="8" t="s">
        <v>510</v>
      </c>
      <c r="I150" s="8" t="s">
        <v>599</v>
      </c>
    </row>
    <row r="151" spans="1:9" x14ac:dyDescent="0.25">
      <c r="A151" s="8" t="s">
        <v>49</v>
      </c>
      <c r="B151" s="8">
        <v>5.1500000000000005E-7</v>
      </c>
      <c r="C151" s="8" t="s">
        <v>9</v>
      </c>
      <c r="G151" s="8" t="s">
        <v>510</v>
      </c>
      <c r="I151" s="8" t="s">
        <v>599</v>
      </c>
    </row>
    <row r="152" spans="1:9" x14ac:dyDescent="0.25">
      <c r="A152" s="8" t="s">
        <v>15</v>
      </c>
      <c r="B152" s="8">
        <v>1.2500000000000001E-5</v>
      </c>
      <c r="C152" s="8" t="s">
        <v>9</v>
      </c>
      <c r="G152" s="8" t="s">
        <v>510</v>
      </c>
      <c r="I152" s="8" t="s">
        <v>599</v>
      </c>
    </row>
    <row r="153" spans="1:9" x14ac:dyDescent="0.25">
      <c r="A153" s="8" t="s">
        <v>62</v>
      </c>
      <c r="B153" s="8">
        <v>1.2E-10</v>
      </c>
      <c r="C153" s="8" t="s">
        <v>9</v>
      </c>
      <c r="G153" s="8" t="s">
        <v>510</v>
      </c>
      <c r="I153" s="8" t="s">
        <v>599</v>
      </c>
    </row>
    <row r="154" spans="1:9" x14ac:dyDescent="0.25">
      <c r="A154" s="8" t="s">
        <v>72</v>
      </c>
      <c r="B154" s="8">
        <v>3.0500000000000003E-14</v>
      </c>
      <c r="C154" s="8" t="s">
        <v>9</v>
      </c>
      <c r="G154" s="8" t="s">
        <v>510</v>
      </c>
      <c r="I154" s="8" t="s">
        <v>599</v>
      </c>
    </row>
    <row r="155" spans="1:9" x14ac:dyDescent="0.25">
      <c r="A155" s="1" t="s">
        <v>20</v>
      </c>
    </row>
    <row r="156" spans="1:9" x14ac:dyDescent="0.25">
      <c r="A156" s="8" t="s">
        <v>93</v>
      </c>
      <c r="B156" s="8">
        <v>6.8179765149195904E-3</v>
      </c>
      <c r="C156" s="8" t="s">
        <v>41</v>
      </c>
      <c r="G156" s="8" t="s">
        <v>510</v>
      </c>
      <c r="I156" s="8" t="s">
        <v>599</v>
      </c>
    </row>
    <row r="157" spans="1:9" x14ac:dyDescent="0.25">
      <c r="A157" s="1" t="s">
        <v>94</v>
      </c>
    </row>
    <row r="158" spans="1:9" x14ac:dyDescent="0.25">
      <c r="A158" s="8" t="s">
        <v>201</v>
      </c>
      <c r="B158" s="8">
        <v>2.8999999999999998E-3</v>
      </c>
      <c r="C158" s="8" t="s">
        <v>9</v>
      </c>
      <c r="G158" s="8" t="s">
        <v>510</v>
      </c>
      <c r="I158" s="8" t="s">
        <v>599</v>
      </c>
    </row>
    <row r="159" spans="1:9" x14ac:dyDescent="0.25">
      <c r="A159" s="8" t="s">
        <v>324</v>
      </c>
      <c r="B159" s="8">
        <v>3.2077000000000001E-2</v>
      </c>
      <c r="C159" s="8" t="s">
        <v>9</v>
      </c>
      <c r="G159" s="8" t="s">
        <v>510</v>
      </c>
      <c r="I159" s="8" t="s">
        <v>599</v>
      </c>
    </row>
    <row r="160" spans="1:9" x14ac:dyDescent="0.25">
      <c r="A160" s="8" t="s">
        <v>323</v>
      </c>
      <c r="B160" s="8">
        <v>1.0625000000000001E-3</v>
      </c>
      <c r="C160" s="8" t="s">
        <v>9</v>
      </c>
      <c r="G160" s="8" t="s">
        <v>510</v>
      </c>
      <c r="I160" s="8" t="s">
        <v>599</v>
      </c>
    </row>
    <row r="162" spans="1:10" x14ac:dyDescent="0.25">
      <c r="A162" s="2" t="s">
        <v>515</v>
      </c>
    </row>
    <row r="163" spans="1:10" x14ac:dyDescent="0.25">
      <c r="A163" s="1" t="s">
        <v>10</v>
      </c>
      <c r="B163" s="1" t="s">
        <v>2</v>
      </c>
      <c r="C163" s="1" t="s">
        <v>0</v>
      </c>
      <c r="D163" s="1"/>
      <c r="E163" s="1" t="s">
        <v>3</v>
      </c>
      <c r="F163" s="1" t="s">
        <v>4</v>
      </c>
      <c r="G163" s="1" t="s">
        <v>5</v>
      </c>
      <c r="H163" s="1" t="s">
        <v>6</v>
      </c>
      <c r="I163" s="1" t="s">
        <v>7</v>
      </c>
      <c r="J163" s="1" t="s">
        <v>8</v>
      </c>
    </row>
    <row r="164" spans="1:10" x14ac:dyDescent="0.25">
      <c r="A164" s="8" t="s">
        <v>515</v>
      </c>
      <c r="B164" s="50">
        <f>1/RE_BOF</f>
        <v>1.0378000000761745</v>
      </c>
      <c r="C164" s="8" t="s">
        <v>9</v>
      </c>
      <c r="I164" s="8" t="s">
        <v>212</v>
      </c>
    </row>
    <row r="165" spans="1:10" x14ac:dyDescent="0.25">
      <c r="A165" s="1" t="s">
        <v>1</v>
      </c>
      <c r="B165" s="1" t="s">
        <v>2</v>
      </c>
      <c r="C165" s="1" t="s">
        <v>0</v>
      </c>
      <c r="D165" s="1"/>
      <c r="E165" s="1" t="s">
        <v>3</v>
      </c>
      <c r="F165" s="1" t="s">
        <v>4</v>
      </c>
      <c r="G165" s="1" t="s">
        <v>5</v>
      </c>
      <c r="H165" s="1" t="s">
        <v>6</v>
      </c>
      <c r="I165" s="1" t="s">
        <v>7</v>
      </c>
      <c r="J165" s="1" t="s">
        <v>8</v>
      </c>
    </row>
    <row r="166" spans="1:10" x14ac:dyDescent="0.25">
      <c r="A166" s="8" t="s">
        <v>319</v>
      </c>
      <c r="B166" s="8">
        <v>2.4214345592395402E-3</v>
      </c>
      <c r="C166" s="8" t="s">
        <v>41</v>
      </c>
      <c r="I166" s="8" t="s">
        <v>600</v>
      </c>
    </row>
    <row r="167" spans="1:10" x14ac:dyDescent="0.25">
      <c r="A167" s="8" t="s">
        <v>320</v>
      </c>
      <c r="B167" s="8">
        <v>1.0514950542745E-2</v>
      </c>
      <c r="C167" s="8" t="s">
        <v>41</v>
      </c>
      <c r="I167" s="8" t="s">
        <v>600</v>
      </c>
    </row>
    <row r="168" spans="1:10" x14ac:dyDescent="0.25">
      <c r="A168" s="8" t="s">
        <v>460</v>
      </c>
      <c r="B168" s="8">
        <f>IF(subprocess_MFA=1,0,0.022)</f>
        <v>0</v>
      </c>
      <c r="C168" s="8" t="s">
        <v>9</v>
      </c>
      <c r="F168" s="8" t="s">
        <v>510</v>
      </c>
      <c r="G168" s="8" t="s">
        <v>510</v>
      </c>
    </row>
    <row r="169" spans="1:10" x14ac:dyDescent="0.25">
      <c r="A169" s="8" t="s">
        <v>219</v>
      </c>
      <c r="B169" s="8">
        <v>1.3333000000000001E-11</v>
      </c>
      <c r="C169" s="8" t="s">
        <v>12</v>
      </c>
      <c r="F169" s="8" t="s">
        <v>510</v>
      </c>
      <c r="G169" s="8" t="s">
        <v>510</v>
      </c>
      <c r="I169" s="8" t="s">
        <v>600</v>
      </c>
    </row>
    <row r="170" spans="1:10" x14ac:dyDescent="0.25">
      <c r="A170" s="8" t="s">
        <v>473</v>
      </c>
      <c r="B170" s="8">
        <v>4.2500000000000003E-2</v>
      </c>
      <c r="C170" s="8" t="s">
        <v>9</v>
      </c>
      <c r="F170" s="8" t="s">
        <v>510</v>
      </c>
      <c r="G170" s="8" t="s">
        <v>510</v>
      </c>
      <c r="I170" s="8" t="s">
        <v>600</v>
      </c>
    </row>
    <row r="171" spans="1:10" x14ac:dyDescent="0.25">
      <c r="A171" s="8" t="s">
        <v>511</v>
      </c>
      <c r="B171" s="8">
        <v>6.0000000000000001E-3</v>
      </c>
      <c r="C171" s="8" t="s">
        <v>9</v>
      </c>
      <c r="F171" s="8" t="s">
        <v>510</v>
      </c>
      <c r="G171" s="8" t="s">
        <v>510</v>
      </c>
      <c r="I171" s="8" t="s">
        <v>600</v>
      </c>
    </row>
    <row r="172" spans="1:10" x14ac:dyDescent="0.25">
      <c r="A172" s="8" t="s">
        <v>77</v>
      </c>
      <c r="B172" s="8">
        <v>2.7499999999999998E-3</v>
      </c>
      <c r="C172" s="8" t="s">
        <v>9</v>
      </c>
      <c r="F172" s="8" t="s">
        <v>510</v>
      </c>
      <c r="G172" s="8" t="s">
        <v>510</v>
      </c>
      <c r="I172" s="8" t="s">
        <v>600</v>
      </c>
    </row>
    <row r="173" spans="1:10" x14ac:dyDescent="0.25">
      <c r="A173" s="8" t="s">
        <v>512</v>
      </c>
      <c r="B173" s="8">
        <v>7.145E-2</v>
      </c>
      <c r="C173" s="8" t="s">
        <v>9</v>
      </c>
      <c r="F173" s="8" t="s">
        <v>510</v>
      </c>
      <c r="G173" s="8" t="s">
        <v>510</v>
      </c>
      <c r="I173" s="8" t="s">
        <v>600</v>
      </c>
    </row>
    <row r="174" spans="1:10" x14ac:dyDescent="0.25">
      <c r="A174" s="8" t="s">
        <v>513</v>
      </c>
      <c r="B174" s="8" t="s">
        <v>514</v>
      </c>
      <c r="C174" s="8" t="s">
        <v>9</v>
      </c>
      <c r="F174" s="8" t="s">
        <v>510</v>
      </c>
      <c r="G174" s="8" t="s">
        <v>510</v>
      </c>
      <c r="I174" s="8" t="s">
        <v>600</v>
      </c>
    </row>
    <row r="175" spans="1:10" x14ac:dyDescent="0.25">
      <c r="A175" s="8" t="s">
        <v>176</v>
      </c>
      <c r="B175" s="8">
        <v>2.14338377139061E-5</v>
      </c>
      <c r="C175" s="8" t="s">
        <v>41</v>
      </c>
      <c r="I175" s="8" t="s">
        <v>600</v>
      </c>
    </row>
    <row r="176" spans="1:10" x14ac:dyDescent="0.25">
      <c r="A176" s="8" t="s">
        <v>177</v>
      </c>
      <c r="B176" s="8">
        <v>7.0541744374880998E-6</v>
      </c>
      <c r="C176" s="8" t="s">
        <v>41</v>
      </c>
      <c r="I176" s="8" t="s">
        <v>600</v>
      </c>
    </row>
    <row r="177" spans="1:9" x14ac:dyDescent="0.25">
      <c r="A177" s="8" t="s">
        <v>178</v>
      </c>
      <c r="B177" s="8">
        <v>1.6061812565357499E-5</v>
      </c>
      <c r="C177" s="8" t="s">
        <v>41</v>
      </c>
      <c r="I177" s="8" t="s">
        <v>600</v>
      </c>
    </row>
    <row r="178" spans="1:9" x14ac:dyDescent="0.25">
      <c r="A178" s="8" t="s">
        <v>179</v>
      </c>
      <c r="B178" s="8">
        <v>2.4431070189488599E-4</v>
      </c>
      <c r="C178" s="8" t="s">
        <v>41</v>
      </c>
      <c r="I178" s="8" t="s">
        <v>600</v>
      </c>
    </row>
    <row r="179" spans="1:9" x14ac:dyDescent="0.25">
      <c r="A179" s="8" t="s">
        <v>180</v>
      </c>
      <c r="B179" s="8">
        <v>2.98445841586035E-6</v>
      </c>
      <c r="C179" s="8" t="s">
        <v>41</v>
      </c>
      <c r="I179" s="8" t="s">
        <v>600</v>
      </c>
    </row>
    <row r="180" spans="1:9" x14ac:dyDescent="0.25">
      <c r="A180" s="8" t="s">
        <v>181</v>
      </c>
      <c r="B180" s="8">
        <v>3.4294140342249799E-5</v>
      </c>
      <c r="C180" s="8" t="s">
        <v>41</v>
      </c>
      <c r="I180" s="8" t="s">
        <v>600</v>
      </c>
    </row>
    <row r="181" spans="1:9" x14ac:dyDescent="0.25">
      <c r="A181" s="8" t="s">
        <v>182</v>
      </c>
      <c r="B181" s="8">
        <v>1.1533575205293E-4</v>
      </c>
      <c r="C181" s="8" t="s">
        <v>41</v>
      </c>
      <c r="I181" s="8" t="s">
        <v>600</v>
      </c>
    </row>
    <row r="182" spans="1:9" x14ac:dyDescent="0.25">
      <c r="A182" s="8" t="s">
        <v>183</v>
      </c>
      <c r="B182" s="8">
        <v>2.4988056372794401E-5</v>
      </c>
      <c r="C182" s="8" t="s">
        <v>41</v>
      </c>
      <c r="I182" s="8" t="s">
        <v>600</v>
      </c>
    </row>
    <row r="183" spans="1:9" x14ac:dyDescent="0.25">
      <c r="A183" s="8" t="s">
        <v>184</v>
      </c>
      <c r="B183" s="8">
        <v>1.1666519261999499E-5</v>
      </c>
      <c r="C183" s="8" t="s">
        <v>41</v>
      </c>
      <c r="I183" s="8" t="s">
        <v>600</v>
      </c>
    </row>
    <row r="184" spans="1:9" x14ac:dyDescent="0.25">
      <c r="A184" s="8" t="s">
        <v>185</v>
      </c>
      <c r="B184" s="8">
        <v>2.11625233124643E-5</v>
      </c>
      <c r="C184" s="8" t="s">
        <v>41</v>
      </c>
      <c r="I184" s="8" t="s">
        <v>600</v>
      </c>
    </row>
    <row r="185" spans="1:9" x14ac:dyDescent="0.25">
      <c r="A185" s="8" t="s">
        <v>186</v>
      </c>
      <c r="B185" s="8">
        <v>1.50036863997343E-4</v>
      </c>
      <c r="C185" s="8" t="s">
        <v>41</v>
      </c>
      <c r="I185" s="8" t="s">
        <v>600</v>
      </c>
    </row>
    <row r="186" spans="1:9" x14ac:dyDescent="0.25">
      <c r="A186" s="8" t="s">
        <v>187</v>
      </c>
      <c r="B186" s="8">
        <v>3.1445339127110401E-5</v>
      </c>
      <c r="C186" s="8" t="s">
        <v>41</v>
      </c>
      <c r="I186" s="8" t="s">
        <v>600</v>
      </c>
    </row>
    <row r="187" spans="1:9" x14ac:dyDescent="0.25">
      <c r="A187" s="8" t="s">
        <v>189</v>
      </c>
      <c r="B187" s="8">
        <v>7.8762570738569008E-6</v>
      </c>
      <c r="C187" s="8" t="s">
        <v>41</v>
      </c>
      <c r="I187" s="8" t="s">
        <v>600</v>
      </c>
    </row>
    <row r="188" spans="1:9" x14ac:dyDescent="0.25">
      <c r="A188" s="8" t="s">
        <v>190</v>
      </c>
      <c r="B188" s="8">
        <v>2.3115987002845598E-5</v>
      </c>
      <c r="C188" s="8" t="s">
        <v>41</v>
      </c>
      <c r="I188" s="8" t="s">
        <v>600</v>
      </c>
    </row>
    <row r="189" spans="1:9" x14ac:dyDescent="0.25">
      <c r="A189" s="8" t="s">
        <v>191</v>
      </c>
      <c r="B189" s="8">
        <v>7.6130821044583102E-5</v>
      </c>
      <c r="C189" s="8" t="s">
        <v>41</v>
      </c>
      <c r="I189" s="8" t="s">
        <v>600</v>
      </c>
    </row>
    <row r="190" spans="1:9" x14ac:dyDescent="0.25">
      <c r="A190" s="8" t="s">
        <v>192</v>
      </c>
      <c r="B190" s="8">
        <v>1.60346811252133E-4</v>
      </c>
      <c r="C190" s="8" t="s">
        <v>41</v>
      </c>
      <c r="I190" s="8" t="s">
        <v>600</v>
      </c>
    </row>
    <row r="191" spans="1:9" x14ac:dyDescent="0.25">
      <c r="A191" s="8" t="s">
        <v>193</v>
      </c>
      <c r="B191" s="8">
        <v>1.3294405670650601E-5</v>
      </c>
      <c r="C191" s="8" t="s">
        <v>41</v>
      </c>
      <c r="I191" s="8" t="s">
        <v>600</v>
      </c>
    </row>
    <row r="192" spans="1:9" x14ac:dyDescent="0.25">
      <c r="A192" s="8" t="s">
        <v>505</v>
      </c>
      <c r="B192" s="8">
        <f>0.00025</f>
        <v>2.5000000000000001E-4</v>
      </c>
      <c r="C192" s="8" t="s">
        <v>14</v>
      </c>
      <c r="F192" s="8" t="s">
        <v>510</v>
      </c>
      <c r="G192" s="8" t="s">
        <v>510</v>
      </c>
    </row>
    <row r="193" spans="1:9" x14ac:dyDescent="0.25">
      <c r="A193" s="3" t="str">
        <f>'Electricity generation'!$A$32</f>
        <v>Electricity, global mix, medium voltage_mr_Scope 2</v>
      </c>
      <c r="B193" s="50">
        <f>BOF_electricity/RE_BOF</f>
        <v>0.1349140000099027</v>
      </c>
      <c r="C193" s="8" t="s">
        <v>14</v>
      </c>
      <c r="F193" s="8" t="s">
        <v>510</v>
      </c>
      <c r="G193" s="8" t="s">
        <v>510</v>
      </c>
    </row>
    <row r="194" spans="1:9" x14ac:dyDescent="0.25">
      <c r="A194" s="8" t="s">
        <v>516</v>
      </c>
      <c r="B194" s="50">
        <f>BOF_BF_gas/RE_BOF</f>
        <v>3.1134000002285236E-2</v>
      </c>
      <c r="C194" s="8" t="s">
        <v>14</v>
      </c>
    </row>
    <row r="195" spans="1:9" x14ac:dyDescent="0.25">
      <c r="A195" s="8" t="s">
        <v>517</v>
      </c>
      <c r="B195" s="50">
        <f>BOF_oil/RE_BOF</f>
        <v>0.44625400003275506</v>
      </c>
      <c r="C195" s="8" t="s">
        <v>14</v>
      </c>
    </row>
    <row r="196" spans="1:9" x14ac:dyDescent="0.25">
      <c r="A196" s="8" t="s">
        <v>557</v>
      </c>
      <c r="B196" s="50">
        <f>BOF_heat_steam/RE_BOF</f>
        <v>8.3024000006093959E-2</v>
      </c>
      <c r="C196" s="8" t="s">
        <v>14</v>
      </c>
    </row>
    <row r="197" spans="1:9" x14ac:dyDescent="0.25">
      <c r="A197" s="1" t="s">
        <v>16</v>
      </c>
    </row>
    <row r="198" spans="1:9" x14ac:dyDescent="0.25">
      <c r="A198" s="8" t="s">
        <v>18</v>
      </c>
      <c r="B198" s="8">
        <v>4.7299999999999998E-3</v>
      </c>
      <c r="C198" s="8" t="s">
        <v>9</v>
      </c>
      <c r="G198" s="8" t="s">
        <v>510</v>
      </c>
      <c r="I198" s="8" t="s">
        <v>600</v>
      </c>
    </row>
    <row r="199" spans="1:9" x14ac:dyDescent="0.25">
      <c r="A199" s="8" t="s">
        <v>71</v>
      </c>
      <c r="B199" s="8">
        <v>4.7500000000000003E-5</v>
      </c>
      <c r="C199" s="8" t="s">
        <v>9</v>
      </c>
      <c r="G199" s="8" t="s">
        <v>510</v>
      </c>
      <c r="I199" s="8" t="s">
        <v>600</v>
      </c>
    </row>
    <row r="200" spans="1:9" x14ac:dyDescent="0.25">
      <c r="A200" s="8" t="s">
        <v>49</v>
      </c>
      <c r="B200" s="8">
        <v>5.1500000000000005E-7</v>
      </c>
      <c r="C200" s="8" t="s">
        <v>9</v>
      </c>
      <c r="G200" s="8" t="s">
        <v>510</v>
      </c>
      <c r="I200" s="8" t="s">
        <v>600</v>
      </c>
    </row>
    <row r="201" spans="1:9" x14ac:dyDescent="0.25">
      <c r="A201" s="8" t="s">
        <v>15</v>
      </c>
      <c r="B201" s="8">
        <v>1.2500000000000001E-5</v>
      </c>
      <c r="C201" s="8" t="s">
        <v>9</v>
      </c>
      <c r="G201" s="8" t="s">
        <v>510</v>
      </c>
      <c r="I201" s="8" t="s">
        <v>600</v>
      </c>
    </row>
    <row r="202" spans="1:9" x14ac:dyDescent="0.25">
      <c r="A202" s="8" t="s">
        <v>72</v>
      </c>
      <c r="B202" s="8">
        <v>3.0500000000000003E-14</v>
      </c>
      <c r="C202" s="8" t="s">
        <v>9</v>
      </c>
      <c r="G202" s="8" t="s">
        <v>510</v>
      </c>
      <c r="I202" s="8" t="s">
        <v>600</v>
      </c>
    </row>
    <row r="203" spans="1:9" x14ac:dyDescent="0.25">
      <c r="A203" s="8" t="s">
        <v>46</v>
      </c>
      <c r="B203" s="8">
        <v>2.4999999999999999E-8</v>
      </c>
      <c r="C203" s="8" t="s">
        <v>9</v>
      </c>
      <c r="G203" s="8" t="s">
        <v>510</v>
      </c>
      <c r="I203" s="8" t="s">
        <v>600</v>
      </c>
    </row>
    <row r="204" spans="1:9" x14ac:dyDescent="0.25">
      <c r="A204" s="8" t="s">
        <v>67</v>
      </c>
      <c r="B204" s="8">
        <v>6.0500000000000003E-7</v>
      </c>
      <c r="C204" s="8" t="s">
        <v>9</v>
      </c>
      <c r="G204" s="8" t="s">
        <v>510</v>
      </c>
      <c r="I204" s="8" t="s">
        <v>600</v>
      </c>
    </row>
    <row r="205" spans="1:9" x14ac:dyDescent="0.25">
      <c r="A205" s="8" t="s">
        <v>25</v>
      </c>
      <c r="B205" s="8">
        <v>1.85E-7</v>
      </c>
      <c r="C205" s="8" t="s">
        <v>9</v>
      </c>
      <c r="G205" s="8" t="s">
        <v>510</v>
      </c>
      <c r="I205" s="8" t="s">
        <v>600</v>
      </c>
    </row>
    <row r="206" spans="1:9" x14ac:dyDescent="0.25">
      <c r="A206" s="8" t="s">
        <v>62</v>
      </c>
      <c r="B206" s="8">
        <v>1.2E-10</v>
      </c>
      <c r="C206" s="8" t="s">
        <v>9</v>
      </c>
      <c r="G206" s="8" t="s">
        <v>510</v>
      </c>
      <c r="I206" s="8" t="s">
        <v>600</v>
      </c>
    </row>
    <row r="207" spans="1:9" x14ac:dyDescent="0.25">
      <c r="A207" s="8" t="s">
        <v>44</v>
      </c>
      <c r="B207" s="8">
        <v>6.1184085870649597E-3</v>
      </c>
      <c r="C207" s="8" t="s">
        <v>41</v>
      </c>
      <c r="G207" s="8" t="s">
        <v>510</v>
      </c>
      <c r="I207" s="8" t="s">
        <v>600</v>
      </c>
    </row>
    <row r="208" spans="1:9" x14ac:dyDescent="0.25">
      <c r="A208" s="8" t="s">
        <v>63</v>
      </c>
      <c r="B208" s="8">
        <v>7.5600000000000001E-2</v>
      </c>
      <c r="C208" s="8" t="s">
        <v>9</v>
      </c>
      <c r="G208" s="8" t="s">
        <v>510</v>
      </c>
      <c r="I208" s="8" t="s">
        <v>600</v>
      </c>
    </row>
    <row r="209" spans="1:9" x14ac:dyDescent="0.25">
      <c r="A209" s="1" t="s">
        <v>20</v>
      </c>
    </row>
    <row r="210" spans="1:9" x14ac:dyDescent="0.25">
      <c r="A210" s="8" t="s">
        <v>322</v>
      </c>
      <c r="B210" s="8">
        <v>6.81797651491958E-3</v>
      </c>
      <c r="C210" s="8" t="s">
        <v>41</v>
      </c>
      <c r="G210" s="8" t="s">
        <v>510</v>
      </c>
      <c r="I210" s="8" t="s">
        <v>600</v>
      </c>
    </row>
    <row r="211" spans="1:9" x14ac:dyDescent="0.25">
      <c r="A211" s="1" t="s">
        <v>94</v>
      </c>
    </row>
    <row r="212" spans="1:9" x14ac:dyDescent="0.25">
      <c r="A212" s="8" t="s">
        <v>201</v>
      </c>
      <c r="B212" s="8">
        <v>2.8999999999999998E-3</v>
      </c>
      <c r="C212" s="8" t="s">
        <v>9</v>
      </c>
      <c r="G212" s="8" t="s">
        <v>510</v>
      </c>
      <c r="I212" s="8" t="s">
        <v>600</v>
      </c>
    </row>
    <row r="213" spans="1:9" x14ac:dyDescent="0.25">
      <c r="A213" s="8" t="s">
        <v>324</v>
      </c>
      <c r="B213" s="8">
        <v>3.2077000000000001E-2</v>
      </c>
      <c r="C213" s="8" t="s">
        <v>9</v>
      </c>
      <c r="G213" s="8" t="s">
        <v>510</v>
      </c>
      <c r="I213" s="8" t="s">
        <v>600</v>
      </c>
    </row>
    <row r="214" spans="1:9" x14ac:dyDescent="0.25">
      <c r="A214" s="8" t="s">
        <v>323</v>
      </c>
      <c r="B214" s="8">
        <v>1.0625000000000001E-3</v>
      </c>
      <c r="C214" s="8" t="s">
        <v>9</v>
      </c>
      <c r="G214" s="8" t="s">
        <v>510</v>
      </c>
      <c r="I214" s="8" t="s">
        <v>600</v>
      </c>
    </row>
  </sheetData>
  <pageMargins left="0.7" right="0.7" top="0.75" bottom="0.75" header="0.3" footer="0.3"/>
  <pageSetup paperSize="9"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tabColor theme="9" tint="0.59999389629810485"/>
  </sheetPr>
  <dimension ref="A3:J30"/>
  <sheetViews>
    <sheetView workbookViewId="0">
      <selection activeCell="C35" sqref="C35"/>
    </sheetView>
  </sheetViews>
  <sheetFormatPr defaultColWidth="9.140625" defaultRowHeight="15" x14ac:dyDescent="0.25"/>
  <cols>
    <col min="1" max="1" width="64" style="8" customWidth="1"/>
    <col min="2" max="2" width="21.85546875" style="8" customWidth="1"/>
    <col min="3" max="16384" width="9.140625" style="8"/>
  </cols>
  <sheetData>
    <row r="3" spans="1:10" x14ac:dyDescent="0.25">
      <c r="A3" s="2" t="s">
        <v>366</v>
      </c>
      <c r="B3" s="2"/>
      <c r="C3" s="2"/>
      <c r="D3" s="2"/>
      <c r="E3" s="2"/>
      <c r="F3" s="1"/>
      <c r="G3" s="1"/>
      <c r="H3" s="1"/>
      <c r="I3" s="1"/>
      <c r="J3" s="1"/>
    </row>
    <row r="4" spans="1:10" x14ac:dyDescent="0.25">
      <c r="A4" s="1" t="s">
        <v>10</v>
      </c>
      <c r="B4" s="1" t="s">
        <v>2</v>
      </c>
      <c r="C4" s="1" t="s">
        <v>0</v>
      </c>
      <c r="D4" s="1"/>
      <c r="E4" s="1" t="s">
        <v>3</v>
      </c>
      <c r="F4" s="1" t="s">
        <v>4</v>
      </c>
      <c r="G4" s="1" t="s">
        <v>5</v>
      </c>
      <c r="H4" s="1" t="s">
        <v>6</v>
      </c>
      <c r="I4" s="1" t="s">
        <v>7</v>
      </c>
      <c r="J4" s="1" t="s">
        <v>8</v>
      </c>
    </row>
    <row r="5" spans="1:10" x14ac:dyDescent="0.25">
      <c r="A5" s="8" t="s">
        <v>366</v>
      </c>
      <c r="B5" s="8">
        <v>1</v>
      </c>
      <c r="C5" s="8" t="s">
        <v>9</v>
      </c>
    </row>
    <row r="6" spans="1:10" x14ac:dyDescent="0.25">
      <c r="A6" s="1" t="s">
        <v>1</v>
      </c>
      <c r="B6" s="1" t="s">
        <v>2</v>
      </c>
      <c r="C6" s="1" t="s">
        <v>0</v>
      </c>
      <c r="D6" s="1"/>
      <c r="E6" s="1" t="s">
        <v>3</v>
      </c>
      <c r="F6" s="1" t="s">
        <v>4</v>
      </c>
      <c r="G6" s="1" t="s">
        <v>5</v>
      </c>
      <c r="H6" s="1" t="s">
        <v>6</v>
      </c>
      <c r="I6" s="1" t="s">
        <v>7</v>
      </c>
      <c r="J6" s="1" t="s">
        <v>8</v>
      </c>
    </row>
    <row r="7" spans="1:10" x14ac:dyDescent="0.25">
      <c r="A7" s="3" t="str">
        <f>A11</f>
        <v>Steel, Crucible | Alloc Rec, U_mr</v>
      </c>
      <c r="B7" s="9">
        <v>1</v>
      </c>
      <c r="C7" s="8" t="s">
        <v>9</v>
      </c>
    </row>
    <row r="9" spans="1:10" x14ac:dyDescent="0.25">
      <c r="A9" s="2" t="s">
        <v>367</v>
      </c>
      <c r="B9" s="2"/>
      <c r="C9" s="2"/>
      <c r="D9" s="2"/>
      <c r="E9" s="2"/>
      <c r="F9" s="1"/>
      <c r="G9" s="1"/>
      <c r="H9" s="1"/>
      <c r="I9" s="1"/>
      <c r="J9" s="1"/>
    </row>
    <row r="10" spans="1:10" x14ac:dyDescent="0.25">
      <c r="A10" s="1" t="s">
        <v>10</v>
      </c>
      <c r="B10" s="1" t="s">
        <v>2</v>
      </c>
      <c r="C10" s="1" t="s">
        <v>0</v>
      </c>
      <c r="D10" s="1"/>
      <c r="E10" s="1" t="s">
        <v>3</v>
      </c>
      <c r="F10" s="1" t="s">
        <v>4</v>
      </c>
      <c r="G10" s="1" t="s">
        <v>5</v>
      </c>
      <c r="H10" s="1" t="s">
        <v>6</v>
      </c>
      <c r="I10" s="1" t="s">
        <v>7</v>
      </c>
      <c r="J10" s="1" t="s">
        <v>8</v>
      </c>
    </row>
    <row r="11" spans="1:10" x14ac:dyDescent="0.25">
      <c r="A11" s="8" t="s">
        <v>367</v>
      </c>
      <c r="B11" s="50">
        <f>1.105*EAF_eff/RE_Crucible</f>
        <v>1.2663790899189862</v>
      </c>
      <c r="C11" s="8" t="s">
        <v>9</v>
      </c>
    </row>
    <row r="12" spans="1:10" x14ac:dyDescent="0.25">
      <c r="A12" s="1" t="s">
        <v>1</v>
      </c>
      <c r="B12" s="1" t="s">
        <v>2</v>
      </c>
      <c r="C12" s="1" t="s">
        <v>0</v>
      </c>
      <c r="D12" s="1"/>
      <c r="E12" s="1" t="s">
        <v>3</v>
      </c>
      <c r="F12" s="1" t="s">
        <v>4</v>
      </c>
      <c r="G12" s="1" t="s">
        <v>5</v>
      </c>
      <c r="H12" s="1" t="s">
        <v>6</v>
      </c>
      <c r="I12" s="1" t="s">
        <v>7</v>
      </c>
      <c r="J12" s="1" t="s">
        <v>8</v>
      </c>
    </row>
    <row r="13" spans="1:10" x14ac:dyDescent="0.25">
      <c r="A13" s="8" t="s">
        <v>321</v>
      </c>
      <c r="B13" s="53">
        <f>IF(subprocess_MFA=1,0,1.25)</f>
        <v>0</v>
      </c>
      <c r="C13" s="8" t="s">
        <v>9</v>
      </c>
      <c r="J13" s="8" t="s">
        <v>487</v>
      </c>
    </row>
    <row r="14" spans="1:10" x14ac:dyDescent="0.25">
      <c r="A14" s="3" t="str">
        <f>'Other processes'!A5</f>
        <v>Coke {GLO}| market for | Alloc Rec, U_mr_Scope 2</v>
      </c>
      <c r="B14" s="70">
        <f>(7*heating_value_coke)/RE_Crucible</f>
        <v>269.99962024526735</v>
      </c>
      <c r="C14" s="8" t="s">
        <v>14</v>
      </c>
      <c r="I14" s="8" t="s">
        <v>563</v>
      </c>
    </row>
    <row r="15" spans="1:10" x14ac:dyDescent="0.25">
      <c r="A15" s="8" t="s">
        <v>219</v>
      </c>
      <c r="B15" s="8">
        <v>1.3333000000000001E-11</v>
      </c>
      <c r="C15" s="8" t="s">
        <v>61</v>
      </c>
      <c r="D15" s="1"/>
      <c r="E15" s="1"/>
      <c r="F15" s="1"/>
      <c r="G15" s="1"/>
      <c r="H15" s="1"/>
      <c r="I15" s="8" t="s">
        <v>598</v>
      </c>
    </row>
    <row r="16" spans="1:10" x14ac:dyDescent="0.25">
      <c r="A16" s="1" t="s">
        <v>16</v>
      </c>
    </row>
    <row r="17" spans="1:10" x14ac:dyDescent="0.25">
      <c r="A17" s="8" t="s">
        <v>63</v>
      </c>
      <c r="B17" s="8">
        <v>7.5600000000000001E-2</v>
      </c>
      <c r="C17" s="8" t="s">
        <v>9</v>
      </c>
      <c r="I17" s="8" t="s">
        <v>597</v>
      </c>
      <c r="J17" s="8" t="s">
        <v>459</v>
      </c>
    </row>
    <row r="18" spans="1:10" x14ac:dyDescent="0.25">
      <c r="A18" s="8" t="s">
        <v>71</v>
      </c>
      <c r="B18" s="9">
        <v>4.7500000000000003E-5</v>
      </c>
      <c r="C18" s="8" t="s">
        <v>9</v>
      </c>
      <c r="I18" s="8" t="s">
        <v>597</v>
      </c>
      <c r="J18" s="8" t="s">
        <v>459</v>
      </c>
    </row>
    <row r="19" spans="1:10" x14ac:dyDescent="0.25">
      <c r="A19" s="8" t="s">
        <v>62</v>
      </c>
      <c r="B19" s="9">
        <v>1.2E-10</v>
      </c>
      <c r="C19" s="8" t="s">
        <v>9</v>
      </c>
      <c r="I19" s="8" t="s">
        <v>597</v>
      </c>
      <c r="J19" s="8" t="s">
        <v>459</v>
      </c>
    </row>
    <row r="20" spans="1:10" x14ac:dyDescent="0.25">
      <c r="A20" s="8" t="s">
        <v>72</v>
      </c>
      <c r="B20" s="9">
        <v>3.0500000000000003E-14</v>
      </c>
      <c r="C20" s="8" t="s">
        <v>9</v>
      </c>
      <c r="I20" s="8" t="s">
        <v>597</v>
      </c>
      <c r="J20" s="8" t="s">
        <v>459</v>
      </c>
    </row>
    <row r="21" spans="1:10" x14ac:dyDescent="0.25">
      <c r="A21" s="8" t="s">
        <v>18</v>
      </c>
      <c r="B21" s="8">
        <v>4.7299999999999998E-3</v>
      </c>
      <c r="C21" s="8" t="s">
        <v>9</v>
      </c>
      <c r="I21" s="8" t="s">
        <v>597</v>
      </c>
      <c r="J21" s="8" t="s">
        <v>459</v>
      </c>
    </row>
    <row r="22" spans="1:10" x14ac:dyDescent="0.25">
      <c r="A22" s="8" t="s">
        <v>15</v>
      </c>
      <c r="B22" s="9">
        <v>1.2500000000000001E-5</v>
      </c>
      <c r="C22" s="8" t="s">
        <v>9</v>
      </c>
      <c r="I22" s="8" t="s">
        <v>597</v>
      </c>
      <c r="J22" s="8" t="s">
        <v>459</v>
      </c>
    </row>
    <row r="23" spans="1:10" x14ac:dyDescent="0.25">
      <c r="A23" s="8" t="s">
        <v>25</v>
      </c>
      <c r="B23" s="9">
        <v>1.85E-7</v>
      </c>
      <c r="C23" s="8" t="s">
        <v>9</v>
      </c>
      <c r="I23" s="8" t="s">
        <v>597</v>
      </c>
      <c r="J23" s="8" t="s">
        <v>459</v>
      </c>
    </row>
    <row r="24" spans="1:10" x14ac:dyDescent="0.25">
      <c r="A24" s="8" t="s">
        <v>44</v>
      </c>
      <c r="B24" s="8">
        <v>6.1184085870649701E-3</v>
      </c>
      <c r="C24" s="8" t="s">
        <v>41</v>
      </c>
      <c r="I24" s="8" t="s">
        <v>597</v>
      </c>
      <c r="J24" s="8" t="s">
        <v>459</v>
      </c>
    </row>
    <row r="25" spans="1:10" x14ac:dyDescent="0.25">
      <c r="A25" s="8" t="s">
        <v>46</v>
      </c>
      <c r="B25" s="9">
        <v>2.4999999999999999E-8</v>
      </c>
      <c r="C25" s="8" t="s">
        <v>9</v>
      </c>
      <c r="I25" s="8" t="s">
        <v>597</v>
      </c>
      <c r="J25" s="8" t="s">
        <v>459</v>
      </c>
    </row>
    <row r="26" spans="1:10" x14ac:dyDescent="0.25">
      <c r="A26" s="8" t="s">
        <v>67</v>
      </c>
      <c r="B26" s="9">
        <v>6.0500000000000003E-7</v>
      </c>
      <c r="C26" s="8" t="s">
        <v>9</v>
      </c>
      <c r="I26" s="8" t="s">
        <v>597</v>
      </c>
      <c r="J26" s="8" t="s">
        <v>459</v>
      </c>
    </row>
    <row r="27" spans="1:10" x14ac:dyDescent="0.25">
      <c r="A27" s="8" t="s">
        <v>49</v>
      </c>
      <c r="B27" s="9">
        <v>5.1500000000000005E-7</v>
      </c>
      <c r="C27" s="8" t="s">
        <v>9</v>
      </c>
      <c r="I27" s="8" t="s">
        <v>597</v>
      </c>
      <c r="J27" s="8" t="s">
        <v>459</v>
      </c>
    </row>
    <row r="28" spans="1:10" x14ac:dyDescent="0.25">
      <c r="A28" s="1" t="s">
        <v>94</v>
      </c>
    </row>
    <row r="29" spans="1:10" x14ac:dyDescent="0.25">
      <c r="A29" s="8" t="s">
        <v>200</v>
      </c>
      <c r="B29" s="8">
        <f>0.11/0.648</f>
        <v>0.16975308641975309</v>
      </c>
      <c r="C29" s="8" t="s">
        <v>9</v>
      </c>
      <c r="I29" s="8" t="s">
        <v>597</v>
      </c>
      <c r="J29" s="8" t="s">
        <v>459</v>
      </c>
    </row>
    <row r="30" spans="1:10" x14ac:dyDescent="0.25">
      <c r="A30" s="8" t="s">
        <v>217</v>
      </c>
      <c r="B30" s="8">
        <f>0.051/0.648</f>
        <v>7.8703703703703692E-2</v>
      </c>
      <c r="C30" s="8" t="s">
        <v>9</v>
      </c>
      <c r="I30" s="8" t="s">
        <v>597</v>
      </c>
      <c r="J30" s="8" t="s">
        <v>459</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tabColor theme="9" tint="0.59999389629810485"/>
  </sheetPr>
  <dimension ref="A3:J76"/>
  <sheetViews>
    <sheetView workbookViewId="0">
      <selection activeCell="C35" sqref="C35"/>
    </sheetView>
  </sheetViews>
  <sheetFormatPr defaultColWidth="9.140625" defaultRowHeight="15" x14ac:dyDescent="0.25"/>
  <cols>
    <col min="1" max="1" width="64" style="8" customWidth="1"/>
    <col min="2" max="2" width="21.85546875" style="8" customWidth="1"/>
    <col min="3" max="16384" width="9.140625" style="8"/>
  </cols>
  <sheetData>
    <row r="3" spans="1:10" x14ac:dyDescent="0.25">
      <c r="A3" s="2" t="s">
        <v>368</v>
      </c>
      <c r="B3" s="2"/>
      <c r="C3" s="2"/>
      <c r="D3" s="2"/>
      <c r="E3" s="2"/>
      <c r="F3" s="1"/>
      <c r="G3" s="1"/>
      <c r="H3" s="1"/>
      <c r="I3" s="1"/>
      <c r="J3" s="1"/>
    </row>
    <row r="4" spans="1:10" x14ac:dyDescent="0.25">
      <c r="A4" s="1" t="s">
        <v>10</v>
      </c>
      <c r="B4" s="1" t="s">
        <v>2</v>
      </c>
      <c r="C4" s="1" t="s">
        <v>0</v>
      </c>
      <c r="D4" s="1"/>
      <c r="E4" s="1" t="s">
        <v>3</v>
      </c>
      <c r="F4" s="1" t="s">
        <v>4</v>
      </c>
      <c r="G4" s="1" t="s">
        <v>5</v>
      </c>
      <c r="H4" s="1" t="s">
        <v>6</v>
      </c>
      <c r="I4" s="1" t="s">
        <v>7</v>
      </c>
      <c r="J4" s="1" t="s">
        <v>8</v>
      </c>
    </row>
    <row r="5" spans="1:10" x14ac:dyDescent="0.25">
      <c r="A5" s="8" t="s">
        <v>368</v>
      </c>
      <c r="B5" s="8">
        <v>1</v>
      </c>
      <c r="C5" s="8" t="s">
        <v>9</v>
      </c>
    </row>
    <row r="6" spans="1:10" x14ac:dyDescent="0.25">
      <c r="A6" s="1" t="s">
        <v>1</v>
      </c>
      <c r="B6" s="1" t="s">
        <v>2</v>
      </c>
      <c r="C6" s="1" t="s">
        <v>0</v>
      </c>
      <c r="D6" s="1"/>
      <c r="E6" s="1" t="s">
        <v>3</v>
      </c>
      <c r="F6" s="1" t="s">
        <v>4</v>
      </c>
      <c r="G6" s="1" t="s">
        <v>5</v>
      </c>
      <c r="H6" s="1" t="s">
        <v>6</v>
      </c>
      <c r="I6" s="1" t="s">
        <v>7</v>
      </c>
      <c r="J6" s="1" t="s">
        <v>8</v>
      </c>
    </row>
    <row r="7" spans="1:10" x14ac:dyDescent="0.25">
      <c r="A7" s="3" t="str">
        <f>A13</f>
        <v>Steel, low-alloyed {RER}| steel production, electric, low-alloyed | Alloc Rec, U_virgin steel_mr</v>
      </c>
      <c r="B7" s="13">
        <v>1</v>
      </c>
      <c r="C7" s="8" t="s">
        <v>9</v>
      </c>
    </row>
    <row r="8" spans="1:10" x14ac:dyDescent="0.25">
      <c r="A8" s="3" t="str">
        <f>'Ingot casting'!A5</f>
        <v>Ingot casting</v>
      </c>
      <c r="B8" s="4">
        <f>-1-B9</f>
        <v>-3.8000000000000034E-2</v>
      </c>
      <c r="C8" s="8" t="s">
        <v>9</v>
      </c>
      <c r="J8" s="4" t="s">
        <v>452</v>
      </c>
    </row>
    <row r="9" spans="1:10" x14ac:dyDescent="0.25">
      <c r="A9" s="3" t="str">
        <f>'Continuous casting'!A5</f>
        <v>Continuous casting</v>
      </c>
      <c r="B9" s="4">
        <v>-0.96199999999999997</v>
      </c>
      <c r="C9" s="8" t="s">
        <v>9</v>
      </c>
      <c r="J9" s="4" t="s">
        <v>452</v>
      </c>
    </row>
    <row r="10" spans="1:10" x14ac:dyDescent="0.25">
      <c r="B10" s="9"/>
    </row>
    <row r="11" spans="1:10" x14ac:dyDescent="0.25">
      <c r="A11" s="2" t="s">
        <v>369</v>
      </c>
      <c r="B11" s="2"/>
      <c r="C11" s="2"/>
      <c r="D11" s="2"/>
      <c r="E11" s="2"/>
      <c r="F11" s="1"/>
      <c r="G11" s="1"/>
      <c r="H11" s="1"/>
      <c r="I11" s="1"/>
      <c r="J11" s="1"/>
    </row>
    <row r="12" spans="1:10" x14ac:dyDescent="0.25">
      <c r="A12" s="1" t="s">
        <v>10</v>
      </c>
      <c r="B12" s="1" t="s">
        <v>2</v>
      </c>
      <c r="C12" s="1" t="s">
        <v>0</v>
      </c>
      <c r="D12" s="1"/>
      <c r="E12" s="1" t="s">
        <v>3</v>
      </c>
      <c r="F12" s="1" t="s">
        <v>4</v>
      </c>
      <c r="G12" s="1" t="s">
        <v>5</v>
      </c>
      <c r="H12" s="1" t="s">
        <v>6</v>
      </c>
      <c r="I12" s="1" t="s">
        <v>7</v>
      </c>
      <c r="J12" s="1" t="s">
        <v>8</v>
      </c>
    </row>
    <row r="13" spans="1:10" x14ac:dyDescent="0.25">
      <c r="A13" s="8" t="s">
        <v>369</v>
      </c>
      <c r="B13" s="50">
        <f>1.105*EAF_eff/RE_EAF</f>
        <v>1.0166000004107063</v>
      </c>
      <c r="C13" s="8" t="s">
        <v>9</v>
      </c>
    </row>
    <row r="14" spans="1:10" x14ac:dyDescent="0.25">
      <c r="A14" s="1" t="s">
        <v>1</v>
      </c>
      <c r="B14" s="1" t="s">
        <v>2</v>
      </c>
      <c r="C14" s="1" t="s">
        <v>0</v>
      </c>
      <c r="D14" s="1"/>
      <c r="E14" s="1" t="s">
        <v>3</v>
      </c>
      <c r="F14" s="1" t="s">
        <v>4</v>
      </c>
      <c r="G14" s="1" t="s">
        <v>5</v>
      </c>
      <c r="H14" s="1" t="s">
        <v>6</v>
      </c>
      <c r="I14" s="1" t="s">
        <v>7</v>
      </c>
      <c r="J14" s="1" t="s">
        <v>8</v>
      </c>
    </row>
    <row r="15" spans="1:10" x14ac:dyDescent="0.25">
      <c r="A15" s="8" t="s">
        <v>320</v>
      </c>
      <c r="B15" s="8">
        <v>5.2163726571113596E-3</v>
      </c>
      <c r="C15" s="8" t="s">
        <v>41</v>
      </c>
      <c r="I15" s="8" t="s">
        <v>597</v>
      </c>
    </row>
    <row r="16" spans="1:10" x14ac:dyDescent="0.25">
      <c r="A16" s="8" t="s">
        <v>370</v>
      </c>
      <c r="B16" s="8">
        <v>1.35E-2</v>
      </c>
      <c r="C16" s="8" t="s">
        <v>9</v>
      </c>
      <c r="I16" s="8" t="s">
        <v>597</v>
      </c>
    </row>
    <row r="17" spans="1:10" x14ac:dyDescent="0.25">
      <c r="A17" s="3" t="str">
        <f>'Other processes'!A309</f>
        <v>Oxygen, liquid {RER}| market for | Alloc Rec, U_mr</v>
      </c>
      <c r="B17" s="8">
        <v>5.0729999999999997E-2</v>
      </c>
      <c r="C17" s="8" t="s">
        <v>9</v>
      </c>
      <c r="I17" s="8" t="s">
        <v>597</v>
      </c>
    </row>
    <row r="18" spans="1:10" x14ac:dyDescent="0.25">
      <c r="A18" s="8" t="s">
        <v>371</v>
      </c>
      <c r="B18" s="8">
        <v>3.9999999999999998E-11</v>
      </c>
      <c r="C18" s="8" t="s">
        <v>12</v>
      </c>
      <c r="I18" s="8" t="s">
        <v>597</v>
      </c>
    </row>
    <row r="19" spans="1:10" x14ac:dyDescent="0.25">
      <c r="A19" s="8" t="s">
        <v>372</v>
      </c>
      <c r="B19" s="50">
        <f>EAF_anode/1000</f>
        <v>1.2999999999999999E-3</v>
      </c>
      <c r="C19" s="8" t="s">
        <v>9</v>
      </c>
      <c r="I19" s="8" t="s">
        <v>597</v>
      </c>
    </row>
    <row r="20" spans="1:10" x14ac:dyDescent="0.25">
      <c r="A20" s="3" t="str">
        <f>'Other processes'!A184</f>
        <v>Quicklime, in pieces, loose {RoW}| production | Alloc Rec, U_mr</v>
      </c>
      <c r="B20" s="8">
        <v>5.5E-2</v>
      </c>
      <c r="C20" s="8" t="s">
        <v>9</v>
      </c>
      <c r="I20" s="8" t="s">
        <v>597</v>
      </c>
    </row>
    <row r="21" spans="1:10" x14ac:dyDescent="0.25">
      <c r="A21" s="3" t="str">
        <f>'Direct Reduction'!A12</f>
        <v>Direct reduced iron (DRI)| | market for | Alloc Rec, U_mr</v>
      </c>
      <c r="B21" s="50">
        <f>IF(subprocess_MFA=1,0,1.105)</f>
        <v>0</v>
      </c>
      <c r="C21" s="8" t="s">
        <v>9</v>
      </c>
      <c r="I21" s="8" t="s">
        <v>597</v>
      </c>
      <c r="J21" s="8" t="s">
        <v>471</v>
      </c>
    </row>
    <row r="22" spans="1:10" x14ac:dyDescent="0.25">
      <c r="A22" s="8" t="s">
        <v>152</v>
      </c>
      <c r="B22" s="8">
        <v>1.1804079287561E-2</v>
      </c>
      <c r="C22" s="8" t="s">
        <v>9</v>
      </c>
      <c r="I22" s="8" t="s">
        <v>597</v>
      </c>
    </row>
    <row r="23" spans="1:10" x14ac:dyDescent="0.25">
      <c r="A23" s="8" t="s">
        <v>106</v>
      </c>
      <c r="B23" s="8">
        <v>2.1959207124389499E-3</v>
      </c>
      <c r="C23" s="8" t="s">
        <v>9</v>
      </c>
      <c r="I23" s="8" t="s">
        <v>597</v>
      </c>
    </row>
    <row r="24" spans="1:10" x14ac:dyDescent="0.25">
      <c r="A24" s="3" t="s">
        <v>492</v>
      </c>
      <c r="B24" s="50">
        <f>EAF_naturalgas/RE_EAF</f>
        <v>0.51846600020946021</v>
      </c>
      <c r="C24" s="8" t="s">
        <v>14</v>
      </c>
      <c r="I24" s="8" t="s">
        <v>597</v>
      </c>
    </row>
    <row r="25" spans="1:10" x14ac:dyDescent="0.25">
      <c r="A25" s="3" t="str">
        <f>'Electricity generation'!A32</f>
        <v>Electricity, global mix, medium voltage_mr_Scope 2</v>
      </c>
      <c r="B25" s="50">
        <f>EAF_electricity/RE_EAF</f>
        <v>1.6773900006776654</v>
      </c>
      <c r="C25" s="8" t="s">
        <v>14</v>
      </c>
    </row>
    <row r="26" spans="1:10" x14ac:dyDescent="0.25">
      <c r="A26" s="1" t="s">
        <v>16</v>
      </c>
    </row>
    <row r="27" spans="1:10" x14ac:dyDescent="0.25">
      <c r="A27" s="8" t="s">
        <v>313</v>
      </c>
      <c r="B27" s="8">
        <v>7.7008000000000005E-5</v>
      </c>
      <c r="C27" s="8" t="s">
        <v>9</v>
      </c>
      <c r="I27" s="8" t="s">
        <v>597</v>
      </c>
    </row>
    <row r="28" spans="1:10" x14ac:dyDescent="0.25">
      <c r="A28" s="8" t="s">
        <v>19</v>
      </c>
      <c r="B28" s="8">
        <v>7.7000000000000001E-5</v>
      </c>
      <c r="C28" s="8" t="s">
        <v>9</v>
      </c>
      <c r="I28" s="8" t="s">
        <v>597</v>
      </c>
    </row>
    <row r="29" spans="1:10" x14ac:dyDescent="0.25">
      <c r="A29" s="8" t="s">
        <v>72</v>
      </c>
      <c r="B29" s="8">
        <v>4.5350000000000004E-12</v>
      </c>
      <c r="C29" s="8" t="s">
        <v>9</v>
      </c>
      <c r="I29" s="8" t="s">
        <v>597</v>
      </c>
    </row>
    <row r="30" spans="1:10" x14ac:dyDescent="0.25">
      <c r="A30" s="8" t="s">
        <v>64</v>
      </c>
      <c r="B30" s="8">
        <v>2.325E-8</v>
      </c>
      <c r="C30" s="8" t="s">
        <v>9</v>
      </c>
      <c r="I30" s="8" t="s">
        <v>597</v>
      </c>
    </row>
    <row r="31" spans="1:10" x14ac:dyDescent="0.25">
      <c r="A31" s="8" t="s">
        <v>51</v>
      </c>
      <c r="B31" s="8">
        <v>2.238E-6</v>
      </c>
      <c r="C31" s="8" t="s">
        <v>9</v>
      </c>
      <c r="I31" s="8" t="s">
        <v>597</v>
      </c>
    </row>
    <row r="32" spans="1:10" x14ac:dyDescent="0.25">
      <c r="A32" s="8" t="s">
        <v>17</v>
      </c>
      <c r="B32" s="8">
        <v>5.8575000000000001E-5</v>
      </c>
      <c r="C32" s="8" t="s">
        <v>9</v>
      </c>
      <c r="I32" s="8" t="s">
        <v>597</v>
      </c>
    </row>
    <row r="33" spans="1:9" x14ac:dyDescent="0.25">
      <c r="A33" s="8" t="s">
        <v>45</v>
      </c>
      <c r="B33" s="8">
        <v>7.0050000000000001E-7</v>
      </c>
      <c r="C33" s="8" t="s">
        <v>9</v>
      </c>
      <c r="I33" s="8" t="s">
        <v>597</v>
      </c>
    </row>
    <row r="34" spans="1:9" x14ac:dyDescent="0.25">
      <c r="A34" s="8" t="s">
        <v>89</v>
      </c>
      <c r="B34" s="8">
        <v>1.6595999999999999E-4</v>
      </c>
      <c r="C34" s="8" t="s">
        <v>9</v>
      </c>
      <c r="I34" s="8" t="s">
        <v>597</v>
      </c>
    </row>
    <row r="35" spans="1:9" x14ac:dyDescent="0.25">
      <c r="A35" s="8" t="s">
        <v>46</v>
      </c>
      <c r="B35" s="8">
        <v>2.3050000000000001E-7</v>
      </c>
      <c r="C35" s="8" t="s">
        <v>9</v>
      </c>
      <c r="I35" s="8" t="s">
        <v>597</v>
      </c>
    </row>
    <row r="36" spans="1:9" x14ac:dyDescent="0.25">
      <c r="A36" s="8" t="s">
        <v>49</v>
      </c>
      <c r="B36" s="8">
        <v>1.8080000000000001E-6</v>
      </c>
      <c r="C36" s="8" t="s">
        <v>9</v>
      </c>
      <c r="I36" s="8" t="s">
        <v>597</v>
      </c>
    </row>
    <row r="37" spans="1:9" x14ac:dyDescent="0.25">
      <c r="A37" s="8" t="s">
        <v>71</v>
      </c>
      <c r="B37" s="8">
        <v>1.6595999999999999E-4</v>
      </c>
      <c r="C37" s="8" t="s">
        <v>9</v>
      </c>
      <c r="I37" s="8" t="s">
        <v>597</v>
      </c>
    </row>
    <row r="38" spans="1:9" x14ac:dyDescent="0.25">
      <c r="A38" s="8" t="s">
        <v>65</v>
      </c>
      <c r="B38" s="8">
        <v>2.3499999999999999E-6</v>
      </c>
      <c r="C38" s="8" t="s">
        <v>9</v>
      </c>
      <c r="I38" s="8" t="s">
        <v>597</v>
      </c>
    </row>
    <row r="39" spans="1:9" x14ac:dyDescent="0.25">
      <c r="A39" s="8" t="s">
        <v>44</v>
      </c>
      <c r="B39" s="8">
        <v>2.9211686879823599E-3</v>
      </c>
      <c r="C39" s="8" t="s">
        <v>41</v>
      </c>
      <c r="I39" s="8" t="s">
        <v>597</v>
      </c>
    </row>
    <row r="40" spans="1:9" x14ac:dyDescent="0.25">
      <c r="A40" s="8" t="s">
        <v>25</v>
      </c>
      <c r="B40" s="8">
        <v>1.254E-6</v>
      </c>
      <c r="C40" s="8" t="s">
        <v>9</v>
      </c>
      <c r="I40" s="8" t="s">
        <v>597</v>
      </c>
    </row>
    <row r="41" spans="1:9" x14ac:dyDescent="0.25">
      <c r="A41" s="8" t="s">
        <v>52</v>
      </c>
      <c r="B41" s="8">
        <v>3.6500000000000003E-8</v>
      </c>
      <c r="C41" s="8" t="s">
        <v>9</v>
      </c>
      <c r="I41" s="8" t="s">
        <v>597</v>
      </c>
    </row>
    <row r="42" spans="1:9" x14ac:dyDescent="0.25">
      <c r="A42" s="8" t="s">
        <v>15</v>
      </c>
      <c r="B42" s="8">
        <v>1.8000000000000001E-4</v>
      </c>
      <c r="C42" s="8" t="s">
        <v>9</v>
      </c>
      <c r="I42" s="8" t="s">
        <v>597</v>
      </c>
    </row>
    <row r="43" spans="1:9" x14ac:dyDescent="0.25">
      <c r="A43" s="8" t="s">
        <v>62</v>
      </c>
      <c r="B43" s="8">
        <v>3.7249999999999999E-8</v>
      </c>
      <c r="C43" s="8" t="s">
        <v>9</v>
      </c>
      <c r="I43" s="8" t="s">
        <v>597</v>
      </c>
    </row>
    <row r="44" spans="1:9" x14ac:dyDescent="0.25">
      <c r="A44" s="8" t="s">
        <v>120</v>
      </c>
      <c r="B44" s="8">
        <v>2.2850000000000001E-6</v>
      </c>
      <c r="C44" s="8" t="s">
        <v>9</v>
      </c>
      <c r="I44" s="8" t="s">
        <v>597</v>
      </c>
    </row>
    <row r="45" spans="1:9" x14ac:dyDescent="0.25">
      <c r="A45" s="8" t="s">
        <v>69</v>
      </c>
      <c r="B45" s="8">
        <v>5.2000000000000002E-6</v>
      </c>
      <c r="C45" s="8" t="s">
        <v>9</v>
      </c>
      <c r="I45" s="8" t="s">
        <v>597</v>
      </c>
    </row>
    <row r="46" spans="1:9" x14ac:dyDescent="0.25">
      <c r="A46" s="8" t="s">
        <v>18</v>
      </c>
      <c r="B46" s="8">
        <v>2.32E-3</v>
      </c>
      <c r="C46" s="8" t="s">
        <v>9</v>
      </c>
      <c r="I46" s="8" t="s">
        <v>597</v>
      </c>
    </row>
    <row r="47" spans="1:9" x14ac:dyDescent="0.25">
      <c r="A47" s="8" t="s">
        <v>373</v>
      </c>
      <c r="B47" s="8">
        <v>2E-8</v>
      </c>
      <c r="C47" s="8" t="s">
        <v>9</v>
      </c>
      <c r="I47" s="8" t="s">
        <v>597</v>
      </c>
    </row>
    <row r="48" spans="1:9" x14ac:dyDescent="0.25">
      <c r="A48" s="8" t="s">
        <v>26</v>
      </c>
      <c r="B48" s="8">
        <v>2.2940000000000001E-5</v>
      </c>
      <c r="C48" s="8" t="s">
        <v>9</v>
      </c>
      <c r="I48" s="8" t="s">
        <v>597</v>
      </c>
    </row>
    <row r="49" spans="1:10" x14ac:dyDescent="0.25">
      <c r="A49" s="1" t="s">
        <v>20</v>
      </c>
    </row>
    <row r="50" spans="1:10" x14ac:dyDescent="0.25">
      <c r="A50" s="8" t="s">
        <v>322</v>
      </c>
      <c r="B50" s="8">
        <v>2.2952039691290001E-3</v>
      </c>
      <c r="C50" s="8" t="s">
        <v>41</v>
      </c>
      <c r="I50" s="8" t="s">
        <v>597</v>
      </c>
    </row>
    <row r="51" spans="1:10" x14ac:dyDescent="0.25">
      <c r="A51" s="1" t="s">
        <v>94</v>
      </c>
    </row>
    <row r="52" spans="1:10" x14ac:dyDescent="0.25">
      <c r="A52" s="8" t="s">
        <v>201</v>
      </c>
      <c r="B52" s="8">
        <v>5.0000000000000001E-3</v>
      </c>
      <c r="C52" s="8" t="s">
        <v>9</v>
      </c>
      <c r="I52" s="8" t="s">
        <v>597</v>
      </c>
    </row>
    <row r="53" spans="1:10" x14ac:dyDescent="0.25">
      <c r="A53" s="8" t="s">
        <v>374</v>
      </c>
      <c r="B53" s="8">
        <v>9.2799999999999994E-2</v>
      </c>
      <c r="C53" s="8" t="s">
        <v>9</v>
      </c>
      <c r="I53" s="8" t="s">
        <v>597</v>
      </c>
    </row>
    <row r="54" spans="1:10" x14ac:dyDescent="0.25">
      <c r="A54" s="8" t="s">
        <v>323</v>
      </c>
      <c r="B54" s="8">
        <v>9.5999999999999992E-3</v>
      </c>
      <c r="C54" s="8" t="s">
        <v>9</v>
      </c>
      <c r="I54" s="8" t="s">
        <v>597</v>
      </c>
    </row>
    <row r="56" spans="1:10" x14ac:dyDescent="0.25">
      <c r="A56" s="2" t="s">
        <v>368</v>
      </c>
      <c r="B56" s="2"/>
      <c r="C56" s="2"/>
      <c r="D56" s="2"/>
      <c r="E56" s="2"/>
      <c r="F56" s="1"/>
      <c r="G56" s="1"/>
      <c r="H56" s="1"/>
      <c r="I56" s="1"/>
      <c r="J56" s="1"/>
    </row>
    <row r="57" spans="1:10" x14ac:dyDescent="0.25">
      <c r="A57" s="1" t="s">
        <v>10</v>
      </c>
      <c r="B57" s="1" t="s">
        <v>2</v>
      </c>
      <c r="C57" s="1" t="s">
        <v>0</v>
      </c>
      <c r="D57" s="1"/>
      <c r="E57" s="1" t="s">
        <v>3</v>
      </c>
      <c r="F57" s="1" t="s">
        <v>4</v>
      </c>
      <c r="G57" s="1" t="s">
        <v>5</v>
      </c>
      <c r="H57" s="1" t="s">
        <v>6</v>
      </c>
      <c r="I57" s="1" t="s">
        <v>7</v>
      </c>
      <c r="J57" s="1" t="s">
        <v>8</v>
      </c>
    </row>
    <row r="58" spans="1:10" x14ac:dyDescent="0.25">
      <c r="A58" s="8" t="str">
        <f>A24</f>
        <v>Steel, low-alloyed {RER}| steel production, electric, low-alloyed | Alloc Rec, U_virgin steel_mr__natural gas_Scope 3</v>
      </c>
      <c r="B58" s="8">
        <f>0.025*heating_value_NatGas</f>
        <v>1.05975</v>
      </c>
      <c r="C58" s="8" t="s">
        <v>14</v>
      </c>
    </row>
    <row r="59" spans="1:10" x14ac:dyDescent="0.25">
      <c r="A59" s="1" t="s">
        <v>1</v>
      </c>
      <c r="B59" s="1" t="s">
        <v>2</v>
      </c>
      <c r="C59" s="1" t="s">
        <v>0</v>
      </c>
      <c r="D59" s="1"/>
      <c r="E59" s="1" t="s">
        <v>3</v>
      </c>
      <c r="F59" s="1" t="s">
        <v>4</v>
      </c>
      <c r="G59" s="1" t="s">
        <v>5</v>
      </c>
      <c r="H59" s="1" t="s">
        <v>6</v>
      </c>
      <c r="I59" s="1" t="s">
        <v>7</v>
      </c>
      <c r="J59" s="1" t="s">
        <v>8</v>
      </c>
    </row>
    <row r="60" spans="1:10" x14ac:dyDescent="0.25">
      <c r="A60" s="8" t="s">
        <v>176</v>
      </c>
      <c r="B60" s="8">
        <v>5.5727978056156096E-4</v>
      </c>
      <c r="C60" s="8" t="s">
        <v>41</v>
      </c>
      <c r="I60" s="8" t="s">
        <v>597</v>
      </c>
    </row>
    <row r="61" spans="1:10" x14ac:dyDescent="0.25">
      <c r="A61" s="8" t="s">
        <v>177</v>
      </c>
      <c r="B61" s="8">
        <v>1.8340853537469101E-4</v>
      </c>
      <c r="C61" s="8" t="s">
        <v>41</v>
      </c>
      <c r="I61" s="8" t="s">
        <v>597</v>
      </c>
    </row>
    <row r="62" spans="1:10" x14ac:dyDescent="0.25">
      <c r="A62" s="8" t="s">
        <v>178</v>
      </c>
      <c r="B62" s="8">
        <v>4.1760712669929598E-4</v>
      </c>
      <c r="C62" s="8" t="s">
        <v>41</v>
      </c>
      <c r="I62" s="8" t="s">
        <v>597</v>
      </c>
    </row>
    <row r="63" spans="1:10" x14ac:dyDescent="0.25">
      <c r="A63" s="8" t="s">
        <v>179</v>
      </c>
      <c r="B63" s="8">
        <v>6.3520782492670598E-3</v>
      </c>
      <c r="C63" s="8" t="s">
        <v>41</v>
      </c>
      <c r="I63" s="8" t="s">
        <v>597</v>
      </c>
    </row>
    <row r="64" spans="1:10" x14ac:dyDescent="0.25">
      <c r="A64" s="8" t="s">
        <v>180</v>
      </c>
      <c r="B64" s="8">
        <v>7.7595918812369197E-5</v>
      </c>
      <c r="C64" s="8" t="s">
        <v>41</v>
      </c>
      <c r="I64" s="8" t="s">
        <v>597</v>
      </c>
    </row>
    <row r="65" spans="1:9" x14ac:dyDescent="0.25">
      <c r="A65" s="8" t="s">
        <v>181</v>
      </c>
      <c r="B65" s="8">
        <v>8.9164764889849697E-4</v>
      </c>
      <c r="C65" s="8" t="s">
        <v>41</v>
      </c>
      <c r="I65" s="8" t="s">
        <v>597</v>
      </c>
    </row>
    <row r="66" spans="1:9" x14ac:dyDescent="0.25">
      <c r="A66" s="8" t="s">
        <v>182</v>
      </c>
      <c r="B66" s="8">
        <v>2.9987295533761998E-3</v>
      </c>
      <c r="C66" s="8" t="s">
        <v>41</v>
      </c>
      <c r="I66" s="8" t="s">
        <v>597</v>
      </c>
    </row>
    <row r="67" spans="1:9" x14ac:dyDescent="0.25">
      <c r="A67" s="8" t="s">
        <v>183</v>
      </c>
      <c r="B67" s="8">
        <v>6.4968946569265496E-4</v>
      </c>
      <c r="C67" s="8" t="s">
        <v>41</v>
      </c>
      <c r="I67" s="8" t="s">
        <v>597</v>
      </c>
    </row>
    <row r="68" spans="1:9" x14ac:dyDescent="0.25">
      <c r="A68" s="8" t="s">
        <v>184</v>
      </c>
      <c r="B68" s="8">
        <v>3.0332950081198902E-4</v>
      </c>
      <c r="C68" s="8" t="s">
        <v>41</v>
      </c>
      <c r="I68" s="8" t="s">
        <v>597</v>
      </c>
    </row>
    <row r="69" spans="1:9" x14ac:dyDescent="0.25">
      <c r="A69" s="8" t="s">
        <v>185</v>
      </c>
      <c r="B69" s="8">
        <v>5.5022560612407302E-4</v>
      </c>
      <c r="C69" s="8" t="s">
        <v>41</v>
      </c>
      <c r="I69" s="8" t="s">
        <v>597</v>
      </c>
    </row>
    <row r="70" spans="1:9" x14ac:dyDescent="0.25">
      <c r="A70" s="8" t="s">
        <v>186</v>
      </c>
      <c r="B70" s="8">
        <v>3.9009584639309201E-3</v>
      </c>
      <c r="C70" s="8" t="s">
        <v>41</v>
      </c>
      <c r="I70" s="8" t="s">
        <v>597</v>
      </c>
    </row>
    <row r="71" spans="1:9" x14ac:dyDescent="0.25">
      <c r="A71" s="8" t="s">
        <v>187</v>
      </c>
      <c r="B71" s="8">
        <v>8.1757881730487201E-4</v>
      </c>
      <c r="C71" s="8" t="s">
        <v>41</v>
      </c>
      <c r="I71" s="8" t="s">
        <v>597</v>
      </c>
    </row>
    <row r="72" spans="1:9" x14ac:dyDescent="0.25">
      <c r="A72" s="8" t="s">
        <v>189</v>
      </c>
      <c r="B72" s="8">
        <v>2.0478268392028001E-4</v>
      </c>
      <c r="C72" s="8" t="s">
        <v>41</v>
      </c>
      <c r="I72" s="8" t="s">
        <v>597</v>
      </c>
    </row>
    <row r="73" spans="1:9" x14ac:dyDescent="0.25">
      <c r="A73" s="8" t="s">
        <v>190</v>
      </c>
      <c r="B73" s="8">
        <v>6.0101566207398699E-4</v>
      </c>
      <c r="C73" s="8" t="s">
        <v>41</v>
      </c>
      <c r="I73" s="8" t="s">
        <v>597</v>
      </c>
    </row>
    <row r="74" spans="1:9" x14ac:dyDescent="0.25">
      <c r="A74" s="8" t="s">
        <v>191</v>
      </c>
      <c r="B74" s="8">
        <v>1.9794013471591599E-3</v>
      </c>
      <c r="C74" s="8" t="s">
        <v>41</v>
      </c>
      <c r="I74" s="8" t="s">
        <v>597</v>
      </c>
    </row>
    <row r="75" spans="1:9" x14ac:dyDescent="0.25">
      <c r="A75" s="8" t="s">
        <v>192</v>
      </c>
      <c r="B75" s="8">
        <v>4.1690170925554699E-3</v>
      </c>
      <c r="C75" s="8" t="s">
        <v>41</v>
      </c>
      <c r="I75" s="8" t="s">
        <v>597</v>
      </c>
    </row>
    <row r="76" spans="1:9" x14ac:dyDescent="0.25">
      <c r="A76" s="8" t="s">
        <v>193</v>
      </c>
      <c r="B76" s="8">
        <v>3.4565454743691701E-4</v>
      </c>
      <c r="C76" s="8" t="s">
        <v>41</v>
      </c>
      <c r="I76" s="8" t="s">
        <v>597</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tabColor theme="9" tint="0.59999389629810485"/>
  </sheetPr>
  <dimension ref="A3:J11"/>
  <sheetViews>
    <sheetView topLeftCell="A2" workbookViewId="0">
      <selection activeCell="A46" sqref="A46"/>
    </sheetView>
  </sheetViews>
  <sheetFormatPr defaultColWidth="9.140625" defaultRowHeight="15" x14ac:dyDescent="0.25"/>
  <cols>
    <col min="1" max="1" width="64" style="8" customWidth="1"/>
    <col min="2" max="2" width="21.85546875" style="8" customWidth="1"/>
    <col min="3" max="16384" width="9.140625" style="8"/>
  </cols>
  <sheetData>
    <row r="3" spans="1:10" x14ac:dyDescent="0.25">
      <c r="A3" s="2" t="s">
        <v>318</v>
      </c>
      <c r="B3" s="2"/>
      <c r="C3" s="2"/>
      <c r="D3" s="2"/>
      <c r="E3" s="2"/>
      <c r="F3" s="1"/>
      <c r="G3" s="1"/>
      <c r="H3" s="1"/>
      <c r="I3" s="1"/>
      <c r="J3" s="1"/>
    </row>
    <row r="4" spans="1:10" x14ac:dyDescent="0.25">
      <c r="A4" s="1" t="s">
        <v>10</v>
      </c>
      <c r="B4" s="1" t="s">
        <v>2</v>
      </c>
      <c r="C4" s="1" t="s">
        <v>0</v>
      </c>
      <c r="D4" s="1"/>
      <c r="E4" s="1" t="s">
        <v>3</v>
      </c>
      <c r="F4" s="1" t="s">
        <v>4</v>
      </c>
      <c r="G4" s="1" t="s">
        <v>5</v>
      </c>
      <c r="H4" s="1" t="s">
        <v>6</v>
      </c>
      <c r="I4" s="1" t="s">
        <v>7</v>
      </c>
      <c r="J4" s="1" t="s">
        <v>8</v>
      </c>
    </row>
    <row r="5" spans="1:10" x14ac:dyDescent="0.25">
      <c r="A5" s="8" t="s">
        <v>318</v>
      </c>
      <c r="B5" s="50">
        <f>1000/RE_CC</f>
        <v>1079.1168923460514</v>
      </c>
      <c r="C5" s="8" t="s">
        <v>9</v>
      </c>
    </row>
    <row r="6" spans="1:10" x14ac:dyDescent="0.25">
      <c r="A6" s="1" t="s">
        <v>1</v>
      </c>
      <c r="B6" s="1" t="s">
        <v>2</v>
      </c>
      <c r="C6" s="1" t="s">
        <v>0</v>
      </c>
      <c r="D6" s="1"/>
      <c r="E6" s="1" t="s">
        <v>3</v>
      </c>
      <c r="F6" s="1" t="s">
        <v>4</v>
      </c>
      <c r="G6" s="1" t="s">
        <v>5</v>
      </c>
      <c r="H6" s="1" t="s">
        <v>6</v>
      </c>
      <c r="I6" s="1" t="s">
        <v>7</v>
      </c>
      <c r="J6" s="1" t="s">
        <v>8</v>
      </c>
    </row>
    <row r="7" spans="1:10" x14ac:dyDescent="0.25">
      <c r="A7" s="3" t="str">
        <f>'Electricity generation'!$A$32</f>
        <v>Electricity, global mix, medium voltage_mr_Scope 2</v>
      </c>
      <c r="B7" s="51">
        <f>27.62*CC_efficiency</f>
        <v>27.62</v>
      </c>
      <c r="C7" s="8" t="s">
        <v>14</v>
      </c>
      <c r="I7" s="81" t="s">
        <v>614</v>
      </c>
    </row>
    <row r="10" spans="1:10" x14ac:dyDescent="0.25">
      <c r="B10" s="9"/>
    </row>
    <row r="11" spans="1:10" x14ac:dyDescent="0.25">
      <c r="B11" s="9"/>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tabColor theme="9" tint="0.59999389629810485"/>
  </sheetPr>
  <dimension ref="A2:N24"/>
  <sheetViews>
    <sheetView workbookViewId="0">
      <selection activeCell="C35" sqref="C35"/>
    </sheetView>
  </sheetViews>
  <sheetFormatPr defaultRowHeight="15" x14ac:dyDescent="0.25"/>
  <cols>
    <col min="1" max="1" width="64" customWidth="1"/>
    <col min="2" max="2" width="21.85546875" customWidth="1"/>
  </cols>
  <sheetData>
    <row r="2" spans="1:14" x14ac:dyDescent="0.25">
      <c r="A2" s="8"/>
      <c r="B2" s="8"/>
      <c r="C2" s="8"/>
      <c r="D2" s="8"/>
      <c r="E2" s="8"/>
      <c r="F2" s="8"/>
      <c r="G2" s="8"/>
      <c r="H2" s="8"/>
      <c r="I2" s="8"/>
      <c r="J2" s="8"/>
      <c r="K2" s="8"/>
      <c r="L2" s="8"/>
      <c r="M2" s="8"/>
      <c r="N2" s="8"/>
    </row>
    <row r="3" spans="1:14" x14ac:dyDescent="0.25">
      <c r="A3" s="2" t="s">
        <v>317</v>
      </c>
      <c r="B3" s="2"/>
      <c r="C3" s="2"/>
      <c r="D3" s="2"/>
      <c r="E3" s="2"/>
      <c r="F3" s="1"/>
      <c r="G3" s="1"/>
      <c r="H3" s="1"/>
      <c r="I3" s="1"/>
      <c r="J3" s="1"/>
      <c r="K3" s="8"/>
      <c r="L3" s="8"/>
      <c r="M3" s="8"/>
      <c r="N3" s="8"/>
    </row>
    <row r="4" spans="1:14" x14ac:dyDescent="0.25">
      <c r="A4" s="1" t="s">
        <v>10</v>
      </c>
      <c r="B4" s="1" t="s">
        <v>2</v>
      </c>
      <c r="C4" s="1" t="s">
        <v>0</v>
      </c>
      <c r="D4" s="1"/>
      <c r="E4" s="1" t="s">
        <v>3</v>
      </c>
      <c r="F4" s="1" t="s">
        <v>4</v>
      </c>
      <c r="G4" s="1" t="s">
        <v>5</v>
      </c>
      <c r="H4" s="1" t="s">
        <v>6</v>
      </c>
      <c r="I4" s="1" t="s">
        <v>7</v>
      </c>
      <c r="J4" s="1" t="s">
        <v>8</v>
      </c>
      <c r="K4" s="8"/>
      <c r="L4" s="8"/>
      <c r="M4" s="8"/>
      <c r="N4" s="8"/>
    </row>
    <row r="5" spans="1:14" x14ac:dyDescent="0.25">
      <c r="A5" s="8" t="s">
        <v>317</v>
      </c>
      <c r="B5" s="50">
        <f>1000/RE_IC</f>
        <v>1240.3642440759211</v>
      </c>
      <c r="C5" s="8" t="s">
        <v>9</v>
      </c>
      <c r="D5" s="8"/>
      <c r="E5" s="8"/>
      <c r="F5" s="8"/>
      <c r="G5" s="8"/>
      <c r="H5" s="8"/>
      <c r="I5" s="8"/>
      <c r="J5" s="8"/>
      <c r="K5" s="8"/>
      <c r="L5" s="8"/>
      <c r="M5" s="8"/>
      <c r="N5" s="8"/>
    </row>
    <row r="6" spans="1:14" x14ac:dyDescent="0.25">
      <c r="A6" s="1" t="s">
        <v>1</v>
      </c>
      <c r="B6" s="1" t="s">
        <v>2</v>
      </c>
      <c r="C6" s="1" t="s">
        <v>0</v>
      </c>
      <c r="D6" s="1"/>
      <c r="E6" s="1" t="s">
        <v>3</v>
      </c>
      <c r="F6" s="1" t="s">
        <v>4</v>
      </c>
      <c r="G6" s="1" t="s">
        <v>5</v>
      </c>
      <c r="H6" s="1" t="s">
        <v>6</v>
      </c>
      <c r="I6" s="1" t="s">
        <v>7</v>
      </c>
      <c r="J6" s="1" t="s">
        <v>8</v>
      </c>
      <c r="K6" s="8"/>
      <c r="L6" s="8"/>
      <c r="M6" s="8"/>
      <c r="N6" s="8"/>
    </row>
    <row r="7" spans="1:14" x14ac:dyDescent="0.25">
      <c r="A7" s="3" t="str">
        <f>'Electricity generation'!$A$32</f>
        <v>Electricity, global mix, medium voltage_mr_Scope 2</v>
      </c>
      <c r="B7" s="82">
        <f>IC_efficiency*149.52</f>
        <v>149.52000000000001</v>
      </c>
      <c r="C7" s="8" t="s">
        <v>14</v>
      </c>
      <c r="D7" s="8"/>
      <c r="E7" s="8"/>
      <c r="F7" s="8"/>
      <c r="G7" s="8"/>
      <c r="H7" s="8"/>
      <c r="I7" s="81" t="s">
        <v>614</v>
      </c>
      <c r="J7" s="8"/>
      <c r="K7" s="8"/>
      <c r="L7" s="8"/>
      <c r="M7" s="8"/>
      <c r="N7" s="8"/>
    </row>
    <row r="8" spans="1:14" x14ac:dyDescent="0.25">
      <c r="A8" s="3" t="str">
        <f>Sintering!$A$55</f>
        <v>Sinter, iron {GLO}| Natural Gas use | Alloc Rec, U_mr_Scope 2</v>
      </c>
      <c r="B8" s="82">
        <f>IC_efficiency*34.5092</f>
        <v>34.5092</v>
      </c>
      <c r="C8" s="8" t="s">
        <v>41</v>
      </c>
      <c r="D8" s="8"/>
      <c r="E8" s="8"/>
      <c r="F8" s="8"/>
      <c r="G8" s="8"/>
      <c r="H8" s="8"/>
      <c r="I8" s="81" t="s">
        <v>614</v>
      </c>
      <c r="J8" s="8"/>
      <c r="K8" s="8"/>
      <c r="L8" s="8"/>
      <c r="M8" s="8"/>
      <c r="N8" s="8"/>
    </row>
    <row r="9" spans="1:14" x14ac:dyDescent="0.25">
      <c r="A9" s="8"/>
      <c r="B9" s="9"/>
      <c r="C9" s="8"/>
      <c r="D9" s="8"/>
      <c r="E9" s="8"/>
      <c r="F9" s="8"/>
      <c r="G9" s="8"/>
      <c r="H9" s="8"/>
      <c r="I9" s="8"/>
      <c r="J9" s="8"/>
      <c r="K9" s="8"/>
      <c r="L9" s="8"/>
      <c r="M9" s="8"/>
      <c r="N9" s="8"/>
    </row>
    <row r="10" spans="1:14" x14ac:dyDescent="0.25">
      <c r="A10" s="8"/>
      <c r="B10" s="9"/>
      <c r="C10" s="8"/>
      <c r="D10" s="8"/>
      <c r="E10" s="8"/>
      <c r="F10" s="8"/>
      <c r="G10" s="8"/>
      <c r="H10" s="8"/>
      <c r="I10" s="8"/>
      <c r="J10" s="8"/>
      <c r="K10" s="8"/>
      <c r="L10" s="8"/>
      <c r="M10" s="8"/>
      <c r="N10" s="8"/>
    </row>
    <row r="11" spans="1:14" x14ac:dyDescent="0.25">
      <c r="B11" s="46"/>
      <c r="C11" s="6"/>
    </row>
    <row r="12" spans="1:14" x14ac:dyDescent="0.25">
      <c r="B12" s="13"/>
      <c r="C12" s="46"/>
      <c r="D12" s="46"/>
    </row>
    <row r="14" spans="1:14" x14ac:dyDescent="0.25">
      <c r="B14" s="79"/>
      <c r="C14" s="8"/>
    </row>
    <row r="15" spans="1:14" x14ac:dyDescent="0.25">
      <c r="B15" s="79"/>
      <c r="C15" s="8"/>
    </row>
    <row r="16" spans="1:14" x14ac:dyDescent="0.25">
      <c r="B16" s="80"/>
      <c r="C16" s="1"/>
    </row>
    <row r="17" spans="2:3" x14ac:dyDescent="0.25">
      <c r="B17" s="5"/>
      <c r="C17" s="8"/>
    </row>
    <row r="20" spans="2:3" x14ac:dyDescent="0.25">
      <c r="C20" s="8"/>
    </row>
    <row r="21" spans="2:3" x14ac:dyDescent="0.25">
      <c r="B21" s="8"/>
      <c r="C21" s="8"/>
    </row>
    <row r="22" spans="2:3" x14ac:dyDescent="0.25">
      <c r="C22" s="8"/>
    </row>
    <row r="23" spans="2:3" x14ac:dyDescent="0.25">
      <c r="B23" s="5"/>
      <c r="C23" s="1"/>
    </row>
    <row r="24" spans="2:3" x14ac:dyDescent="0.25">
      <c r="B24" s="5"/>
    </row>
  </sheetData>
  <pageMargins left="0.7" right="0.7" top="0.75" bottom="0.75" header="0.3" footer="0.3"/>
  <pageSetup orientation="portrait" horizontalDpi="300" verticalDpi="30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tabColor theme="9" tint="0.59999389629810485"/>
  </sheetPr>
  <dimension ref="A3:J70"/>
  <sheetViews>
    <sheetView topLeftCell="A10" workbookViewId="0">
      <selection activeCell="C35" sqref="C35"/>
    </sheetView>
  </sheetViews>
  <sheetFormatPr defaultColWidth="9.140625" defaultRowHeight="15" x14ac:dyDescent="0.25"/>
  <cols>
    <col min="1" max="1" width="67.28515625" style="8" customWidth="1"/>
    <col min="2" max="2" width="21.85546875" style="8" customWidth="1"/>
    <col min="3" max="16384" width="9.140625" style="8"/>
  </cols>
  <sheetData>
    <row r="3" spans="1:10" x14ac:dyDescent="0.25">
      <c r="A3" s="2" t="s">
        <v>327</v>
      </c>
      <c r="B3" s="2"/>
      <c r="C3" s="2"/>
      <c r="D3" s="2"/>
      <c r="E3" s="2"/>
      <c r="F3" s="1"/>
      <c r="G3" s="1"/>
      <c r="H3" s="1"/>
      <c r="I3" s="1"/>
      <c r="J3" s="1"/>
    </row>
    <row r="4" spans="1:10" x14ac:dyDescent="0.25">
      <c r="A4" s="1" t="s">
        <v>10</v>
      </c>
      <c r="B4" s="1" t="s">
        <v>2</v>
      </c>
      <c r="C4" s="1" t="s">
        <v>0</v>
      </c>
      <c r="D4" s="1"/>
      <c r="E4" s="1" t="s">
        <v>3</v>
      </c>
      <c r="F4" s="1" t="s">
        <v>4</v>
      </c>
      <c r="G4" s="1" t="s">
        <v>5</v>
      </c>
      <c r="H4" s="1" t="s">
        <v>6</v>
      </c>
      <c r="I4" s="1" t="s">
        <v>7</v>
      </c>
      <c r="J4" s="1" t="s">
        <v>8</v>
      </c>
    </row>
    <row r="5" spans="1:10" x14ac:dyDescent="0.25">
      <c r="A5" s="8" t="s">
        <v>327</v>
      </c>
      <c r="B5" s="8">
        <v>1</v>
      </c>
      <c r="C5" s="8" t="s">
        <v>9</v>
      </c>
    </row>
    <row r="6" spans="1:10" x14ac:dyDescent="0.25">
      <c r="A6" s="1" t="s">
        <v>1</v>
      </c>
      <c r="B6" s="1" t="s">
        <v>2</v>
      </c>
      <c r="C6" s="1" t="s">
        <v>0</v>
      </c>
      <c r="D6" s="1"/>
      <c r="E6" s="1" t="s">
        <v>3</v>
      </c>
      <c r="F6" s="1" t="s">
        <v>4</v>
      </c>
      <c r="G6" s="1" t="s">
        <v>5</v>
      </c>
      <c r="H6" s="1" t="s">
        <v>6</v>
      </c>
      <c r="I6" s="1" t="s">
        <v>7</v>
      </c>
      <c r="J6" s="1" t="s">
        <v>8</v>
      </c>
    </row>
    <row r="7" spans="1:10" x14ac:dyDescent="0.25">
      <c r="A7" s="3" t="str">
        <f>'Plate mill'!A14</f>
        <v>Hot rolling, steel {RoW}| processing_Plate mill  | Alloc Rec, U_mr</v>
      </c>
      <c r="B7" s="9">
        <v>0</v>
      </c>
      <c r="C7" s="8" t="s">
        <v>9</v>
      </c>
    </row>
    <row r="8" spans="1:10" x14ac:dyDescent="0.25">
      <c r="A8" s="3" t="str">
        <f>A14</f>
        <v>Hot rolling, steel {RoW}| processing_Rod/bar mill  | Alloc Rec, U_mr</v>
      </c>
      <c r="B8" s="9">
        <v>1</v>
      </c>
      <c r="C8" s="8" t="s">
        <v>9</v>
      </c>
    </row>
    <row r="9" spans="1:10" x14ac:dyDescent="0.25">
      <c r="A9" s="3" t="s">
        <v>330</v>
      </c>
      <c r="B9" s="9">
        <v>0</v>
      </c>
      <c r="C9" s="8" t="s">
        <v>9</v>
      </c>
    </row>
    <row r="10" spans="1:10" x14ac:dyDescent="0.25">
      <c r="A10" s="3" t="s">
        <v>331</v>
      </c>
      <c r="B10" s="9">
        <v>0</v>
      </c>
      <c r="C10" s="8" t="s">
        <v>9</v>
      </c>
    </row>
    <row r="12" spans="1:10" x14ac:dyDescent="0.25">
      <c r="A12" s="2" t="s">
        <v>329</v>
      </c>
      <c r="B12" s="2"/>
      <c r="C12" s="2"/>
      <c r="D12" s="2"/>
      <c r="E12" s="2"/>
      <c r="F12" s="1"/>
      <c r="G12" s="1"/>
      <c r="H12" s="1"/>
      <c r="I12" s="1"/>
      <c r="J12" s="1"/>
    </row>
    <row r="13" spans="1:10" x14ac:dyDescent="0.25">
      <c r="A13" s="1" t="s">
        <v>10</v>
      </c>
      <c r="B13" s="1" t="s">
        <v>2</v>
      </c>
      <c r="C13" s="1" t="s">
        <v>0</v>
      </c>
      <c r="D13" s="1"/>
      <c r="E13" s="1" t="s">
        <v>3</v>
      </c>
      <c r="F13" s="1" t="s">
        <v>4</v>
      </c>
      <c r="G13" s="1" t="s">
        <v>5</v>
      </c>
      <c r="H13" s="1" t="s">
        <v>6</v>
      </c>
      <c r="I13" s="1" t="s">
        <v>7</v>
      </c>
      <c r="J13" s="1" t="s">
        <v>8</v>
      </c>
    </row>
    <row r="14" spans="1:10" x14ac:dyDescent="0.25">
      <c r="A14" s="8" t="s">
        <v>329</v>
      </c>
      <c r="B14" s="50">
        <f>1/RE_mill</f>
        <v>1.0500000004200001</v>
      </c>
      <c r="C14" s="8" t="s">
        <v>9</v>
      </c>
    </row>
    <row r="15" spans="1:10" x14ac:dyDescent="0.25">
      <c r="A15" s="1" t="s">
        <v>1</v>
      </c>
      <c r="B15" s="1" t="s">
        <v>2</v>
      </c>
      <c r="C15" s="1" t="s">
        <v>0</v>
      </c>
      <c r="D15" s="1"/>
      <c r="E15" s="1" t="s">
        <v>3</v>
      </c>
      <c r="F15" s="1" t="s">
        <v>4</v>
      </c>
      <c r="G15" s="1" t="s">
        <v>5</v>
      </c>
      <c r="H15" s="1" t="s">
        <v>6</v>
      </c>
      <c r="I15" s="1" t="s">
        <v>7</v>
      </c>
      <c r="J15" s="1" t="s">
        <v>8</v>
      </c>
    </row>
    <row r="16" spans="1:10" x14ac:dyDescent="0.25">
      <c r="A16" s="12" t="s">
        <v>326</v>
      </c>
      <c r="B16" s="8">
        <v>1.7040150679897101E-2</v>
      </c>
      <c r="C16" s="8" t="s">
        <v>41</v>
      </c>
      <c r="I16" s="8" t="s">
        <v>601</v>
      </c>
    </row>
    <row r="17" spans="1:9" x14ac:dyDescent="0.25">
      <c r="A17" s="8" t="s">
        <v>75</v>
      </c>
      <c r="B17" s="8">
        <v>3.4080301359794198E-3</v>
      </c>
      <c r="C17" s="8" t="s">
        <v>41</v>
      </c>
      <c r="I17" s="8" t="s">
        <v>601</v>
      </c>
    </row>
    <row r="18" spans="1:9" x14ac:dyDescent="0.25">
      <c r="A18" s="8" t="s">
        <v>332</v>
      </c>
      <c r="B18" s="8">
        <v>4.0400000000000002E-3</v>
      </c>
      <c r="C18" s="8" t="s">
        <v>9</v>
      </c>
      <c r="I18" s="8" t="s">
        <v>601</v>
      </c>
    </row>
    <row r="19" spans="1:9" x14ac:dyDescent="0.25">
      <c r="A19" s="8" t="s">
        <v>333</v>
      </c>
      <c r="B19" s="8">
        <v>1.62E-9</v>
      </c>
      <c r="C19" s="8" t="s">
        <v>61</v>
      </c>
      <c r="I19" s="8" t="s">
        <v>601</v>
      </c>
    </row>
    <row r="20" spans="1:9" x14ac:dyDescent="0.25">
      <c r="A20" s="8" t="s">
        <v>334</v>
      </c>
      <c r="B20" s="8">
        <v>4.9700000000000002E-5</v>
      </c>
      <c r="C20" s="8" t="s">
        <v>9</v>
      </c>
      <c r="I20" s="8" t="s">
        <v>601</v>
      </c>
    </row>
    <row r="21" spans="1:9" x14ac:dyDescent="0.25">
      <c r="A21" s="8" t="s">
        <v>335</v>
      </c>
      <c r="B21" s="8">
        <v>1.8900000000000001E-11</v>
      </c>
      <c r="C21" s="8" t="s">
        <v>9</v>
      </c>
      <c r="I21" s="8" t="s">
        <v>601</v>
      </c>
    </row>
    <row r="22" spans="1:9" x14ac:dyDescent="0.25">
      <c r="A22" s="8" t="s">
        <v>336</v>
      </c>
      <c r="B22" s="8">
        <v>2.3600000000000001E-11</v>
      </c>
      <c r="C22" s="8" t="s">
        <v>9</v>
      </c>
      <c r="I22" s="8" t="s">
        <v>601</v>
      </c>
    </row>
    <row r="23" spans="1:9" x14ac:dyDescent="0.25">
      <c r="A23" s="3" t="str">
        <f>'Other processes'!A309</f>
        <v>Oxygen, liquid {RER}| market for | Alloc Rec, U_mr</v>
      </c>
      <c r="B23" s="8">
        <v>7.1399999999999996E-3</v>
      </c>
      <c r="C23" s="8" t="s">
        <v>9</v>
      </c>
      <c r="I23" s="8" t="s">
        <v>601</v>
      </c>
    </row>
    <row r="24" spans="1:9" x14ac:dyDescent="0.25">
      <c r="A24" s="8" t="s">
        <v>337</v>
      </c>
      <c r="B24" s="8">
        <v>4.7200000000000001E-12</v>
      </c>
      <c r="C24" s="8" t="s">
        <v>9</v>
      </c>
      <c r="I24" s="8" t="s">
        <v>601</v>
      </c>
    </row>
    <row r="25" spans="1:9" x14ac:dyDescent="0.25">
      <c r="A25" s="8" t="s">
        <v>338</v>
      </c>
      <c r="B25" s="8">
        <v>1.4500000000000001E-8</v>
      </c>
      <c r="C25" s="8" t="s">
        <v>9</v>
      </c>
      <c r="I25" s="8" t="s">
        <v>601</v>
      </c>
    </row>
    <row r="26" spans="1:9" x14ac:dyDescent="0.25">
      <c r="A26" s="8" t="s">
        <v>339</v>
      </c>
      <c r="B26" s="8">
        <v>5.2999999999999998E-4</v>
      </c>
      <c r="C26" s="8" t="s">
        <v>9</v>
      </c>
      <c r="I26" s="8" t="s">
        <v>601</v>
      </c>
    </row>
    <row r="27" spans="1:9" x14ac:dyDescent="0.25">
      <c r="A27" s="3" t="str">
        <f>'Electricity generation'!$A$32</f>
        <v>Electricity, global mix, medium voltage_mr_Scope 2</v>
      </c>
      <c r="B27" s="50">
        <f>RbM_electricity/RE_mill</f>
        <v>0.46200000018480003</v>
      </c>
      <c r="C27" s="8" t="s">
        <v>14</v>
      </c>
    </row>
    <row r="28" spans="1:9" x14ac:dyDescent="0.25">
      <c r="A28" s="3" t="str">
        <f>'Other processes'!$A$5</f>
        <v>Coke {GLO}| market for | Alloc Rec, U_mr_Scope 2</v>
      </c>
      <c r="B28" s="50">
        <f>RbM_CokeGas/RE_mill</f>
        <v>4.2000000016800002E-2</v>
      </c>
      <c r="C28" s="8" t="s">
        <v>14</v>
      </c>
    </row>
    <row r="29" spans="1:9" x14ac:dyDescent="0.25">
      <c r="A29" s="3" t="str">
        <f>Sintering!$A$55</f>
        <v>Sinter, iron {GLO}| Natural Gas use | Alloc Rec, U_mr_Scope 2</v>
      </c>
      <c r="B29" s="50">
        <f>(RbM_NatGas/heating_value_NatGas)/RE_mill</f>
        <v>6.2420382190573255E-2</v>
      </c>
      <c r="C29" s="8" t="s">
        <v>41</v>
      </c>
    </row>
    <row r="30" spans="1:9" x14ac:dyDescent="0.25">
      <c r="A30" s="1" t="s">
        <v>16</v>
      </c>
    </row>
    <row r="31" spans="1:9" x14ac:dyDescent="0.25">
      <c r="A31" s="8" t="s">
        <v>46</v>
      </c>
      <c r="B31" s="8">
        <v>7.1799999999999994E-8</v>
      </c>
      <c r="C31" s="8" t="s">
        <v>9</v>
      </c>
      <c r="I31" s="8" t="s">
        <v>601</v>
      </c>
    </row>
    <row r="32" spans="1:9" x14ac:dyDescent="0.25">
      <c r="A32" s="8" t="s">
        <v>71</v>
      </c>
      <c r="B32" s="8">
        <v>1.7900000000000001E-5</v>
      </c>
      <c r="C32" s="8" t="s">
        <v>9</v>
      </c>
      <c r="I32" s="8" t="s">
        <v>601</v>
      </c>
    </row>
    <row r="33" spans="1:9" x14ac:dyDescent="0.25">
      <c r="A33" s="8" t="s">
        <v>25</v>
      </c>
      <c r="B33" s="8">
        <v>3.7399999999999999E-7</v>
      </c>
      <c r="C33" s="8" t="s">
        <v>9</v>
      </c>
      <c r="I33" s="8" t="s">
        <v>601</v>
      </c>
    </row>
    <row r="34" spans="1:9" x14ac:dyDescent="0.25">
      <c r="A34" s="8" t="s">
        <v>142</v>
      </c>
      <c r="B34" s="8">
        <v>2.8299999999999999E-4</v>
      </c>
      <c r="C34" s="8" t="s">
        <v>9</v>
      </c>
      <c r="I34" s="8" t="s">
        <v>601</v>
      </c>
    </row>
    <row r="35" spans="1:9" x14ac:dyDescent="0.25">
      <c r="A35" s="8" t="s">
        <v>44</v>
      </c>
      <c r="B35" s="8">
        <v>6.9268212513781697E-3</v>
      </c>
      <c r="C35" s="8" t="s">
        <v>41</v>
      </c>
      <c r="I35" s="8" t="s">
        <v>601</v>
      </c>
    </row>
    <row r="36" spans="1:9" x14ac:dyDescent="0.25">
      <c r="A36" s="8" t="s">
        <v>17</v>
      </c>
      <c r="B36" s="8">
        <v>2.7500000000000001E-5</v>
      </c>
      <c r="C36" s="8" t="s">
        <v>9</v>
      </c>
      <c r="I36" s="8" t="s">
        <v>601</v>
      </c>
    </row>
    <row r="37" spans="1:9" x14ac:dyDescent="0.25">
      <c r="A37" s="8" t="s">
        <v>15</v>
      </c>
      <c r="B37" s="8">
        <v>1.31E-5</v>
      </c>
      <c r="C37" s="8" t="s">
        <v>9</v>
      </c>
      <c r="I37" s="8" t="s">
        <v>601</v>
      </c>
    </row>
    <row r="38" spans="1:9" x14ac:dyDescent="0.25">
      <c r="A38" s="8" t="s">
        <v>49</v>
      </c>
      <c r="B38" s="8">
        <v>1.77E-8</v>
      </c>
      <c r="C38" s="8" t="s">
        <v>9</v>
      </c>
      <c r="I38" s="8" t="s">
        <v>601</v>
      </c>
    </row>
    <row r="39" spans="1:9" x14ac:dyDescent="0.25">
      <c r="A39" s="8" t="s">
        <v>67</v>
      </c>
      <c r="B39" s="8">
        <v>2.1899999999999999E-7</v>
      </c>
      <c r="C39" s="8" t="s">
        <v>9</v>
      </c>
      <c r="I39" s="8" t="s">
        <v>601</v>
      </c>
    </row>
    <row r="40" spans="1:9" x14ac:dyDescent="0.25">
      <c r="A40" s="8" t="s">
        <v>18</v>
      </c>
      <c r="B40" s="8">
        <v>2.2399999999999999E-5</v>
      </c>
      <c r="C40" s="8" t="s">
        <v>9</v>
      </c>
      <c r="I40" s="8" t="s">
        <v>601</v>
      </c>
    </row>
    <row r="41" spans="1:9" x14ac:dyDescent="0.25">
      <c r="A41" s="8" t="s">
        <v>45</v>
      </c>
      <c r="B41" s="8">
        <v>2.4400000000000001E-7</v>
      </c>
      <c r="C41" s="8" t="s">
        <v>9</v>
      </c>
      <c r="I41" s="8" t="s">
        <v>601</v>
      </c>
    </row>
    <row r="42" spans="1:9" x14ac:dyDescent="0.25">
      <c r="A42" s="8" t="s">
        <v>89</v>
      </c>
      <c r="B42" s="8">
        <v>2.7500000000000001E-5</v>
      </c>
      <c r="C42" s="8" t="s">
        <v>9</v>
      </c>
      <c r="I42" s="8" t="s">
        <v>601</v>
      </c>
    </row>
    <row r="43" spans="1:9" x14ac:dyDescent="0.25">
      <c r="A43" s="8" t="s">
        <v>27</v>
      </c>
      <c r="B43" s="8">
        <v>6.0599999999999996E-6</v>
      </c>
      <c r="C43" s="8" t="s">
        <v>9</v>
      </c>
      <c r="I43" s="8" t="s">
        <v>601</v>
      </c>
    </row>
    <row r="44" spans="1:9" x14ac:dyDescent="0.25">
      <c r="A44" s="1" t="s">
        <v>20</v>
      </c>
    </row>
    <row r="45" spans="1:9" x14ac:dyDescent="0.25">
      <c r="A45" s="8" t="s">
        <v>28</v>
      </c>
      <c r="B45" s="8">
        <v>1.46E-4</v>
      </c>
      <c r="C45" s="8" t="s">
        <v>9</v>
      </c>
      <c r="I45" s="8" t="s">
        <v>601</v>
      </c>
    </row>
    <row r="46" spans="1:9" x14ac:dyDescent="0.25">
      <c r="A46" s="8" t="s">
        <v>46</v>
      </c>
      <c r="B46" s="8">
        <v>2.6600000000000003E-7</v>
      </c>
      <c r="C46" s="8" t="s">
        <v>9</v>
      </c>
      <c r="I46" s="8" t="s">
        <v>601</v>
      </c>
    </row>
    <row r="47" spans="1:9" x14ac:dyDescent="0.25">
      <c r="A47" s="8" t="s">
        <v>51</v>
      </c>
      <c r="B47" s="8">
        <v>2.7500000000000001E-8</v>
      </c>
      <c r="C47" s="8" t="s">
        <v>9</v>
      </c>
      <c r="I47" s="8" t="s">
        <v>601</v>
      </c>
    </row>
    <row r="48" spans="1:9" x14ac:dyDescent="0.25">
      <c r="A48" s="8" t="s">
        <v>22</v>
      </c>
      <c r="B48" s="8">
        <v>1.2E-5</v>
      </c>
      <c r="C48" s="8" t="s">
        <v>9</v>
      </c>
      <c r="I48" s="8" t="s">
        <v>601</v>
      </c>
    </row>
    <row r="49" spans="1:9" x14ac:dyDescent="0.25">
      <c r="A49" s="8" t="s">
        <v>52</v>
      </c>
      <c r="B49" s="8">
        <v>1.37E-7</v>
      </c>
      <c r="C49" s="8" t="s">
        <v>9</v>
      </c>
      <c r="I49" s="8" t="s">
        <v>601</v>
      </c>
    </row>
    <row r="50" spans="1:9" x14ac:dyDescent="0.25">
      <c r="A50" s="8" t="s">
        <v>49</v>
      </c>
      <c r="B50" s="8">
        <v>2.7500000000000001E-7</v>
      </c>
      <c r="C50" s="8" t="s">
        <v>9</v>
      </c>
      <c r="I50" s="8" t="s">
        <v>601</v>
      </c>
    </row>
    <row r="51" spans="1:9" x14ac:dyDescent="0.25">
      <c r="A51" s="8" t="s">
        <v>147</v>
      </c>
      <c r="B51" s="8">
        <v>1.2300000000000001E-6</v>
      </c>
      <c r="C51" s="8" t="s">
        <v>9</v>
      </c>
      <c r="I51" s="8" t="s">
        <v>601</v>
      </c>
    </row>
    <row r="52" spans="1:9" x14ac:dyDescent="0.25">
      <c r="A52" s="8" t="s">
        <v>23</v>
      </c>
      <c r="B52" s="8">
        <v>3.7799999999999997E-5</v>
      </c>
      <c r="C52" s="8" t="s">
        <v>9</v>
      </c>
      <c r="I52" s="8" t="s">
        <v>601</v>
      </c>
    </row>
    <row r="53" spans="1:9" x14ac:dyDescent="0.25">
      <c r="A53" s="8" t="s">
        <v>48</v>
      </c>
      <c r="B53" s="8">
        <v>2.7500000000000001E-8</v>
      </c>
      <c r="C53" s="8" t="s">
        <v>9</v>
      </c>
      <c r="I53" s="8" t="s">
        <v>601</v>
      </c>
    </row>
    <row r="54" spans="1:9" x14ac:dyDescent="0.25">
      <c r="A54" s="8" t="s">
        <v>27</v>
      </c>
      <c r="B54" s="8">
        <v>4.2599999999999999E-6</v>
      </c>
      <c r="C54" s="8" t="s">
        <v>9</v>
      </c>
      <c r="I54" s="8" t="s">
        <v>601</v>
      </c>
    </row>
    <row r="55" spans="1:9" x14ac:dyDescent="0.25">
      <c r="A55" s="8" t="s">
        <v>93</v>
      </c>
      <c r="B55" s="8">
        <v>1.35213595644984E-2</v>
      </c>
      <c r="C55" s="8" t="s">
        <v>41</v>
      </c>
      <c r="I55" s="8" t="s">
        <v>601</v>
      </c>
    </row>
    <row r="56" spans="1:9" x14ac:dyDescent="0.25">
      <c r="A56" s="8" t="s">
        <v>45</v>
      </c>
      <c r="B56" s="8">
        <v>7.7800000000000001E-7</v>
      </c>
      <c r="C56" s="8" t="s">
        <v>9</v>
      </c>
      <c r="I56" s="8" t="s">
        <v>601</v>
      </c>
    </row>
    <row r="57" spans="1:9" x14ac:dyDescent="0.25">
      <c r="A57" s="8" t="s">
        <v>26</v>
      </c>
      <c r="B57" s="8">
        <v>2.0599999999999999E-7</v>
      </c>
      <c r="C57" s="8" t="s">
        <v>9</v>
      </c>
      <c r="I57" s="8" t="s">
        <v>601</v>
      </c>
    </row>
    <row r="58" spans="1:9" x14ac:dyDescent="0.25">
      <c r="A58" s="8" t="s">
        <v>340</v>
      </c>
      <c r="B58" s="8">
        <v>1.73E-6</v>
      </c>
      <c r="C58" s="8" t="s">
        <v>9</v>
      </c>
      <c r="I58" s="8" t="s">
        <v>601</v>
      </c>
    </row>
    <row r="59" spans="1:9" x14ac:dyDescent="0.25">
      <c r="A59" s="8" t="s">
        <v>67</v>
      </c>
      <c r="B59" s="8">
        <v>5.6100000000000001E-7</v>
      </c>
      <c r="C59" s="8" t="s">
        <v>9</v>
      </c>
      <c r="I59" s="8" t="s">
        <v>601</v>
      </c>
    </row>
    <row r="60" spans="1:9" x14ac:dyDescent="0.25">
      <c r="A60" s="8" t="s">
        <v>25</v>
      </c>
      <c r="B60" s="8">
        <v>4.9500000000000003E-7</v>
      </c>
      <c r="C60" s="8" t="s">
        <v>9</v>
      </c>
      <c r="I60" s="8" t="s">
        <v>601</v>
      </c>
    </row>
    <row r="61" spans="1:9" x14ac:dyDescent="0.25">
      <c r="A61" s="8" t="s">
        <v>24</v>
      </c>
      <c r="B61" s="8">
        <v>3.8000000000000002E-5</v>
      </c>
      <c r="C61" s="8" t="s">
        <v>9</v>
      </c>
      <c r="I61" s="8" t="s">
        <v>601</v>
      </c>
    </row>
    <row r="62" spans="1:9" x14ac:dyDescent="0.25">
      <c r="A62" s="8" t="s">
        <v>21</v>
      </c>
      <c r="B62" s="8">
        <v>1.2E-5</v>
      </c>
      <c r="C62" s="8" t="s">
        <v>9</v>
      </c>
      <c r="I62" s="8" t="s">
        <v>601</v>
      </c>
    </row>
    <row r="63" spans="1:9" x14ac:dyDescent="0.25">
      <c r="A63" s="8" t="s">
        <v>116</v>
      </c>
      <c r="B63" s="8">
        <v>1.3E-7</v>
      </c>
      <c r="C63" s="8" t="s">
        <v>9</v>
      </c>
      <c r="I63" s="8" t="s">
        <v>601</v>
      </c>
    </row>
    <row r="64" spans="1:9" x14ac:dyDescent="0.25">
      <c r="A64" s="1" t="s">
        <v>94</v>
      </c>
    </row>
    <row r="65" spans="1:9" x14ac:dyDescent="0.25">
      <c r="A65" s="8" t="s">
        <v>324</v>
      </c>
      <c r="B65" s="8">
        <v>4.8299999999999998E-4</v>
      </c>
      <c r="C65" s="8" t="s">
        <v>9</v>
      </c>
      <c r="I65" s="8" t="s">
        <v>601</v>
      </c>
    </row>
    <row r="66" spans="1:9" x14ac:dyDescent="0.25">
      <c r="A66" s="8" t="s">
        <v>96</v>
      </c>
      <c r="B66" s="8">
        <v>2.13E-4</v>
      </c>
      <c r="C66" s="8" t="s">
        <v>9</v>
      </c>
      <c r="I66" s="8" t="s">
        <v>601</v>
      </c>
    </row>
    <row r="67" spans="1:9" x14ac:dyDescent="0.25">
      <c r="A67" s="8" t="s">
        <v>341</v>
      </c>
      <c r="B67" s="8">
        <v>1.6299999999999999E-2</v>
      </c>
      <c r="C67" s="8" t="s">
        <v>9</v>
      </c>
      <c r="I67" s="8" t="s">
        <v>601</v>
      </c>
    </row>
    <row r="68" spans="1:9" x14ac:dyDescent="0.25">
      <c r="A68" s="8" t="s">
        <v>323</v>
      </c>
      <c r="B68" s="8">
        <v>1.31E-3</v>
      </c>
      <c r="C68" s="8" t="s">
        <v>9</v>
      </c>
      <c r="I68" s="8" t="s">
        <v>601</v>
      </c>
    </row>
    <row r="69" spans="1:9" x14ac:dyDescent="0.25">
      <c r="A69" s="8" t="s">
        <v>342</v>
      </c>
      <c r="B69" s="8">
        <v>2.23E-4</v>
      </c>
      <c r="C69" s="8" t="s">
        <v>9</v>
      </c>
      <c r="I69" s="8" t="s">
        <v>601</v>
      </c>
    </row>
    <row r="70" spans="1:9" x14ac:dyDescent="0.25">
      <c r="A70" s="8" t="s">
        <v>343</v>
      </c>
      <c r="B70" s="8">
        <v>7.0800000000000004E-11</v>
      </c>
      <c r="C70" s="8" t="s">
        <v>9</v>
      </c>
      <c r="I70" s="8" t="s">
        <v>601</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tabColor theme="9" tint="0.59999389629810485"/>
  </sheetPr>
  <dimension ref="A3:J70"/>
  <sheetViews>
    <sheetView topLeftCell="A10" workbookViewId="0">
      <selection activeCell="C35" sqref="C35"/>
    </sheetView>
  </sheetViews>
  <sheetFormatPr defaultColWidth="9.140625" defaultRowHeight="15" x14ac:dyDescent="0.25"/>
  <cols>
    <col min="1" max="1" width="67.28515625" style="8" customWidth="1"/>
    <col min="2" max="2" width="21.85546875" style="8" customWidth="1"/>
    <col min="3" max="16384" width="9.140625" style="8"/>
  </cols>
  <sheetData>
    <row r="3" spans="1:10" x14ac:dyDescent="0.25">
      <c r="A3" s="2" t="s">
        <v>345</v>
      </c>
      <c r="B3" s="2"/>
      <c r="C3" s="2"/>
      <c r="D3" s="2"/>
      <c r="E3" s="2"/>
      <c r="F3" s="1"/>
      <c r="G3" s="1"/>
      <c r="H3" s="1"/>
      <c r="I3" s="1"/>
      <c r="J3" s="1"/>
    </row>
    <row r="4" spans="1:10" x14ac:dyDescent="0.25">
      <c r="A4" s="1" t="s">
        <v>10</v>
      </c>
      <c r="B4" s="1" t="s">
        <v>2</v>
      </c>
      <c r="C4" s="1" t="s">
        <v>0</v>
      </c>
      <c r="D4" s="1"/>
      <c r="E4" s="1" t="s">
        <v>3</v>
      </c>
      <c r="F4" s="1" t="s">
        <v>4</v>
      </c>
      <c r="G4" s="1" t="s">
        <v>5</v>
      </c>
      <c r="H4" s="1" t="s">
        <v>6</v>
      </c>
      <c r="I4" s="1" t="s">
        <v>7</v>
      </c>
      <c r="J4" s="1" t="s">
        <v>8</v>
      </c>
    </row>
    <row r="5" spans="1:10" x14ac:dyDescent="0.25">
      <c r="A5" s="8" t="s">
        <v>345</v>
      </c>
      <c r="B5" s="8">
        <v>1</v>
      </c>
      <c r="C5" s="8" t="s">
        <v>9</v>
      </c>
    </row>
    <row r="6" spans="1:10" x14ac:dyDescent="0.25">
      <c r="A6" s="1" t="s">
        <v>1</v>
      </c>
      <c r="B6" s="1" t="s">
        <v>2</v>
      </c>
      <c r="C6" s="1" t="s">
        <v>0</v>
      </c>
      <c r="D6" s="1"/>
      <c r="E6" s="1" t="s">
        <v>3</v>
      </c>
      <c r="F6" s="1" t="s">
        <v>4</v>
      </c>
      <c r="G6" s="1" t="s">
        <v>5</v>
      </c>
      <c r="H6" s="1" t="s">
        <v>6</v>
      </c>
      <c r="I6" s="1" t="s">
        <v>7</v>
      </c>
      <c r="J6" s="1" t="s">
        <v>8</v>
      </c>
    </row>
    <row r="7" spans="1:10" x14ac:dyDescent="0.25">
      <c r="A7" s="3" t="str">
        <f>A14</f>
        <v>Hot rolling, steel {RoW}| processing_Plate mill  | Alloc Rec, U_mr</v>
      </c>
      <c r="B7" s="9">
        <v>1</v>
      </c>
      <c r="C7" s="8" t="s">
        <v>9</v>
      </c>
    </row>
    <row r="8" spans="1:10" x14ac:dyDescent="0.25">
      <c r="A8" s="3" t="str">
        <f>'Rod bar mill'!A14</f>
        <v>Hot rolling, steel {RoW}| processing_Rod/bar mill  | Alloc Rec, U_mr</v>
      </c>
      <c r="B8" s="9">
        <v>0</v>
      </c>
      <c r="C8" s="8" t="s">
        <v>9</v>
      </c>
    </row>
    <row r="9" spans="1:10" x14ac:dyDescent="0.25">
      <c r="A9" s="3" t="s">
        <v>330</v>
      </c>
      <c r="B9" s="9">
        <v>0</v>
      </c>
      <c r="C9" s="8" t="s">
        <v>9</v>
      </c>
    </row>
    <row r="10" spans="1:10" x14ac:dyDescent="0.25">
      <c r="A10" s="3" t="s">
        <v>331</v>
      </c>
      <c r="B10" s="9">
        <v>0</v>
      </c>
      <c r="C10" s="8" t="s">
        <v>9</v>
      </c>
    </row>
    <row r="12" spans="1:10" x14ac:dyDescent="0.25">
      <c r="A12" s="2" t="s">
        <v>328</v>
      </c>
      <c r="B12" s="2"/>
      <c r="C12" s="2"/>
      <c r="D12" s="2"/>
      <c r="E12" s="2"/>
      <c r="F12" s="1"/>
      <c r="G12" s="1"/>
      <c r="H12" s="1"/>
      <c r="I12" s="1"/>
      <c r="J12" s="1"/>
    </row>
    <row r="13" spans="1:10" x14ac:dyDescent="0.25">
      <c r="A13" s="1" t="s">
        <v>10</v>
      </c>
      <c r="B13" s="1" t="s">
        <v>2</v>
      </c>
      <c r="C13" s="1" t="s">
        <v>0</v>
      </c>
      <c r="D13" s="1"/>
      <c r="E13" s="1" t="s">
        <v>3</v>
      </c>
      <c r="F13" s="1" t="s">
        <v>4</v>
      </c>
      <c r="G13" s="1" t="s">
        <v>5</v>
      </c>
      <c r="H13" s="1" t="s">
        <v>6</v>
      </c>
      <c r="I13" s="1" t="s">
        <v>7</v>
      </c>
      <c r="J13" s="1" t="s">
        <v>8</v>
      </c>
    </row>
    <row r="14" spans="1:10" x14ac:dyDescent="0.25">
      <c r="A14" s="8" t="s">
        <v>328</v>
      </c>
      <c r="B14" s="50">
        <f>1/RE_mill</f>
        <v>1.0500000004200001</v>
      </c>
      <c r="C14" s="8" t="s">
        <v>9</v>
      </c>
    </row>
    <row r="15" spans="1:10" x14ac:dyDescent="0.25">
      <c r="A15" s="1" t="s">
        <v>1</v>
      </c>
      <c r="B15" s="1" t="s">
        <v>2</v>
      </c>
      <c r="C15" s="1" t="s">
        <v>0</v>
      </c>
      <c r="D15" s="1"/>
      <c r="E15" s="1" t="s">
        <v>3</v>
      </c>
      <c r="F15" s="1" t="s">
        <v>4</v>
      </c>
      <c r="G15" s="1" t="s">
        <v>5</v>
      </c>
      <c r="H15" s="1" t="s">
        <v>6</v>
      </c>
      <c r="I15" s="1" t="s">
        <v>7</v>
      </c>
      <c r="J15" s="1" t="s">
        <v>8</v>
      </c>
    </row>
    <row r="16" spans="1:10" x14ac:dyDescent="0.25">
      <c r="A16" s="12" t="s">
        <v>326</v>
      </c>
      <c r="B16" s="8">
        <v>1.7040150679897101E-2</v>
      </c>
      <c r="C16" s="8" t="s">
        <v>41</v>
      </c>
      <c r="I16" s="8" t="s">
        <v>601</v>
      </c>
    </row>
    <row r="17" spans="1:9" x14ac:dyDescent="0.25">
      <c r="A17" s="8" t="s">
        <v>75</v>
      </c>
      <c r="B17" s="8">
        <v>3.4080301359794198E-3</v>
      </c>
      <c r="C17" s="8" t="s">
        <v>41</v>
      </c>
      <c r="I17" s="8" t="s">
        <v>601</v>
      </c>
    </row>
    <row r="18" spans="1:9" x14ac:dyDescent="0.25">
      <c r="A18" s="8" t="s">
        <v>332</v>
      </c>
      <c r="B18" s="8">
        <v>4.0400000000000002E-3</v>
      </c>
      <c r="C18" s="8" t="s">
        <v>9</v>
      </c>
      <c r="I18" s="8" t="s">
        <v>601</v>
      </c>
    </row>
    <row r="19" spans="1:9" x14ac:dyDescent="0.25">
      <c r="A19" s="8" t="s">
        <v>333</v>
      </c>
      <c r="B19" s="8">
        <v>1.62E-9</v>
      </c>
      <c r="C19" s="8" t="s">
        <v>61</v>
      </c>
      <c r="I19" s="8" t="s">
        <v>601</v>
      </c>
    </row>
    <row r="20" spans="1:9" x14ac:dyDescent="0.25">
      <c r="A20" s="8" t="s">
        <v>334</v>
      </c>
      <c r="B20" s="8">
        <v>4.9700000000000002E-5</v>
      </c>
      <c r="C20" s="8" t="s">
        <v>9</v>
      </c>
      <c r="I20" s="8" t="s">
        <v>601</v>
      </c>
    </row>
    <row r="21" spans="1:9" x14ac:dyDescent="0.25">
      <c r="A21" s="8" t="s">
        <v>335</v>
      </c>
      <c r="B21" s="8">
        <v>1.8900000000000001E-11</v>
      </c>
      <c r="C21" s="8" t="s">
        <v>9</v>
      </c>
      <c r="I21" s="8" t="s">
        <v>601</v>
      </c>
    </row>
    <row r="22" spans="1:9" x14ac:dyDescent="0.25">
      <c r="A22" s="8" t="s">
        <v>336</v>
      </c>
      <c r="B22" s="8">
        <v>2.3600000000000001E-11</v>
      </c>
      <c r="C22" s="8" t="s">
        <v>9</v>
      </c>
      <c r="I22" s="8" t="s">
        <v>601</v>
      </c>
    </row>
    <row r="23" spans="1:9" x14ac:dyDescent="0.25">
      <c r="A23" s="3" t="str">
        <f>'Other processes'!A309</f>
        <v>Oxygen, liquid {RER}| market for | Alloc Rec, U_mr</v>
      </c>
      <c r="B23" s="8">
        <v>7.1399999999999996E-3</v>
      </c>
      <c r="C23" s="8" t="s">
        <v>9</v>
      </c>
      <c r="I23" s="8" t="s">
        <v>601</v>
      </c>
    </row>
    <row r="24" spans="1:9" x14ac:dyDescent="0.25">
      <c r="A24" s="8" t="s">
        <v>337</v>
      </c>
      <c r="B24" s="8">
        <v>4.7200000000000001E-12</v>
      </c>
      <c r="C24" s="8" t="s">
        <v>9</v>
      </c>
      <c r="I24" s="8" t="s">
        <v>601</v>
      </c>
    </row>
    <row r="25" spans="1:9" x14ac:dyDescent="0.25">
      <c r="A25" s="8" t="s">
        <v>338</v>
      </c>
      <c r="B25" s="8">
        <v>1.4500000000000001E-8</v>
      </c>
      <c r="C25" s="8" t="s">
        <v>9</v>
      </c>
      <c r="I25" s="8" t="s">
        <v>601</v>
      </c>
    </row>
    <row r="26" spans="1:9" x14ac:dyDescent="0.25">
      <c r="A26" s="8" t="s">
        <v>339</v>
      </c>
      <c r="B26" s="8">
        <v>5.2999999999999998E-4</v>
      </c>
      <c r="C26" s="8" t="s">
        <v>9</v>
      </c>
      <c r="I26" s="8" t="s">
        <v>601</v>
      </c>
    </row>
    <row r="27" spans="1:9" x14ac:dyDescent="0.25">
      <c r="A27" s="3" t="str">
        <f>'Electricity generation'!$A$32</f>
        <v>Electricity, global mix, medium voltage_mr_Scope 2</v>
      </c>
      <c r="B27" s="50">
        <f>PtM_electricity/RE_mill</f>
        <v>0.49350000019739998</v>
      </c>
      <c r="C27" s="8" t="s">
        <v>14</v>
      </c>
    </row>
    <row r="28" spans="1:9" x14ac:dyDescent="0.25">
      <c r="A28" s="3" t="str">
        <f>'Other processes'!$A$5</f>
        <v>Coke {GLO}| market for | Alloc Rec, U_mr_Scope 2</v>
      </c>
      <c r="B28" s="50">
        <f>PtM_CokeGas/RE_mill</f>
        <v>9.45000000378E-2</v>
      </c>
      <c r="C28" s="8" t="s">
        <v>14</v>
      </c>
    </row>
    <row r="29" spans="1:9" x14ac:dyDescent="0.25">
      <c r="A29" s="3" t="str">
        <f>Sintering!$A$55</f>
        <v>Sinter, iron {GLO}| Natural Gas use | Alloc Rec, U_mr_Scope 2</v>
      </c>
      <c r="B29" s="50">
        <f>(PtM_NatGas/heating_value_NatGas)/RE_mill</f>
        <v>7.3319179080990796E-2</v>
      </c>
      <c r="C29" s="8" t="s">
        <v>41</v>
      </c>
    </row>
    <row r="30" spans="1:9" x14ac:dyDescent="0.25">
      <c r="A30" s="1" t="s">
        <v>16</v>
      </c>
    </row>
    <row r="31" spans="1:9" x14ac:dyDescent="0.25">
      <c r="A31" s="8" t="s">
        <v>46</v>
      </c>
      <c r="B31" s="8">
        <v>7.1799999999999994E-8</v>
      </c>
      <c r="C31" s="8" t="s">
        <v>9</v>
      </c>
      <c r="I31" s="8" t="s">
        <v>601</v>
      </c>
    </row>
    <row r="32" spans="1:9" x14ac:dyDescent="0.25">
      <c r="A32" s="8" t="s">
        <v>71</v>
      </c>
      <c r="B32" s="8">
        <v>1.7900000000000001E-5</v>
      </c>
      <c r="C32" s="8" t="s">
        <v>9</v>
      </c>
      <c r="I32" s="8" t="s">
        <v>601</v>
      </c>
    </row>
    <row r="33" spans="1:9" x14ac:dyDescent="0.25">
      <c r="A33" s="8" t="s">
        <v>25</v>
      </c>
      <c r="B33" s="8">
        <v>3.7399999999999999E-7</v>
      </c>
      <c r="C33" s="8" t="s">
        <v>9</v>
      </c>
      <c r="I33" s="8" t="s">
        <v>601</v>
      </c>
    </row>
    <row r="34" spans="1:9" x14ac:dyDescent="0.25">
      <c r="A34" s="8" t="s">
        <v>142</v>
      </c>
      <c r="B34" s="8">
        <v>2.8299999999999999E-4</v>
      </c>
      <c r="C34" s="8" t="s">
        <v>9</v>
      </c>
      <c r="I34" s="8" t="s">
        <v>601</v>
      </c>
    </row>
    <row r="35" spans="1:9" x14ac:dyDescent="0.25">
      <c r="A35" s="8" t="s">
        <v>44</v>
      </c>
      <c r="B35" s="8">
        <v>6.9268212513781697E-3</v>
      </c>
      <c r="C35" s="8" t="s">
        <v>41</v>
      </c>
      <c r="I35" s="8" t="s">
        <v>601</v>
      </c>
    </row>
    <row r="36" spans="1:9" x14ac:dyDescent="0.25">
      <c r="A36" s="8" t="s">
        <v>17</v>
      </c>
      <c r="B36" s="8">
        <v>2.7500000000000001E-5</v>
      </c>
      <c r="C36" s="8" t="s">
        <v>9</v>
      </c>
      <c r="I36" s="8" t="s">
        <v>601</v>
      </c>
    </row>
    <row r="37" spans="1:9" x14ac:dyDescent="0.25">
      <c r="A37" s="8" t="s">
        <v>15</v>
      </c>
      <c r="B37" s="8">
        <v>1.31E-5</v>
      </c>
      <c r="C37" s="8" t="s">
        <v>9</v>
      </c>
      <c r="I37" s="8" t="s">
        <v>601</v>
      </c>
    </row>
    <row r="38" spans="1:9" x14ac:dyDescent="0.25">
      <c r="A38" s="8" t="s">
        <v>49</v>
      </c>
      <c r="B38" s="8">
        <v>1.77E-8</v>
      </c>
      <c r="C38" s="8" t="s">
        <v>9</v>
      </c>
      <c r="I38" s="8" t="s">
        <v>601</v>
      </c>
    </row>
    <row r="39" spans="1:9" x14ac:dyDescent="0.25">
      <c r="A39" s="8" t="s">
        <v>67</v>
      </c>
      <c r="B39" s="8">
        <v>2.1899999999999999E-7</v>
      </c>
      <c r="C39" s="8" t="s">
        <v>9</v>
      </c>
      <c r="I39" s="8" t="s">
        <v>601</v>
      </c>
    </row>
    <row r="40" spans="1:9" x14ac:dyDescent="0.25">
      <c r="A40" s="8" t="s">
        <v>18</v>
      </c>
      <c r="B40" s="8">
        <v>2.2399999999999999E-5</v>
      </c>
      <c r="C40" s="8" t="s">
        <v>9</v>
      </c>
      <c r="I40" s="8" t="s">
        <v>601</v>
      </c>
    </row>
    <row r="41" spans="1:9" x14ac:dyDescent="0.25">
      <c r="A41" s="8" t="s">
        <v>45</v>
      </c>
      <c r="B41" s="8">
        <v>2.4400000000000001E-7</v>
      </c>
      <c r="C41" s="8" t="s">
        <v>9</v>
      </c>
      <c r="I41" s="8" t="s">
        <v>601</v>
      </c>
    </row>
    <row r="42" spans="1:9" x14ac:dyDescent="0.25">
      <c r="A42" s="8" t="s">
        <v>89</v>
      </c>
      <c r="B42" s="8">
        <v>2.7500000000000001E-5</v>
      </c>
      <c r="C42" s="8" t="s">
        <v>9</v>
      </c>
      <c r="I42" s="8" t="s">
        <v>601</v>
      </c>
    </row>
    <row r="43" spans="1:9" x14ac:dyDescent="0.25">
      <c r="A43" s="8" t="s">
        <v>27</v>
      </c>
      <c r="B43" s="8">
        <v>6.0599999999999996E-6</v>
      </c>
      <c r="C43" s="8" t="s">
        <v>9</v>
      </c>
      <c r="I43" s="8" t="s">
        <v>601</v>
      </c>
    </row>
    <row r="44" spans="1:9" x14ac:dyDescent="0.25">
      <c r="A44" s="1" t="s">
        <v>20</v>
      </c>
    </row>
    <row r="45" spans="1:9" x14ac:dyDescent="0.25">
      <c r="A45" s="8" t="s">
        <v>28</v>
      </c>
      <c r="B45" s="8">
        <v>1.46E-4</v>
      </c>
      <c r="C45" s="8" t="s">
        <v>9</v>
      </c>
      <c r="I45" s="8" t="s">
        <v>601</v>
      </c>
    </row>
    <row r="46" spans="1:9" x14ac:dyDescent="0.25">
      <c r="A46" s="8" t="s">
        <v>46</v>
      </c>
      <c r="B46" s="8">
        <v>2.6600000000000003E-7</v>
      </c>
      <c r="C46" s="8" t="s">
        <v>9</v>
      </c>
      <c r="I46" s="8" t="s">
        <v>601</v>
      </c>
    </row>
    <row r="47" spans="1:9" x14ac:dyDescent="0.25">
      <c r="A47" s="8" t="s">
        <v>51</v>
      </c>
      <c r="B47" s="8">
        <v>2.7500000000000001E-8</v>
      </c>
      <c r="C47" s="8" t="s">
        <v>9</v>
      </c>
      <c r="I47" s="8" t="s">
        <v>601</v>
      </c>
    </row>
    <row r="48" spans="1:9" x14ac:dyDescent="0.25">
      <c r="A48" s="8" t="s">
        <v>22</v>
      </c>
      <c r="B48" s="8">
        <v>1.2E-5</v>
      </c>
      <c r="C48" s="8" t="s">
        <v>9</v>
      </c>
      <c r="I48" s="8" t="s">
        <v>601</v>
      </c>
    </row>
    <row r="49" spans="1:9" x14ac:dyDescent="0.25">
      <c r="A49" s="8" t="s">
        <v>52</v>
      </c>
      <c r="B49" s="8">
        <v>1.37E-7</v>
      </c>
      <c r="C49" s="8" t="s">
        <v>9</v>
      </c>
      <c r="I49" s="8" t="s">
        <v>601</v>
      </c>
    </row>
    <row r="50" spans="1:9" x14ac:dyDescent="0.25">
      <c r="A50" s="8" t="s">
        <v>49</v>
      </c>
      <c r="B50" s="8">
        <v>2.7500000000000001E-7</v>
      </c>
      <c r="C50" s="8" t="s">
        <v>9</v>
      </c>
      <c r="I50" s="8" t="s">
        <v>601</v>
      </c>
    </row>
    <row r="51" spans="1:9" x14ac:dyDescent="0.25">
      <c r="A51" s="8" t="s">
        <v>147</v>
      </c>
      <c r="B51" s="8">
        <v>1.2300000000000001E-6</v>
      </c>
      <c r="C51" s="8" t="s">
        <v>9</v>
      </c>
      <c r="I51" s="8" t="s">
        <v>601</v>
      </c>
    </row>
    <row r="52" spans="1:9" x14ac:dyDescent="0.25">
      <c r="A52" s="8" t="s">
        <v>23</v>
      </c>
      <c r="B52" s="8">
        <v>3.7799999999999997E-5</v>
      </c>
      <c r="C52" s="8" t="s">
        <v>9</v>
      </c>
      <c r="I52" s="8" t="s">
        <v>601</v>
      </c>
    </row>
    <row r="53" spans="1:9" x14ac:dyDescent="0.25">
      <c r="A53" s="8" t="s">
        <v>48</v>
      </c>
      <c r="B53" s="8">
        <v>2.7500000000000001E-8</v>
      </c>
      <c r="C53" s="8" t="s">
        <v>9</v>
      </c>
      <c r="I53" s="8" t="s">
        <v>601</v>
      </c>
    </row>
    <row r="54" spans="1:9" x14ac:dyDescent="0.25">
      <c r="A54" s="8" t="s">
        <v>27</v>
      </c>
      <c r="B54" s="8">
        <v>4.2599999999999999E-6</v>
      </c>
      <c r="C54" s="8" t="s">
        <v>9</v>
      </c>
      <c r="I54" s="8" t="s">
        <v>601</v>
      </c>
    </row>
    <row r="55" spans="1:9" x14ac:dyDescent="0.25">
      <c r="A55" s="8" t="s">
        <v>93</v>
      </c>
      <c r="B55" s="8">
        <v>1.35213595644984E-2</v>
      </c>
      <c r="C55" s="8" t="s">
        <v>41</v>
      </c>
      <c r="I55" s="8" t="s">
        <v>601</v>
      </c>
    </row>
    <row r="56" spans="1:9" x14ac:dyDescent="0.25">
      <c r="A56" s="8" t="s">
        <v>45</v>
      </c>
      <c r="B56" s="8">
        <v>7.7800000000000001E-7</v>
      </c>
      <c r="C56" s="8" t="s">
        <v>9</v>
      </c>
      <c r="I56" s="8" t="s">
        <v>601</v>
      </c>
    </row>
    <row r="57" spans="1:9" x14ac:dyDescent="0.25">
      <c r="A57" s="8" t="s">
        <v>26</v>
      </c>
      <c r="B57" s="8">
        <v>2.0599999999999999E-7</v>
      </c>
      <c r="C57" s="8" t="s">
        <v>9</v>
      </c>
      <c r="I57" s="8" t="s">
        <v>601</v>
      </c>
    </row>
    <row r="58" spans="1:9" x14ac:dyDescent="0.25">
      <c r="A58" s="8" t="s">
        <v>340</v>
      </c>
      <c r="B58" s="8">
        <v>1.73E-6</v>
      </c>
      <c r="C58" s="8" t="s">
        <v>9</v>
      </c>
      <c r="I58" s="8" t="s">
        <v>601</v>
      </c>
    </row>
    <row r="59" spans="1:9" x14ac:dyDescent="0.25">
      <c r="A59" s="8" t="s">
        <v>67</v>
      </c>
      <c r="B59" s="8">
        <v>5.6100000000000001E-7</v>
      </c>
      <c r="C59" s="8" t="s">
        <v>9</v>
      </c>
      <c r="I59" s="8" t="s">
        <v>601</v>
      </c>
    </row>
    <row r="60" spans="1:9" x14ac:dyDescent="0.25">
      <c r="A60" s="8" t="s">
        <v>25</v>
      </c>
      <c r="B60" s="8">
        <v>4.9500000000000003E-7</v>
      </c>
      <c r="C60" s="8" t="s">
        <v>9</v>
      </c>
      <c r="I60" s="8" t="s">
        <v>601</v>
      </c>
    </row>
    <row r="61" spans="1:9" x14ac:dyDescent="0.25">
      <c r="A61" s="8" t="s">
        <v>24</v>
      </c>
      <c r="B61" s="8">
        <v>3.8000000000000002E-5</v>
      </c>
      <c r="C61" s="8" t="s">
        <v>9</v>
      </c>
      <c r="I61" s="8" t="s">
        <v>601</v>
      </c>
    </row>
    <row r="62" spans="1:9" x14ac:dyDescent="0.25">
      <c r="A62" s="8" t="s">
        <v>21</v>
      </c>
      <c r="B62" s="8">
        <v>1.2E-5</v>
      </c>
      <c r="C62" s="8" t="s">
        <v>9</v>
      </c>
      <c r="I62" s="8" t="s">
        <v>601</v>
      </c>
    </row>
    <row r="63" spans="1:9" x14ac:dyDescent="0.25">
      <c r="A63" s="8" t="s">
        <v>116</v>
      </c>
      <c r="B63" s="8">
        <v>1.3E-7</v>
      </c>
      <c r="C63" s="8" t="s">
        <v>9</v>
      </c>
      <c r="I63" s="8" t="s">
        <v>601</v>
      </c>
    </row>
    <row r="64" spans="1:9" x14ac:dyDescent="0.25">
      <c r="A64" s="1" t="s">
        <v>94</v>
      </c>
    </row>
    <row r="65" spans="1:9" x14ac:dyDescent="0.25">
      <c r="A65" s="8" t="s">
        <v>324</v>
      </c>
      <c r="B65" s="8">
        <v>4.8299999999999998E-4</v>
      </c>
      <c r="C65" s="8" t="s">
        <v>9</v>
      </c>
      <c r="I65" s="8" t="s">
        <v>601</v>
      </c>
    </row>
    <row r="66" spans="1:9" x14ac:dyDescent="0.25">
      <c r="A66" s="8" t="s">
        <v>96</v>
      </c>
      <c r="B66" s="8">
        <v>2.13E-4</v>
      </c>
      <c r="C66" s="8" t="s">
        <v>9</v>
      </c>
      <c r="I66" s="8" t="s">
        <v>601</v>
      </c>
    </row>
    <row r="67" spans="1:9" x14ac:dyDescent="0.25">
      <c r="A67" s="8" t="s">
        <v>341</v>
      </c>
      <c r="B67" s="8">
        <v>1.6299999999999999E-2</v>
      </c>
      <c r="C67" s="8" t="s">
        <v>9</v>
      </c>
      <c r="I67" s="8" t="s">
        <v>601</v>
      </c>
    </row>
    <row r="68" spans="1:9" x14ac:dyDescent="0.25">
      <c r="A68" s="8" t="s">
        <v>323</v>
      </c>
      <c r="B68" s="8">
        <v>1.31E-3</v>
      </c>
      <c r="C68" s="8" t="s">
        <v>9</v>
      </c>
      <c r="I68" s="8" t="s">
        <v>601</v>
      </c>
    </row>
    <row r="69" spans="1:9" x14ac:dyDescent="0.25">
      <c r="A69" s="8" t="s">
        <v>342</v>
      </c>
      <c r="B69" s="8">
        <v>2.23E-4</v>
      </c>
      <c r="C69" s="8" t="s">
        <v>9</v>
      </c>
      <c r="I69" s="8" t="s">
        <v>601</v>
      </c>
    </row>
    <row r="70" spans="1:9" x14ac:dyDescent="0.25">
      <c r="A70" s="8" t="s">
        <v>343</v>
      </c>
      <c r="B70" s="8">
        <v>7.0800000000000004E-11</v>
      </c>
      <c r="C70" s="8" t="s">
        <v>9</v>
      </c>
      <c r="I70" s="8" t="s">
        <v>601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sheetPr>
  <dimension ref="A1:D33"/>
  <sheetViews>
    <sheetView zoomScale="175" zoomScaleNormal="175" workbookViewId="0">
      <selection activeCell="A15" sqref="A15"/>
    </sheetView>
  </sheetViews>
  <sheetFormatPr defaultRowHeight="15" x14ac:dyDescent="0.25"/>
  <cols>
    <col min="3" max="3" width="11.42578125" bestFit="1" customWidth="1"/>
    <col min="4" max="4" width="17" bestFit="1" customWidth="1"/>
  </cols>
  <sheetData>
    <row r="1" spans="1:2" x14ac:dyDescent="0.25">
      <c r="A1" s="86" t="s">
        <v>674</v>
      </c>
      <c r="B1" s="4"/>
    </row>
    <row r="2" spans="1:2" x14ac:dyDescent="0.25">
      <c r="A2" s="86" t="s">
        <v>675</v>
      </c>
      <c r="B2" s="4"/>
    </row>
    <row r="3" spans="1:2" x14ac:dyDescent="0.25">
      <c r="A3" s="86" t="s">
        <v>676</v>
      </c>
      <c r="B3" s="4"/>
    </row>
    <row r="4" spans="1:2" x14ac:dyDescent="0.25">
      <c r="A4" s="86" t="s">
        <v>677</v>
      </c>
      <c r="B4" s="4"/>
    </row>
    <row r="5" spans="1:2" x14ac:dyDescent="0.25">
      <c r="A5" s="86" t="s">
        <v>678</v>
      </c>
      <c r="B5" s="4"/>
    </row>
    <row r="6" spans="1:2" x14ac:dyDescent="0.25">
      <c r="A6" s="86" t="s">
        <v>679</v>
      </c>
      <c r="B6" s="4"/>
    </row>
    <row r="7" spans="1:2" x14ac:dyDescent="0.25">
      <c r="A7" s="86" t="s">
        <v>680</v>
      </c>
      <c r="B7" s="4"/>
    </row>
    <row r="8" spans="1:2" x14ac:dyDescent="0.25">
      <c r="A8" s="86" t="s">
        <v>673</v>
      </c>
      <c r="B8" s="4"/>
    </row>
    <row r="9" spans="1:2" x14ac:dyDescent="0.25">
      <c r="A9" s="86" t="s">
        <v>614</v>
      </c>
      <c r="B9" s="4"/>
    </row>
    <row r="10" spans="1:2" x14ac:dyDescent="0.25">
      <c r="A10" s="86" t="s">
        <v>468</v>
      </c>
      <c r="B10" s="4"/>
    </row>
    <row r="11" spans="1:2" x14ac:dyDescent="0.25">
      <c r="A11" s="86" t="s">
        <v>693</v>
      </c>
      <c r="B11" s="4"/>
    </row>
    <row r="12" spans="1:2" x14ac:dyDescent="0.25">
      <c r="A12" s="86" t="s">
        <v>692</v>
      </c>
      <c r="B12" s="4"/>
    </row>
    <row r="13" spans="1:2" x14ac:dyDescent="0.25">
      <c r="A13" s="86" t="s">
        <v>650</v>
      </c>
      <c r="B13" s="4"/>
    </row>
    <row r="14" spans="1:2" x14ac:dyDescent="0.25">
      <c r="A14" s="86" t="s">
        <v>681</v>
      </c>
      <c r="B14" s="4"/>
    </row>
    <row r="15" spans="1:2" x14ac:dyDescent="0.25">
      <c r="A15" s="86" t="s">
        <v>682</v>
      </c>
      <c r="B15" s="4"/>
    </row>
    <row r="16" spans="1:2" x14ac:dyDescent="0.25">
      <c r="A16" s="86" t="s">
        <v>565</v>
      </c>
      <c r="B16" s="4"/>
    </row>
    <row r="17" spans="1:2" x14ac:dyDescent="0.25">
      <c r="A17" s="86" t="s">
        <v>683</v>
      </c>
      <c r="B17" s="4"/>
    </row>
    <row r="18" spans="1:2" x14ac:dyDescent="0.25">
      <c r="A18" s="86" t="s">
        <v>684</v>
      </c>
      <c r="B18" s="4"/>
    </row>
    <row r="19" spans="1:2" x14ac:dyDescent="0.25">
      <c r="A19" s="86" t="s">
        <v>685</v>
      </c>
      <c r="B19" s="4"/>
    </row>
    <row r="20" spans="1:2" x14ac:dyDescent="0.25">
      <c r="A20" s="88" t="s">
        <v>687</v>
      </c>
      <c r="B20" s="4"/>
    </row>
    <row r="21" spans="1:2" x14ac:dyDescent="0.25">
      <c r="A21" s="86" t="s">
        <v>686</v>
      </c>
      <c r="B21" s="4"/>
    </row>
    <row r="22" spans="1:2" x14ac:dyDescent="0.25">
      <c r="A22" s="86" t="s">
        <v>688</v>
      </c>
      <c r="B22" s="4"/>
    </row>
    <row r="23" spans="1:2" x14ac:dyDescent="0.25">
      <c r="A23" s="86" t="s">
        <v>689</v>
      </c>
      <c r="B23" s="4"/>
    </row>
    <row r="24" spans="1:2" x14ac:dyDescent="0.25">
      <c r="A24" s="86" t="s">
        <v>690</v>
      </c>
      <c r="B24" s="4"/>
    </row>
    <row r="25" spans="1:2" x14ac:dyDescent="0.25">
      <c r="A25" s="86" t="s">
        <v>612</v>
      </c>
      <c r="B25" s="4"/>
    </row>
    <row r="26" spans="1:2" x14ac:dyDescent="0.25">
      <c r="A26" s="86" t="s">
        <v>691</v>
      </c>
      <c r="B26" s="4"/>
    </row>
    <row r="27" spans="1:2" x14ac:dyDescent="0.25">
      <c r="A27" s="86" t="s">
        <v>679</v>
      </c>
      <c r="B27" s="4"/>
    </row>
    <row r="28" spans="1:2" x14ac:dyDescent="0.25">
      <c r="A28" s="71"/>
    </row>
    <row r="29" spans="1:2" x14ac:dyDescent="0.25">
      <c r="A29" s="71"/>
    </row>
    <row r="33" spans="4:4" x14ac:dyDescent="0.25">
      <c r="D33" s="87"/>
    </row>
  </sheetData>
  <sortState ref="A1:A29">
    <sortCondition ref="A1:A29"/>
  </sortState>
  <pageMargins left="0.7" right="0.7" top="0.75" bottom="0.75" header="0.3" footer="0.3"/>
  <pageSetup paperSize="9" orientation="portrai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theme="9" tint="0.59999389629810485"/>
  </sheetPr>
  <dimension ref="A3:J70"/>
  <sheetViews>
    <sheetView topLeftCell="A10" workbookViewId="0">
      <selection activeCell="C35" sqref="C35"/>
    </sheetView>
  </sheetViews>
  <sheetFormatPr defaultColWidth="9.140625" defaultRowHeight="15" x14ac:dyDescent="0.25"/>
  <cols>
    <col min="1" max="1" width="67.28515625" style="8" customWidth="1"/>
    <col min="2" max="2" width="21.85546875" style="8" customWidth="1"/>
    <col min="3" max="16384" width="9.140625" style="8"/>
  </cols>
  <sheetData>
    <row r="3" spans="1:10" x14ac:dyDescent="0.25">
      <c r="A3" s="2" t="s">
        <v>344</v>
      </c>
      <c r="B3" s="2"/>
      <c r="C3" s="2"/>
      <c r="D3" s="2"/>
      <c r="E3" s="2"/>
      <c r="F3" s="1"/>
      <c r="G3" s="1"/>
      <c r="H3" s="1"/>
      <c r="I3" s="1"/>
      <c r="J3" s="1"/>
    </row>
    <row r="4" spans="1:10" x14ac:dyDescent="0.25">
      <c r="A4" s="1" t="s">
        <v>10</v>
      </c>
      <c r="B4" s="1" t="s">
        <v>2</v>
      </c>
      <c r="C4" s="1" t="s">
        <v>0</v>
      </c>
      <c r="D4" s="1"/>
      <c r="E4" s="1" t="s">
        <v>3</v>
      </c>
      <c r="F4" s="1" t="s">
        <v>4</v>
      </c>
      <c r="G4" s="1" t="s">
        <v>5</v>
      </c>
      <c r="H4" s="1" t="s">
        <v>6</v>
      </c>
      <c r="I4" s="1" t="s">
        <v>7</v>
      </c>
      <c r="J4" s="1" t="s">
        <v>8</v>
      </c>
    </row>
    <row r="5" spans="1:10" x14ac:dyDescent="0.25">
      <c r="A5" s="8" t="s">
        <v>344</v>
      </c>
      <c r="B5" s="8">
        <v>1</v>
      </c>
      <c r="C5" s="8" t="s">
        <v>9</v>
      </c>
    </row>
    <row r="6" spans="1:10" x14ac:dyDescent="0.25">
      <c r="A6" s="1" t="s">
        <v>1</v>
      </c>
      <c r="B6" s="1" t="s">
        <v>2</v>
      </c>
      <c r="C6" s="1" t="s">
        <v>0</v>
      </c>
      <c r="D6" s="1"/>
      <c r="E6" s="1" t="s">
        <v>3</v>
      </c>
      <c r="F6" s="1" t="s">
        <v>4</v>
      </c>
      <c r="G6" s="1" t="s">
        <v>5</v>
      </c>
      <c r="H6" s="1" t="s">
        <v>6</v>
      </c>
      <c r="I6" s="1" t="s">
        <v>7</v>
      </c>
      <c r="J6" s="1" t="s">
        <v>8</v>
      </c>
    </row>
    <row r="7" spans="1:10" x14ac:dyDescent="0.25">
      <c r="A7" s="3" t="str">
        <f>'Plate mill'!A14</f>
        <v>Hot rolling, steel {RoW}| processing_Plate mill  | Alloc Rec, U_mr</v>
      </c>
      <c r="B7" s="9">
        <v>0</v>
      </c>
      <c r="C7" s="8" t="s">
        <v>9</v>
      </c>
    </row>
    <row r="8" spans="1:10" x14ac:dyDescent="0.25">
      <c r="A8" s="3" t="str">
        <f>'Rod bar mill'!A14</f>
        <v>Hot rolling, steel {RoW}| processing_Rod/bar mill  | Alloc Rec, U_mr</v>
      </c>
      <c r="B8" s="9">
        <v>0</v>
      </c>
      <c r="C8" s="8" t="s">
        <v>9</v>
      </c>
    </row>
    <row r="9" spans="1:10" x14ac:dyDescent="0.25">
      <c r="A9" s="3" t="str">
        <f>A14</f>
        <v>Hot rolling, steel {RoW}| processing_Section mill  | Alloc Rec, U_mr</v>
      </c>
      <c r="B9" s="9">
        <v>1</v>
      </c>
      <c r="C9" s="8" t="s">
        <v>9</v>
      </c>
    </row>
    <row r="10" spans="1:10" x14ac:dyDescent="0.25">
      <c r="A10" s="3" t="s">
        <v>331</v>
      </c>
      <c r="B10" s="9">
        <v>0</v>
      </c>
      <c r="C10" s="8" t="s">
        <v>9</v>
      </c>
    </row>
    <row r="12" spans="1:10" x14ac:dyDescent="0.25">
      <c r="A12" s="2" t="s">
        <v>330</v>
      </c>
      <c r="B12" s="2"/>
      <c r="C12" s="2"/>
      <c r="D12" s="2"/>
      <c r="E12" s="2"/>
      <c r="F12" s="1"/>
      <c r="G12" s="1"/>
      <c r="H12" s="1"/>
      <c r="I12" s="1"/>
      <c r="J12" s="1"/>
    </row>
    <row r="13" spans="1:10" x14ac:dyDescent="0.25">
      <c r="A13" s="1" t="s">
        <v>10</v>
      </c>
      <c r="B13" s="1" t="s">
        <v>2</v>
      </c>
      <c r="C13" s="1" t="s">
        <v>0</v>
      </c>
      <c r="D13" s="1"/>
      <c r="E13" s="1" t="s">
        <v>3</v>
      </c>
      <c r="F13" s="1" t="s">
        <v>4</v>
      </c>
      <c r="G13" s="1" t="s">
        <v>5</v>
      </c>
      <c r="H13" s="1" t="s">
        <v>6</v>
      </c>
      <c r="I13" s="1" t="s">
        <v>7</v>
      </c>
      <c r="J13" s="1" t="s">
        <v>8</v>
      </c>
    </row>
    <row r="14" spans="1:10" x14ac:dyDescent="0.25">
      <c r="A14" s="8" t="s">
        <v>330</v>
      </c>
      <c r="B14" s="50">
        <f>1/RE_mill</f>
        <v>1.0500000004200001</v>
      </c>
      <c r="C14" s="8" t="s">
        <v>9</v>
      </c>
    </row>
    <row r="15" spans="1:10" x14ac:dyDescent="0.25">
      <c r="A15" s="1" t="s">
        <v>1</v>
      </c>
      <c r="B15" s="1" t="s">
        <v>2</v>
      </c>
      <c r="C15" s="1" t="s">
        <v>0</v>
      </c>
      <c r="D15" s="1"/>
      <c r="E15" s="1" t="s">
        <v>3</v>
      </c>
      <c r="F15" s="1" t="s">
        <v>4</v>
      </c>
      <c r="G15" s="1" t="s">
        <v>5</v>
      </c>
      <c r="H15" s="1" t="s">
        <v>6</v>
      </c>
      <c r="I15" s="1" t="s">
        <v>7</v>
      </c>
      <c r="J15" s="1" t="s">
        <v>8</v>
      </c>
    </row>
    <row r="16" spans="1:10" x14ac:dyDescent="0.25">
      <c r="A16" s="12" t="s">
        <v>326</v>
      </c>
      <c r="B16" s="8">
        <v>1.7040150679897101E-2</v>
      </c>
      <c r="C16" s="8" t="s">
        <v>41</v>
      </c>
      <c r="I16" s="8" t="s">
        <v>601</v>
      </c>
    </row>
    <row r="17" spans="1:9" x14ac:dyDescent="0.25">
      <c r="A17" s="8" t="s">
        <v>75</v>
      </c>
      <c r="B17" s="8">
        <v>3.4080301359794198E-3</v>
      </c>
      <c r="C17" s="8" t="s">
        <v>41</v>
      </c>
      <c r="I17" s="8" t="s">
        <v>601</v>
      </c>
    </row>
    <row r="18" spans="1:9" x14ac:dyDescent="0.25">
      <c r="A18" s="8" t="s">
        <v>332</v>
      </c>
      <c r="B18" s="8">
        <v>4.0400000000000002E-3</v>
      </c>
      <c r="C18" s="8" t="s">
        <v>9</v>
      </c>
      <c r="I18" s="8" t="s">
        <v>601</v>
      </c>
    </row>
    <row r="19" spans="1:9" x14ac:dyDescent="0.25">
      <c r="A19" s="8" t="s">
        <v>333</v>
      </c>
      <c r="B19" s="8">
        <v>1.62E-9</v>
      </c>
      <c r="C19" s="8" t="s">
        <v>61</v>
      </c>
      <c r="I19" s="8" t="s">
        <v>601</v>
      </c>
    </row>
    <row r="20" spans="1:9" x14ac:dyDescent="0.25">
      <c r="A20" s="8" t="s">
        <v>334</v>
      </c>
      <c r="B20" s="8">
        <v>4.9700000000000002E-5</v>
      </c>
      <c r="C20" s="8" t="s">
        <v>9</v>
      </c>
      <c r="I20" s="8" t="s">
        <v>601</v>
      </c>
    </row>
    <row r="21" spans="1:9" x14ac:dyDescent="0.25">
      <c r="A21" s="8" t="s">
        <v>335</v>
      </c>
      <c r="B21" s="8">
        <v>1.8900000000000001E-11</v>
      </c>
      <c r="C21" s="8" t="s">
        <v>9</v>
      </c>
      <c r="I21" s="8" t="s">
        <v>601</v>
      </c>
    </row>
    <row r="22" spans="1:9" x14ac:dyDescent="0.25">
      <c r="A22" s="8" t="s">
        <v>336</v>
      </c>
      <c r="B22" s="8">
        <v>2.3600000000000001E-11</v>
      </c>
      <c r="C22" s="8" t="s">
        <v>9</v>
      </c>
      <c r="I22" s="8" t="s">
        <v>601</v>
      </c>
    </row>
    <row r="23" spans="1:9" x14ac:dyDescent="0.25">
      <c r="A23" s="3" t="str">
        <f>'Other processes'!A309</f>
        <v>Oxygen, liquid {RER}| market for | Alloc Rec, U_mr</v>
      </c>
      <c r="B23" s="8">
        <v>7.1399999999999996E-3</v>
      </c>
      <c r="C23" s="8" t="s">
        <v>9</v>
      </c>
      <c r="I23" s="8" t="s">
        <v>601</v>
      </c>
    </row>
    <row r="24" spans="1:9" x14ac:dyDescent="0.25">
      <c r="A24" s="8" t="s">
        <v>337</v>
      </c>
      <c r="B24" s="8">
        <v>4.7200000000000001E-12</v>
      </c>
      <c r="C24" s="8" t="s">
        <v>9</v>
      </c>
      <c r="I24" s="8" t="s">
        <v>601</v>
      </c>
    </row>
    <row r="25" spans="1:9" x14ac:dyDescent="0.25">
      <c r="A25" s="8" t="s">
        <v>338</v>
      </c>
      <c r="B25" s="8">
        <v>1.4500000000000001E-8</v>
      </c>
      <c r="C25" s="8" t="s">
        <v>9</v>
      </c>
      <c r="I25" s="8" t="s">
        <v>601</v>
      </c>
    </row>
    <row r="26" spans="1:9" x14ac:dyDescent="0.25">
      <c r="A26" s="8" t="s">
        <v>339</v>
      </c>
      <c r="B26" s="8">
        <v>5.2999999999999998E-4</v>
      </c>
      <c r="C26" s="8" t="s">
        <v>9</v>
      </c>
      <c r="I26" s="8" t="s">
        <v>601</v>
      </c>
    </row>
    <row r="27" spans="1:9" x14ac:dyDescent="0.25">
      <c r="A27" s="3" t="str">
        <f>'Electricity generation'!$A$32</f>
        <v>Electricity, global mix, medium voltage_mr_Scope 2</v>
      </c>
      <c r="B27" s="50">
        <f>SeM_electricity/RE_mill</f>
        <v>0.42000000016800004</v>
      </c>
      <c r="C27" s="8" t="s">
        <v>14</v>
      </c>
    </row>
    <row r="28" spans="1:9" x14ac:dyDescent="0.25">
      <c r="A28" s="3" t="str">
        <f>'Other processes'!$A$5</f>
        <v>Coke {GLO}| market for | Alloc Rec, U_mr_Scope 2</v>
      </c>
      <c r="B28" s="50">
        <f>SeM_CokeGas/RE_mill</f>
        <v>3.1500000012599998E-2</v>
      </c>
      <c r="C28" s="8" t="s">
        <v>14</v>
      </c>
    </row>
    <row r="29" spans="1:9" x14ac:dyDescent="0.25">
      <c r="A29" s="3" t="str">
        <f>Sintering!$A$55</f>
        <v>Sinter, iron {GLO}| Natural Gas use | Alloc Rec, U_mr_Scope 2</v>
      </c>
      <c r="B29" s="50">
        <f>(SeM_NatGas/heating_value_NatGas)/RE_mill</f>
        <v>5.1521585300155701E-2</v>
      </c>
      <c r="C29" s="8" t="s">
        <v>41</v>
      </c>
    </row>
    <row r="30" spans="1:9" x14ac:dyDescent="0.25">
      <c r="A30" s="1" t="s">
        <v>16</v>
      </c>
    </row>
    <row r="31" spans="1:9" x14ac:dyDescent="0.25">
      <c r="A31" s="8" t="s">
        <v>46</v>
      </c>
      <c r="B31" s="8">
        <v>7.1799999999999994E-8</v>
      </c>
      <c r="C31" s="8" t="s">
        <v>9</v>
      </c>
      <c r="I31" s="8" t="s">
        <v>601</v>
      </c>
    </row>
    <row r="32" spans="1:9" x14ac:dyDescent="0.25">
      <c r="A32" s="8" t="s">
        <v>71</v>
      </c>
      <c r="B32" s="8">
        <v>1.7900000000000001E-5</v>
      </c>
      <c r="C32" s="8" t="s">
        <v>9</v>
      </c>
      <c r="I32" s="8" t="s">
        <v>601</v>
      </c>
    </row>
    <row r="33" spans="1:9" x14ac:dyDescent="0.25">
      <c r="A33" s="8" t="s">
        <v>25</v>
      </c>
      <c r="B33" s="8">
        <v>3.7399999999999999E-7</v>
      </c>
      <c r="C33" s="8" t="s">
        <v>9</v>
      </c>
      <c r="I33" s="8" t="s">
        <v>601</v>
      </c>
    </row>
    <row r="34" spans="1:9" x14ac:dyDescent="0.25">
      <c r="A34" s="8" t="s">
        <v>142</v>
      </c>
      <c r="B34" s="8">
        <v>2.8299999999999999E-4</v>
      </c>
      <c r="C34" s="8" t="s">
        <v>9</v>
      </c>
      <c r="I34" s="8" t="s">
        <v>601</v>
      </c>
    </row>
    <row r="35" spans="1:9" x14ac:dyDescent="0.25">
      <c r="A35" s="8" t="s">
        <v>44</v>
      </c>
      <c r="B35" s="8">
        <v>6.9268212513781697E-3</v>
      </c>
      <c r="C35" s="8" t="s">
        <v>41</v>
      </c>
      <c r="I35" s="8" t="s">
        <v>601</v>
      </c>
    </row>
    <row r="36" spans="1:9" x14ac:dyDescent="0.25">
      <c r="A36" s="8" t="s">
        <v>17</v>
      </c>
      <c r="B36" s="8">
        <v>2.7500000000000001E-5</v>
      </c>
      <c r="C36" s="8" t="s">
        <v>9</v>
      </c>
      <c r="I36" s="8" t="s">
        <v>601</v>
      </c>
    </row>
    <row r="37" spans="1:9" x14ac:dyDescent="0.25">
      <c r="A37" s="8" t="s">
        <v>15</v>
      </c>
      <c r="B37" s="8">
        <v>1.31E-5</v>
      </c>
      <c r="C37" s="8" t="s">
        <v>9</v>
      </c>
      <c r="I37" s="8" t="s">
        <v>601</v>
      </c>
    </row>
    <row r="38" spans="1:9" x14ac:dyDescent="0.25">
      <c r="A38" s="8" t="s">
        <v>49</v>
      </c>
      <c r="B38" s="8">
        <v>1.77E-8</v>
      </c>
      <c r="C38" s="8" t="s">
        <v>9</v>
      </c>
      <c r="I38" s="8" t="s">
        <v>601</v>
      </c>
    </row>
    <row r="39" spans="1:9" x14ac:dyDescent="0.25">
      <c r="A39" s="8" t="s">
        <v>67</v>
      </c>
      <c r="B39" s="8">
        <v>2.1899999999999999E-7</v>
      </c>
      <c r="C39" s="8" t="s">
        <v>9</v>
      </c>
      <c r="I39" s="8" t="s">
        <v>601</v>
      </c>
    </row>
    <row r="40" spans="1:9" x14ac:dyDescent="0.25">
      <c r="A40" s="8" t="s">
        <v>18</v>
      </c>
      <c r="B40" s="8">
        <v>2.2399999999999999E-5</v>
      </c>
      <c r="C40" s="8" t="s">
        <v>9</v>
      </c>
      <c r="I40" s="8" t="s">
        <v>601</v>
      </c>
    </row>
    <row r="41" spans="1:9" x14ac:dyDescent="0.25">
      <c r="A41" s="8" t="s">
        <v>45</v>
      </c>
      <c r="B41" s="8">
        <v>2.4400000000000001E-7</v>
      </c>
      <c r="C41" s="8" t="s">
        <v>9</v>
      </c>
      <c r="I41" s="8" t="s">
        <v>601</v>
      </c>
    </row>
    <row r="42" spans="1:9" x14ac:dyDescent="0.25">
      <c r="A42" s="8" t="s">
        <v>89</v>
      </c>
      <c r="B42" s="8">
        <v>2.7500000000000001E-5</v>
      </c>
      <c r="C42" s="8" t="s">
        <v>9</v>
      </c>
      <c r="I42" s="8" t="s">
        <v>601</v>
      </c>
    </row>
    <row r="43" spans="1:9" x14ac:dyDescent="0.25">
      <c r="A43" s="8" t="s">
        <v>27</v>
      </c>
      <c r="B43" s="8">
        <v>6.0599999999999996E-6</v>
      </c>
      <c r="C43" s="8" t="s">
        <v>9</v>
      </c>
      <c r="I43" s="8" t="s">
        <v>601</v>
      </c>
    </row>
    <row r="44" spans="1:9" x14ac:dyDescent="0.25">
      <c r="A44" s="1" t="s">
        <v>20</v>
      </c>
    </row>
    <row r="45" spans="1:9" x14ac:dyDescent="0.25">
      <c r="A45" s="8" t="s">
        <v>28</v>
      </c>
      <c r="B45" s="8">
        <v>1.46E-4</v>
      </c>
      <c r="C45" s="8" t="s">
        <v>9</v>
      </c>
      <c r="I45" s="8" t="s">
        <v>601</v>
      </c>
    </row>
    <row r="46" spans="1:9" x14ac:dyDescent="0.25">
      <c r="A46" s="8" t="s">
        <v>46</v>
      </c>
      <c r="B46" s="8">
        <v>2.6600000000000003E-7</v>
      </c>
      <c r="C46" s="8" t="s">
        <v>9</v>
      </c>
      <c r="I46" s="8" t="s">
        <v>601</v>
      </c>
    </row>
    <row r="47" spans="1:9" x14ac:dyDescent="0.25">
      <c r="A47" s="8" t="s">
        <v>51</v>
      </c>
      <c r="B47" s="8">
        <v>2.7500000000000001E-8</v>
      </c>
      <c r="C47" s="8" t="s">
        <v>9</v>
      </c>
      <c r="I47" s="8" t="s">
        <v>601</v>
      </c>
    </row>
    <row r="48" spans="1:9" x14ac:dyDescent="0.25">
      <c r="A48" s="8" t="s">
        <v>22</v>
      </c>
      <c r="B48" s="8">
        <v>1.2E-5</v>
      </c>
      <c r="C48" s="8" t="s">
        <v>9</v>
      </c>
      <c r="I48" s="8" t="s">
        <v>601</v>
      </c>
    </row>
    <row r="49" spans="1:9" x14ac:dyDescent="0.25">
      <c r="A49" s="8" t="s">
        <v>52</v>
      </c>
      <c r="B49" s="8">
        <v>1.37E-7</v>
      </c>
      <c r="C49" s="8" t="s">
        <v>9</v>
      </c>
      <c r="I49" s="8" t="s">
        <v>601</v>
      </c>
    </row>
    <row r="50" spans="1:9" x14ac:dyDescent="0.25">
      <c r="A50" s="8" t="s">
        <v>49</v>
      </c>
      <c r="B50" s="8">
        <v>2.7500000000000001E-7</v>
      </c>
      <c r="C50" s="8" t="s">
        <v>9</v>
      </c>
      <c r="I50" s="8" t="s">
        <v>601</v>
      </c>
    </row>
    <row r="51" spans="1:9" x14ac:dyDescent="0.25">
      <c r="A51" s="8" t="s">
        <v>147</v>
      </c>
      <c r="B51" s="8">
        <v>1.2300000000000001E-6</v>
      </c>
      <c r="C51" s="8" t="s">
        <v>9</v>
      </c>
      <c r="I51" s="8" t="s">
        <v>601</v>
      </c>
    </row>
    <row r="52" spans="1:9" x14ac:dyDescent="0.25">
      <c r="A52" s="8" t="s">
        <v>23</v>
      </c>
      <c r="B52" s="8">
        <v>3.7799999999999997E-5</v>
      </c>
      <c r="C52" s="8" t="s">
        <v>9</v>
      </c>
      <c r="I52" s="8" t="s">
        <v>601</v>
      </c>
    </row>
    <row r="53" spans="1:9" x14ac:dyDescent="0.25">
      <c r="A53" s="8" t="s">
        <v>48</v>
      </c>
      <c r="B53" s="8">
        <v>2.7500000000000001E-8</v>
      </c>
      <c r="C53" s="8" t="s">
        <v>9</v>
      </c>
      <c r="I53" s="8" t="s">
        <v>601</v>
      </c>
    </row>
    <row r="54" spans="1:9" x14ac:dyDescent="0.25">
      <c r="A54" s="8" t="s">
        <v>27</v>
      </c>
      <c r="B54" s="8">
        <v>4.2599999999999999E-6</v>
      </c>
      <c r="C54" s="8" t="s">
        <v>9</v>
      </c>
      <c r="I54" s="8" t="s">
        <v>601</v>
      </c>
    </row>
    <row r="55" spans="1:9" x14ac:dyDescent="0.25">
      <c r="A55" s="8" t="s">
        <v>93</v>
      </c>
      <c r="B55" s="8">
        <v>1.35213595644984E-2</v>
      </c>
      <c r="C55" s="8" t="s">
        <v>41</v>
      </c>
      <c r="I55" s="8" t="s">
        <v>601</v>
      </c>
    </row>
    <row r="56" spans="1:9" x14ac:dyDescent="0.25">
      <c r="A56" s="8" t="s">
        <v>45</v>
      </c>
      <c r="B56" s="8">
        <v>7.7800000000000001E-7</v>
      </c>
      <c r="C56" s="8" t="s">
        <v>9</v>
      </c>
      <c r="I56" s="8" t="s">
        <v>601</v>
      </c>
    </row>
    <row r="57" spans="1:9" x14ac:dyDescent="0.25">
      <c r="A57" s="8" t="s">
        <v>26</v>
      </c>
      <c r="B57" s="8">
        <v>2.0599999999999999E-7</v>
      </c>
      <c r="C57" s="8" t="s">
        <v>9</v>
      </c>
      <c r="I57" s="8" t="s">
        <v>601</v>
      </c>
    </row>
    <row r="58" spans="1:9" x14ac:dyDescent="0.25">
      <c r="A58" s="8" t="s">
        <v>340</v>
      </c>
      <c r="B58" s="8">
        <v>1.73E-6</v>
      </c>
      <c r="C58" s="8" t="s">
        <v>9</v>
      </c>
      <c r="I58" s="8" t="s">
        <v>601</v>
      </c>
    </row>
    <row r="59" spans="1:9" x14ac:dyDescent="0.25">
      <c r="A59" s="8" t="s">
        <v>67</v>
      </c>
      <c r="B59" s="8">
        <v>5.6100000000000001E-7</v>
      </c>
      <c r="C59" s="8" t="s">
        <v>9</v>
      </c>
      <c r="I59" s="8" t="s">
        <v>601</v>
      </c>
    </row>
    <row r="60" spans="1:9" x14ac:dyDescent="0.25">
      <c r="A60" s="8" t="s">
        <v>25</v>
      </c>
      <c r="B60" s="8">
        <v>4.9500000000000003E-7</v>
      </c>
      <c r="C60" s="8" t="s">
        <v>9</v>
      </c>
      <c r="I60" s="8" t="s">
        <v>601</v>
      </c>
    </row>
    <row r="61" spans="1:9" x14ac:dyDescent="0.25">
      <c r="A61" s="8" t="s">
        <v>24</v>
      </c>
      <c r="B61" s="8">
        <v>3.8000000000000002E-5</v>
      </c>
      <c r="C61" s="8" t="s">
        <v>9</v>
      </c>
      <c r="I61" s="8" t="s">
        <v>601</v>
      </c>
    </row>
    <row r="62" spans="1:9" x14ac:dyDescent="0.25">
      <c r="A62" s="8" t="s">
        <v>21</v>
      </c>
      <c r="B62" s="8">
        <v>1.2E-5</v>
      </c>
      <c r="C62" s="8" t="s">
        <v>9</v>
      </c>
      <c r="I62" s="8" t="s">
        <v>601</v>
      </c>
    </row>
    <row r="63" spans="1:9" x14ac:dyDescent="0.25">
      <c r="A63" s="8" t="s">
        <v>116</v>
      </c>
      <c r="B63" s="8">
        <v>1.3E-7</v>
      </c>
      <c r="C63" s="8" t="s">
        <v>9</v>
      </c>
      <c r="I63" s="8" t="s">
        <v>601</v>
      </c>
    </row>
    <row r="64" spans="1:9" x14ac:dyDescent="0.25">
      <c r="A64" s="1" t="s">
        <v>94</v>
      </c>
    </row>
    <row r="65" spans="1:9" x14ac:dyDescent="0.25">
      <c r="A65" s="8" t="s">
        <v>324</v>
      </c>
      <c r="B65" s="8">
        <v>4.8299999999999998E-4</v>
      </c>
      <c r="C65" s="8" t="s">
        <v>9</v>
      </c>
      <c r="I65" s="8" t="s">
        <v>601</v>
      </c>
    </row>
    <row r="66" spans="1:9" x14ac:dyDescent="0.25">
      <c r="A66" s="8" t="s">
        <v>96</v>
      </c>
      <c r="B66" s="8">
        <v>2.13E-4</v>
      </c>
      <c r="C66" s="8" t="s">
        <v>9</v>
      </c>
      <c r="I66" s="8" t="s">
        <v>601</v>
      </c>
    </row>
    <row r="67" spans="1:9" x14ac:dyDescent="0.25">
      <c r="A67" s="8" t="s">
        <v>341</v>
      </c>
      <c r="B67" s="8">
        <v>1.6299999999999999E-2</v>
      </c>
      <c r="C67" s="8" t="s">
        <v>9</v>
      </c>
      <c r="I67" s="8" t="s">
        <v>601</v>
      </c>
    </row>
    <row r="68" spans="1:9" x14ac:dyDescent="0.25">
      <c r="A68" s="8" t="s">
        <v>323</v>
      </c>
      <c r="B68" s="8">
        <v>1.31E-3</v>
      </c>
      <c r="C68" s="8" t="s">
        <v>9</v>
      </c>
      <c r="I68" s="8" t="s">
        <v>601</v>
      </c>
    </row>
    <row r="69" spans="1:9" x14ac:dyDescent="0.25">
      <c r="A69" s="8" t="s">
        <v>342</v>
      </c>
      <c r="B69" s="8">
        <v>2.23E-4</v>
      </c>
      <c r="C69" s="8" t="s">
        <v>9</v>
      </c>
      <c r="I69" s="8" t="s">
        <v>601</v>
      </c>
    </row>
    <row r="70" spans="1:9" x14ac:dyDescent="0.25">
      <c r="A70" s="8" t="s">
        <v>343</v>
      </c>
      <c r="B70" s="8">
        <v>7.0800000000000004E-11</v>
      </c>
      <c r="C70" s="8" t="s">
        <v>9</v>
      </c>
      <c r="I70" s="8" t="s">
        <v>601</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tabColor theme="9" tint="0.59999389629810485"/>
  </sheetPr>
  <dimension ref="A3:J70"/>
  <sheetViews>
    <sheetView topLeftCell="A10" workbookViewId="0">
      <selection activeCell="C35" sqref="C35"/>
    </sheetView>
  </sheetViews>
  <sheetFormatPr defaultColWidth="9.140625" defaultRowHeight="15" x14ac:dyDescent="0.25"/>
  <cols>
    <col min="1" max="1" width="67.28515625" style="8" customWidth="1"/>
    <col min="2" max="2" width="21.85546875" style="8" customWidth="1"/>
    <col min="3" max="16384" width="9.140625" style="8"/>
  </cols>
  <sheetData>
    <row r="3" spans="1:10" x14ac:dyDescent="0.25">
      <c r="A3" s="2" t="s">
        <v>346</v>
      </c>
      <c r="B3" s="2"/>
      <c r="C3" s="2"/>
      <c r="D3" s="2"/>
      <c r="E3" s="2"/>
      <c r="F3" s="1"/>
      <c r="G3" s="1"/>
      <c r="H3" s="1"/>
      <c r="I3" s="1"/>
      <c r="J3" s="1"/>
    </row>
    <row r="4" spans="1:10" x14ac:dyDescent="0.25">
      <c r="A4" s="1" t="s">
        <v>10</v>
      </c>
      <c r="B4" s="1" t="s">
        <v>2</v>
      </c>
      <c r="C4" s="1" t="s">
        <v>0</v>
      </c>
      <c r="D4" s="1"/>
      <c r="E4" s="1" t="s">
        <v>3</v>
      </c>
      <c r="F4" s="1" t="s">
        <v>4</v>
      </c>
      <c r="G4" s="1" t="s">
        <v>5</v>
      </c>
      <c r="H4" s="1" t="s">
        <v>6</v>
      </c>
      <c r="I4" s="1" t="s">
        <v>7</v>
      </c>
      <c r="J4" s="1" t="s">
        <v>8</v>
      </c>
    </row>
    <row r="5" spans="1:10" x14ac:dyDescent="0.25">
      <c r="A5" s="8" t="s">
        <v>346</v>
      </c>
      <c r="B5" s="8">
        <v>1</v>
      </c>
      <c r="C5" s="8" t="s">
        <v>9</v>
      </c>
    </row>
    <row r="6" spans="1:10" x14ac:dyDescent="0.25">
      <c r="A6" s="1" t="s">
        <v>1</v>
      </c>
      <c r="B6" s="1" t="s">
        <v>2</v>
      </c>
      <c r="C6" s="1" t="s">
        <v>0</v>
      </c>
      <c r="D6" s="1"/>
      <c r="E6" s="1" t="s">
        <v>3</v>
      </c>
      <c r="F6" s="1" t="s">
        <v>4</v>
      </c>
      <c r="G6" s="1" t="s">
        <v>5</v>
      </c>
      <c r="H6" s="1" t="s">
        <v>6</v>
      </c>
      <c r="I6" s="1" t="s">
        <v>7</v>
      </c>
      <c r="J6" s="1" t="s">
        <v>8</v>
      </c>
    </row>
    <row r="7" spans="1:10" x14ac:dyDescent="0.25">
      <c r="A7" s="3" t="str">
        <f>'Plate mill'!A14</f>
        <v>Hot rolling, steel {RoW}| processing_Plate mill  | Alloc Rec, U_mr</v>
      </c>
      <c r="B7" s="9">
        <v>0</v>
      </c>
      <c r="C7" s="8" t="s">
        <v>9</v>
      </c>
    </row>
    <row r="8" spans="1:10" x14ac:dyDescent="0.25">
      <c r="A8" s="3" t="str">
        <f>'Rod bar mill'!A14</f>
        <v>Hot rolling, steel {RoW}| processing_Rod/bar mill  | Alloc Rec, U_mr</v>
      </c>
      <c r="B8" s="9">
        <v>0</v>
      </c>
      <c r="C8" s="8" t="s">
        <v>9</v>
      </c>
    </row>
    <row r="9" spans="1:10" x14ac:dyDescent="0.25">
      <c r="A9" s="3" t="str">
        <f>'Section mill'!A14</f>
        <v>Hot rolling, steel {RoW}| processing_Section mill  | Alloc Rec, U_mr</v>
      </c>
      <c r="B9" s="9">
        <v>0</v>
      </c>
      <c r="C9" s="8" t="s">
        <v>9</v>
      </c>
    </row>
    <row r="10" spans="1:10" x14ac:dyDescent="0.25">
      <c r="A10" s="3" t="str">
        <f>A14</f>
        <v>Hot rolling, steel {RoW}| processing_Strip mill  | Alloc Rec, U_mr</v>
      </c>
      <c r="B10" s="9">
        <v>1</v>
      </c>
      <c r="C10" s="8" t="s">
        <v>9</v>
      </c>
    </row>
    <row r="12" spans="1:10" x14ac:dyDescent="0.25">
      <c r="A12" s="2" t="s">
        <v>331</v>
      </c>
      <c r="B12" s="2"/>
      <c r="C12" s="2"/>
      <c r="D12" s="2"/>
      <c r="E12" s="2"/>
      <c r="F12" s="1"/>
      <c r="G12" s="1"/>
      <c r="H12" s="1"/>
      <c r="I12" s="1"/>
      <c r="J12" s="1"/>
    </row>
    <row r="13" spans="1:10" x14ac:dyDescent="0.25">
      <c r="A13" s="1" t="s">
        <v>10</v>
      </c>
      <c r="B13" s="1" t="s">
        <v>2</v>
      </c>
      <c r="C13" s="1" t="s">
        <v>0</v>
      </c>
      <c r="D13" s="1"/>
      <c r="E13" s="1" t="s">
        <v>3</v>
      </c>
      <c r="F13" s="1" t="s">
        <v>4</v>
      </c>
      <c r="G13" s="1" t="s">
        <v>5</v>
      </c>
      <c r="H13" s="1" t="s">
        <v>6</v>
      </c>
      <c r="I13" s="1" t="s">
        <v>7</v>
      </c>
      <c r="J13" s="1" t="s">
        <v>8</v>
      </c>
    </row>
    <row r="14" spans="1:10" x14ac:dyDescent="0.25">
      <c r="A14" s="8" t="s">
        <v>331</v>
      </c>
      <c r="B14" s="50">
        <f>1/RE_mill</f>
        <v>1.0500000004200001</v>
      </c>
      <c r="C14" s="8" t="s">
        <v>9</v>
      </c>
    </row>
    <row r="15" spans="1:10" x14ac:dyDescent="0.25">
      <c r="A15" s="1" t="s">
        <v>1</v>
      </c>
      <c r="B15" s="1" t="s">
        <v>2</v>
      </c>
      <c r="C15" s="1" t="s">
        <v>0</v>
      </c>
      <c r="D15" s="1"/>
      <c r="E15" s="1" t="s">
        <v>3</v>
      </c>
      <c r="F15" s="1" t="s">
        <v>4</v>
      </c>
      <c r="G15" s="1" t="s">
        <v>5</v>
      </c>
      <c r="H15" s="1" t="s">
        <v>6</v>
      </c>
      <c r="I15" s="1" t="s">
        <v>7</v>
      </c>
      <c r="J15" s="1" t="s">
        <v>8</v>
      </c>
    </row>
    <row r="16" spans="1:10" x14ac:dyDescent="0.25">
      <c r="A16" s="12" t="s">
        <v>326</v>
      </c>
      <c r="B16" s="8">
        <v>1.7040150679897101E-2</v>
      </c>
      <c r="C16" s="8" t="s">
        <v>41</v>
      </c>
      <c r="I16" s="8" t="s">
        <v>601</v>
      </c>
    </row>
    <row r="17" spans="1:9" x14ac:dyDescent="0.25">
      <c r="A17" s="8" t="s">
        <v>75</v>
      </c>
      <c r="B17" s="8">
        <v>3.4080301359794198E-3</v>
      </c>
      <c r="C17" s="8" t="s">
        <v>41</v>
      </c>
      <c r="I17" s="8" t="s">
        <v>601</v>
      </c>
    </row>
    <row r="18" spans="1:9" x14ac:dyDescent="0.25">
      <c r="A18" s="8" t="s">
        <v>332</v>
      </c>
      <c r="B18" s="8">
        <v>4.0400000000000002E-3</v>
      </c>
      <c r="C18" s="8" t="s">
        <v>9</v>
      </c>
      <c r="I18" s="8" t="s">
        <v>601</v>
      </c>
    </row>
    <row r="19" spans="1:9" x14ac:dyDescent="0.25">
      <c r="A19" s="8" t="s">
        <v>333</v>
      </c>
      <c r="B19" s="8">
        <v>1.62E-9</v>
      </c>
      <c r="C19" s="8" t="s">
        <v>61</v>
      </c>
      <c r="I19" s="8" t="s">
        <v>601</v>
      </c>
    </row>
    <row r="20" spans="1:9" x14ac:dyDescent="0.25">
      <c r="A20" s="8" t="s">
        <v>334</v>
      </c>
      <c r="B20" s="8">
        <v>4.9700000000000002E-5</v>
      </c>
      <c r="C20" s="8" t="s">
        <v>9</v>
      </c>
      <c r="I20" s="8" t="s">
        <v>601</v>
      </c>
    </row>
    <row r="21" spans="1:9" x14ac:dyDescent="0.25">
      <c r="A21" s="8" t="s">
        <v>335</v>
      </c>
      <c r="B21" s="8">
        <v>1.8900000000000001E-11</v>
      </c>
      <c r="C21" s="8" t="s">
        <v>9</v>
      </c>
      <c r="I21" s="8" t="s">
        <v>601</v>
      </c>
    </row>
    <row r="22" spans="1:9" x14ac:dyDescent="0.25">
      <c r="A22" s="8" t="s">
        <v>336</v>
      </c>
      <c r="B22" s="8">
        <v>2.3600000000000001E-11</v>
      </c>
      <c r="C22" s="8" t="s">
        <v>9</v>
      </c>
      <c r="I22" s="8" t="s">
        <v>601</v>
      </c>
    </row>
    <row r="23" spans="1:9" x14ac:dyDescent="0.25">
      <c r="A23" s="3" t="str">
        <f>'Other processes'!A309</f>
        <v>Oxygen, liquid {RER}| market for | Alloc Rec, U_mr</v>
      </c>
      <c r="B23" s="8">
        <v>7.1399999999999996E-3</v>
      </c>
      <c r="C23" s="8" t="s">
        <v>9</v>
      </c>
      <c r="I23" s="8" t="s">
        <v>601</v>
      </c>
    </row>
    <row r="24" spans="1:9" x14ac:dyDescent="0.25">
      <c r="A24" s="8" t="s">
        <v>337</v>
      </c>
      <c r="B24" s="8">
        <v>4.7200000000000001E-12</v>
      </c>
      <c r="C24" s="8" t="s">
        <v>9</v>
      </c>
      <c r="I24" s="8" t="s">
        <v>601</v>
      </c>
    </row>
    <row r="25" spans="1:9" x14ac:dyDescent="0.25">
      <c r="A25" s="8" t="s">
        <v>338</v>
      </c>
      <c r="B25" s="8">
        <v>1.4500000000000001E-8</v>
      </c>
      <c r="C25" s="8" t="s">
        <v>9</v>
      </c>
      <c r="I25" s="8" t="s">
        <v>601</v>
      </c>
    </row>
    <row r="26" spans="1:9" x14ac:dyDescent="0.25">
      <c r="A26" s="8" t="s">
        <v>339</v>
      </c>
      <c r="B26" s="8">
        <v>5.2999999999999998E-4</v>
      </c>
      <c r="C26" s="8" t="s">
        <v>9</v>
      </c>
      <c r="I26" s="8" t="s">
        <v>601</v>
      </c>
    </row>
    <row r="27" spans="1:9" x14ac:dyDescent="0.25">
      <c r="A27" s="3" t="str">
        <f>'Electricity generation'!$A$32</f>
        <v>Electricity, global mix, medium voltage_mr_Scope 2</v>
      </c>
      <c r="B27" s="50">
        <f>StM_electricity/RE_mill</f>
        <v>0.49350000019739998</v>
      </c>
      <c r="C27" s="8" t="s">
        <v>14</v>
      </c>
    </row>
    <row r="28" spans="1:9" x14ac:dyDescent="0.25">
      <c r="A28" s="3" t="str">
        <f>'Other processes'!$A$5</f>
        <v>Coke {GLO}| market for | Alloc Rec, U_mr_Scope 2</v>
      </c>
      <c r="B28" s="50">
        <f>StM_CokeGas/RE_mill</f>
        <v>9.45000000378E-2</v>
      </c>
      <c r="C28" s="8" t="s">
        <v>14</v>
      </c>
    </row>
    <row r="29" spans="1:9" x14ac:dyDescent="0.25">
      <c r="A29" s="3" t="str">
        <f>Sintering!$A$55</f>
        <v>Sinter, iron {GLO}| Natural Gas use | Alloc Rec, U_mr_Scope 2</v>
      </c>
      <c r="B29" s="50">
        <f>(StM_NatGas/heating_value_NatGas)/RE_mill</f>
        <v>7.3319179080990796E-2</v>
      </c>
      <c r="C29" s="8" t="s">
        <v>41</v>
      </c>
    </row>
    <row r="30" spans="1:9" x14ac:dyDescent="0.25">
      <c r="A30" s="1" t="s">
        <v>16</v>
      </c>
    </row>
    <row r="31" spans="1:9" x14ac:dyDescent="0.25">
      <c r="A31" s="8" t="s">
        <v>46</v>
      </c>
      <c r="B31" s="8">
        <v>7.1799999999999994E-8</v>
      </c>
      <c r="C31" s="8" t="s">
        <v>9</v>
      </c>
      <c r="I31" s="8" t="s">
        <v>601</v>
      </c>
    </row>
    <row r="32" spans="1:9" x14ac:dyDescent="0.25">
      <c r="A32" s="8" t="s">
        <v>71</v>
      </c>
      <c r="B32" s="8">
        <v>1.7900000000000001E-5</v>
      </c>
      <c r="C32" s="8" t="s">
        <v>9</v>
      </c>
      <c r="I32" s="8" t="s">
        <v>601</v>
      </c>
    </row>
    <row r="33" spans="1:9" x14ac:dyDescent="0.25">
      <c r="A33" s="8" t="s">
        <v>25</v>
      </c>
      <c r="B33" s="8">
        <v>3.7399999999999999E-7</v>
      </c>
      <c r="C33" s="8" t="s">
        <v>9</v>
      </c>
      <c r="I33" s="8" t="s">
        <v>601</v>
      </c>
    </row>
    <row r="34" spans="1:9" x14ac:dyDescent="0.25">
      <c r="A34" s="8" t="s">
        <v>142</v>
      </c>
      <c r="B34" s="8">
        <v>2.8299999999999999E-4</v>
      </c>
      <c r="C34" s="8" t="s">
        <v>9</v>
      </c>
      <c r="I34" s="8" t="s">
        <v>601</v>
      </c>
    </row>
    <row r="35" spans="1:9" x14ac:dyDescent="0.25">
      <c r="A35" s="8" t="s">
        <v>44</v>
      </c>
      <c r="B35" s="8">
        <v>6.9268212513781697E-3</v>
      </c>
      <c r="C35" s="8" t="s">
        <v>41</v>
      </c>
      <c r="I35" s="8" t="s">
        <v>601</v>
      </c>
    </row>
    <row r="36" spans="1:9" x14ac:dyDescent="0.25">
      <c r="A36" s="8" t="s">
        <v>17</v>
      </c>
      <c r="B36" s="8">
        <v>2.7500000000000001E-5</v>
      </c>
      <c r="C36" s="8" t="s">
        <v>9</v>
      </c>
      <c r="I36" s="8" t="s">
        <v>601</v>
      </c>
    </row>
    <row r="37" spans="1:9" x14ac:dyDescent="0.25">
      <c r="A37" s="8" t="s">
        <v>15</v>
      </c>
      <c r="B37" s="8">
        <v>1.31E-5</v>
      </c>
      <c r="C37" s="8" t="s">
        <v>9</v>
      </c>
      <c r="I37" s="8" t="s">
        <v>601</v>
      </c>
    </row>
    <row r="38" spans="1:9" x14ac:dyDescent="0.25">
      <c r="A38" s="8" t="s">
        <v>49</v>
      </c>
      <c r="B38" s="8">
        <v>1.77E-8</v>
      </c>
      <c r="C38" s="8" t="s">
        <v>9</v>
      </c>
      <c r="I38" s="8" t="s">
        <v>601</v>
      </c>
    </row>
    <row r="39" spans="1:9" x14ac:dyDescent="0.25">
      <c r="A39" s="8" t="s">
        <v>67</v>
      </c>
      <c r="B39" s="8">
        <v>2.1899999999999999E-7</v>
      </c>
      <c r="C39" s="8" t="s">
        <v>9</v>
      </c>
      <c r="I39" s="8" t="s">
        <v>601</v>
      </c>
    </row>
    <row r="40" spans="1:9" x14ac:dyDescent="0.25">
      <c r="A40" s="8" t="s">
        <v>18</v>
      </c>
      <c r="B40" s="8">
        <v>2.2399999999999999E-5</v>
      </c>
      <c r="C40" s="8" t="s">
        <v>9</v>
      </c>
      <c r="I40" s="8" t="s">
        <v>601</v>
      </c>
    </row>
    <row r="41" spans="1:9" x14ac:dyDescent="0.25">
      <c r="A41" s="8" t="s">
        <v>45</v>
      </c>
      <c r="B41" s="8">
        <v>2.4400000000000001E-7</v>
      </c>
      <c r="C41" s="8" t="s">
        <v>9</v>
      </c>
      <c r="I41" s="8" t="s">
        <v>601</v>
      </c>
    </row>
    <row r="42" spans="1:9" x14ac:dyDescent="0.25">
      <c r="A42" s="8" t="s">
        <v>89</v>
      </c>
      <c r="B42" s="8">
        <v>2.7500000000000001E-5</v>
      </c>
      <c r="C42" s="8" t="s">
        <v>9</v>
      </c>
      <c r="I42" s="8" t="s">
        <v>601</v>
      </c>
    </row>
    <row r="43" spans="1:9" x14ac:dyDescent="0.25">
      <c r="A43" s="8" t="s">
        <v>27</v>
      </c>
      <c r="B43" s="8">
        <v>6.0599999999999996E-6</v>
      </c>
      <c r="C43" s="8" t="s">
        <v>9</v>
      </c>
      <c r="I43" s="8" t="s">
        <v>601</v>
      </c>
    </row>
    <row r="44" spans="1:9" x14ac:dyDescent="0.25">
      <c r="A44" s="1" t="s">
        <v>20</v>
      </c>
    </row>
    <row r="45" spans="1:9" x14ac:dyDescent="0.25">
      <c r="A45" s="8" t="s">
        <v>28</v>
      </c>
      <c r="B45" s="8">
        <v>1.46E-4</v>
      </c>
      <c r="C45" s="8" t="s">
        <v>9</v>
      </c>
      <c r="I45" s="8" t="s">
        <v>601</v>
      </c>
    </row>
    <row r="46" spans="1:9" x14ac:dyDescent="0.25">
      <c r="A46" s="8" t="s">
        <v>46</v>
      </c>
      <c r="B46" s="8">
        <v>2.6600000000000003E-7</v>
      </c>
      <c r="C46" s="8" t="s">
        <v>9</v>
      </c>
      <c r="I46" s="8" t="s">
        <v>601</v>
      </c>
    </row>
    <row r="47" spans="1:9" x14ac:dyDescent="0.25">
      <c r="A47" s="8" t="s">
        <v>51</v>
      </c>
      <c r="B47" s="8">
        <v>2.7500000000000001E-8</v>
      </c>
      <c r="C47" s="8" t="s">
        <v>9</v>
      </c>
      <c r="I47" s="8" t="s">
        <v>601</v>
      </c>
    </row>
    <row r="48" spans="1:9" x14ac:dyDescent="0.25">
      <c r="A48" s="8" t="s">
        <v>22</v>
      </c>
      <c r="B48" s="8">
        <v>1.2E-5</v>
      </c>
      <c r="C48" s="8" t="s">
        <v>9</v>
      </c>
      <c r="I48" s="8" t="s">
        <v>601</v>
      </c>
    </row>
    <row r="49" spans="1:9" x14ac:dyDescent="0.25">
      <c r="A49" s="8" t="s">
        <v>52</v>
      </c>
      <c r="B49" s="8">
        <v>1.37E-7</v>
      </c>
      <c r="C49" s="8" t="s">
        <v>9</v>
      </c>
      <c r="I49" s="8" t="s">
        <v>601</v>
      </c>
    </row>
    <row r="50" spans="1:9" x14ac:dyDescent="0.25">
      <c r="A50" s="8" t="s">
        <v>49</v>
      </c>
      <c r="B50" s="8">
        <v>2.7500000000000001E-7</v>
      </c>
      <c r="C50" s="8" t="s">
        <v>9</v>
      </c>
      <c r="I50" s="8" t="s">
        <v>601</v>
      </c>
    </row>
    <row r="51" spans="1:9" x14ac:dyDescent="0.25">
      <c r="A51" s="8" t="s">
        <v>147</v>
      </c>
      <c r="B51" s="8">
        <v>1.2300000000000001E-6</v>
      </c>
      <c r="C51" s="8" t="s">
        <v>9</v>
      </c>
      <c r="I51" s="8" t="s">
        <v>601</v>
      </c>
    </row>
    <row r="52" spans="1:9" x14ac:dyDescent="0.25">
      <c r="A52" s="8" t="s">
        <v>23</v>
      </c>
      <c r="B52" s="8">
        <v>3.7799999999999997E-5</v>
      </c>
      <c r="C52" s="8" t="s">
        <v>9</v>
      </c>
      <c r="I52" s="8" t="s">
        <v>601</v>
      </c>
    </row>
    <row r="53" spans="1:9" x14ac:dyDescent="0.25">
      <c r="A53" s="8" t="s">
        <v>48</v>
      </c>
      <c r="B53" s="8">
        <v>2.7500000000000001E-8</v>
      </c>
      <c r="C53" s="8" t="s">
        <v>9</v>
      </c>
      <c r="I53" s="8" t="s">
        <v>601</v>
      </c>
    </row>
    <row r="54" spans="1:9" x14ac:dyDescent="0.25">
      <c r="A54" s="8" t="s">
        <v>27</v>
      </c>
      <c r="B54" s="8">
        <v>4.2599999999999999E-6</v>
      </c>
      <c r="C54" s="8" t="s">
        <v>9</v>
      </c>
      <c r="I54" s="8" t="s">
        <v>601</v>
      </c>
    </row>
    <row r="55" spans="1:9" x14ac:dyDescent="0.25">
      <c r="A55" s="8" t="s">
        <v>93</v>
      </c>
      <c r="B55" s="8">
        <v>1.35213595644984E-2</v>
      </c>
      <c r="C55" s="8" t="s">
        <v>41</v>
      </c>
      <c r="I55" s="8" t="s">
        <v>601</v>
      </c>
    </row>
    <row r="56" spans="1:9" x14ac:dyDescent="0.25">
      <c r="A56" s="8" t="s">
        <v>45</v>
      </c>
      <c r="B56" s="8">
        <v>7.7800000000000001E-7</v>
      </c>
      <c r="C56" s="8" t="s">
        <v>9</v>
      </c>
      <c r="I56" s="8" t="s">
        <v>601</v>
      </c>
    </row>
    <row r="57" spans="1:9" x14ac:dyDescent="0.25">
      <c r="A57" s="8" t="s">
        <v>26</v>
      </c>
      <c r="B57" s="8">
        <v>2.0599999999999999E-7</v>
      </c>
      <c r="C57" s="8" t="s">
        <v>9</v>
      </c>
      <c r="I57" s="8" t="s">
        <v>601</v>
      </c>
    </row>
    <row r="58" spans="1:9" x14ac:dyDescent="0.25">
      <c r="A58" s="8" t="s">
        <v>340</v>
      </c>
      <c r="B58" s="8">
        <v>1.73E-6</v>
      </c>
      <c r="C58" s="8" t="s">
        <v>9</v>
      </c>
      <c r="I58" s="8" t="s">
        <v>601</v>
      </c>
    </row>
    <row r="59" spans="1:9" x14ac:dyDescent="0.25">
      <c r="A59" s="8" t="s">
        <v>67</v>
      </c>
      <c r="B59" s="8">
        <v>5.6100000000000001E-7</v>
      </c>
      <c r="C59" s="8" t="s">
        <v>9</v>
      </c>
      <c r="I59" s="8" t="s">
        <v>601</v>
      </c>
    </row>
    <row r="60" spans="1:9" x14ac:dyDescent="0.25">
      <c r="A60" s="8" t="s">
        <v>25</v>
      </c>
      <c r="B60" s="8">
        <v>4.9500000000000003E-7</v>
      </c>
      <c r="C60" s="8" t="s">
        <v>9</v>
      </c>
      <c r="I60" s="8" t="s">
        <v>601</v>
      </c>
    </row>
    <row r="61" spans="1:9" x14ac:dyDescent="0.25">
      <c r="A61" s="8" t="s">
        <v>24</v>
      </c>
      <c r="B61" s="8">
        <v>3.8000000000000002E-5</v>
      </c>
      <c r="C61" s="8" t="s">
        <v>9</v>
      </c>
      <c r="I61" s="8" t="s">
        <v>601</v>
      </c>
    </row>
    <row r="62" spans="1:9" x14ac:dyDescent="0.25">
      <c r="A62" s="8" t="s">
        <v>21</v>
      </c>
      <c r="B62" s="8">
        <v>1.2E-5</v>
      </c>
      <c r="C62" s="8" t="s">
        <v>9</v>
      </c>
      <c r="I62" s="8" t="s">
        <v>601</v>
      </c>
    </row>
    <row r="63" spans="1:9" x14ac:dyDescent="0.25">
      <c r="A63" s="8" t="s">
        <v>116</v>
      </c>
      <c r="B63" s="8">
        <v>1.3E-7</v>
      </c>
      <c r="C63" s="8" t="s">
        <v>9</v>
      </c>
      <c r="I63" s="8" t="s">
        <v>601</v>
      </c>
    </row>
    <row r="64" spans="1:9" x14ac:dyDescent="0.25">
      <c r="A64" s="1" t="s">
        <v>94</v>
      </c>
    </row>
    <row r="65" spans="1:9" x14ac:dyDescent="0.25">
      <c r="A65" s="8" t="s">
        <v>324</v>
      </c>
      <c r="B65" s="8">
        <v>4.8299999999999998E-4</v>
      </c>
      <c r="C65" s="8" t="s">
        <v>9</v>
      </c>
      <c r="I65" s="8" t="s">
        <v>601</v>
      </c>
    </row>
    <row r="66" spans="1:9" x14ac:dyDescent="0.25">
      <c r="A66" s="8" t="s">
        <v>96</v>
      </c>
      <c r="B66" s="8">
        <v>2.13E-4</v>
      </c>
      <c r="C66" s="8" t="s">
        <v>9</v>
      </c>
      <c r="I66" s="8" t="s">
        <v>601</v>
      </c>
    </row>
    <row r="67" spans="1:9" x14ac:dyDescent="0.25">
      <c r="A67" s="8" t="s">
        <v>341</v>
      </c>
      <c r="B67" s="8">
        <v>1.6299999999999999E-2</v>
      </c>
      <c r="C67" s="8" t="s">
        <v>9</v>
      </c>
      <c r="I67" s="8" t="s">
        <v>601</v>
      </c>
    </row>
    <row r="68" spans="1:9" x14ac:dyDescent="0.25">
      <c r="A68" s="8" t="s">
        <v>323</v>
      </c>
      <c r="B68" s="8">
        <v>1.31E-3</v>
      </c>
      <c r="C68" s="8" t="s">
        <v>9</v>
      </c>
      <c r="I68" s="8" t="s">
        <v>601</v>
      </c>
    </row>
    <row r="69" spans="1:9" x14ac:dyDescent="0.25">
      <c r="A69" s="8" t="s">
        <v>342</v>
      </c>
      <c r="B69" s="8">
        <v>2.23E-4</v>
      </c>
      <c r="C69" s="8" t="s">
        <v>9</v>
      </c>
      <c r="I69" s="8" t="s">
        <v>601</v>
      </c>
    </row>
    <row r="70" spans="1:9" x14ac:dyDescent="0.25">
      <c r="A70" s="8" t="s">
        <v>343</v>
      </c>
      <c r="B70" s="8">
        <v>7.0800000000000004E-11</v>
      </c>
      <c r="C70" s="8" t="s">
        <v>9</v>
      </c>
      <c r="I70" s="8" t="s">
        <v>601</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tabColor theme="9" tint="0.59999389629810485"/>
  </sheetPr>
  <dimension ref="A3:J138"/>
  <sheetViews>
    <sheetView topLeftCell="A16" workbookViewId="0">
      <selection activeCell="C35" sqref="C35"/>
    </sheetView>
  </sheetViews>
  <sheetFormatPr defaultColWidth="9.140625" defaultRowHeight="15" x14ac:dyDescent="0.25"/>
  <cols>
    <col min="1" max="1" width="64" style="8" customWidth="1"/>
    <col min="2" max="2" width="21.85546875" style="8" customWidth="1"/>
    <col min="3" max="10" width="9.140625" style="8"/>
    <col min="11" max="11" width="9.140625" style="8" customWidth="1"/>
    <col min="12" max="16384" width="9.140625" style="8"/>
  </cols>
  <sheetData>
    <row r="3" spans="1:10" x14ac:dyDescent="0.25">
      <c r="A3" s="2" t="s">
        <v>347</v>
      </c>
      <c r="B3" s="2"/>
      <c r="C3" s="2"/>
      <c r="D3" s="2"/>
      <c r="E3" s="2"/>
      <c r="F3" s="1"/>
      <c r="G3" s="1"/>
      <c r="H3" s="1"/>
      <c r="I3" s="1"/>
      <c r="J3" s="1"/>
    </row>
    <row r="4" spans="1:10" x14ac:dyDescent="0.25">
      <c r="A4" s="1" t="s">
        <v>10</v>
      </c>
      <c r="B4" s="1" t="s">
        <v>2</v>
      </c>
      <c r="C4" s="1" t="s">
        <v>0</v>
      </c>
      <c r="D4" s="1"/>
      <c r="E4" s="1" t="s">
        <v>3</v>
      </c>
      <c r="F4" s="1" t="s">
        <v>4</v>
      </c>
      <c r="G4" s="1" t="s">
        <v>5</v>
      </c>
      <c r="H4" s="1" t="s">
        <v>6</v>
      </c>
      <c r="I4" s="1" t="s">
        <v>7</v>
      </c>
      <c r="J4" s="1" t="s">
        <v>8</v>
      </c>
    </row>
    <row r="5" spans="1:10" x14ac:dyDescent="0.25">
      <c r="A5" s="8" t="s">
        <v>347</v>
      </c>
      <c r="B5" s="8">
        <v>1</v>
      </c>
      <c r="C5" s="8" t="s">
        <v>9</v>
      </c>
    </row>
    <row r="6" spans="1:10" x14ac:dyDescent="0.25">
      <c r="A6" s="1" t="s">
        <v>1</v>
      </c>
      <c r="B6" s="1" t="s">
        <v>2</v>
      </c>
      <c r="C6" s="1" t="s">
        <v>0</v>
      </c>
      <c r="D6" s="1"/>
      <c r="E6" s="1" t="s">
        <v>3</v>
      </c>
      <c r="F6" s="1" t="s">
        <v>4</v>
      </c>
      <c r="G6" s="1" t="s">
        <v>5</v>
      </c>
      <c r="H6" s="1" t="s">
        <v>6</v>
      </c>
      <c r="I6" s="1" t="s">
        <v>7</v>
      </c>
      <c r="J6" s="1" t="s">
        <v>8</v>
      </c>
    </row>
    <row r="7" spans="1:10" x14ac:dyDescent="0.25">
      <c r="A7" s="3" t="str">
        <f>A11</f>
        <v>Sheet rolling, steel {GLO}| market for | Alloc Rec, U_mr</v>
      </c>
      <c r="B7" s="9">
        <v>1</v>
      </c>
      <c r="C7" s="8" t="s">
        <v>9</v>
      </c>
    </row>
    <row r="8" spans="1:10" x14ac:dyDescent="0.25">
      <c r="B8" s="9"/>
    </row>
    <row r="9" spans="1:10" x14ac:dyDescent="0.25">
      <c r="A9" s="2" t="s">
        <v>348</v>
      </c>
      <c r="B9" s="2"/>
      <c r="C9" s="2"/>
      <c r="D9" s="2"/>
      <c r="E9" s="2"/>
      <c r="F9" s="1"/>
      <c r="G9" s="1"/>
      <c r="H9" s="1"/>
      <c r="I9" s="1"/>
      <c r="J9" s="1"/>
    </row>
    <row r="10" spans="1:10" x14ac:dyDescent="0.25">
      <c r="A10" s="1" t="s">
        <v>10</v>
      </c>
      <c r="B10" s="1" t="s">
        <v>2</v>
      </c>
      <c r="C10" s="1" t="s">
        <v>0</v>
      </c>
      <c r="D10" s="1"/>
      <c r="E10" s="1" t="s">
        <v>3</v>
      </c>
      <c r="F10" s="1" t="s">
        <v>4</v>
      </c>
      <c r="G10" s="1" t="s">
        <v>5</v>
      </c>
      <c r="H10" s="1" t="s">
        <v>6</v>
      </c>
      <c r="I10" s="1" t="s">
        <v>7</v>
      </c>
      <c r="J10" s="1" t="s">
        <v>8</v>
      </c>
    </row>
    <row r="11" spans="1:10" x14ac:dyDescent="0.25">
      <c r="A11" s="8" t="s">
        <v>348</v>
      </c>
      <c r="B11" s="8">
        <v>1</v>
      </c>
      <c r="C11" s="8" t="s">
        <v>9</v>
      </c>
    </row>
    <row r="12" spans="1:10" x14ac:dyDescent="0.25">
      <c r="A12" s="1" t="s">
        <v>1</v>
      </c>
      <c r="B12" s="1" t="s">
        <v>2</v>
      </c>
      <c r="C12" s="1" t="s">
        <v>0</v>
      </c>
      <c r="D12" s="1"/>
      <c r="E12" s="1" t="s">
        <v>3</v>
      </c>
      <c r="F12" s="1" t="s">
        <v>4</v>
      </c>
      <c r="G12" s="1" t="s">
        <v>5</v>
      </c>
      <c r="H12" s="1" t="s">
        <v>6</v>
      </c>
      <c r="I12" s="1" t="s">
        <v>7</v>
      </c>
      <c r="J12" s="1" t="s">
        <v>8</v>
      </c>
    </row>
    <row r="13" spans="1:10" x14ac:dyDescent="0.25">
      <c r="A13" s="3" t="str">
        <f>A18</f>
        <v>Sheet rolling, steel {RER}| processing | Alloc Rec, U_mr</v>
      </c>
      <c r="B13" s="6">
        <v>0.26629422718808199</v>
      </c>
      <c r="C13" s="8" t="s">
        <v>9</v>
      </c>
    </row>
    <row r="14" spans="1:10" x14ac:dyDescent="0.25">
      <c r="A14" s="3" t="str">
        <f>A80</f>
        <v>Sheet rolling, steel {RoW}| processing | Alloc Rec, U_mr</v>
      </c>
      <c r="B14" s="8">
        <v>0.73370577281191796</v>
      </c>
      <c r="C14" s="8" t="s">
        <v>9</v>
      </c>
    </row>
    <row r="16" spans="1:10" x14ac:dyDescent="0.25">
      <c r="A16" s="2" t="s">
        <v>349</v>
      </c>
      <c r="B16" s="2"/>
      <c r="C16" s="2"/>
      <c r="D16" s="2"/>
      <c r="E16" s="2"/>
      <c r="F16" s="1"/>
      <c r="G16" s="1"/>
      <c r="H16" s="1"/>
      <c r="I16" s="1"/>
      <c r="J16" s="1"/>
    </row>
    <row r="17" spans="1:10" x14ac:dyDescent="0.25">
      <c r="A17" s="1" t="s">
        <v>10</v>
      </c>
      <c r="B17" s="1" t="s">
        <v>2</v>
      </c>
      <c r="C17" s="1" t="s">
        <v>0</v>
      </c>
      <c r="D17" s="1"/>
      <c r="E17" s="1" t="s">
        <v>3</v>
      </c>
      <c r="F17" s="1" t="s">
        <v>4</v>
      </c>
      <c r="G17" s="1" t="s">
        <v>5</v>
      </c>
      <c r="H17" s="1" t="s">
        <v>6</v>
      </c>
      <c r="I17" s="1" t="s">
        <v>7</v>
      </c>
      <c r="J17" s="1" t="s">
        <v>8</v>
      </c>
    </row>
    <row r="18" spans="1:10" x14ac:dyDescent="0.25">
      <c r="A18" s="8" t="s">
        <v>349</v>
      </c>
      <c r="B18" s="50">
        <f>1/RE_CR</f>
        <v>1.0857359998759046</v>
      </c>
      <c r="C18" s="8" t="s">
        <v>9</v>
      </c>
    </row>
    <row r="19" spans="1:10" x14ac:dyDescent="0.25">
      <c r="A19" s="1" t="s">
        <v>1</v>
      </c>
      <c r="B19" s="1" t="s">
        <v>2</v>
      </c>
      <c r="C19" s="1" t="s">
        <v>0</v>
      </c>
      <c r="D19" s="1"/>
      <c r="E19" s="1" t="s">
        <v>3</v>
      </c>
      <c r="F19" s="1" t="s">
        <v>4</v>
      </c>
      <c r="G19" s="1" t="s">
        <v>5</v>
      </c>
      <c r="H19" s="1" t="s">
        <v>6</v>
      </c>
      <c r="I19" s="1" t="s">
        <v>7</v>
      </c>
      <c r="J19" s="1" t="s">
        <v>8</v>
      </c>
    </row>
    <row r="20" spans="1:10" x14ac:dyDescent="0.25">
      <c r="A20" s="8" t="s">
        <v>320</v>
      </c>
      <c r="B20" s="8">
        <v>1.3583434399117999E-2</v>
      </c>
      <c r="C20" s="8" t="s">
        <v>41</v>
      </c>
      <c r="I20" s="8" t="s">
        <v>602</v>
      </c>
    </row>
    <row r="21" spans="1:10" x14ac:dyDescent="0.25">
      <c r="A21" s="8" t="s">
        <v>351</v>
      </c>
      <c r="B21" s="8">
        <v>3.97E-4</v>
      </c>
      <c r="C21" s="8" t="s">
        <v>9</v>
      </c>
      <c r="I21" s="8" t="s">
        <v>602</v>
      </c>
    </row>
    <row r="22" spans="1:10" x14ac:dyDescent="0.25">
      <c r="A22" s="8" t="s">
        <v>352</v>
      </c>
      <c r="B22" s="8">
        <v>4.4700000000000002E-5</v>
      </c>
      <c r="C22" s="8" t="s">
        <v>9</v>
      </c>
      <c r="I22" s="8" t="s">
        <v>602</v>
      </c>
    </row>
    <row r="23" spans="1:10" x14ac:dyDescent="0.25">
      <c r="A23" s="8" t="s">
        <v>353</v>
      </c>
      <c r="B23" s="8">
        <v>2.6800000000000001E-5</v>
      </c>
      <c r="C23" s="8" t="s">
        <v>9</v>
      </c>
      <c r="I23" s="8" t="s">
        <v>602</v>
      </c>
    </row>
    <row r="24" spans="1:10" x14ac:dyDescent="0.25">
      <c r="A24" s="8" t="s">
        <v>354</v>
      </c>
      <c r="B24" s="8">
        <v>1.8500000000000001E-6</v>
      </c>
      <c r="C24" s="8" t="s">
        <v>41</v>
      </c>
      <c r="I24" s="8" t="s">
        <v>602</v>
      </c>
    </row>
    <row r="25" spans="1:10" x14ac:dyDescent="0.25">
      <c r="A25" s="8" t="s">
        <v>355</v>
      </c>
      <c r="B25" s="8">
        <v>1.4999999999999999E-4</v>
      </c>
      <c r="C25" s="8" t="s">
        <v>9</v>
      </c>
      <c r="I25" s="8" t="s">
        <v>602</v>
      </c>
    </row>
    <row r="26" spans="1:10" x14ac:dyDescent="0.25">
      <c r="A26" s="8" t="s">
        <v>356</v>
      </c>
      <c r="B26" s="8">
        <v>1.5999999999999999E-6</v>
      </c>
      <c r="C26" s="8" t="s">
        <v>9</v>
      </c>
      <c r="I26" s="8" t="s">
        <v>602</v>
      </c>
    </row>
    <row r="27" spans="1:10" x14ac:dyDescent="0.25">
      <c r="A27" s="8" t="s">
        <v>335</v>
      </c>
      <c r="B27" s="8">
        <v>8.4900000000000004E-5</v>
      </c>
      <c r="C27" s="8" t="s">
        <v>9</v>
      </c>
      <c r="I27" s="8" t="s">
        <v>602</v>
      </c>
    </row>
    <row r="28" spans="1:10" x14ac:dyDescent="0.25">
      <c r="A28" s="8" t="s">
        <v>338</v>
      </c>
      <c r="B28" s="8">
        <v>1.5799999999999999E-8</v>
      </c>
      <c r="C28" s="8" t="s">
        <v>9</v>
      </c>
      <c r="I28" s="8" t="s">
        <v>602</v>
      </c>
    </row>
    <row r="29" spans="1:10" x14ac:dyDescent="0.25">
      <c r="A29" s="8" t="s">
        <v>332</v>
      </c>
      <c r="B29" s="8">
        <v>4.5900000000000003E-3</v>
      </c>
      <c r="C29" s="8" t="s">
        <v>9</v>
      </c>
      <c r="I29" s="8" t="s">
        <v>602</v>
      </c>
    </row>
    <row r="30" spans="1:10" x14ac:dyDescent="0.25">
      <c r="A30" s="8" t="s">
        <v>357</v>
      </c>
      <c r="B30" s="8">
        <v>4.1799999999999997E-3</v>
      </c>
      <c r="C30" s="8" t="s">
        <v>9</v>
      </c>
      <c r="I30" s="8" t="s">
        <v>602</v>
      </c>
    </row>
    <row r="31" spans="1:10" x14ac:dyDescent="0.25">
      <c r="A31" s="8" t="s">
        <v>358</v>
      </c>
      <c r="B31" s="8">
        <v>0.13500000000000001</v>
      </c>
      <c r="C31" s="8" t="s">
        <v>9</v>
      </c>
      <c r="I31" s="8" t="s">
        <v>602</v>
      </c>
    </row>
    <row r="32" spans="1:10" x14ac:dyDescent="0.25">
      <c r="A32" s="8" t="s">
        <v>334</v>
      </c>
      <c r="B32" s="8">
        <v>5.4200000000000003E-5</v>
      </c>
      <c r="C32" s="8" t="s">
        <v>9</v>
      </c>
      <c r="I32" s="8" t="s">
        <v>602</v>
      </c>
    </row>
    <row r="33" spans="1:9" x14ac:dyDescent="0.25">
      <c r="A33" s="8" t="s">
        <v>333</v>
      </c>
      <c r="B33" s="8">
        <v>1.62E-9</v>
      </c>
      <c r="C33" s="8" t="s">
        <v>12</v>
      </c>
      <c r="I33" s="8" t="s">
        <v>602</v>
      </c>
    </row>
    <row r="34" spans="1:9" x14ac:dyDescent="0.25">
      <c r="A34" s="3" t="str">
        <f>'Electricity generation'!A32</f>
        <v>Electricity, global mix, medium voltage_mr_Scope 2</v>
      </c>
      <c r="B34" s="50">
        <f>CR_electricity/RE_CR</f>
        <v>1.3245979198486038</v>
      </c>
      <c r="C34" s="8" t="s">
        <v>14</v>
      </c>
    </row>
    <row r="35" spans="1:9" x14ac:dyDescent="0.25">
      <c r="A35" s="3" t="str">
        <f>Sintering!$A$55</f>
        <v>Sinter, iron {GLO}| Natural Gas use | Alloc Rec, U_mr_Scope 2</v>
      </c>
      <c r="B35" s="50">
        <f>(CR_NatGas/heating_value_NatGas)/RE_CR</f>
        <v>4.7127960362624788E-2</v>
      </c>
      <c r="C35" s="8" t="s">
        <v>41</v>
      </c>
    </row>
    <row r="36" spans="1:9" x14ac:dyDescent="0.25">
      <c r="A36" s="8" t="s">
        <v>557</v>
      </c>
      <c r="B36" s="50">
        <f>CR_Steam/RE_CR</f>
        <v>1.0748786398771457</v>
      </c>
      <c r="C36" s="8" t="s">
        <v>14</v>
      </c>
    </row>
    <row r="37" spans="1:9" x14ac:dyDescent="0.25">
      <c r="A37" s="1" t="s">
        <v>16</v>
      </c>
    </row>
    <row r="38" spans="1:9" x14ac:dyDescent="0.25">
      <c r="A38" s="8" t="s">
        <v>142</v>
      </c>
      <c r="B38" s="8">
        <v>2.34E-5</v>
      </c>
      <c r="C38" s="8" t="s">
        <v>9</v>
      </c>
      <c r="I38" s="8" t="s">
        <v>602</v>
      </c>
    </row>
    <row r="39" spans="1:9" x14ac:dyDescent="0.25">
      <c r="A39" s="8" t="s">
        <v>25</v>
      </c>
      <c r="B39" s="8">
        <v>4.18E-9</v>
      </c>
      <c r="C39" s="8" t="s">
        <v>9</v>
      </c>
      <c r="I39" s="8" t="s">
        <v>602</v>
      </c>
    </row>
    <row r="40" spans="1:9" x14ac:dyDescent="0.25">
      <c r="A40" s="8" t="s">
        <v>17</v>
      </c>
      <c r="B40" s="8">
        <v>4.6400000000000003E-5</v>
      </c>
      <c r="C40" s="8" t="s">
        <v>9</v>
      </c>
      <c r="I40" s="8" t="s">
        <v>602</v>
      </c>
    </row>
    <row r="41" spans="1:9" x14ac:dyDescent="0.25">
      <c r="A41" s="8" t="s">
        <v>19</v>
      </c>
      <c r="B41" s="8">
        <v>2.1800000000000001E-5</v>
      </c>
      <c r="C41" s="8" t="s">
        <v>9</v>
      </c>
      <c r="I41" s="8" t="s">
        <v>602</v>
      </c>
    </row>
    <row r="42" spans="1:9" x14ac:dyDescent="0.25">
      <c r="A42" s="8" t="s">
        <v>44</v>
      </c>
      <c r="B42" s="8">
        <v>5.2905808296582202E-3</v>
      </c>
      <c r="C42" s="8" t="s">
        <v>41</v>
      </c>
      <c r="I42" s="8" t="s">
        <v>602</v>
      </c>
    </row>
    <row r="43" spans="1:9" x14ac:dyDescent="0.25">
      <c r="A43" s="8" t="s">
        <v>359</v>
      </c>
      <c r="B43" s="8">
        <v>7.2699999999999997E-10</v>
      </c>
      <c r="C43" s="8" t="s">
        <v>9</v>
      </c>
      <c r="I43" s="8" t="s">
        <v>602</v>
      </c>
    </row>
    <row r="44" spans="1:9" x14ac:dyDescent="0.25">
      <c r="A44" s="8" t="s">
        <v>69</v>
      </c>
      <c r="B44" s="8">
        <v>1.29E-7</v>
      </c>
      <c r="C44" s="8" t="s">
        <v>9</v>
      </c>
      <c r="I44" s="8" t="s">
        <v>602</v>
      </c>
    </row>
    <row r="45" spans="1:9" x14ac:dyDescent="0.25">
      <c r="A45" s="8" t="s">
        <v>15</v>
      </c>
      <c r="B45" s="8">
        <v>1.01E-4</v>
      </c>
      <c r="C45" s="8" t="s">
        <v>9</v>
      </c>
      <c r="I45" s="8" t="s">
        <v>602</v>
      </c>
    </row>
    <row r="46" spans="1:9" x14ac:dyDescent="0.25">
      <c r="A46" s="8" t="s">
        <v>89</v>
      </c>
      <c r="B46" s="8">
        <v>4.6900000000000002E-5</v>
      </c>
      <c r="C46" s="8" t="s">
        <v>9</v>
      </c>
      <c r="I46" s="8" t="s">
        <v>602</v>
      </c>
    </row>
    <row r="47" spans="1:9" x14ac:dyDescent="0.25">
      <c r="A47" s="8" t="s">
        <v>360</v>
      </c>
      <c r="B47" s="8">
        <v>3.4599999999999999E-8</v>
      </c>
      <c r="C47" s="8" t="s">
        <v>9</v>
      </c>
      <c r="I47" s="8" t="s">
        <v>602</v>
      </c>
    </row>
    <row r="48" spans="1:9" x14ac:dyDescent="0.25">
      <c r="A48" s="1" t="s">
        <v>20</v>
      </c>
    </row>
    <row r="49" spans="1:9" x14ac:dyDescent="0.25">
      <c r="A49" s="8" t="s">
        <v>340</v>
      </c>
      <c r="B49" s="8">
        <v>1.8899999999999999E-6</v>
      </c>
      <c r="C49" s="8" t="s">
        <v>9</v>
      </c>
      <c r="I49" s="8" t="s">
        <v>602</v>
      </c>
    </row>
    <row r="50" spans="1:9" x14ac:dyDescent="0.25">
      <c r="A50" s="8" t="s">
        <v>147</v>
      </c>
      <c r="B50" s="8">
        <v>1.3400000000000001E-6</v>
      </c>
      <c r="C50" s="8" t="s">
        <v>9</v>
      </c>
      <c r="I50" s="8" t="s">
        <v>602</v>
      </c>
    </row>
    <row r="51" spans="1:9" x14ac:dyDescent="0.25">
      <c r="A51" s="8" t="s">
        <v>21</v>
      </c>
      <c r="B51" s="8">
        <v>1.33E-5</v>
      </c>
      <c r="C51" s="8" t="s">
        <v>9</v>
      </c>
      <c r="I51" s="8" t="s">
        <v>602</v>
      </c>
    </row>
    <row r="52" spans="1:9" x14ac:dyDescent="0.25">
      <c r="A52" s="8" t="s">
        <v>26</v>
      </c>
      <c r="B52" s="8">
        <v>2.2399999999999999E-7</v>
      </c>
      <c r="C52" s="8" t="s">
        <v>9</v>
      </c>
      <c r="I52" s="8" t="s">
        <v>602</v>
      </c>
    </row>
    <row r="53" spans="1:9" x14ac:dyDescent="0.25">
      <c r="A53" s="8" t="s">
        <v>22</v>
      </c>
      <c r="B53" s="8">
        <v>1.33E-5</v>
      </c>
      <c r="C53" s="8" t="s">
        <v>9</v>
      </c>
      <c r="I53" s="8" t="s">
        <v>602</v>
      </c>
    </row>
    <row r="54" spans="1:9" x14ac:dyDescent="0.25">
      <c r="A54" s="8" t="s">
        <v>25</v>
      </c>
      <c r="B54" s="8">
        <v>5.4000000000000002E-7</v>
      </c>
      <c r="C54" s="8" t="s">
        <v>9</v>
      </c>
      <c r="I54" s="8" t="s">
        <v>602</v>
      </c>
    </row>
    <row r="55" spans="1:9" x14ac:dyDescent="0.25">
      <c r="A55" s="8" t="s">
        <v>52</v>
      </c>
      <c r="B55" s="8">
        <v>1.4999999999999999E-7</v>
      </c>
      <c r="C55" s="8" t="s">
        <v>9</v>
      </c>
      <c r="I55" s="8" t="s">
        <v>602</v>
      </c>
    </row>
    <row r="56" spans="1:9" x14ac:dyDescent="0.25">
      <c r="A56" s="8" t="s">
        <v>45</v>
      </c>
      <c r="B56" s="8">
        <v>8.4900000000000005E-7</v>
      </c>
      <c r="C56" s="8" t="s">
        <v>9</v>
      </c>
      <c r="I56" s="8" t="s">
        <v>602</v>
      </c>
    </row>
    <row r="57" spans="1:9" x14ac:dyDescent="0.25">
      <c r="A57" s="8" t="s">
        <v>116</v>
      </c>
      <c r="B57" s="8">
        <v>1.42E-6</v>
      </c>
      <c r="C57" s="8" t="s">
        <v>9</v>
      </c>
      <c r="I57" s="8" t="s">
        <v>602</v>
      </c>
    </row>
    <row r="58" spans="1:9" x14ac:dyDescent="0.25">
      <c r="A58" s="8" t="s">
        <v>23</v>
      </c>
      <c r="B58" s="8">
        <v>4.1300000000000001E-5</v>
      </c>
      <c r="C58" s="8" t="s">
        <v>9</v>
      </c>
      <c r="I58" s="8" t="s">
        <v>602</v>
      </c>
    </row>
    <row r="59" spans="1:9" x14ac:dyDescent="0.25">
      <c r="A59" s="8" t="s">
        <v>49</v>
      </c>
      <c r="B59" s="8">
        <v>2.9999999999999999E-7</v>
      </c>
      <c r="C59" s="8" t="s">
        <v>9</v>
      </c>
      <c r="I59" s="8" t="s">
        <v>602</v>
      </c>
    </row>
    <row r="60" spans="1:9" x14ac:dyDescent="0.25">
      <c r="A60" s="8" t="s">
        <v>24</v>
      </c>
      <c r="B60" s="8">
        <v>4.1300000000000001E-5</v>
      </c>
      <c r="C60" s="8" t="s">
        <v>9</v>
      </c>
      <c r="I60" s="8" t="s">
        <v>602</v>
      </c>
    </row>
    <row r="61" spans="1:9" x14ac:dyDescent="0.25">
      <c r="A61" s="8" t="s">
        <v>51</v>
      </c>
      <c r="B61" s="8">
        <v>2.9999999999999997E-8</v>
      </c>
      <c r="C61" s="8" t="s">
        <v>9</v>
      </c>
      <c r="I61" s="8" t="s">
        <v>602</v>
      </c>
    </row>
    <row r="62" spans="1:9" x14ac:dyDescent="0.25">
      <c r="A62" s="8" t="s">
        <v>322</v>
      </c>
      <c r="B62" s="8">
        <v>8.4278535694597805E-3</v>
      </c>
      <c r="C62" s="8" t="s">
        <v>41</v>
      </c>
      <c r="I62" s="8" t="s">
        <v>602</v>
      </c>
    </row>
    <row r="63" spans="1:9" x14ac:dyDescent="0.25">
      <c r="A63" s="8" t="s">
        <v>27</v>
      </c>
      <c r="B63" s="8">
        <v>4.6500000000000004E-6</v>
      </c>
      <c r="C63" s="8" t="s">
        <v>9</v>
      </c>
      <c r="I63" s="8" t="s">
        <v>602</v>
      </c>
    </row>
    <row r="64" spans="1:9" x14ac:dyDescent="0.25">
      <c r="A64" s="8" t="s">
        <v>28</v>
      </c>
      <c r="B64" s="8">
        <v>1.5899999999999999E-4</v>
      </c>
      <c r="C64" s="8" t="s">
        <v>9</v>
      </c>
      <c r="I64" s="8" t="s">
        <v>602</v>
      </c>
    </row>
    <row r="65" spans="1:10" x14ac:dyDescent="0.25">
      <c r="A65" s="8" t="s">
        <v>48</v>
      </c>
      <c r="B65" s="8">
        <v>2.9999999999999997E-8</v>
      </c>
      <c r="C65" s="8" t="s">
        <v>9</v>
      </c>
      <c r="I65" s="8" t="s">
        <v>602</v>
      </c>
    </row>
    <row r="66" spans="1:10" x14ac:dyDescent="0.25">
      <c r="A66" s="8" t="s">
        <v>46</v>
      </c>
      <c r="B66" s="8">
        <v>2.8999999999999998E-7</v>
      </c>
      <c r="C66" s="8" t="s">
        <v>9</v>
      </c>
      <c r="I66" s="8" t="s">
        <v>602</v>
      </c>
    </row>
    <row r="67" spans="1:10" x14ac:dyDescent="0.25">
      <c r="A67" s="8" t="s">
        <v>67</v>
      </c>
      <c r="B67" s="8">
        <v>6.1200000000000003E-7</v>
      </c>
      <c r="C67" s="8" t="s">
        <v>9</v>
      </c>
      <c r="I67" s="8" t="s">
        <v>602</v>
      </c>
    </row>
    <row r="68" spans="1:10" x14ac:dyDescent="0.25">
      <c r="A68" s="1" t="s">
        <v>361</v>
      </c>
    </row>
    <row r="69" spans="1:10" x14ac:dyDescent="0.25">
      <c r="A69" s="8" t="s">
        <v>27</v>
      </c>
      <c r="B69" s="8">
        <v>4.5200000000000001E-5</v>
      </c>
      <c r="C69" s="8" t="s">
        <v>9</v>
      </c>
      <c r="I69" s="8" t="s">
        <v>602</v>
      </c>
    </row>
    <row r="70" spans="1:10" x14ac:dyDescent="0.25">
      <c r="A70" s="8" t="s">
        <v>53</v>
      </c>
      <c r="B70" s="8">
        <v>3.8500000000000001E-5</v>
      </c>
      <c r="C70" s="8" t="s">
        <v>9</v>
      </c>
      <c r="I70" s="8" t="s">
        <v>602</v>
      </c>
    </row>
    <row r="71" spans="1:10" x14ac:dyDescent="0.25">
      <c r="A71" s="1" t="s">
        <v>94</v>
      </c>
    </row>
    <row r="72" spans="1:10" x14ac:dyDescent="0.25">
      <c r="A72" s="8" t="s">
        <v>96</v>
      </c>
      <c r="B72" s="8">
        <v>8.8800000000000001E-4</v>
      </c>
      <c r="C72" s="8" t="s">
        <v>9</v>
      </c>
      <c r="I72" s="8" t="s">
        <v>602</v>
      </c>
    </row>
    <row r="73" spans="1:10" x14ac:dyDescent="0.25">
      <c r="A73" s="8" t="s">
        <v>324</v>
      </c>
      <c r="B73" s="8">
        <v>1.93E-4</v>
      </c>
      <c r="C73" s="8" t="s">
        <v>9</v>
      </c>
      <c r="I73" s="8" t="s">
        <v>602</v>
      </c>
    </row>
    <row r="74" spans="1:10" x14ac:dyDescent="0.25">
      <c r="A74" s="8" t="s">
        <v>362</v>
      </c>
      <c r="B74" s="8">
        <v>3.5799999999999997E-4</v>
      </c>
      <c r="C74" s="8" t="s">
        <v>9</v>
      </c>
      <c r="I74" s="8" t="s">
        <v>602</v>
      </c>
    </row>
    <row r="75" spans="1:10" x14ac:dyDescent="0.25">
      <c r="A75" s="8" t="s">
        <v>363</v>
      </c>
      <c r="B75" s="8">
        <v>7.9000000000000008E-3</v>
      </c>
      <c r="C75" s="8" t="s">
        <v>9</v>
      </c>
      <c r="I75" s="8" t="s">
        <v>602</v>
      </c>
    </row>
    <row r="76" spans="1:10" x14ac:dyDescent="0.25">
      <c r="A76" s="8" t="s">
        <v>341</v>
      </c>
      <c r="B76" s="8">
        <v>2.01E-2</v>
      </c>
      <c r="C76" s="8" t="s">
        <v>9</v>
      </c>
      <c r="I76" s="8" t="s">
        <v>602</v>
      </c>
    </row>
    <row r="78" spans="1:10" x14ac:dyDescent="0.25">
      <c r="A78" s="2" t="s">
        <v>350</v>
      </c>
      <c r="B78" s="2"/>
      <c r="C78" s="2"/>
      <c r="D78" s="2"/>
      <c r="E78" s="2"/>
      <c r="F78" s="1"/>
      <c r="G78" s="1"/>
      <c r="H78" s="1"/>
      <c r="I78" s="1"/>
      <c r="J78" s="1"/>
    </row>
    <row r="79" spans="1:10" x14ac:dyDescent="0.25">
      <c r="A79" s="1" t="s">
        <v>10</v>
      </c>
      <c r="B79" s="1" t="s">
        <v>2</v>
      </c>
      <c r="C79" s="1" t="s">
        <v>0</v>
      </c>
      <c r="D79" s="1"/>
      <c r="E79" s="1" t="s">
        <v>3</v>
      </c>
      <c r="F79" s="1" t="s">
        <v>4</v>
      </c>
      <c r="G79" s="1" t="s">
        <v>5</v>
      </c>
      <c r="H79" s="1" t="s">
        <v>6</v>
      </c>
      <c r="I79" s="1" t="s">
        <v>7</v>
      </c>
      <c r="J79" s="1" t="s">
        <v>8</v>
      </c>
    </row>
    <row r="80" spans="1:10" x14ac:dyDescent="0.25">
      <c r="A80" s="8" t="s">
        <v>350</v>
      </c>
      <c r="B80" s="50">
        <f>1/RE_CR</f>
        <v>1.0857359998759046</v>
      </c>
      <c r="C80" s="8" t="s">
        <v>9</v>
      </c>
    </row>
    <row r="81" spans="1:10" x14ac:dyDescent="0.25">
      <c r="A81" s="1" t="s">
        <v>1</v>
      </c>
      <c r="B81" s="1" t="s">
        <v>2</v>
      </c>
      <c r="C81" s="1" t="s">
        <v>0</v>
      </c>
      <c r="D81" s="1"/>
      <c r="E81" s="1" t="s">
        <v>3</v>
      </c>
      <c r="F81" s="1" t="s">
        <v>4</v>
      </c>
      <c r="G81" s="1" t="s">
        <v>5</v>
      </c>
      <c r="H81" s="1" t="s">
        <v>6</v>
      </c>
      <c r="I81" s="1" t="s">
        <v>7</v>
      </c>
      <c r="J81" s="1" t="s">
        <v>8</v>
      </c>
    </row>
    <row r="82" spans="1:10" x14ac:dyDescent="0.25">
      <c r="A82" s="8" t="s">
        <v>326</v>
      </c>
      <c r="B82" s="8">
        <v>1.3583434399117999E-2</v>
      </c>
      <c r="C82" s="8" t="s">
        <v>41</v>
      </c>
      <c r="I82" s="8" t="s">
        <v>602</v>
      </c>
    </row>
    <row r="83" spans="1:10" x14ac:dyDescent="0.25">
      <c r="A83" s="8" t="s">
        <v>338</v>
      </c>
      <c r="B83" s="8">
        <v>1.5799999999999999E-8</v>
      </c>
      <c r="C83" s="8" t="s">
        <v>9</v>
      </c>
      <c r="I83" s="8" t="s">
        <v>602</v>
      </c>
    </row>
    <row r="84" spans="1:10" x14ac:dyDescent="0.25">
      <c r="A84" s="8" t="s">
        <v>334</v>
      </c>
      <c r="B84" s="8">
        <v>5.4200000000000003E-5</v>
      </c>
      <c r="C84" s="8" t="s">
        <v>9</v>
      </c>
      <c r="I84" s="8" t="s">
        <v>602</v>
      </c>
    </row>
    <row r="85" spans="1:10" x14ac:dyDescent="0.25">
      <c r="A85" s="8" t="s">
        <v>332</v>
      </c>
      <c r="B85" s="8">
        <v>4.5900000000000003E-3</v>
      </c>
      <c r="C85" s="8" t="s">
        <v>9</v>
      </c>
      <c r="I85" s="8" t="s">
        <v>602</v>
      </c>
    </row>
    <row r="86" spans="1:10" x14ac:dyDescent="0.25">
      <c r="A86" s="8" t="s">
        <v>358</v>
      </c>
      <c r="B86" s="8">
        <v>0.13500000000000001</v>
      </c>
      <c r="C86" s="8" t="s">
        <v>9</v>
      </c>
      <c r="I86" s="8" t="s">
        <v>602</v>
      </c>
    </row>
    <row r="87" spans="1:10" x14ac:dyDescent="0.25">
      <c r="A87" s="8" t="s">
        <v>355</v>
      </c>
      <c r="B87" s="8">
        <v>1.4999999999999999E-4</v>
      </c>
      <c r="C87" s="8" t="s">
        <v>9</v>
      </c>
      <c r="I87" s="8" t="s">
        <v>602</v>
      </c>
    </row>
    <row r="88" spans="1:10" x14ac:dyDescent="0.25">
      <c r="A88" s="8" t="s">
        <v>353</v>
      </c>
      <c r="B88" s="8">
        <v>2.6800000000000001E-5</v>
      </c>
      <c r="C88" s="8" t="s">
        <v>9</v>
      </c>
      <c r="I88" s="8" t="s">
        <v>602</v>
      </c>
    </row>
    <row r="89" spans="1:10" x14ac:dyDescent="0.25">
      <c r="A89" s="8" t="s">
        <v>364</v>
      </c>
      <c r="B89" s="8">
        <v>1.8500000000000001E-6</v>
      </c>
      <c r="C89" s="8" t="s">
        <v>41</v>
      </c>
      <c r="I89" s="8" t="s">
        <v>602</v>
      </c>
    </row>
    <row r="90" spans="1:10" x14ac:dyDescent="0.25">
      <c r="A90" s="8" t="s">
        <v>365</v>
      </c>
      <c r="B90" s="8">
        <v>3.97E-4</v>
      </c>
      <c r="C90" s="8" t="s">
        <v>9</v>
      </c>
      <c r="I90" s="8" t="s">
        <v>602</v>
      </c>
    </row>
    <row r="91" spans="1:10" x14ac:dyDescent="0.25">
      <c r="A91" s="8" t="s">
        <v>335</v>
      </c>
      <c r="B91" s="8">
        <v>8.4900000000000004E-5</v>
      </c>
      <c r="C91" s="8" t="s">
        <v>9</v>
      </c>
      <c r="I91" s="8" t="s">
        <v>602</v>
      </c>
    </row>
    <row r="92" spans="1:10" x14ac:dyDescent="0.25">
      <c r="A92" s="8" t="s">
        <v>357</v>
      </c>
      <c r="B92" s="8">
        <v>4.1799999999999997E-3</v>
      </c>
      <c r="C92" s="8" t="s">
        <v>9</v>
      </c>
      <c r="I92" s="8" t="s">
        <v>602</v>
      </c>
    </row>
    <row r="93" spans="1:10" x14ac:dyDescent="0.25">
      <c r="A93" s="8" t="s">
        <v>356</v>
      </c>
      <c r="B93" s="8">
        <v>1.5999999999999999E-6</v>
      </c>
      <c r="C93" s="8" t="s">
        <v>9</v>
      </c>
      <c r="I93" s="8" t="s">
        <v>602</v>
      </c>
    </row>
    <row r="94" spans="1:10" x14ac:dyDescent="0.25">
      <c r="A94" s="8" t="s">
        <v>352</v>
      </c>
      <c r="B94" s="8">
        <v>4.4700000000000002E-5</v>
      </c>
      <c r="C94" s="8" t="s">
        <v>9</v>
      </c>
      <c r="I94" s="8" t="s">
        <v>602</v>
      </c>
    </row>
    <row r="95" spans="1:10" x14ac:dyDescent="0.25">
      <c r="A95" s="8" t="s">
        <v>333</v>
      </c>
      <c r="B95" s="8">
        <v>1.62E-9</v>
      </c>
      <c r="C95" s="8" t="s">
        <v>12</v>
      </c>
      <c r="I95" s="8" t="s">
        <v>602</v>
      </c>
    </row>
    <row r="96" spans="1:10" x14ac:dyDescent="0.25">
      <c r="A96" s="3" t="str">
        <f>'Electricity generation'!A32</f>
        <v>Electricity, global mix, medium voltage_mr_Scope 2</v>
      </c>
      <c r="B96" s="50">
        <f>CR_electricity/RE_CR</f>
        <v>1.3245979198486038</v>
      </c>
      <c r="C96" s="8" t="s">
        <v>14</v>
      </c>
    </row>
    <row r="97" spans="1:9" x14ac:dyDescent="0.25">
      <c r="A97" s="3" t="str">
        <f>Sintering!$A$55</f>
        <v>Sinter, iron {GLO}| Natural Gas use | Alloc Rec, U_mr_Scope 2</v>
      </c>
      <c r="B97" s="50">
        <f>(CR_NatGas/heating_value_NatGas)/RE_CR</f>
        <v>4.7127960362624788E-2</v>
      </c>
      <c r="C97" s="8" t="s">
        <v>41</v>
      </c>
    </row>
    <row r="98" spans="1:9" x14ac:dyDescent="0.25">
      <c r="A98" s="8" t="s">
        <v>557</v>
      </c>
      <c r="B98" s="50">
        <f>CR_Steam/RE_CR</f>
        <v>1.0748786398771457</v>
      </c>
      <c r="C98" s="8" t="s">
        <v>14</v>
      </c>
    </row>
    <row r="99" spans="1:9" x14ac:dyDescent="0.25">
      <c r="A99" s="1" t="s">
        <v>16</v>
      </c>
    </row>
    <row r="100" spans="1:9" x14ac:dyDescent="0.25">
      <c r="A100" s="8" t="s">
        <v>15</v>
      </c>
      <c r="B100" s="8">
        <v>1.01E-4</v>
      </c>
      <c r="C100" s="8" t="s">
        <v>9</v>
      </c>
      <c r="I100" s="8" t="s">
        <v>602</v>
      </c>
    </row>
    <row r="101" spans="1:9" x14ac:dyDescent="0.25">
      <c r="A101" s="8" t="s">
        <v>19</v>
      </c>
      <c r="B101" s="8">
        <v>2.1800000000000001E-5</v>
      </c>
      <c r="C101" s="8" t="s">
        <v>9</v>
      </c>
      <c r="I101" s="8" t="s">
        <v>602</v>
      </c>
    </row>
    <row r="102" spans="1:9" x14ac:dyDescent="0.25">
      <c r="A102" s="8" t="s">
        <v>44</v>
      </c>
      <c r="B102" s="8">
        <v>5.2905808296582202E-3</v>
      </c>
      <c r="C102" s="8" t="s">
        <v>41</v>
      </c>
      <c r="I102" s="8" t="s">
        <v>602</v>
      </c>
    </row>
    <row r="103" spans="1:9" x14ac:dyDescent="0.25">
      <c r="A103" s="8" t="s">
        <v>25</v>
      </c>
      <c r="B103" s="8">
        <v>4.18E-9</v>
      </c>
      <c r="C103" s="8" t="s">
        <v>9</v>
      </c>
      <c r="I103" s="8" t="s">
        <v>602</v>
      </c>
    </row>
    <row r="104" spans="1:9" x14ac:dyDescent="0.25">
      <c r="A104" s="8" t="s">
        <v>17</v>
      </c>
      <c r="B104" s="8">
        <v>4.6400000000000003E-5</v>
      </c>
      <c r="C104" s="8" t="s">
        <v>9</v>
      </c>
      <c r="I104" s="8" t="s">
        <v>602</v>
      </c>
    </row>
    <row r="105" spans="1:9" x14ac:dyDescent="0.25">
      <c r="A105" s="8" t="s">
        <v>69</v>
      </c>
      <c r="B105" s="8">
        <v>1.29E-7</v>
      </c>
      <c r="C105" s="8" t="s">
        <v>9</v>
      </c>
      <c r="I105" s="8" t="s">
        <v>602</v>
      </c>
    </row>
    <row r="106" spans="1:9" x14ac:dyDescent="0.25">
      <c r="A106" s="8" t="s">
        <v>360</v>
      </c>
      <c r="B106" s="8">
        <v>3.4599999999999999E-8</v>
      </c>
      <c r="C106" s="8" t="s">
        <v>9</v>
      </c>
      <c r="I106" s="8" t="s">
        <v>602</v>
      </c>
    </row>
    <row r="107" spans="1:9" x14ac:dyDescent="0.25">
      <c r="A107" s="8" t="s">
        <v>359</v>
      </c>
      <c r="B107" s="8">
        <v>7.2699999999999997E-10</v>
      </c>
      <c r="C107" s="8" t="s">
        <v>9</v>
      </c>
      <c r="I107" s="8" t="s">
        <v>602</v>
      </c>
    </row>
    <row r="108" spans="1:9" x14ac:dyDescent="0.25">
      <c r="A108" s="8" t="s">
        <v>142</v>
      </c>
      <c r="B108" s="8">
        <v>2.34E-5</v>
      </c>
      <c r="C108" s="8" t="s">
        <v>9</v>
      </c>
      <c r="I108" s="8" t="s">
        <v>602</v>
      </c>
    </row>
    <row r="109" spans="1:9" x14ac:dyDescent="0.25">
      <c r="A109" s="8" t="s">
        <v>89</v>
      </c>
      <c r="B109" s="8">
        <v>4.6900000000000002E-5</v>
      </c>
      <c r="C109" s="8" t="s">
        <v>9</v>
      </c>
      <c r="I109" s="8" t="s">
        <v>602</v>
      </c>
    </row>
    <row r="110" spans="1:9" x14ac:dyDescent="0.25">
      <c r="A110" s="1" t="s">
        <v>20</v>
      </c>
    </row>
    <row r="111" spans="1:9" x14ac:dyDescent="0.25">
      <c r="A111" s="8" t="s">
        <v>48</v>
      </c>
      <c r="B111" s="8">
        <v>2.9999999999999997E-8</v>
      </c>
      <c r="C111" s="8" t="s">
        <v>9</v>
      </c>
      <c r="I111" s="8" t="s">
        <v>602</v>
      </c>
    </row>
    <row r="112" spans="1:9" x14ac:dyDescent="0.25">
      <c r="A112" s="8" t="s">
        <v>28</v>
      </c>
      <c r="B112" s="8">
        <v>1.5899999999999999E-4</v>
      </c>
      <c r="C112" s="8" t="s">
        <v>9</v>
      </c>
      <c r="I112" s="8" t="s">
        <v>602</v>
      </c>
    </row>
    <row r="113" spans="1:9" x14ac:dyDescent="0.25">
      <c r="A113" s="8" t="s">
        <v>340</v>
      </c>
      <c r="B113" s="8">
        <v>1.8899999999999999E-6</v>
      </c>
      <c r="C113" s="8" t="s">
        <v>9</v>
      </c>
      <c r="I113" s="8" t="s">
        <v>602</v>
      </c>
    </row>
    <row r="114" spans="1:9" x14ac:dyDescent="0.25">
      <c r="A114" s="8" t="s">
        <v>26</v>
      </c>
      <c r="B114" s="8">
        <v>2.2399999999999999E-7</v>
      </c>
      <c r="C114" s="8" t="s">
        <v>9</v>
      </c>
      <c r="I114" s="8" t="s">
        <v>602</v>
      </c>
    </row>
    <row r="115" spans="1:9" x14ac:dyDescent="0.25">
      <c r="A115" s="8" t="s">
        <v>21</v>
      </c>
      <c r="B115" s="8">
        <v>1.33E-5</v>
      </c>
      <c r="C115" s="8" t="s">
        <v>9</v>
      </c>
      <c r="I115" s="8" t="s">
        <v>602</v>
      </c>
    </row>
    <row r="116" spans="1:9" x14ac:dyDescent="0.25">
      <c r="A116" s="8" t="s">
        <v>46</v>
      </c>
      <c r="B116" s="8">
        <v>2.8999999999999998E-7</v>
      </c>
      <c r="C116" s="8" t="s">
        <v>9</v>
      </c>
      <c r="I116" s="8" t="s">
        <v>602</v>
      </c>
    </row>
    <row r="117" spans="1:9" x14ac:dyDescent="0.25">
      <c r="A117" s="8" t="s">
        <v>25</v>
      </c>
      <c r="B117" s="8">
        <v>5.4000000000000002E-7</v>
      </c>
      <c r="C117" s="8" t="s">
        <v>9</v>
      </c>
      <c r="I117" s="8" t="s">
        <v>602</v>
      </c>
    </row>
    <row r="118" spans="1:9" x14ac:dyDescent="0.25">
      <c r="A118" s="8" t="s">
        <v>93</v>
      </c>
      <c r="B118" s="8">
        <v>8.4278535694597805E-3</v>
      </c>
      <c r="C118" s="8" t="s">
        <v>41</v>
      </c>
      <c r="I118" s="8" t="s">
        <v>602</v>
      </c>
    </row>
    <row r="119" spans="1:9" x14ac:dyDescent="0.25">
      <c r="A119" s="8" t="s">
        <v>45</v>
      </c>
      <c r="B119" s="8">
        <v>8.4900000000000005E-7</v>
      </c>
      <c r="C119" s="8" t="s">
        <v>9</v>
      </c>
      <c r="I119" s="8" t="s">
        <v>602</v>
      </c>
    </row>
    <row r="120" spans="1:9" x14ac:dyDescent="0.25">
      <c r="A120" s="8" t="s">
        <v>22</v>
      </c>
      <c r="B120" s="8">
        <v>1.33E-5</v>
      </c>
      <c r="C120" s="8" t="s">
        <v>9</v>
      </c>
      <c r="I120" s="8" t="s">
        <v>602</v>
      </c>
    </row>
    <row r="121" spans="1:9" x14ac:dyDescent="0.25">
      <c r="A121" s="8" t="s">
        <v>67</v>
      </c>
      <c r="B121" s="8">
        <v>6.1200000000000003E-7</v>
      </c>
      <c r="C121" s="8" t="s">
        <v>9</v>
      </c>
      <c r="I121" s="8" t="s">
        <v>602</v>
      </c>
    </row>
    <row r="122" spans="1:9" x14ac:dyDescent="0.25">
      <c r="A122" s="8" t="s">
        <v>23</v>
      </c>
      <c r="B122" s="8">
        <v>4.1300000000000001E-5</v>
      </c>
      <c r="C122" s="8" t="s">
        <v>9</v>
      </c>
      <c r="I122" s="8" t="s">
        <v>602</v>
      </c>
    </row>
    <row r="123" spans="1:9" x14ac:dyDescent="0.25">
      <c r="A123" s="8" t="s">
        <v>52</v>
      </c>
      <c r="B123" s="8">
        <v>1.4999999999999999E-7</v>
      </c>
      <c r="C123" s="8" t="s">
        <v>9</v>
      </c>
      <c r="I123" s="8" t="s">
        <v>602</v>
      </c>
    </row>
    <row r="124" spans="1:9" x14ac:dyDescent="0.25">
      <c r="A124" s="8" t="s">
        <v>51</v>
      </c>
      <c r="B124" s="8">
        <v>2.9999999999999997E-8</v>
      </c>
      <c r="C124" s="8" t="s">
        <v>9</v>
      </c>
      <c r="I124" s="8" t="s">
        <v>602</v>
      </c>
    </row>
    <row r="125" spans="1:9" x14ac:dyDescent="0.25">
      <c r="A125" s="8" t="s">
        <v>24</v>
      </c>
      <c r="B125" s="8">
        <v>4.1300000000000001E-5</v>
      </c>
      <c r="C125" s="8" t="s">
        <v>9</v>
      </c>
      <c r="I125" s="8" t="s">
        <v>602</v>
      </c>
    </row>
    <row r="126" spans="1:9" x14ac:dyDescent="0.25">
      <c r="A126" s="8" t="s">
        <v>147</v>
      </c>
      <c r="B126" s="8">
        <v>1.3400000000000001E-6</v>
      </c>
      <c r="C126" s="8" t="s">
        <v>9</v>
      </c>
      <c r="I126" s="8" t="s">
        <v>602</v>
      </c>
    </row>
    <row r="127" spans="1:9" x14ac:dyDescent="0.25">
      <c r="A127" s="8" t="s">
        <v>49</v>
      </c>
      <c r="B127" s="8">
        <v>2.9999999999999999E-7</v>
      </c>
      <c r="C127" s="8" t="s">
        <v>9</v>
      </c>
      <c r="I127" s="8" t="s">
        <v>602</v>
      </c>
    </row>
    <row r="128" spans="1:9" x14ac:dyDescent="0.25">
      <c r="A128" s="8" t="s">
        <v>116</v>
      </c>
      <c r="B128" s="8">
        <v>1.42E-6</v>
      </c>
      <c r="C128" s="8" t="s">
        <v>9</v>
      </c>
      <c r="I128" s="8" t="s">
        <v>602</v>
      </c>
    </row>
    <row r="129" spans="1:9" x14ac:dyDescent="0.25">
      <c r="A129" s="8" t="s">
        <v>27</v>
      </c>
      <c r="B129" s="8">
        <v>4.6500000000000004E-6</v>
      </c>
      <c r="C129" s="8" t="s">
        <v>9</v>
      </c>
      <c r="I129" s="8" t="s">
        <v>602</v>
      </c>
    </row>
    <row r="130" spans="1:9" x14ac:dyDescent="0.25">
      <c r="A130" s="1" t="s">
        <v>361</v>
      </c>
    </row>
    <row r="131" spans="1:9" x14ac:dyDescent="0.25">
      <c r="A131" s="8" t="s">
        <v>27</v>
      </c>
      <c r="B131" s="8">
        <v>4.5200000000000001E-5</v>
      </c>
      <c r="C131" s="8" t="s">
        <v>9</v>
      </c>
      <c r="I131" s="8" t="s">
        <v>602</v>
      </c>
    </row>
    <row r="132" spans="1:9" x14ac:dyDescent="0.25">
      <c r="A132" s="8" t="s">
        <v>53</v>
      </c>
      <c r="B132" s="8">
        <v>3.8500000000000001E-5</v>
      </c>
      <c r="C132" s="8" t="s">
        <v>9</v>
      </c>
      <c r="I132" s="8" t="s">
        <v>602</v>
      </c>
    </row>
    <row r="133" spans="1:9" x14ac:dyDescent="0.25">
      <c r="A133" s="1" t="s">
        <v>94</v>
      </c>
    </row>
    <row r="134" spans="1:9" x14ac:dyDescent="0.25">
      <c r="A134" s="8" t="s">
        <v>324</v>
      </c>
      <c r="B134" s="8">
        <v>1.93E-4</v>
      </c>
      <c r="C134" s="8" t="s">
        <v>9</v>
      </c>
      <c r="I134" s="8" t="s">
        <v>602</v>
      </c>
    </row>
    <row r="135" spans="1:9" x14ac:dyDescent="0.25">
      <c r="A135" s="8" t="s">
        <v>341</v>
      </c>
      <c r="B135" s="8">
        <v>2.01E-2</v>
      </c>
      <c r="C135" s="8" t="s">
        <v>9</v>
      </c>
      <c r="I135" s="8" t="s">
        <v>602</v>
      </c>
    </row>
    <row r="136" spans="1:9" x14ac:dyDescent="0.25">
      <c r="A136" s="8" t="s">
        <v>363</v>
      </c>
      <c r="B136" s="8">
        <v>7.9000000000000008E-3</v>
      </c>
      <c r="C136" s="8" t="s">
        <v>9</v>
      </c>
      <c r="I136" s="8" t="s">
        <v>602</v>
      </c>
    </row>
    <row r="137" spans="1:9" x14ac:dyDescent="0.25">
      <c r="A137" s="8" t="s">
        <v>343</v>
      </c>
      <c r="B137" s="8">
        <v>3.5799999999999997E-4</v>
      </c>
      <c r="C137" s="8" t="s">
        <v>9</v>
      </c>
      <c r="I137" s="8" t="s">
        <v>602</v>
      </c>
    </row>
    <row r="138" spans="1:9" x14ac:dyDescent="0.25">
      <c r="A138" s="8" t="s">
        <v>96</v>
      </c>
      <c r="B138" s="8">
        <v>8.8800000000000001E-4</v>
      </c>
      <c r="C138" s="8" t="s">
        <v>9</v>
      </c>
      <c r="I138" s="8" t="s">
        <v>602</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tabColor theme="9" tint="0.59999389629810485"/>
  </sheetPr>
  <dimension ref="A1:K46"/>
  <sheetViews>
    <sheetView topLeftCell="A22" workbookViewId="0">
      <selection activeCell="C35" sqref="C35"/>
    </sheetView>
  </sheetViews>
  <sheetFormatPr defaultRowHeight="15" x14ac:dyDescent="0.25"/>
  <cols>
    <col min="1" max="1" width="50.140625" customWidth="1"/>
    <col min="2" max="2" width="22" customWidth="1"/>
  </cols>
  <sheetData>
    <row r="1" spans="1:11" s="8" customFormat="1" x14ac:dyDescent="0.25"/>
    <row r="2" spans="1:11" s="8" customFormat="1" x14ac:dyDescent="0.25"/>
    <row r="3" spans="1:11" s="8" customFormat="1" x14ac:dyDescent="0.25">
      <c r="A3" s="2" t="s">
        <v>109</v>
      </c>
      <c r="B3" s="2"/>
      <c r="C3" s="2"/>
      <c r="D3" s="2"/>
      <c r="E3" s="2"/>
      <c r="F3" s="1"/>
      <c r="G3" s="1"/>
      <c r="H3" s="1"/>
      <c r="I3" s="1"/>
      <c r="J3" s="1"/>
    </row>
    <row r="4" spans="1:11" s="8" customFormat="1" x14ac:dyDescent="0.25">
      <c r="A4" s="1" t="s">
        <v>10</v>
      </c>
      <c r="B4" s="1" t="s">
        <v>2</v>
      </c>
      <c r="C4" s="1" t="s">
        <v>0</v>
      </c>
      <c r="D4" s="1"/>
      <c r="E4" s="1" t="s">
        <v>3</v>
      </c>
      <c r="F4" s="1" t="s">
        <v>4</v>
      </c>
      <c r="G4" s="1" t="s">
        <v>5</v>
      </c>
      <c r="H4" s="1" t="s">
        <v>6</v>
      </c>
      <c r="I4" s="1" t="s">
        <v>7</v>
      </c>
      <c r="J4" s="1" t="s">
        <v>8</v>
      </c>
    </row>
    <row r="5" spans="1:11" s="8" customFormat="1" x14ac:dyDescent="0.25">
      <c r="A5" s="8" t="s">
        <v>109</v>
      </c>
      <c r="B5" s="8">
        <v>1</v>
      </c>
      <c r="C5" s="8" t="s">
        <v>13</v>
      </c>
    </row>
    <row r="6" spans="1:11" s="8" customFormat="1" x14ac:dyDescent="0.25">
      <c r="A6" s="1" t="s">
        <v>1</v>
      </c>
      <c r="B6" s="1" t="s">
        <v>2</v>
      </c>
      <c r="C6" s="1" t="s">
        <v>0</v>
      </c>
      <c r="D6" s="1"/>
      <c r="E6" s="1" t="s">
        <v>3</v>
      </c>
      <c r="F6" s="1" t="s">
        <v>4</v>
      </c>
      <c r="G6" s="1" t="s">
        <v>5</v>
      </c>
      <c r="H6" s="1" t="s">
        <v>6</v>
      </c>
      <c r="I6" s="1" t="s">
        <v>7</v>
      </c>
      <c r="J6" s="1" t="s">
        <v>8</v>
      </c>
    </row>
    <row r="7" spans="1:11" s="8" customFormat="1" x14ac:dyDescent="0.25">
      <c r="A7" s="12" t="s">
        <v>404</v>
      </c>
      <c r="B7" s="9">
        <v>3.1699999999999999E-10</v>
      </c>
      <c r="C7" s="8" t="s">
        <v>309</v>
      </c>
    </row>
    <row r="8" spans="1:11" s="8" customFormat="1" x14ac:dyDescent="0.25">
      <c r="A8" s="12" t="s">
        <v>405</v>
      </c>
      <c r="B8" s="9">
        <v>6.5820984882502598E-9</v>
      </c>
      <c r="C8" s="8" t="s">
        <v>309</v>
      </c>
    </row>
    <row r="9" spans="1:11" s="8" customFormat="1" x14ac:dyDescent="0.25">
      <c r="A9" s="3" t="str">
        <f>A13</f>
        <v>Global Electricity mix_high voltage [historical]_mr</v>
      </c>
      <c r="B9" s="6">
        <f>IF(electricity_mix=3,1,0)</f>
        <v>1</v>
      </c>
      <c r="C9" s="8" t="s">
        <v>13</v>
      </c>
      <c r="J9" s="8" t="str">
        <f>"For year "&amp;'Energy mix'!$R$23</f>
        <v>For year 2010</v>
      </c>
    </row>
    <row r="10" spans="1:11" x14ac:dyDescent="0.25">
      <c r="A10" s="12"/>
      <c r="B10" s="6"/>
      <c r="C10" s="8"/>
      <c r="D10" s="8"/>
      <c r="E10" s="8"/>
      <c r="F10" s="8"/>
      <c r="G10" s="8"/>
      <c r="H10" s="8"/>
      <c r="I10" s="8"/>
      <c r="J10" s="8"/>
      <c r="K10" s="8"/>
    </row>
    <row r="11" spans="1:11" x14ac:dyDescent="0.25">
      <c r="A11" s="2" t="s">
        <v>406</v>
      </c>
      <c r="B11" s="2"/>
      <c r="C11" s="2"/>
      <c r="D11" s="2"/>
      <c r="E11" s="2"/>
      <c r="F11" s="1"/>
      <c r="G11" s="1"/>
      <c r="H11" s="1"/>
      <c r="I11" s="1"/>
      <c r="J11" s="1"/>
      <c r="K11" s="8"/>
    </row>
    <row r="12" spans="1:11" x14ac:dyDescent="0.25">
      <c r="A12" s="1" t="s">
        <v>10</v>
      </c>
      <c r="B12" s="1" t="s">
        <v>2</v>
      </c>
      <c r="C12" s="1" t="s">
        <v>0</v>
      </c>
      <c r="D12" s="1"/>
      <c r="E12" s="1" t="s">
        <v>3</v>
      </c>
      <c r="F12" s="1" t="s">
        <v>4</v>
      </c>
      <c r="G12" s="1" t="s">
        <v>5</v>
      </c>
      <c r="H12" s="1" t="s">
        <v>6</v>
      </c>
      <c r="I12" s="1" t="s">
        <v>7</v>
      </c>
      <c r="J12" s="1" t="s">
        <v>8</v>
      </c>
      <c r="K12" s="8"/>
    </row>
    <row r="13" spans="1:11" x14ac:dyDescent="0.25">
      <c r="A13" s="8" t="s">
        <v>406</v>
      </c>
      <c r="B13" s="8">
        <v>1</v>
      </c>
      <c r="C13" s="8" t="s">
        <v>13</v>
      </c>
      <c r="D13" s="8"/>
      <c r="E13" s="8"/>
      <c r="F13" s="8"/>
      <c r="G13" s="8"/>
      <c r="H13" s="8"/>
      <c r="I13" s="8"/>
      <c r="J13" s="8"/>
      <c r="K13" s="8"/>
    </row>
    <row r="14" spans="1:11" x14ac:dyDescent="0.25">
      <c r="A14" s="1" t="s">
        <v>1</v>
      </c>
      <c r="B14" s="1" t="s">
        <v>2</v>
      </c>
      <c r="C14" s="1" t="s">
        <v>0</v>
      </c>
      <c r="D14" s="1"/>
      <c r="E14" s="1" t="s">
        <v>3</v>
      </c>
      <c r="F14" s="1" t="s">
        <v>4</v>
      </c>
      <c r="G14" s="1" t="s">
        <v>5</v>
      </c>
      <c r="H14" s="1" t="s">
        <v>6</v>
      </c>
      <c r="I14" s="1" t="s">
        <v>7</v>
      </c>
      <c r="J14" s="1" t="s">
        <v>8</v>
      </c>
      <c r="K14" s="8"/>
    </row>
    <row r="15" spans="1:11" x14ac:dyDescent="0.25">
      <c r="A15" s="12" t="str">
        <f>'Energy mix'!P5</f>
        <v>Electricity, high voltage {DK}| electricity production, oil | Alloc Rec, U_mr</v>
      </c>
      <c r="B15" s="6">
        <f>'Energy mix'!R5</f>
        <v>4.5508749416965075E-2</v>
      </c>
      <c r="C15" s="8" t="s">
        <v>13</v>
      </c>
      <c r="D15" s="8"/>
      <c r="E15" s="8"/>
      <c r="F15" s="8"/>
      <c r="G15" s="8"/>
      <c r="H15" s="8"/>
      <c r="I15" s="8"/>
      <c r="J15" s="8" t="str">
        <f>"For year "&amp;'Energy mix'!$R$23</f>
        <v>For year 2010</v>
      </c>
      <c r="K15" s="8"/>
    </row>
    <row r="16" spans="1:11" x14ac:dyDescent="0.25">
      <c r="A16" s="12" t="str">
        <f>'Energy mix'!P6</f>
        <v>Electricity, high voltage {DK}| electricity production, hard coal | Alloc Rec, U</v>
      </c>
      <c r="B16" s="6">
        <f>'Energy mix'!R6</f>
        <v>0.40155200374922045</v>
      </c>
      <c r="C16" s="8" t="s">
        <v>13</v>
      </c>
      <c r="D16" s="8"/>
      <c r="E16" s="8"/>
      <c r="F16" s="8"/>
      <c r="G16" s="8"/>
      <c r="H16" s="8"/>
      <c r="I16" s="8"/>
      <c r="J16" s="8" t="str">
        <f>"For year "&amp;'Energy mix'!$R$23</f>
        <v>For year 2010</v>
      </c>
      <c r="K16" s="8"/>
    </row>
    <row r="17" spans="1:11" x14ac:dyDescent="0.25">
      <c r="A17" s="12" t="str">
        <f>'Energy mix'!P7</f>
        <v>Electricity, high voltage_CCS {DK}| electricity production, hard coal | Alloc Rec, U</v>
      </c>
      <c r="B17" s="6">
        <f>'Energy mix'!R7</f>
        <v>0</v>
      </c>
      <c r="C17" s="8" t="s">
        <v>13</v>
      </c>
      <c r="D17" s="8"/>
      <c r="E17" s="8"/>
      <c r="F17" s="8"/>
      <c r="G17" s="8"/>
      <c r="H17" s="8"/>
      <c r="I17" s="8"/>
      <c r="J17" s="8" t="str">
        <f>"For year "&amp;'Energy mix'!$R$23</f>
        <v>For year 2010</v>
      </c>
      <c r="K17" s="8"/>
    </row>
    <row r="18" spans="1:11" x14ac:dyDescent="0.25">
      <c r="A18" s="12" t="str">
        <f>'Energy mix'!P8</f>
        <v>Electricity, high voltage {RoW}| electricity production, natural gas, combined cycle power plant | Alloc Rec, U</v>
      </c>
      <c r="B18" s="6">
        <f>'Energy mix'!R8</f>
        <v>0.22375550314523707</v>
      </c>
      <c r="C18" s="8" t="s">
        <v>13</v>
      </c>
      <c r="D18" s="8"/>
      <c r="E18" s="8"/>
      <c r="F18" s="8"/>
      <c r="G18" s="8"/>
      <c r="H18" s="8"/>
      <c r="I18" s="8"/>
      <c r="J18" s="8" t="str">
        <f>"For year "&amp;'Energy mix'!$R$23</f>
        <v>For year 2010</v>
      </c>
      <c r="K18" s="8"/>
    </row>
    <row r="19" spans="1:11" x14ac:dyDescent="0.25">
      <c r="A19" s="12" t="str">
        <f>'Energy mix'!P9</f>
        <v>Electricity, high voltage_CCS {RoW}| electricity production, natural gas, combined cycle power plant | Alloc Rec, U</v>
      </c>
      <c r="B19" s="6">
        <f>'Energy mix'!R9</f>
        <v>0</v>
      </c>
      <c r="C19" s="8" t="s">
        <v>13</v>
      </c>
      <c r="D19" s="8"/>
      <c r="E19" s="8"/>
      <c r="F19" s="8"/>
      <c r="G19" s="8"/>
      <c r="H19" s="8"/>
      <c r="I19" s="8"/>
      <c r="J19" s="8" t="str">
        <f>"For year "&amp;'Energy mix'!$R$23</f>
        <v>For year 2010</v>
      </c>
      <c r="K19" s="8"/>
    </row>
    <row r="20" spans="1:11" x14ac:dyDescent="0.25">
      <c r="A20" s="12" t="str">
        <f>'Energy mix'!P10</f>
        <v>Electricity, high voltage {DE}| electricity production, nuclear, pressure water reactor | Alloc Rec, U</v>
      </c>
      <c r="B20" s="6">
        <f>'Energy mix'!R10</f>
        <v>0.1277434156911105</v>
      </c>
      <c r="C20" s="8" t="s">
        <v>13</v>
      </c>
      <c r="D20" s="8"/>
      <c r="E20" s="8"/>
      <c r="F20" s="8"/>
      <c r="G20" s="8"/>
      <c r="H20" s="8"/>
      <c r="I20" s="8"/>
      <c r="J20" s="8" t="str">
        <f>"For year "&amp;'Energy mix'!$R$23</f>
        <v>For year 2010</v>
      </c>
      <c r="K20" s="8"/>
    </row>
    <row r="21" spans="1:11" x14ac:dyDescent="0.25">
      <c r="A21" s="12" t="str">
        <f>'Energy mix'!P11</f>
        <v>Electricity, high voltage {SE}| ethanol production from wood | Alloc Rec, U</v>
      </c>
      <c r="B21" s="6">
        <f>'Energy mix'!R11</f>
        <v>1.3464306397923098E-2</v>
      </c>
      <c r="C21" s="8" t="s">
        <v>13</v>
      </c>
      <c r="D21" s="8"/>
      <c r="E21" s="8"/>
      <c r="F21" s="8"/>
      <c r="G21" s="8"/>
      <c r="H21" s="8"/>
      <c r="I21" s="8"/>
      <c r="J21" s="8" t="str">
        <f>"For year "&amp;'Energy mix'!$R$23</f>
        <v>For year 2010</v>
      </c>
      <c r="K21" s="8"/>
    </row>
    <row r="22" spans="1:11" x14ac:dyDescent="0.25">
      <c r="A22" s="12" t="str">
        <f>'Energy mix'!P12</f>
        <v>Electricity, for reuse in municipal waste incineration only {CH}| treatment of municipal solid waste, incineration | Alloc Rec, U</v>
      </c>
      <c r="B22" s="6">
        <f>'Energy mix'!R12</f>
        <v>3.7673881592558511E-3</v>
      </c>
      <c r="C22" s="8" t="s">
        <v>13</v>
      </c>
      <c r="D22" s="8"/>
      <c r="E22" s="8"/>
      <c r="F22" s="8"/>
      <c r="G22" s="8"/>
      <c r="H22" s="8"/>
      <c r="I22" s="8"/>
      <c r="J22" s="8" t="str">
        <f>"For year "&amp;'Energy mix'!$R$23</f>
        <v>For year 2010</v>
      </c>
      <c r="K22" s="8"/>
    </row>
    <row r="23" spans="1:11" x14ac:dyDescent="0.25">
      <c r="A23" s="12" t="str">
        <f>'Energy mix'!P13</f>
        <v>Electricity, high voltage {SE}| electricity production, hydro, run-of-river | Alloc Rec, U</v>
      </c>
      <c r="B23" s="6">
        <f>'Energy mix'!R13</f>
        <v>0.16365447403761232</v>
      </c>
      <c r="C23" s="8" t="s">
        <v>13</v>
      </c>
      <c r="J23" s="8" t="str">
        <f>"For year "&amp;'Energy mix'!$R$23</f>
        <v>For year 2010</v>
      </c>
    </row>
    <row r="24" spans="1:11" x14ac:dyDescent="0.25">
      <c r="A24" s="12" t="str">
        <f>'Energy mix'!P14</f>
        <v>Electricity, high voltage {DE}| electricity production, geothermal | Alloc Rec, U</v>
      </c>
      <c r="B24" s="6">
        <f>'Energy mix'!R14</f>
        <v>3.1571016805495098E-3</v>
      </c>
      <c r="C24" s="8" t="s">
        <v>13</v>
      </c>
      <c r="J24" s="8" t="str">
        <f>"For year "&amp;'Energy mix'!$R$23</f>
        <v>For year 2010</v>
      </c>
    </row>
    <row r="25" spans="1:11" x14ac:dyDescent="0.25">
      <c r="A25" s="12" t="str">
        <f>'Energy mix'!P15</f>
        <v>Electricity, high voltage {DE}| electricity production, wind, 1-3MW turbine, onshore | Alloc Rec, U</v>
      </c>
      <c r="B25" s="6">
        <f>'Energy mix'!R15</f>
        <v>1.5819526497778721E-2</v>
      </c>
      <c r="C25" s="8" t="s">
        <v>13</v>
      </c>
      <c r="J25" s="8" t="str">
        <f>"For year "&amp;'Energy mix'!$R$23</f>
        <v>For year 2010</v>
      </c>
    </row>
    <row r="26" spans="1:11" x14ac:dyDescent="0.25">
      <c r="A26" s="12" t="str">
        <f>'Energy mix'!P16</f>
        <v>Electricity, high voltage {DK}| electricity production, wind, 1-3MW turbine, offshore | Alloc Rec, U</v>
      </c>
      <c r="B26" s="6">
        <f>'Energy mix'!R16</f>
        <v>0</v>
      </c>
      <c r="C26" s="8" t="s">
        <v>13</v>
      </c>
      <c r="J26" s="8" t="str">
        <f>"For year "&amp;'Energy mix'!$R$23</f>
        <v>For year 2010</v>
      </c>
    </row>
    <row r="27" spans="1:11" x14ac:dyDescent="0.25">
      <c r="A27" s="12" t="str">
        <f>'Energy mix'!P17</f>
        <v>Heat, solar+gas, multiple-dwelling, for hot water {CH}| heat production, at hot water tank, solar+gas, flat plate, multiple dwelling | Alloc Rec, U</v>
      </c>
      <c r="B27" s="6">
        <f>'Energy mix'!R17</f>
        <v>7.6285809838292623E-5</v>
      </c>
      <c r="C27" s="8" t="s">
        <v>13</v>
      </c>
      <c r="J27" s="8" t="str">
        <f>"For year "&amp;'Energy mix'!$R$23</f>
        <v>For year 2010</v>
      </c>
    </row>
    <row r="28" spans="1:11" x14ac:dyDescent="0.25">
      <c r="A28" s="12" t="str">
        <f>'Energy mix'!P18</f>
        <v>Electricity, low voltage {IN}| electricity production, photovoltaic, 3kWp slanted-roof installation, CIS, panel, mounted | Alloc Rec, U</v>
      </c>
      <c r="B28" s="6">
        <f>'Energy mix'!R18</f>
        <v>1.5012454145090976E-3</v>
      </c>
      <c r="C28" s="8" t="s">
        <v>13</v>
      </c>
      <c r="J28" s="8" t="str">
        <f>"For year "&amp;'Energy mix'!$R$23</f>
        <v>For year 2010</v>
      </c>
    </row>
    <row r="30" spans="1:11" x14ac:dyDescent="0.25">
      <c r="A30" s="2" t="s">
        <v>463</v>
      </c>
      <c r="B30" s="2"/>
      <c r="C30" s="2"/>
      <c r="D30" s="2"/>
      <c r="E30" s="2"/>
      <c r="F30" s="1"/>
      <c r="G30" s="1"/>
      <c r="H30" s="1"/>
      <c r="I30" s="1"/>
      <c r="J30" s="1"/>
    </row>
    <row r="31" spans="1:11" x14ac:dyDescent="0.25">
      <c r="A31" s="1" t="s">
        <v>10</v>
      </c>
      <c r="B31" s="1" t="s">
        <v>2</v>
      </c>
      <c r="C31" s="1" t="s">
        <v>0</v>
      </c>
      <c r="D31" s="1"/>
      <c r="E31" s="1" t="s">
        <v>3</v>
      </c>
      <c r="F31" s="1" t="s">
        <v>4</v>
      </c>
      <c r="G31" s="1" t="s">
        <v>5</v>
      </c>
      <c r="H31" s="1" t="s">
        <v>6</v>
      </c>
      <c r="I31" s="1" t="s">
        <v>7</v>
      </c>
      <c r="J31" s="1" t="s">
        <v>8</v>
      </c>
    </row>
    <row r="32" spans="1:11" x14ac:dyDescent="0.25">
      <c r="A32" s="8" t="s">
        <v>463</v>
      </c>
      <c r="B32" s="8">
        <v>1</v>
      </c>
      <c r="C32" s="8" t="s">
        <v>13</v>
      </c>
      <c r="D32" s="8"/>
      <c r="E32" s="8"/>
      <c r="F32" s="8"/>
      <c r="G32" s="8"/>
      <c r="H32" s="8"/>
      <c r="I32" s="8"/>
      <c r="J32" s="8"/>
    </row>
    <row r="33" spans="1:10" x14ac:dyDescent="0.25">
      <c r="A33" s="1" t="s">
        <v>1</v>
      </c>
      <c r="B33" s="1" t="s">
        <v>2</v>
      </c>
      <c r="C33" s="1" t="s">
        <v>0</v>
      </c>
      <c r="D33" s="1"/>
      <c r="E33" s="1" t="s">
        <v>3</v>
      </c>
      <c r="F33" s="1" t="s">
        <v>4</v>
      </c>
      <c r="G33" s="1" t="s">
        <v>5</v>
      </c>
      <c r="H33" s="1" t="s">
        <v>6</v>
      </c>
      <c r="I33" s="1" t="s">
        <v>7</v>
      </c>
      <c r="J33" s="1" t="s">
        <v>8</v>
      </c>
    </row>
    <row r="34" spans="1:10" x14ac:dyDescent="0.25">
      <c r="A34" s="12" t="s">
        <v>408</v>
      </c>
      <c r="B34" s="9">
        <v>1.29E-7</v>
      </c>
      <c r="C34" s="8" t="s">
        <v>309</v>
      </c>
      <c r="D34" s="8"/>
      <c r="E34" s="8"/>
      <c r="F34" s="8"/>
      <c r="G34" s="8"/>
      <c r="H34" s="8"/>
      <c r="I34" s="8"/>
      <c r="J34" s="8"/>
    </row>
    <row r="35" spans="1:10" x14ac:dyDescent="0.25">
      <c r="A35" s="12" t="s">
        <v>409</v>
      </c>
      <c r="B35" s="9">
        <v>1.86277676887616E-8</v>
      </c>
      <c r="C35" s="8" t="s">
        <v>309</v>
      </c>
      <c r="D35" s="8"/>
      <c r="E35" s="8"/>
      <c r="F35" s="8"/>
      <c r="G35" s="8"/>
      <c r="H35" s="8"/>
      <c r="I35" s="8"/>
      <c r="J35" s="8"/>
    </row>
    <row r="36" spans="1:10" x14ac:dyDescent="0.25">
      <c r="A36" s="3" t="str">
        <f>A5</f>
        <v>Electricity, global mix, high voltage_mr</v>
      </c>
      <c r="B36">
        <v>2.9499999999999999E-3</v>
      </c>
      <c r="C36" t="s">
        <v>13</v>
      </c>
    </row>
    <row r="37" spans="1:10" x14ac:dyDescent="0.25">
      <c r="A37" s="3" t="str">
        <f>A43</f>
        <v>Global Electricity mix, high voltage {projected}| market for | Alloc Rec, U_mr transformation from high to medium voltage | Alloc Def, U_mr</v>
      </c>
      <c r="B37">
        <v>1</v>
      </c>
      <c r="C37" s="8" t="s">
        <v>13</v>
      </c>
    </row>
    <row r="38" spans="1:10" x14ac:dyDescent="0.25">
      <c r="A38" s="1" t="s">
        <v>16</v>
      </c>
    </row>
    <row r="39" spans="1:10" x14ac:dyDescent="0.25">
      <c r="A39" t="s">
        <v>411</v>
      </c>
      <c r="B39" s="9">
        <v>1.29E-7</v>
      </c>
      <c r="C39" t="s">
        <v>9</v>
      </c>
    </row>
    <row r="41" spans="1:10" x14ac:dyDescent="0.25">
      <c r="A41" s="2" t="s">
        <v>410</v>
      </c>
      <c r="B41" s="2"/>
      <c r="C41" s="2"/>
      <c r="D41" s="2"/>
      <c r="E41" s="2"/>
      <c r="F41" s="1"/>
      <c r="G41" s="1"/>
      <c r="H41" s="1"/>
      <c r="I41" s="1"/>
      <c r="J41" s="1"/>
    </row>
    <row r="42" spans="1:10" x14ac:dyDescent="0.25">
      <c r="A42" s="1" t="s">
        <v>10</v>
      </c>
      <c r="B42" s="1" t="s">
        <v>2</v>
      </c>
      <c r="C42" s="1" t="s">
        <v>0</v>
      </c>
      <c r="D42" s="1"/>
      <c r="E42" s="1" t="s">
        <v>3</v>
      </c>
      <c r="F42" s="1" t="s">
        <v>4</v>
      </c>
      <c r="G42" s="1" t="s">
        <v>5</v>
      </c>
      <c r="H42" s="1" t="s">
        <v>6</v>
      </c>
      <c r="I42" s="1" t="s">
        <v>7</v>
      </c>
      <c r="J42" s="1" t="s">
        <v>8</v>
      </c>
    </row>
    <row r="43" spans="1:10" x14ac:dyDescent="0.25">
      <c r="A43" s="8" t="s">
        <v>410</v>
      </c>
      <c r="B43" s="8">
        <v>1</v>
      </c>
      <c r="C43" s="8" t="s">
        <v>13</v>
      </c>
      <c r="D43" s="8"/>
      <c r="E43" s="8"/>
      <c r="F43" s="8"/>
      <c r="G43" s="8"/>
      <c r="H43" s="8"/>
      <c r="I43" s="8"/>
      <c r="J43" s="8"/>
    </row>
    <row r="44" spans="1:10" x14ac:dyDescent="0.25">
      <c r="A44" s="1" t="s">
        <v>1</v>
      </c>
      <c r="B44" s="1" t="s">
        <v>2</v>
      </c>
      <c r="C44" s="1" t="s">
        <v>0</v>
      </c>
      <c r="D44" s="1"/>
      <c r="E44" s="1" t="s">
        <v>3</v>
      </c>
      <c r="F44" s="1" t="s">
        <v>4</v>
      </c>
      <c r="G44" s="1" t="s">
        <v>5</v>
      </c>
      <c r="H44" s="1" t="s">
        <v>6</v>
      </c>
      <c r="I44" s="1" t="s">
        <v>7</v>
      </c>
      <c r="J44" s="1" t="s">
        <v>8</v>
      </c>
    </row>
    <row r="45" spans="1:10" x14ac:dyDescent="0.25">
      <c r="A45" s="3" t="str">
        <f>A5</f>
        <v>Electricity, global mix, high voltage_mr</v>
      </c>
      <c r="B45" s="5">
        <v>1.01824</v>
      </c>
      <c r="C45" s="8" t="s">
        <v>13</v>
      </c>
      <c r="D45" s="8"/>
      <c r="E45" s="8"/>
      <c r="F45" s="8"/>
      <c r="G45" s="8"/>
      <c r="H45" s="8"/>
      <c r="I45" s="8"/>
      <c r="J45" s="8"/>
    </row>
    <row r="46" spans="1:10" x14ac:dyDescent="0.25">
      <c r="A46" s="12"/>
      <c r="B46" s="9"/>
      <c r="C46" s="8"/>
      <c r="D46" s="8"/>
      <c r="E46" s="8"/>
      <c r="F46" s="8"/>
      <c r="G46" s="8"/>
      <c r="H46" s="8"/>
      <c r="I46" s="8"/>
      <c r="J46" s="8"/>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9" tint="0.59999389629810485"/>
  </sheetPr>
  <dimension ref="A3:L420"/>
  <sheetViews>
    <sheetView workbookViewId="0">
      <selection activeCell="C35" sqref="C35"/>
    </sheetView>
  </sheetViews>
  <sheetFormatPr defaultRowHeight="15" x14ac:dyDescent="0.25"/>
  <cols>
    <col min="1" max="1" width="68.7109375" customWidth="1"/>
    <col min="2" max="2" width="27.42578125" customWidth="1"/>
  </cols>
  <sheetData>
    <row r="3" spans="1:11" x14ac:dyDescent="0.25">
      <c r="A3" s="2" t="s">
        <v>505</v>
      </c>
      <c r="B3" s="2"/>
      <c r="C3" s="2"/>
      <c r="D3" s="2"/>
      <c r="E3" s="2"/>
      <c r="F3" s="1"/>
      <c r="G3" s="1"/>
      <c r="H3" s="1"/>
      <c r="I3" s="1"/>
      <c r="J3" s="1"/>
      <c r="K3" s="8"/>
    </row>
    <row r="4" spans="1:11" x14ac:dyDescent="0.25">
      <c r="A4" s="1" t="s">
        <v>10</v>
      </c>
      <c r="B4" s="1" t="s">
        <v>2</v>
      </c>
      <c r="C4" s="1" t="s">
        <v>0</v>
      </c>
      <c r="D4" s="1"/>
      <c r="E4" s="1" t="s">
        <v>3</v>
      </c>
      <c r="F4" s="1" t="s">
        <v>4</v>
      </c>
      <c r="G4" s="1" t="s">
        <v>5</v>
      </c>
      <c r="H4" s="1" t="s">
        <v>6</v>
      </c>
      <c r="I4" s="1" t="s">
        <v>7</v>
      </c>
      <c r="J4" s="1" t="s">
        <v>8</v>
      </c>
      <c r="K4" s="8"/>
    </row>
    <row r="5" spans="1:11" x14ac:dyDescent="0.25">
      <c r="A5" s="8" t="s">
        <v>505</v>
      </c>
      <c r="B5" s="8">
        <v>1</v>
      </c>
      <c r="C5" s="8" t="s">
        <v>9</v>
      </c>
      <c r="D5" s="8"/>
      <c r="E5" s="8"/>
      <c r="F5" s="8"/>
      <c r="G5" s="8"/>
      <c r="H5" s="8"/>
      <c r="I5" s="8"/>
      <c r="J5" s="8" t="s">
        <v>58</v>
      </c>
      <c r="K5" s="8"/>
    </row>
    <row r="6" spans="1:11" x14ac:dyDescent="0.25">
      <c r="A6" s="1" t="s">
        <v>1</v>
      </c>
      <c r="B6" s="1" t="s">
        <v>2</v>
      </c>
      <c r="C6" s="1" t="s">
        <v>0</v>
      </c>
      <c r="D6" s="1"/>
      <c r="E6" s="1" t="s">
        <v>3</v>
      </c>
      <c r="F6" s="1" t="s">
        <v>4</v>
      </c>
      <c r="G6" s="1" t="s">
        <v>5</v>
      </c>
      <c r="H6" s="1" t="s">
        <v>6</v>
      </c>
      <c r="I6" s="1" t="s">
        <v>7</v>
      </c>
      <c r="J6" s="1" t="s">
        <v>8</v>
      </c>
      <c r="K6" s="8"/>
    </row>
    <row r="7" spans="1:11" x14ac:dyDescent="0.25">
      <c r="A7" s="8" t="s">
        <v>98</v>
      </c>
      <c r="B7" s="9">
        <v>1.12937062937063E-3</v>
      </c>
      <c r="C7" s="8" t="s">
        <v>11</v>
      </c>
      <c r="D7" s="8"/>
      <c r="E7" s="8"/>
      <c r="F7" s="8"/>
      <c r="G7" s="8"/>
      <c r="H7" s="8"/>
      <c r="I7" s="8"/>
      <c r="J7" s="8" t="s">
        <v>603</v>
      </c>
      <c r="K7" s="8"/>
    </row>
    <row r="8" spans="1:11" x14ac:dyDescent="0.25">
      <c r="A8" s="8" t="s">
        <v>99</v>
      </c>
      <c r="B8" s="9">
        <v>2.2552447552447601E-2</v>
      </c>
      <c r="C8" s="8" t="s">
        <v>11</v>
      </c>
      <c r="D8" s="8"/>
      <c r="E8" s="8"/>
      <c r="F8" s="8"/>
      <c r="G8" s="8"/>
      <c r="H8" s="8"/>
      <c r="I8" s="8"/>
      <c r="J8" s="8" t="s">
        <v>603</v>
      </c>
      <c r="K8" s="8"/>
    </row>
    <row r="9" spans="1:11" x14ac:dyDescent="0.25">
      <c r="A9" s="8" t="s">
        <v>100</v>
      </c>
      <c r="B9" s="9">
        <v>6.2937062937063002E-5</v>
      </c>
      <c r="C9" s="8" t="s">
        <v>11</v>
      </c>
      <c r="D9" s="8"/>
      <c r="E9" s="8"/>
      <c r="F9" s="8"/>
      <c r="G9" s="8"/>
      <c r="H9" s="8"/>
      <c r="I9" s="8"/>
      <c r="J9" s="8" t="s">
        <v>603</v>
      </c>
      <c r="K9" s="8"/>
    </row>
    <row r="10" spans="1:11" x14ac:dyDescent="0.25">
      <c r="A10" s="8" t="s">
        <v>33</v>
      </c>
      <c r="B10" s="9">
        <v>1.98251748251748E-3</v>
      </c>
      <c r="C10" s="8" t="s">
        <v>11</v>
      </c>
      <c r="D10" s="8"/>
      <c r="E10" s="8"/>
      <c r="F10" s="8"/>
      <c r="G10" s="8"/>
      <c r="H10" s="8"/>
      <c r="I10" s="8"/>
      <c r="J10" s="8" t="s">
        <v>603</v>
      </c>
      <c r="K10" s="8"/>
    </row>
    <row r="11" spans="1:11" x14ac:dyDescent="0.25">
      <c r="A11" s="8" t="s">
        <v>35</v>
      </c>
      <c r="B11" s="9">
        <v>1.0027415595013101E-4</v>
      </c>
      <c r="C11" s="8" t="s">
        <v>11</v>
      </c>
      <c r="D11" s="8"/>
      <c r="E11" s="8"/>
      <c r="F11" s="8"/>
      <c r="G11" s="8"/>
      <c r="H11" s="8"/>
      <c r="I11" s="8"/>
      <c r="J11" s="8" t="s">
        <v>603</v>
      </c>
      <c r="K11" s="8"/>
    </row>
    <row r="12" spans="1:11" x14ac:dyDescent="0.25">
      <c r="A12" t="s">
        <v>36</v>
      </c>
      <c r="B12">
        <v>3.3935735702721003E-4</v>
      </c>
      <c r="C12" s="8" t="s">
        <v>11</v>
      </c>
      <c r="J12" s="8" t="s">
        <v>603</v>
      </c>
    </row>
    <row r="13" spans="1:11" x14ac:dyDescent="0.25">
      <c r="A13" t="s">
        <v>37</v>
      </c>
      <c r="B13" s="9">
        <v>1.9986755537617001E-6</v>
      </c>
      <c r="C13" s="8" t="s">
        <v>11</v>
      </c>
      <c r="J13" s="8" t="s">
        <v>603</v>
      </c>
    </row>
    <row r="14" spans="1:11" x14ac:dyDescent="0.25">
      <c r="A14" t="s">
        <v>38</v>
      </c>
      <c r="B14">
        <v>4.7669183777891298E-4</v>
      </c>
      <c r="C14" s="8" t="s">
        <v>11</v>
      </c>
      <c r="J14" s="8" t="s">
        <v>603</v>
      </c>
    </row>
    <row r="15" spans="1:11" x14ac:dyDescent="0.25">
      <c r="A15" t="s">
        <v>39</v>
      </c>
      <c r="B15">
        <v>6.2013951215152401E-4</v>
      </c>
      <c r="C15" s="8" t="s">
        <v>11</v>
      </c>
      <c r="J15" s="8" t="s">
        <v>603</v>
      </c>
    </row>
    <row r="16" spans="1:11" x14ac:dyDescent="0.25">
      <c r="A16" s="3" t="str">
        <f>A98</f>
        <v>Coke {GLO}| petroleum to generic market for | Alloc Rec, U</v>
      </c>
      <c r="B16">
        <v>1.9918614041575499E-4</v>
      </c>
      <c r="C16" s="8" t="s">
        <v>14</v>
      </c>
      <c r="J16" s="8" t="s">
        <v>603</v>
      </c>
    </row>
    <row r="17" spans="1:11" x14ac:dyDescent="0.25">
      <c r="A17" s="3" t="str">
        <f>A104</f>
        <v>Coke {RoW}| coking | Alloc Rec, U_mr</v>
      </c>
      <c r="B17">
        <v>0.99980081385999997</v>
      </c>
      <c r="C17" s="8" t="s">
        <v>14</v>
      </c>
      <c r="J17" s="8" t="s">
        <v>603</v>
      </c>
    </row>
    <row r="19" spans="1:11" x14ac:dyDescent="0.25">
      <c r="A19" s="2" t="s">
        <v>101</v>
      </c>
      <c r="B19" s="2"/>
      <c r="C19" s="2"/>
      <c r="D19" s="2"/>
      <c r="E19" s="2"/>
      <c r="F19" s="1"/>
      <c r="G19" s="1"/>
      <c r="H19" s="1"/>
      <c r="I19" s="1"/>
      <c r="J19" s="1"/>
      <c r="K19" s="8"/>
    </row>
    <row r="20" spans="1:11" x14ac:dyDescent="0.25">
      <c r="A20" s="1" t="s">
        <v>10</v>
      </c>
      <c r="B20" s="1" t="s">
        <v>2</v>
      </c>
      <c r="C20" s="1" t="s">
        <v>0</v>
      </c>
      <c r="D20" s="1"/>
      <c r="E20" s="1" t="s">
        <v>3</v>
      </c>
      <c r="F20" s="1" t="s">
        <v>4</v>
      </c>
      <c r="G20" s="1" t="s">
        <v>5</v>
      </c>
      <c r="H20" s="1" t="s">
        <v>6</v>
      </c>
      <c r="I20" s="1" t="s">
        <v>7</v>
      </c>
      <c r="J20" s="1" t="s">
        <v>8</v>
      </c>
      <c r="K20" s="8"/>
    </row>
    <row r="21" spans="1:11" x14ac:dyDescent="0.25">
      <c r="A21" s="8" t="s">
        <v>101</v>
      </c>
      <c r="B21" s="8">
        <v>1</v>
      </c>
      <c r="C21" s="8" t="s">
        <v>14</v>
      </c>
      <c r="D21" s="8"/>
      <c r="E21" s="8"/>
      <c r="F21" s="8"/>
      <c r="G21" s="8"/>
      <c r="H21" s="8"/>
      <c r="I21" s="8"/>
      <c r="J21" s="8" t="s">
        <v>603</v>
      </c>
      <c r="K21" s="8"/>
    </row>
    <row r="22" spans="1:11" x14ac:dyDescent="0.25">
      <c r="A22" s="1" t="s">
        <v>1</v>
      </c>
      <c r="B22" s="1" t="s">
        <v>2</v>
      </c>
      <c r="C22" s="1" t="s">
        <v>0</v>
      </c>
      <c r="D22" s="1"/>
      <c r="E22" s="1" t="s">
        <v>3</v>
      </c>
      <c r="F22" s="1" t="s">
        <v>4</v>
      </c>
      <c r="G22" s="1" t="s">
        <v>5</v>
      </c>
      <c r="H22" s="1" t="s">
        <v>6</v>
      </c>
      <c r="I22" s="1" t="s">
        <v>7</v>
      </c>
      <c r="J22" s="1" t="s">
        <v>8</v>
      </c>
      <c r="K22" s="8"/>
    </row>
    <row r="23" spans="1:11" x14ac:dyDescent="0.25">
      <c r="A23" s="8" t="s">
        <v>79</v>
      </c>
      <c r="B23" s="8">
        <v>5.6964220326434803E-5</v>
      </c>
      <c r="C23" s="8" t="s">
        <v>9</v>
      </c>
      <c r="D23" s="8"/>
      <c r="E23" s="8"/>
      <c r="F23" s="8"/>
      <c r="G23" s="8"/>
      <c r="H23" s="8"/>
      <c r="I23" s="8"/>
      <c r="J23" s="8" t="s">
        <v>603</v>
      </c>
      <c r="K23" s="8"/>
    </row>
    <row r="24" spans="1:11" x14ac:dyDescent="0.25">
      <c r="A24" s="8" t="s">
        <v>104</v>
      </c>
      <c r="B24" s="8">
        <v>4.0768510625781801E-6</v>
      </c>
      <c r="C24" s="8" t="s">
        <v>9</v>
      </c>
      <c r="D24" s="8"/>
      <c r="E24" s="8"/>
      <c r="F24" s="8"/>
      <c r="G24" s="8"/>
      <c r="H24" s="8"/>
      <c r="I24" s="8"/>
      <c r="J24" s="8" t="s">
        <v>603</v>
      </c>
      <c r="K24" s="8"/>
    </row>
    <row r="25" spans="1:11" x14ac:dyDescent="0.25">
      <c r="A25" s="8" t="s">
        <v>105</v>
      </c>
      <c r="B25" s="8">
        <v>2.03842553128909E-6</v>
      </c>
      <c r="C25" s="8" t="s">
        <v>9</v>
      </c>
      <c r="D25" s="8"/>
      <c r="E25" s="8"/>
      <c r="F25" s="8"/>
      <c r="G25" s="8"/>
      <c r="H25" s="8"/>
      <c r="I25" s="8"/>
      <c r="J25" s="8" t="s">
        <v>603</v>
      </c>
      <c r="K25" s="8"/>
    </row>
    <row r="26" spans="1:11" x14ac:dyDescent="0.25">
      <c r="A26" s="8" t="s">
        <v>106</v>
      </c>
      <c r="B26" s="8">
        <v>3.8534619632588203E-2</v>
      </c>
      <c r="C26" s="8" t="s">
        <v>9</v>
      </c>
      <c r="D26" s="8"/>
      <c r="E26" s="8"/>
      <c r="F26" s="8"/>
      <c r="G26" s="8"/>
      <c r="H26" s="8"/>
      <c r="I26" s="8"/>
      <c r="J26" s="8" t="s">
        <v>603</v>
      </c>
      <c r="K26" s="8"/>
    </row>
    <row r="27" spans="1:11" x14ac:dyDescent="0.25">
      <c r="A27" s="8" t="s">
        <v>107</v>
      </c>
      <c r="B27" s="8">
        <v>4.4677819863870399E-2</v>
      </c>
      <c r="C27" s="8" t="s">
        <v>9</v>
      </c>
      <c r="J27" s="8" t="s">
        <v>603</v>
      </c>
    </row>
    <row r="28" spans="1:11" x14ac:dyDescent="0.25">
      <c r="A28" s="8" t="s">
        <v>108</v>
      </c>
      <c r="B28" s="8">
        <v>4.7470183605362304E-13</v>
      </c>
      <c r="C28" s="8" t="s">
        <v>12</v>
      </c>
      <c r="J28" s="8" t="s">
        <v>603</v>
      </c>
    </row>
    <row r="29" spans="1:11" x14ac:dyDescent="0.25">
      <c r="A29" s="3" t="str">
        <f>'Electricity generation'!A5</f>
        <v>Electricity, global mix, high voltage_mr</v>
      </c>
      <c r="B29" s="8">
        <v>1.3542964146235699E-3</v>
      </c>
      <c r="C29" s="8" t="s">
        <v>13</v>
      </c>
    </row>
    <row r="30" spans="1:11" x14ac:dyDescent="0.25">
      <c r="A30" s="1" t="s">
        <v>16</v>
      </c>
    </row>
    <row r="31" spans="1:11" x14ac:dyDescent="0.25">
      <c r="A31" s="8" t="s">
        <v>110</v>
      </c>
      <c r="B31" s="8">
        <v>5.08210200951526E-8</v>
      </c>
      <c r="C31" s="8" t="s">
        <v>9</v>
      </c>
      <c r="J31" s="8" t="s">
        <v>603</v>
      </c>
    </row>
    <row r="32" spans="1:11" x14ac:dyDescent="0.25">
      <c r="A32" s="8" t="s">
        <v>111</v>
      </c>
      <c r="B32" s="8">
        <v>3.3508364897902799E-11</v>
      </c>
      <c r="C32" s="8" t="s">
        <v>9</v>
      </c>
      <c r="J32" s="8" t="s">
        <v>603</v>
      </c>
    </row>
    <row r="33" spans="1:10" x14ac:dyDescent="0.25">
      <c r="A33" s="8" t="s">
        <v>67</v>
      </c>
      <c r="B33" s="8">
        <v>2.3455855428531998E-9</v>
      </c>
      <c r="C33" s="8" t="s">
        <v>9</v>
      </c>
      <c r="J33" s="8" t="s">
        <v>603</v>
      </c>
    </row>
    <row r="34" spans="1:10" x14ac:dyDescent="0.25">
      <c r="A34" s="8" t="s">
        <v>112</v>
      </c>
      <c r="B34" s="8">
        <v>8.3491675870607804E-7</v>
      </c>
      <c r="C34" s="8" t="s">
        <v>9</v>
      </c>
      <c r="J34" s="8" t="s">
        <v>603</v>
      </c>
    </row>
    <row r="35" spans="1:10" x14ac:dyDescent="0.25">
      <c r="A35" s="8" t="s">
        <v>113</v>
      </c>
      <c r="B35" s="8">
        <v>1.63074042503127E-10</v>
      </c>
      <c r="C35" s="8" t="s">
        <v>9</v>
      </c>
      <c r="J35" s="8" t="s">
        <v>603</v>
      </c>
    </row>
    <row r="36" spans="1:10" x14ac:dyDescent="0.25">
      <c r="A36" s="8" t="s">
        <v>71</v>
      </c>
      <c r="B36" s="8">
        <v>1.43806732686833E-5</v>
      </c>
      <c r="C36" s="8" t="s">
        <v>9</v>
      </c>
      <c r="J36" s="8" t="s">
        <v>603</v>
      </c>
    </row>
    <row r="37" spans="1:10" x14ac:dyDescent="0.25">
      <c r="A37" s="8" t="s">
        <v>114</v>
      </c>
      <c r="B37" s="8">
        <v>1.6307404250312699E-9</v>
      </c>
      <c r="C37" s="8" t="s">
        <v>9</v>
      </c>
      <c r="J37" s="8" t="s">
        <v>603</v>
      </c>
    </row>
    <row r="38" spans="1:10" x14ac:dyDescent="0.25">
      <c r="A38" s="8" t="s">
        <v>15</v>
      </c>
      <c r="B38" s="8">
        <v>2.45169536502989E-5</v>
      </c>
      <c r="C38" s="8" t="s">
        <v>9</v>
      </c>
      <c r="J38" s="8" t="s">
        <v>603</v>
      </c>
    </row>
    <row r="39" spans="1:10" x14ac:dyDescent="0.25">
      <c r="A39" s="8" t="s">
        <v>115</v>
      </c>
      <c r="B39" s="8">
        <v>6.7295966169954797E-8</v>
      </c>
      <c r="C39" s="8" t="s">
        <v>9</v>
      </c>
      <c r="J39" s="8" t="s">
        <v>603</v>
      </c>
    </row>
    <row r="40" spans="1:10" x14ac:dyDescent="0.25">
      <c r="A40" s="8" t="s">
        <v>116</v>
      </c>
      <c r="B40" s="8">
        <v>5.6964220326434798E-7</v>
      </c>
      <c r="C40" s="8" t="s">
        <v>9</v>
      </c>
      <c r="J40" s="8" t="s">
        <v>603</v>
      </c>
    </row>
    <row r="41" spans="1:10" x14ac:dyDescent="0.25">
      <c r="A41" s="8" t="s">
        <v>117</v>
      </c>
      <c r="B41" s="8">
        <v>3.65799650135439E-10</v>
      </c>
      <c r="C41" s="8" t="s">
        <v>9</v>
      </c>
      <c r="J41" s="8" t="s">
        <v>603</v>
      </c>
    </row>
    <row r="42" spans="1:10" x14ac:dyDescent="0.25">
      <c r="A42" s="8" t="s">
        <v>118</v>
      </c>
      <c r="B42" s="8">
        <v>1.3235804134671601E-10</v>
      </c>
      <c r="C42" s="8" t="s">
        <v>9</v>
      </c>
      <c r="J42" s="8" t="s">
        <v>603</v>
      </c>
    </row>
    <row r="43" spans="1:10" x14ac:dyDescent="0.25">
      <c r="A43" s="8" t="s">
        <v>19</v>
      </c>
      <c r="B43" s="8">
        <v>1.2258476825149399E-5</v>
      </c>
      <c r="C43" s="8" t="s">
        <v>9</v>
      </c>
      <c r="J43" s="8" t="s">
        <v>603</v>
      </c>
    </row>
    <row r="44" spans="1:10" x14ac:dyDescent="0.25">
      <c r="A44" s="8" t="s">
        <v>119</v>
      </c>
      <c r="B44" s="8">
        <v>3.3508364897902799E-11</v>
      </c>
      <c r="C44" s="8" t="s">
        <v>9</v>
      </c>
      <c r="J44" s="8" t="s">
        <v>603</v>
      </c>
    </row>
    <row r="45" spans="1:10" x14ac:dyDescent="0.25">
      <c r="A45" s="8" t="s">
        <v>120</v>
      </c>
      <c r="B45" s="8">
        <v>2.5466357322406099E-7</v>
      </c>
      <c r="C45" s="8" t="s">
        <v>9</v>
      </c>
      <c r="J45" s="8" t="s">
        <v>603</v>
      </c>
    </row>
    <row r="46" spans="1:10" x14ac:dyDescent="0.25">
      <c r="A46" s="8" t="s">
        <v>44</v>
      </c>
      <c r="B46" s="8">
        <v>1.73126551972498E-5</v>
      </c>
      <c r="C46" s="8" t="s">
        <v>41</v>
      </c>
      <c r="J46" s="8" t="s">
        <v>603</v>
      </c>
    </row>
    <row r="47" spans="1:10" x14ac:dyDescent="0.25">
      <c r="A47" s="8" t="s">
        <v>121</v>
      </c>
      <c r="B47" s="8">
        <v>1.7312655197249801E-9</v>
      </c>
      <c r="C47" s="8" t="s">
        <v>9</v>
      </c>
      <c r="J47" s="8" t="s">
        <v>603</v>
      </c>
    </row>
    <row r="48" spans="1:10" x14ac:dyDescent="0.25">
      <c r="A48" s="8" t="s">
        <v>70</v>
      </c>
      <c r="B48" s="8">
        <v>1.3235804134671601E-9</v>
      </c>
      <c r="C48" s="8" t="s">
        <v>9</v>
      </c>
      <c r="J48" s="8" t="s">
        <v>603</v>
      </c>
    </row>
    <row r="49" spans="1:10" x14ac:dyDescent="0.25">
      <c r="A49" s="8" t="s">
        <v>51</v>
      </c>
      <c r="B49" s="8">
        <v>3.3508364897902799E-11</v>
      </c>
      <c r="C49" s="8" t="s">
        <v>9</v>
      </c>
      <c r="J49" s="8" t="s">
        <v>603</v>
      </c>
    </row>
    <row r="50" spans="1:10" x14ac:dyDescent="0.25">
      <c r="A50" s="8" t="s">
        <v>122</v>
      </c>
      <c r="B50" s="8">
        <v>2.5466357322406099E-7</v>
      </c>
      <c r="C50" s="8" t="s">
        <v>9</v>
      </c>
      <c r="J50" s="8" t="s">
        <v>603</v>
      </c>
    </row>
    <row r="51" spans="1:10" x14ac:dyDescent="0.25">
      <c r="A51" s="8" t="s">
        <v>123</v>
      </c>
      <c r="B51" s="8">
        <v>2.0384255312890899E-7</v>
      </c>
      <c r="C51" s="8" t="s">
        <v>9</v>
      </c>
      <c r="J51" s="8" t="s">
        <v>603</v>
      </c>
    </row>
    <row r="52" spans="1:10" x14ac:dyDescent="0.25">
      <c r="A52" s="8" t="s">
        <v>124</v>
      </c>
      <c r="B52" s="8">
        <v>1.83458297816018E-9</v>
      </c>
      <c r="C52" s="8" t="s">
        <v>9</v>
      </c>
      <c r="J52" s="8" t="s">
        <v>603</v>
      </c>
    </row>
    <row r="53" spans="1:10" x14ac:dyDescent="0.25">
      <c r="A53" s="8" t="s">
        <v>125</v>
      </c>
      <c r="B53" s="8">
        <v>6.7295966169954797E-8</v>
      </c>
      <c r="C53" s="8" t="s">
        <v>9</v>
      </c>
      <c r="J53" s="8" t="s">
        <v>603</v>
      </c>
    </row>
    <row r="54" spans="1:10" x14ac:dyDescent="0.25">
      <c r="A54" s="8" t="s">
        <v>126</v>
      </c>
      <c r="B54" s="8">
        <v>5.08210200951526E-8</v>
      </c>
      <c r="C54" s="8" t="s">
        <v>9</v>
      </c>
      <c r="J54" s="8" t="s">
        <v>603</v>
      </c>
    </row>
    <row r="55" spans="1:10" x14ac:dyDescent="0.25">
      <c r="A55" s="8" t="s">
        <v>127</v>
      </c>
      <c r="B55" s="8">
        <v>1.4268978719023599E-6</v>
      </c>
      <c r="C55" s="8" t="s">
        <v>9</v>
      </c>
      <c r="J55" s="8" t="s">
        <v>603</v>
      </c>
    </row>
    <row r="56" spans="1:10" x14ac:dyDescent="0.25">
      <c r="A56" s="8" t="s">
        <v>128</v>
      </c>
      <c r="B56" s="8">
        <v>9.9966621945410106E-11</v>
      </c>
      <c r="C56" s="8" t="s">
        <v>9</v>
      </c>
      <c r="J56" s="8" t="s">
        <v>603</v>
      </c>
    </row>
    <row r="57" spans="1:10" x14ac:dyDescent="0.25">
      <c r="A57" s="8" t="s">
        <v>25</v>
      </c>
      <c r="B57" s="8">
        <v>6.7295966169954799E-10</v>
      </c>
      <c r="C57" s="8" t="s">
        <v>9</v>
      </c>
      <c r="J57" s="8" t="s">
        <v>603</v>
      </c>
    </row>
    <row r="58" spans="1:10" x14ac:dyDescent="0.25">
      <c r="A58" s="8" t="s">
        <v>68</v>
      </c>
      <c r="B58" s="8">
        <v>2.0384255312890901E-8</v>
      </c>
      <c r="C58" s="8" t="s">
        <v>9</v>
      </c>
      <c r="J58" s="8" t="s">
        <v>603</v>
      </c>
    </row>
    <row r="59" spans="1:10" x14ac:dyDescent="0.25">
      <c r="A59" s="8" t="s">
        <v>27</v>
      </c>
      <c r="B59" s="8">
        <v>2.3455855428532E-7</v>
      </c>
      <c r="C59" s="8" t="s">
        <v>9</v>
      </c>
      <c r="J59" s="8" t="s">
        <v>603</v>
      </c>
    </row>
    <row r="60" spans="1:10" x14ac:dyDescent="0.25">
      <c r="A60" s="8" t="s">
        <v>129</v>
      </c>
      <c r="B60" s="8">
        <v>3.3508364897902803E-8</v>
      </c>
      <c r="C60" s="8" t="s">
        <v>9</v>
      </c>
      <c r="J60" s="8" t="s">
        <v>603</v>
      </c>
    </row>
    <row r="61" spans="1:10" x14ac:dyDescent="0.25">
      <c r="A61" s="8" t="s">
        <v>130</v>
      </c>
      <c r="B61" s="8">
        <v>6.7295966169954797E-9</v>
      </c>
      <c r="C61" s="8" t="s">
        <v>9</v>
      </c>
      <c r="J61" s="8" t="s">
        <v>603</v>
      </c>
    </row>
    <row r="62" spans="1:10" x14ac:dyDescent="0.25">
      <c r="A62" s="8" t="s">
        <v>131</v>
      </c>
      <c r="B62" s="8">
        <v>7.4276875523684595E-11</v>
      </c>
      <c r="C62" s="8" t="s">
        <v>9</v>
      </c>
      <c r="J62" s="8" t="s">
        <v>603</v>
      </c>
    </row>
    <row r="63" spans="1:10" x14ac:dyDescent="0.25">
      <c r="A63" s="8" t="s">
        <v>26</v>
      </c>
      <c r="B63" s="8">
        <v>1.6307404250312699E-9</v>
      </c>
      <c r="C63" s="8" t="s">
        <v>9</v>
      </c>
      <c r="J63" s="8" t="s">
        <v>603</v>
      </c>
    </row>
    <row r="64" spans="1:10" x14ac:dyDescent="0.25">
      <c r="A64" s="8" t="s">
        <v>63</v>
      </c>
      <c r="B64" s="8">
        <v>2.4265640913564601E-3</v>
      </c>
      <c r="C64" s="8" t="s">
        <v>9</v>
      </c>
      <c r="J64" s="8" t="s">
        <v>603</v>
      </c>
    </row>
    <row r="65" spans="1:10" x14ac:dyDescent="0.25">
      <c r="A65" s="8" t="s">
        <v>132</v>
      </c>
      <c r="B65" s="8">
        <v>1.0192127656445401E-7</v>
      </c>
      <c r="C65" s="8" t="s">
        <v>9</v>
      </c>
      <c r="J65" s="8" t="s">
        <v>603</v>
      </c>
    </row>
    <row r="66" spans="1:10" x14ac:dyDescent="0.25">
      <c r="A66" s="8" t="s">
        <v>133</v>
      </c>
      <c r="B66" s="8">
        <v>6.7295966169954797E-9</v>
      </c>
      <c r="C66" s="8" t="s">
        <v>9</v>
      </c>
      <c r="J66" s="8" t="s">
        <v>603</v>
      </c>
    </row>
    <row r="67" spans="1:10" x14ac:dyDescent="0.25">
      <c r="A67" s="8" t="s">
        <v>52</v>
      </c>
      <c r="B67" s="8">
        <v>1.63074042503127E-10</v>
      </c>
      <c r="C67" s="8" t="s">
        <v>9</v>
      </c>
      <c r="J67" s="8" t="s">
        <v>603</v>
      </c>
    </row>
    <row r="68" spans="1:10" x14ac:dyDescent="0.25">
      <c r="A68" s="8" t="s">
        <v>134</v>
      </c>
      <c r="B68" s="8">
        <v>1.3235804134671601E-10</v>
      </c>
      <c r="C68" s="8" t="s">
        <v>9</v>
      </c>
      <c r="J68" s="8" t="s">
        <v>603</v>
      </c>
    </row>
    <row r="69" spans="1:10" x14ac:dyDescent="0.25">
      <c r="A69" s="8" t="s">
        <v>135</v>
      </c>
      <c r="B69" s="8">
        <v>5.0821020095152601E-7</v>
      </c>
      <c r="C69" s="8" t="s">
        <v>9</v>
      </c>
      <c r="J69" s="8" t="s">
        <v>603</v>
      </c>
    </row>
    <row r="70" spans="1:10" x14ac:dyDescent="0.25">
      <c r="A70" s="8" t="s">
        <v>136</v>
      </c>
      <c r="B70" s="8">
        <v>3.6579965013543897E-11</v>
      </c>
      <c r="C70" s="8" t="s">
        <v>9</v>
      </c>
      <c r="J70" s="8" t="s">
        <v>603</v>
      </c>
    </row>
    <row r="71" spans="1:10" x14ac:dyDescent="0.25">
      <c r="A71" s="8" t="s">
        <v>47</v>
      </c>
      <c r="B71" s="8">
        <v>4.1885456122378503E-10</v>
      </c>
      <c r="C71" s="8" t="s">
        <v>9</v>
      </c>
      <c r="J71" s="8" t="s">
        <v>603</v>
      </c>
    </row>
    <row r="72" spans="1:10" x14ac:dyDescent="0.25">
      <c r="A72" s="8" t="s">
        <v>89</v>
      </c>
      <c r="B72" s="8">
        <v>6.7575202544104003E-6</v>
      </c>
      <c r="C72" s="8" t="s">
        <v>9</v>
      </c>
      <c r="J72" s="8" t="s">
        <v>603</v>
      </c>
    </row>
    <row r="73" spans="1:10" x14ac:dyDescent="0.25">
      <c r="A73" s="8" t="s">
        <v>18</v>
      </c>
      <c r="B73" s="8">
        <v>2.8482110163217401E-5</v>
      </c>
      <c r="C73" s="8" t="s">
        <v>9</v>
      </c>
      <c r="J73" s="8" t="s">
        <v>603</v>
      </c>
    </row>
    <row r="74" spans="1:10" x14ac:dyDescent="0.25">
      <c r="A74" s="8" t="s">
        <v>137</v>
      </c>
      <c r="B74" s="8">
        <v>6.7295966169954804E-11</v>
      </c>
      <c r="C74" s="8" t="s">
        <v>9</v>
      </c>
      <c r="J74" s="8" t="s">
        <v>603</v>
      </c>
    </row>
    <row r="75" spans="1:10" x14ac:dyDescent="0.25">
      <c r="A75" s="8" t="s">
        <v>138</v>
      </c>
      <c r="B75" s="8">
        <v>2.0384255312890899E-7</v>
      </c>
      <c r="C75" s="8" t="s">
        <v>9</v>
      </c>
      <c r="J75" s="8" t="s">
        <v>603</v>
      </c>
    </row>
    <row r="76" spans="1:10" x14ac:dyDescent="0.25">
      <c r="A76" s="8" t="s">
        <v>139</v>
      </c>
      <c r="B76" s="8">
        <v>6.7295966169954804E-11</v>
      </c>
      <c r="C76" s="8" t="s">
        <v>9</v>
      </c>
      <c r="J76" s="8" t="s">
        <v>603</v>
      </c>
    </row>
    <row r="77" spans="1:10" x14ac:dyDescent="0.25">
      <c r="A77" s="8" t="s">
        <v>49</v>
      </c>
      <c r="B77" s="8">
        <v>2.7532706491110101E-9</v>
      </c>
      <c r="C77" s="8" t="s">
        <v>9</v>
      </c>
      <c r="J77" s="8" t="s">
        <v>603</v>
      </c>
    </row>
    <row r="78" spans="1:10" x14ac:dyDescent="0.25">
      <c r="A78" s="8" t="s">
        <v>140</v>
      </c>
      <c r="B78" s="8">
        <v>1.56930842271845E-6</v>
      </c>
      <c r="C78" s="8" t="s">
        <v>9</v>
      </c>
      <c r="J78" s="8" t="s">
        <v>603</v>
      </c>
    </row>
    <row r="79" spans="1:10" x14ac:dyDescent="0.25">
      <c r="A79" s="8" t="s">
        <v>141</v>
      </c>
      <c r="B79" s="8">
        <v>5.08210200951526E-8</v>
      </c>
      <c r="C79" s="8" t="s">
        <v>9</v>
      </c>
      <c r="J79" s="8" t="s">
        <v>603</v>
      </c>
    </row>
    <row r="80" spans="1:10" x14ac:dyDescent="0.25">
      <c r="A80" s="8" t="s">
        <v>142</v>
      </c>
      <c r="B80" s="8">
        <v>2.8482110163217398E-6</v>
      </c>
      <c r="C80" s="8" t="s">
        <v>9</v>
      </c>
      <c r="J80" s="8" t="s">
        <v>603</v>
      </c>
    </row>
    <row r="81" spans="1:12" x14ac:dyDescent="0.25">
      <c r="A81" s="8" t="s">
        <v>92</v>
      </c>
      <c r="B81" s="8">
        <v>3.3508364897902802E-9</v>
      </c>
      <c r="C81" s="8" t="s">
        <v>9</v>
      </c>
      <c r="J81" s="8" t="s">
        <v>603</v>
      </c>
    </row>
    <row r="82" spans="1:12" x14ac:dyDescent="0.25">
      <c r="A82" s="8" t="s">
        <v>46</v>
      </c>
      <c r="B82" s="8">
        <v>4.9983310972704996E-10</v>
      </c>
      <c r="C82" s="8" t="s">
        <v>9</v>
      </c>
      <c r="J82" s="8" t="s">
        <v>603</v>
      </c>
    </row>
    <row r="83" spans="1:12" x14ac:dyDescent="0.25">
      <c r="A83" s="8" t="s">
        <v>90</v>
      </c>
      <c r="B83" s="8">
        <v>9.9966621945410103E-7</v>
      </c>
      <c r="C83" s="8" t="s">
        <v>9</v>
      </c>
      <c r="J83" s="8" t="s">
        <v>603</v>
      </c>
    </row>
    <row r="84" spans="1:12" x14ac:dyDescent="0.25">
      <c r="A84" s="8" t="s">
        <v>17</v>
      </c>
      <c r="B84" s="8">
        <v>2.3846786352340798E-5</v>
      </c>
      <c r="C84" s="8" t="s">
        <v>9</v>
      </c>
      <c r="J84" s="8" t="s">
        <v>603</v>
      </c>
    </row>
    <row r="85" spans="1:12" x14ac:dyDescent="0.25">
      <c r="A85" s="8" t="s">
        <v>45</v>
      </c>
      <c r="B85" s="8">
        <v>6.7295966169954799E-10</v>
      </c>
      <c r="C85" s="8" t="s">
        <v>9</v>
      </c>
      <c r="J85" s="8" t="s">
        <v>603</v>
      </c>
    </row>
    <row r="86" spans="1:12" x14ac:dyDescent="0.25">
      <c r="A86" s="8" t="s">
        <v>143</v>
      </c>
      <c r="B86" s="8">
        <v>6.7295966169954804E-11</v>
      </c>
      <c r="C86" s="8" t="s">
        <v>9</v>
      </c>
      <c r="J86" s="8" t="s">
        <v>603</v>
      </c>
    </row>
    <row r="87" spans="1:12" x14ac:dyDescent="0.25">
      <c r="A87" s="1" t="s">
        <v>20</v>
      </c>
    </row>
    <row r="88" spans="1:12" x14ac:dyDescent="0.25">
      <c r="A88" s="8" t="s">
        <v>144</v>
      </c>
      <c r="B88" s="8">
        <v>2.2422680844180001E-5</v>
      </c>
      <c r="C88" s="8" t="s">
        <v>9</v>
      </c>
      <c r="J88" s="8" t="s">
        <v>603</v>
      </c>
    </row>
    <row r="89" spans="1:12" x14ac:dyDescent="0.25">
      <c r="A89" s="8" t="s">
        <v>145</v>
      </c>
      <c r="B89" s="8">
        <v>2.73651646666206E-5</v>
      </c>
      <c r="C89" s="8" t="s">
        <v>41</v>
      </c>
      <c r="J89" s="8" t="s">
        <v>603</v>
      </c>
    </row>
    <row r="90" spans="1:12" x14ac:dyDescent="0.25">
      <c r="A90" s="8" t="s">
        <v>62</v>
      </c>
      <c r="B90" s="8">
        <v>6.1152765938672599E-10</v>
      </c>
      <c r="C90" s="8" t="s">
        <v>9</v>
      </c>
      <c r="J90" s="8" t="s">
        <v>603</v>
      </c>
    </row>
    <row r="91" spans="1:12" x14ac:dyDescent="0.25">
      <c r="A91" s="8" t="s">
        <v>146</v>
      </c>
      <c r="B91" s="8">
        <v>5.0821020095152601E-7</v>
      </c>
      <c r="C91" s="8" t="s">
        <v>9</v>
      </c>
      <c r="J91" s="8" t="s">
        <v>603</v>
      </c>
    </row>
    <row r="92" spans="1:12" x14ac:dyDescent="0.25">
      <c r="A92" s="8" t="s">
        <v>127</v>
      </c>
      <c r="B92" s="8">
        <v>8.1537021251563499E-8</v>
      </c>
      <c r="C92" s="8" t="s">
        <v>9</v>
      </c>
      <c r="J92" s="8" t="s">
        <v>603</v>
      </c>
    </row>
    <row r="93" spans="1:12" x14ac:dyDescent="0.25">
      <c r="A93" s="8" t="s">
        <v>147</v>
      </c>
      <c r="B93" s="8">
        <v>3.9651565129185002E-5</v>
      </c>
      <c r="C93" s="8" t="s">
        <v>9</v>
      </c>
      <c r="J93" s="8" t="s">
        <v>603</v>
      </c>
    </row>
    <row r="94" spans="1:12" x14ac:dyDescent="0.25">
      <c r="A94" s="8" t="s">
        <v>129</v>
      </c>
      <c r="B94" s="8">
        <v>2.54663573224061E-5</v>
      </c>
      <c r="C94" s="8" t="s">
        <v>9</v>
      </c>
      <c r="J94" s="8" t="s">
        <v>603</v>
      </c>
    </row>
    <row r="96" spans="1:12" x14ac:dyDescent="0.25">
      <c r="A96" s="2" t="s">
        <v>102</v>
      </c>
      <c r="B96" s="2"/>
      <c r="C96" s="2"/>
      <c r="D96" s="2"/>
      <c r="E96" s="2"/>
      <c r="F96" s="1"/>
      <c r="G96" s="1"/>
      <c r="H96" s="1"/>
      <c r="I96" s="1"/>
      <c r="J96" s="1"/>
      <c r="K96" s="8"/>
      <c r="L96" s="8"/>
    </row>
    <row r="97" spans="1:12" x14ac:dyDescent="0.25">
      <c r="A97" s="1" t="s">
        <v>10</v>
      </c>
      <c r="B97" s="1" t="s">
        <v>2</v>
      </c>
      <c r="C97" s="1" t="s">
        <v>0</v>
      </c>
      <c r="D97" s="1"/>
      <c r="E97" s="1" t="s">
        <v>3</v>
      </c>
      <c r="F97" s="1" t="s">
        <v>4</v>
      </c>
      <c r="G97" s="1" t="s">
        <v>5</v>
      </c>
      <c r="H97" s="1" t="s">
        <v>6</v>
      </c>
      <c r="I97" s="1" t="s">
        <v>7</v>
      </c>
      <c r="J97" s="1" t="s">
        <v>8</v>
      </c>
      <c r="K97" s="8"/>
      <c r="L97" s="8"/>
    </row>
    <row r="98" spans="1:12" x14ac:dyDescent="0.25">
      <c r="A98" s="8" t="s">
        <v>102</v>
      </c>
      <c r="B98" s="8">
        <v>1</v>
      </c>
      <c r="C98" s="8" t="s">
        <v>14</v>
      </c>
      <c r="D98" s="8"/>
      <c r="E98" s="8"/>
      <c r="F98" s="8"/>
      <c r="G98" s="8"/>
      <c r="H98" s="8"/>
      <c r="I98" s="8"/>
      <c r="J98" s="8" t="s">
        <v>603</v>
      </c>
      <c r="K98" s="8"/>
      <c r="L98" s="8"/>
    </row>
    <row r="99" spans="1:12" x14ac:dyDescent="0.25">
      <c r="A99" s="1" t="s">
        <v>1</v>
      </c>
      <c r="B99" s="1" t="s">
        <v>2</v>
      </c>
      <c r="C99" s="1" t="s">
        <v>0</v>
      </c>
      <c r="D99" s="1"/>
      <c r="E99" s="1" t="s">
        <v>3</v>
      </c>
      <c r="F99" s="1" t="s">
        <v>4</v>
      </c>
      <c r="G99" s="1" t="s">
        <v>5</v>
      </c>
      <c r="H99" s="1" t="s">
        <v>6</v>
      </c>
      <c r="I99" s="1" t="s">
        <v>7</v>
      </c>
      <c r="J99" s="1" t="s">
        <v>8</v>
      </c>
      <c r="K99" s="8"/>
      <c r="L99" s="8"/>
    </row>
    <row r="100" spans="1:12" x14ac:dyDescent="0.25">
      <c r="A100" s="8" t="s">
        <v>148</v>
      </c>
      <c r="B100" s="8">
        <v>2.8571428571428598E-2</v>
      </c>
      <c r="C100" s="8" t="s">
        <v>9</v>
      </c>
      <c r="D100" s="8"/>
      <c r="E100" s="8"/>
      <c r="F100" s="8"/>
      <c r="G100" s="8"/>
      <c r="H100" s="8"/>
      <c r="I100" s="8"/>
      <c r="J100" s="8" t="s">
        <v>603</v>
      </c>
      <c r="K100" s="8"/>
      <c r="L100" s="8"/>
    </row>
    <row r="101" spans="1:12" x14ac:dyDescent="0.25">
      <c r="A101" s="8"/>
      <c r="B101" s="8"/>
      <c r="C101" s="8"/>
      <c r="D101" s="8"/>
      <c r="E101" s="8"/>
      <c r="F101" s="8"/>
      <c r="G101" s="8"/>
      <c r="H101" s="8"/>
      <c r="I101" s="8"/>
      <c r="J101" s="8"/>
      <c r="K101" s="8"/>
      <c r="L101" s="8"/>
    </row>
    <row r="102" spans="1:12" x14ac:dyDescent="0.25">
      <c r="A102" s="2" t="s">
        <v>103</v>
      </c>
      <c r="B102" s="2"/>
      <c r="C102" s="2"/>
      <c r="D102" s="2"/>
      <c r="E102" s="2"/>
      <c r="F102" s="1"/>
      <c r="G102" s="1"/>
      <c r="H102" s="1"/>
      <c r="I102" s="1"/>
      <c r="J102" s="1"/>
      <c r="K102" s="8"/>
      <c r="L102" s="8"/>
    </row>
    <row r="103" spans="1:12" x14ac:dyDescent="0.25">
      <c r="A103" s="1" t="s">
        <v>10</v>
      </c>
      <c r="B103" s="1" t="s">
        <v>2</v>
      </c>
      <c r="C103" s="1" t="s">
        <v>0</v>
      </c>
      <c r="D103" s="1"/>
      <c r="E103" s="1" t="s">
        <v>3</v>
      </c>
      <c r="F103" s="1" t="s">
        <v>4</v>
      </c>
      <c r="G103" s="1" t="s">
        <v>5</v>
      </c>
      <c r="H103" s="1" t="s">
        <v>6</v>
      </c>
      <c r="I103" s="1" t="s">
        <v>7</v>
      </c>
      <c r="J103" s="1" t="s">
        <v>8</v>
      </c>
      <c r="K103" s="8"/>
      <c r="L103" s="8"/>
    </row>
    <row r="104" spans="1:12" x14ac:dyDescent="0.25">
      <c r="A104" s="8" t="s">
        <v>103</v>
      </c>
      <c r="B104" s="8">
        <v>1</v>
      </c>
      <c r="C104" s="8" t="s">
        <v>14</v>
      </c>
      <c r="D104" s="8"/>
      <c r="E104" s="8"/>
      <c r="F104" s="8"/>
      <c r="G104" s="8"/>
      <c r="H104" s="8"/>
      <c r="I104" s="8"/>
      <c r="J104" s="8" t="s">
        <v>603</v>
      </c>
      <c r="K104" s="8"/>
      <c r="L104" s="8"/>
    </row>
    <row r="105" spans="1:12" x14ac:dyDescent="0.25">
      <c r="A105" s="1" t="s">
        <v>1</v>
      </c>
      <c r="B105" s="1" t="s">
        <v>2</v>
      </c>
      <c r="C105" s="1" t="s">
        <v>0</v>
      </c>
      <c r="D105" s="1"/>
      <c r="E105" s="1" t="s">
        <v>3</v>
      </c>
      <c r="F105" s="1" t="s">
        <v>4</v>
      </c>
      <c r="G105" s="1" t="s">
        <v>5</v>
      </c>
      <c r="H105" s="1" t="s">
        <v>6</v>
      </c>
      <c r="I105" s="1" t="s">
        <v>7</v>
      </c>
      <c r="J105" s="1" t="s">
        <v>8</v>
      </c>
      <c r="K105" s="8"/>
    </row>
    <row r="106" spans="1:12" x14ac:dyDescent="0.25">
      <c r="A106" s="8" t="s">
        <v>108</v>
      </c>
      <c r="B106" s="8">
        <v>4.7358287682254004E-13</v>
      </c>
      <c r="C106" s="8" t="s">
        <v>61</v>
      </c>
      <c r="D106" s="8"/>
      <c r="E106" s="8"/>
      <c r="F106" s="8"/>
      <c r="G106" s="8"/>
      <c r="H106" s="8"/>
      <c r="I106" s="8"/>
      <c r="J106" s="8" t="s">
        <v>603</v>
      </c>
      <c r="K106" s="8"/>
    </row>
    <row r="107" spans="1:12" x14ac:dyDescent="0.25">
      <c r="A107" s="8" t="s">
        <v>79</v>
      </c>
      <c r="B107" s="8">
        <v>5.6829945218704801E-5</v>
      </c>
      <c r="C107" s="8" t="s">
        <v>9</v>
      </c>
    </row>
    <row r="108" spans="1:12" x14ac:dyDescent="0.25">
      <c r="A108" s="8" t="s">
        <v>107</v>
      </c>
      <c r="B108" s="8">
        <v>4.4572506053886102E-2</v>
      </c>
      <c r="C108" s="8" t="s">
        <v>9</v>
      </c>
    </row>
    <row r="109" spans="1:12" x14ac:dyDescent="0.25">
      <c r="A109" s="8" t="s">
        <v>104</v>
      </c>
      <c r="B109" s="8">
        <v>4.0672411774171099E-6</v>
      </c>
      <c r="C109" s="8" t="s">
        <v>9</v>
      </c>
    </row>
    <row r="110" spans="1:12" x14ac:dyDescent="0.25">
      <c r="A110" s="8" t="s">
        <v>105</v>
      </c>
      <c r="B110" s="8">
        <v>2.0336205887085499E-6</v>
      </c>
      <c r="C110" s="8" t="s">
        <v>9</v>
      </c>
    </row>
    <row r="111" spans="1:12" x14ac:dyDescent="0.25">
      <c r="A111" s="8" t="s">
        <v>149</v>
      </c>
      <c r="B111" s="8">
        <v>1.9984076623228999E-3</v>
      </c>
      <c r="C111" s="8" t="s">
        <v>9</v>
      </c>
    </row>
    <row r="112" spans="1:12" x14ac:dyDescent="0.25">
      <c r="A112" s="8" t="s">
        <v>150</v>
      </c>
      <c r="B112" s="8">
        <v>1.4778921781829799E-2</v>
      </c>
      <c r="C112" s="8" t="s">
        <v>9</v>
      </c>
    </row>
    <row r="113" spans="1:3" x14ac:dyDescent="0.25">
      <c r="A113" s="8" t="s">
        <v>151</v>
      </c>
      <c r="B113" s="8">
        <v>1.7673027709016399E-3</v>
      </c>
      <c r="C113" s="8" t="s">
        <v>9</v>
      </c>
    </row>
    <row r="114" spans="1:3" x14ac:dyDescent="0.25">
      <c r="A114" s="8" t="s">
        <v>152</v>
      </c>
      <c r="B114" s="8">
        <v>1.9486134514676799E-3</v>
      </c>
      <c r="C114" s="8" t="s">
        <v>9</v>
      </c>
    </row>
    <row r="115" spans="1:3" x14ac:dyDescent="0.25">
      <c r="A115" s="8" t="s">
        <v>153</v>
      </c>
      <c r="B115" s="8">
        <v>4.3818905552595099E-4</v>
      </c>
      <c r="C115" s="8" t="s">
        <v>9</v>
      </c>
    </row>
    <row r="116" spans="1:3" x14ac:dyDescent="0.25">
      <c r="A116" s="8" t="s">
        <v>154</v>
      </c>
      <c r="B116" s="8">
        <v>6.3139059364421104E-3</v>
      </c>
      <c r="C116" s="8" t="s">
        <v>9</v>
      </c>
    </row>
    <row r="117" spans="1:3" x14ac:dyDescent="0.25">
      <c r="A117" s="8" t="s">
        <v>155</v>
      </c>
      <c r="B117" s="8">
        <v>1.47390864131456E-3</v>
      </c>
      <c r="C117" s="8" t="s">
        <v>9</v>
      </c>
    </row>
    <row r="118" spans="1:3" x14ac:dyDescent="0.25">
      <c r="A118" s="8" t="s">
        <v>156</v>
      </c>
      <c r="B118" s="8">
        <v>1.5934147473670899E-3</v>
      </c>
      <c r="C118" s="8" t="s">
        <v>9</v>
      </c>
    </row>
    <row r="119" spans="1:3" x14ac:dyDescent="0.25">
      <c r="A119" s="8" t="s">
        <v>157</v>
      </c>
      <c r="B119" s="8">
        <v>8.1311224243050297E-3</v>
      </c>
      <c r="C119" s="8" t="s">
        <v>9</v>
      </c>
    </row>
    <row r="120" spans="1:3" x14ac:dyDescent="0.25">
      <c r="A120" s="3" t="str">
        <f>'Electricity generation'!A32</f>
        <v>Electricity, global mix, medium voltage_mr_Scope 2</v>
      </c>
      <c r="B120" s="8">
        <v>1.3623330000000001E-3</v>
      </c>
      <c r="C120" s="8" t="s">
        <v>13</v>
      </c>
    </row>
    <row r="121" spans="1:3" x14ac:dyDescent="0.25">
      <c r="A121" s="1" t="s">
        <v>16</v>
      </c>
    </row>
    <row r="122" spans="1:3" x14ac:dyDescent="0.25">
      <c r="A122" s="8" t="s">
        <v>113</v>
      </c>
      <c r="B122" s="8">
        <v>7.5101624507624597E-11</v>
      </c>
      <c r="C122" s="8" t="s">
        <v>9</v>
      </c>
    </row>
    <row r="123" spans="1:3" x14ac:dyDescent="0.25">
      <c r="A123" s="8" t="s">
        <v>133</v>
      </c>
      <c r="B123" s="8">
        <v>5.7695752629978703E-10</v>
      </c>
      <c r="C123" s="8" t="s">
        <v>9</v>
      </c>
    </row>
    <row r="124" spans="1:3" x14ac:dyDescent="0.25">
      <c r="A124" s="8" t="s">
        <v>46</v>
      </c>
      <c r="B124" s="8">
        <v>3.2740909808257402E-10</v>
      </c>
      <c r="C124" s="8" t="s">
        <v>9</v>
      </c>
    </row>
    <row r="125" spans="1:3" x14ac:dyDescent="0.25">
      <c r="A125" s="8" t="s">
        <v>122</v>
      </c>
      <c r="B125" s="8">
        <v>7.8325777645768305E-8</v>
      </c>
      <c r="C125" s="8" t="s">
        <v>9</v>
      </c>
    </row>
    <row r="126" spans="1:3" x14ac:dyDescent="0.25">
      <c r="A126" s="8" t="s">
        <v>111</v>
      </c>
      <c r="B126" s="8">
        <v>4.2412766472625798E-11</v>
      </c>
      <c r="C126" s="8" t="s">
        <v>9</v>
      </c>
    </row>
    <row r="127" spans="1:3" x14ac:dyDescent="0.25">
      <c r="A127" s="8" t="s">
        <v>142</v>
      </c>
      <c r="B127" s="8">
        <v>2.9474542638947501E-4</v>
      </c>
      <c r="C127" s="8" t="s">
        <v>9</v>
      </c>
    </row>
    <row r="128" spans="1:3" x14ac:dyDescent="0.25">
      <c r="A128" s="8" t="s">
        <v>158</v>
      </c>
      <c r="B128" s="8">
        <v>1.2296010863464101E-9</v>
      </c>
      <c r="C128" s="8" t="s">
        <v>9</v>
      </c>
    </row>
    <row r="129" spans="1:3" x14ac:dyDescent="0.25">
      <c r="A129" s="8" t="s">
        <v>123</v>
      </c>
      <c r="B129" s="8">
        <v>1.70516550399958E-7</v>
      </c>
      <c r="C129" s="8" t="s">
        <v>9</v>
      </c>
    </row>
    <row r="130" spans="1:3" x14ac:dyDescent="0.25">
      <c r="A130" s="8" t="s">
        <v>119</v>
      </c>
      <c r="B130" s="8">
        <v>1.8418184149658501E-10</v>
      </c>
      <c r="C130" s="8" t="s">
        <v>9</v>
      </c>
    </row>
    <row r="131" spans="1:3" x14ac:dyDescent="0.25">
      <c r="A131" s="8" t="s">
        <v>51</v>
      </c>
      <c r="B131" s="8">
        <v>9.8479888433600605E-12</v>
      </c>
      <c r="C131" s="8" t="s">
        <v>9</v>
      </c>
    </row>
    <row r="132" spans="1:3" x14ac:dyDescent="0.25">
      <c r="A132" s="8" t="s">
        <v>17</v>
      </c>
      <c r="B132" s="8">
        <v>1.1660019134966899E-4</v>
      </c>
      <c r="C132" s="8" t="s">
        <v>9</v>
      </c>
    </row>
    <row r="133" spans="1:3" x14ac:dyDescent="0.25">
      <c r="A133" s="8" t="s">
        <v>71</v>
      </c>
      <c r="B133" s="8">
        <v>6.9229654925072695E-5</v>
      </c>
      <c r="C133" s="8" t="s">
        <v>9</v>
      </c>
    </row>
    <row r="134" spans="1:3" x14ac:dyDescent="0.25">
      <c r="A134" s="8" t="s">
        <v>89</v>
      </c>
      <c r="B134" s="8">
        <v>3.1670490277536498E-5</v>
      </c>
      <c r="C134" s="8" t="s">
        <v>9</v>
      </c>
    </row>
    <row r="135" spans="1:3" x14ac:dyDescent="0.25">
      <c r="A135" s="8" t="s">
        <v>136</v>
      </c>
      <c r="B135" s="8">
        <v>1.99025465911916E-11</v>
      </c>
      <c r="C135" s="8" t="s">
        <v>9</v>
      </c>
    </row>
    <row r="136" spans="1:3" x14ac:dyDescent="0.25">
      <c r="A136" s="8" t="s">
        <v>67</v>
      </c>
      <c r="B136" s="8">
        <v>4.4512338681571102E-10</v>
      </c>
      <c r="C136" s="8" t="s">
        <v>9</v>
      </c>
    </row>
    <row r="137" spans="1:3" x14ac:dyDescent="0.25">
      <c r="A137" s="8" t="s">
        <v>19</v>
      </c>
      <c r="B137" s="8">
        <v>4.53838937452271E-5</v>
      </c>
      <c r="C137" s="8" t="s">
        <v>9</v>
      </c>
    </row>
    <row r="138" spans="1:3" x14ac:dyDescent="0.25">
      <c r="A138" s="8" t="s">
        <v>131</v>
      </c>
      <c r="B138" s="8">
        <v>9.5056246551541599E-12</v>
      </c>
      <c r="C138" s="8" t="s">
        <v>9</v>
      </c>
    </row>
    <row r="139" spans="1:3" x14ac:dyDescent="0.25">
      <c r="A139" s="8" t="s">
        <v>121</v>
      </c>
      <c r="B139" s="8">
        <v>2.1923744070575299E-7</v>
      </c>
      <c r="C139" s="8" t="s">
        <v>9</v>
      </c>
    </row>
    <row r="140" spans="1:3" x14ac:dyDescent="0.25">
      <c r="A140" s="8" t="s">
        <v>135</v>
      </c>
      <c r="B140" s="8">
        <v>8.0249841952572403E-6</v>
      </c>
      <c r="C140" s="8" t="s">
        <v>9</v>
      </c>
    </row>
    <row r="141" spans="1:3" x14ac:dyDescent="0.25">
      <c r="A141" s="8" t="s">
        <v>159</v>
      </c>
      <c r="B141" s="8">
        <v>1.1987206937669399E-7</v>
      </c>
      <c r="C141" s="8" t="s">
        <v>9</v>
      </c>
    </row>
    <row r="142" spans="1:3" x14ac:dyDescent="0.25">
      <c r="A142" s="8" t="s">
        <v>15</v>
      </c>
      <c r="B142" s="8">
        <v>2.3588897088012001E-5</v>
      </c>
      <c r="C142" s="8" t="s">
        <v>9</v>
      </c>
    </row>
    <row r="143" spans="1:3" x14ac:dyDescent="0.25">
      <c r="A143" s="8" t="s">
        <v>45</v>
      </c>
      <c r="B143" s="8">
        <v>5.9557604519612699E-10</v>
      </c>
      <c r="C143" s="8" t="s">
        <v>9</v>
      </c>
    </row>
    <row r="144" spans="1:3" x14ac:dyDescent="0.25">
      <c r="A144" s="8" t="s">
        <v>49</v>
      </c>
      <c r="B144" s="8">
        <v>8.2938903722689295E-10</v>
      </c>
      <c r="C144" s="8" t="s">
        <v>9</v>
      </c>
    </row>
    <row r="145" spans="1:3" x14ac:dyDescent="0.25">
      <c r="A145" s="8" t="s">
        <v>160</v>
      </c>
      <c r="B145" s="8">
        <v>2.6220260608391601E-8</v>
      </c>
      <c r="C145" s="8" t="s">
        <v>9</v>
      </c>
    </row>
    <row r="146" spans="1:3" x14ac:dyDescent="0.25">
      <c r="A146" s="8" t="s">
        <v>161</v>
      </c>
      <c r="B146" s="8">
        <v>1.46541499331696E-9</v>
      </c>
      <c r="C146" s="8" t="s">
        <v>9</v>
      </c>
    </row>
    <row r="147" spans="1:3" x14ac:dyDescent="0.25">
      <c r="A147" s="8" t="s">
        <v>162</v>
      </c>
      <c r="B147" s="8">
        <v>3.6495009412108202E-12</v>
      </c>
      <c r="C147" s="8" t="s">
        <v>9</v>
      </c>
    </row>
    <row r="148" spans="1:3" x14ac:dyDescent="0.25">
      <c r="A148" s="8" t="s">
        <v>90</v>
      </c>
      <c r="B148" s="8">
        <v>7.3824504759025799E-5</v>
      </c>
      <c r="C148" s="8" t="s">
        <v>9</v>
      </c>
    </row>
    <row r="149" spans="1:3" x14ac:dyDescent="0.25">
      <c r="A149" s="8" t="s">
        <v>163</v>
      </c>
      <c r="B149" s="8">
        <v>9.1798985213533696E-8</v>
      </c>
      <c r="C149" s="8" t="s">
        <v>9</v>
      </c>
    </row>
    <row r="150" spans="1:3" x14ac:dyDescent="0.25">
      <c r="A150" s="8" t="s">
        <v>62</v>
      </c>
      <c r="B150" s="8">
        <v>6.4287362733636704E-8</v>
      </c>
      <c r="C150" s="8" t="s">
        <v>9</v>
      </c>
    </row>
    <row r="151" spans="1:3" x14ac:dyDescent="0.25">
      <c r="A151" s="8" t="s">
        <v>52</v>
      </c>
      <c r="B151" s="8">
        <v>7.0805415802875999E-12</v>
      </c>
      <c r="C151" s="8" t="s">
        <v>9</v>
      </c>
    </row>
    <row r="152" spans="1:3" x14ac:dyDescent="0.25">
      <c r="A152" s="8" t="s">
        <v>92</v>
      </c>
      <c r="B152" s="8">
        <v>1.26552972596761E-9</v>
      </c>
      <c r="C152" s="8" t="s">
        <v>9</v>
      </c>
    </row>
    <row r="153" spans="1:3" x14ac:dyDescent="0.25">
      <c r="A153" s="8" t="s">
        <v>25</v>
      </c>
      <c r="B153" s="8">
        <v>2.6122561281288999E-10</v>
      </c>
      <c r="C153" s="8" t="s">
        <v>9</v>
      </c>
    </row>
    <row r="154" spans="1:3" x14ac:dyDescent="0.25">
      <c r="A154" s="8" t="s">
        <v>47</v>
      </c>
      <c r="B154" s="8">
        <v>5.4981073982203496E-10</v>
      </c>
      <c r="C154" s="8" t="s">
        <v>9</v>
      </c>
    </row>
    <row r="155" spans="1:3" x14ac:dyDescent="0.25">
      <c r="A155" s="8" t="s">
        <v>164</v>
      </c>
      <c r="B155" s="8">
        <v>1.18749146010167E-6</v>
      </c>
      <c r="C155" s="8" t="s">
        <v>9</v>
      </c>
    </row>
    <row r="156" spans="1:3" x14ac:dyDescent="0.25">
      <c r="A156" s="8" t="s">
        <v>50</v>
      </c>
      <c r="B156" s="8">
        <v>9.2079716055165301E-8</v>
      </c>
      <c r="C156" s="8" t="s">
        <v>9</v>
      </c>
    </row>
    <row r="157" spans="1:3" x14ac:dyDescent="0.25">
      <c r="A157" s="8" t="s">
        <v>63</v>
      </c>
      <c r="B157" s="8">
        <v>4.4729866873786999E-3</v>
      </c>
      <c r="C157" s="8" t="s">
        <v>9</v>
      </c>
    </row>
    <row r="158" spans="1:3" x14ac:dyDescent="0.25">
      <c r="A158" s="8" t="s">
        <v>165</v>
      </c>
      <c r="B158" s="8">
        <v>1.1987206937669399E-9</v>
      </c>
      <c r="C158" s="8" t="s">
        <v>9</v>
      </c>
    </row>
    <row r="159" spans="1:3" x14ac:dyDescent="0.25">
      <c r="A159" s="8" t="s">
        <v>110</v>
      </c>
      <c r="B159" s="8">
        <v>9.4775967772456898E-8</v>
      </c>
      <c r="C159" s="8" t="s">
        <v>9</v>
      </c>
    </row>
    <row r="160" spans="1:3" x14ac:dyDescent="0.25">
      <c r="A160" s="8" t="s">
        <v>26</v>
      </c>
      <c r="B160" s="8">
        <v>1.6774280224605299E-9</v>
      </c>
      <c r="C160" s="8" t="s">
        <v>9</v>
      </c>
    </row>
    <row r="161" spans="1:10" x14ac:dyDescent="0.25">
      <c r="A161" s="8" t="s">
        <v>18</v>
      </c>
      <c r="B161" s="8">
        <v>4.77022857536652E-4</v>
      </c>
      <c r="C161" s="8" t="s">
        <v>9</v>
      </c>
    </row>
    <row r="162" spans="1:10" x14ac:dyDescent="0.25">
      <c r="A162" s="8" t="s">
        <v>44</v>
      </c>
      <c r="B162" s="8">
        <v>1.7271846095880899E-5</v>
      </c>
      <c r="C162" s="8" t="s">
        <v>41</v>
      </c>
    </row>
    <row r="163" spans="1:10" x14ac:dyDescent="0.25">
      <c r="A163" s="8" t="s">
        <v>120</v>
      </c>
      <c r="B163" s="8">
        <v>3.0316967653152101E-5</v>
      </c>
      <c r="C163" s="8" t="s">
        <v>9</v>
      </c>
    </row>
    <row r="164" spans="1:10" x14ac:dyDescent="0.25">
      <c r="A164" s="8" t="s">
        <v>166</v>
      </c>
      <c r="B164" s="8">
        <v>9.6571409521270905E-8</v>
      </c>
      <c r="C164" s="8" t="s">
        <v>9</v>
      </c>
    </row>
    <row r="165" spans="1:10" x14ac:dyDescent="0.25">
      <c r="A165" s="1" t="s">
        <v>20</v>
      </c>
      <c r="B165" s="8"/>
      <c r="C165" s="8"/>
    </row>
    <row r="166" spans="1:10" x14ac:dyDescent="0.25">
      <c r="A166" s="8" t="s">
        <v>144</v>
      </c>
      <c r="B166" s="8">
        <v>2.2369826475794099E-5</v>
      </c>
      <c r="C166" s="8" t="s">
        <v>9</v>
      </c>
    </row>
    <row r="167" spans="1:10" x14ac:dyDescent="0.25">
      <c r="A167" s="8" t="s">
        <v>129</v>
      </c>
      <c r="B167" s="8">
        <v>2.54344015348782E-5</v>
      </c>
      <c r="C167" s="8" t="s">
        <v>9</v>
      </c>
    </row>
    <row r="168" spans="1:10" x14ac:dyDescent="0.25">
      <c r="A168" s="8" t="s">
        <v>146</v>
      </c>
      <c r="B168" s="8">
        <v>5.0701225636295496E-7</v>
      </c>
      <c r="C168" s="8" t="s">
        <v>9</v>
      </c>
    </row>
    <row r="169" spans="1:10" x14ac:dyDescent="0.25">
      <c r="A169" s="8" t="s">
        <v>93</v>
      </c>
      <c r="B169" s="8">
        <v>2.7300659958005199E-5</v>
      </c>
      <c r="C169" s="8" t="s">
        <v>41</v>
      </c>
    </row>
    <row r="170" spans="1:10" x14ac:dyDescent="0.25">
      <c r="A170" s="8" t="s">
        <v>127</v>
      </c>
      <c r="B170" s="8">
        <v>8.1344823548342195E-8</v>
      </c>
      <c r="C170" s="8" t="s">
        <v>9</v>
      </c>
    </row>
    <row r="171" spans="1:10" x14ac:dyDescent="0.25">
      <c r="A171" s="8" t="s">
        <v>62</v>
      </c>
      <c r="B171" s="8">
        <v>6.1008617661256599E-10</v>
      </c>
      <c r="C171" s="8" t="s">
        <v>9</v>
      </c>
    </row>
    <row r="172" spans="1:10" x14ac:dyDescent="0.25">
      <c r="A172" s="8" t="s">
        <v>147</v>
      </c>
      <c r="B172" s="8">
        <v>3.9558099122823898E-5</v>
      </c>
      <c r="C172" s="8" t="s">
        <v>9</v>
      </c>
    </row>
    <row r="174" spans="1:10" x14ac:dyDescent="0.25">
      <c r="A174" s="2" t="s">
        <v>473</v>
      </c>
      <c r="B174" s="2"/>
      <c r="C174" s="2"/>
      <c r="D174" s="2"/>
      <c r="E174" s="2"/>
      <c r="F174" s="1"/>
      <c r="G174" s="1"/>
      <c r="H174" s="1"/>
      <c r="I174" s="1"/>
      <c r="J174" s="1"/>
    </row>
    <row r="175" spans="1:10" x14ac:dyDescent="0.25">
      <c r="A175" s="1" t="s">
        <v>10</v>
      </c>
      <c r="B175" s="1" t="s">
        <v>2</v>
      </c>
      <c r="C175" s="1" t="s">
        <v>0</v>
      </c>
      <c r="D175" s="1"/>
      <c r="E175" s="1" t="s">
        <v>3</v>
      </c>
      <c r="F175" s="1" t="s">
        <v>4</v>
      </c>
      <c r="G175" s="1" t="s">
        <v>5</v>
      </c>
      <c r="H175" s="1" t="s">
        <v>6</v>
      </c>
      <c r="I175" s="1" t="s">
        <v>7</v>
      </c>
      <c r="J175" s="1" t="s">
        <v>8</v>
      </c>
    </row>
    <row r="176" spans="1:10" x14ac:dyDescent="0.25">
      <c r="A176" s="8" t="s">
        <v>473</v>
      </c>
      <c r="B176" s="8">
        <v>1</v>
      </c>
      <c r="C176" s="8" t="s">
        <v>9</v>
      </c>
      <c r="D176" s="8"/>
      <c r="E176" s="8"/>
      <c r="F176" s="8"/>
      <c r="G176" s="8"/>
      <c r="H176" s="8"/>
      <c r="I176" s="8"/>
      <c r="J176" s="8" t="s">
        <v>603</v>
      </c>
    </row>
    <row r="177" spans="1:10" x14ac:dyDescent="0.25">
      <c r="A177" s="1" t="s">
        <v>1</v>
      </c>
      <c r="B177" s="1" t="s">
        <v>2</v>
      </c>
      <c r="C177" s="1" t="s">
        <v>0</v>
      </c>
      <c r="D177" s="1"/>
      <c r="E177" s="1" t="s">
        <v>3</v>
      </c>
      <c r="F177" s="1" t="s">
        <v>4</v>
      </c>
      <c r="G177" s="1" t="s">
        <v>5</v>
      </c>
      <c r="H177" s="1" t="s">
        <v>6</v>
      </c>
      <c r="I177" s="1" t="s">
        <v>7</v>
      </c>
      <c r="J177" s="1" t="s">
        <v>8</v>
      </c>
    </row>
    <row r="178" spans="1:10" x14ac:dyDescent="0.25">
      <c r="A178" s="8" t="s">
        <v>229</v>
      </c>
      <c r="B178" s="9">
        <v>1.00596462363105E-5</v>
      </c>
      <c r="C178" s="8" t="s">
        <v>9</v>
      </c>
      <c r="D178" s="8"/>
      <c r="E178" s="8"/>
      <c r="F178" s="8"/>
      <c r="G178" s="8"/>
      <c r="H178" s="8"/>
      <c r="I178" s="8"/>
      <c r="J178" s="8" t="s">
        <v>603</v>
      </c>
    </row>
    <row r="179" spans="1:10" x14ac:dyDescent="0.25">
      <c r="A179" s="8" t="s">
        <v>230</v>
      </c>
      <c r="B179" s="9">
        <v>2.0124530152435399E-5</v>
      </c>
      <c r="C179" s="8" t="s">
        <v>9</v>
      </c>
      <c r="D179" s="8"/>
      <c r="E179" s="8"/>
      <c r="F179" s="8"/>
      <c r="G179" s="8"/>
      <c r="H179" s="8"/>
      <c r="I179" s="8"/>
      <c r="J179" s="8" t="s">
        <v>603</v>
      </c>
    </row>
    <row r="180" spans="1:10" x14ac:dyDescent="0.25">
      <c r="A180" s="3" t="str">
        <f>A184</f>
        <v>Quicklime, in pieces, loose {RoW}| production | Alloc Rec, U_mr</v>
      </c>
      <c r="B180" s="8">
        <v>0.999969815823611</v>
      </c>
      <c r="C180" s="8" t="s">
        <v>9</v>
      </c>
      <c r="D180" s="8"/>
      <c r="E180" s="8"/>
      <c r="F180" s="8"/>
      <c r="G180" s="8"/>
      <c r="H180" s="8"/>
      <c r="I180" s="8"/>
      <c r="J180" s="8" t="s">
        <v>603</v>
      </c>
    </row>
    <row r="181" spans="1:10" x14ac:dyDescent="0.25">
      <c r="A181" s="8"/>
      <c r="B181" s="8"/>
      <c r="C181" s="8"/>
      <c r="D181" s="8"/>
      <c r="E181" s="8"/>
      <c r="F181" s="8"/>
      <c r="G181" s="8"/>
      <c r="H181" s="8"/>
      <c r="I181" s="8"/>
      <c r="J181" s="8"/>
    </row>
    <row r="182" spans="1:10" x14ac:dyDescent="0.25">
      <c r="A182" s="2" t="s">
        <v>231</v>
      </c>
      <c r="B182" s="2"/>
      <c r="C182" s="2"/>
      <c r="D182" s="2"/>
      <c r="E182" s="2"/>
      <c r="F182" s="1"/>
      <c r="G182" s="1"/>
      <c r="H182" s="1"/>
      <c r="I182" s="1"/>
      <c r="J182" s="1"/>
    </row>
    <row r="183" spans="1:10" x14ac:dyDescent="0.25">
      <c r="A183" s="1" t="s">
        <v>10</v>
      </c>
      <c r="B183" s="1" t="s">
        <v>2</v>
      </c>
      <c r="C183" s="1" t="s">
        <v>0</v>
      </c>
      <c r="D183" s="1"/>
      <c r="E183" s="1" t="s">
        <v>3</v>
      </c>
      <c r="F183" s="1" t="s">
        <v>4</v>
      </c>
      <c r="G183" s="1" t="s">
        <v>5</v>
      </c>
      <c r="H183" s="1" t="s">
        <v>6</v>
      </c>
      <c r="I183" s="1" t="s">
        <v>7</v>
      </c>
      <c r="J183" s="1" t="s">
        <v>8</v>
      </c>
    </row>
    <row r="184" spans="1:10" x14ac:dyDescent="0.25">
      <c r="A184" s="8" t="s">
        <v>231</v>
      </c>
      <c r="B184" s="8">
        <v>1</v>
      </c>
      <c r="C184" s="8" t="s">
        <v>9</v>
      </c>
      <c r="D184" s="8"/>
      <c r="E184" s="8"/>
      <c r="F184" s="8"/>
      <c r="G184" s="8"/>
      <c r="H184" s="8"/>
      <c r="I184" s="8"/>
      <c r="J184" s="8" t="s">
        <v>603</v>
      </c>
    </row>
    <row r="185" spans="1:10" x14ac:dyDescent="0.25">
      <c r="A185" s="1" t="s">
        <v>1</v>
      </c>
      <c r="B185" s="1" t="s">
        <v>2</v>
      </c>
      <c r="C185" s="1" t="s">
        <v>0</v>
      </c>
      <c r="D185" s="1"/>
      <c r="E185" s="1" t="s">
        <v>3</v>
      </c>
      <c r="F185" s="1" t="s">
        <v>4</v>
      </c>
      <c r="G185" s="1" t="s">
        <v>5</v>
      </c>
      <c r="H185" s="1" t="s">
        <v>6</v>
      </c>
      <c r="I185" s="1" t="s">
        <v>7</v>
      </c>
      <c r="J185" s="1" t="s">
        <v>8</v>
      </c>
    </row>
    <row r="186" spans="1:10" x14ac:dyDescent="0.25">
      <c r="A186" s="8" t="s">
        <v>232</v>
      </c>
      <c r="B186" s="8">
        <v>1.7377862736848499</v>
      </c>
      <c r="C186" s="8" t="s">
        <v>9</v>
      </c>
      <c r="D186" s="8"/>
      <c r="E186" s="8"/>
      <c r="F186" s="8"/>
      <c r="G186" s="8"/>
      <c r="H186" s="8"/>
      <c r="I186" s="8"/>
      <c r="J186" s="8" t="s">
        <v>603</v>
      </c>
    </row>
    <row r="187" spans="1:10" x14ac:dyDescent="0.25">
      <c r="A187" s="8" t="s">
        <v>233</v>
      </c>
      <c r="B187" s="8">
        <v>8.6192389047282504E-4</v>
      </c>
      <c r="C187" s="8" t="s">
        <v>309</v>
      </c>
      <c r="D187" s="8"/>
      <c r="E187" s="8"/>
      <c r="F187" s="8"/>
      <c r="G187" s="8"/>
      <c r="H187" s="8"/>
      <c r="I187" s="8"/>
      <c r="J187" s="8" t="s">
        <v>603</v>
      </c>
    </row>
    <row r="188" spans="1:10" x14ac:dyDescent="0.25">
      <c r="A188" s="8" t="s">
        <v>234</v>
      </c>
      <c r="B188" s="8">
        <v>9.1666443585053894E-2</v>
      </c>
      <c r="C188" s="8" t="s">
        <v>9</v>
      </c>
      <c r="D188" s="8"/>
      <c r="E188" s="8"/>
      <c r="F188" s="8"/>
      <c r="G188" s="8"/>
      <c r="H188" s="8"/>
      <c r="I188" s="8"/>
      <c r="J188" s="8" t="s">
        <v>603</v>
      </c>
    </row>
    <row r="189" spans="1:10" x14ac:dyDescent="0.25">
      <c r="A189" s="8" t="s">
        <v>235</v>
      </c>
      <c r="B189" s="8">
        <v>9.2299999999999997E-6</v>
      </c>
      <c r="C189" s="8" t="s">
        <v>9</v>
      </c>
      <c r="J189" s="8" t="s">
        <v>603</v>
      </c>
    </row>
    <row r="190" spans="1:10" x14ac:dyDescent="0.25">
      <c r="A190" s="8" t="s">
        <v>236</v>
      </c>
      <c r="B190" s="8">
        <v>4.7510987319243303E-2</v>
      </c>
      <c r="C190" s="8" t="s">
        <v>13</v>
      </c>
      <c r="J190" s="8" t="s">
        <v>603</v>
      </c>
    </row>
    <row r="191" spans="1:10" x14ac:dyDescent="0.25">
      <c r="A191" s="8" t="s">
        <v>237</v>
      </c>
      <c r="B191" s="8">
        <v>1.4905335211521801E-2</v>
      </c>
      <c r="C191" s="8" t="s">
        <v>14</v>
      </c>
      <c r="J191" s="8" t="s">
        <v>603</v>
      </c>
    </row>
    <row r="192" spans="1:10" x14ac:dyDescent="0.25">
      <c r="A192" s="8" t="s">
        <v>238</v>
      </c>
      <c r="B192" s="8">
        <v>5.5836000000000004E-4</v>
      </c>
      <c r="C192" s="8" t="s">
        <v>14</v>
      </c>
      <c r="J192" s="8" t="s">
        <v>603</v>
      </c>
    </row>
    <row r="193" spans="1:10" x14ac:dyDescent="0.25">
      <c r="A193" s="8" t="s">
        <v>239</v>
      </c>
      <c r="B193" s="8">
        <v>1.6629555738247301E-5</v>
      </c>
      <c r="C193" s="8" t="s">
        <v>13</v>
      </c>
      <c r="J193" s="8" t="s">
        <v>603</v>
      </c>
    </row>
    <row r="194" spans="1:10" x14ac:dyDescent="0.25">
      <c r="A194" s="8" t="s">
        <v>240</v>
      </c>
      <c r="B194" s="8">
        <v>1.5336540238870101E-4</v>
      </c>
      <c r="C194" s="8" t="s">
        <v>13</v>
      </c>
      <c r="J194" s="8" t="s">
        <v>603</v>
      </c>
    </row>
    <row r="195" spans="1:10" x14ac:dyDescent="0.25">
      <c r="A195" s="8" t="s">
        <v>241</v>
      </c>
      <c r="B195" s="8">
        <v>5.6105584579863596E-4</v>
      </c>
      <c r="C195" s="8" t="s">
        <v>13</v>
      </c>
      <c r="J195" s="8" t="s">
        <v>603</v>
      </c>
    </row>
    <row r="196" spans="1:10" x14ac:dyDescent="0.25">
      <c r="A196" s="8" t="s">
        <v>242</v>
      </c>
      <c r="B196" s="8">
        <v>2.2022265022223598E-5</v>
      </c>
      <c r="C196" s="8" t="s">
        <v>13</v>
      </c>
      <c r="J196" s="8" t="s">
        <v>603</v>
      </c>
    </row>
    <row r="197" spans="1:10" x14ac:dyDescent="0.25">
      <c r="A197" s="8" t="s">
        <v>243</v>
      </c>
      <c r="B197" s="8">
        <v>2.1621267078906399E-4</v>
      </c>
      <c r="C197" s="8" t="s">
        <v>13</v>
      </c>
      <c r="J197" s="8" t="s">
        <v>603</v>
      </c>
    </row>
    <row r="198" spans="1:10" x14ac:dyDescent="0.25">
      <c r="A198" s="8" t="s">
        <v>244</v>
      </c>
      <c r="B198" s="8">
        <v>7.8668870606963094E-5</v>
      </c>
      <c r="C198" s="8" t="s">
        <v>13</v>
      </c>
      <c r="J198" s="8" t="s">
        <v>603</v>
      </c>
    </row>
    <row r="199" spans="1:10" x14ac:dyDescent="0.25">
      <c r="A199" s="8" t="s">
        <v>245</v>
      </c>
      <c r="B199" s="8">
        <v>1.0962751783032E-3</v>
      </c>
      <c r="C199" s="8" t="s">
        <v>13</v>
      </c>
      <c r="J199" s="8" t="s">
        <v>603</v>
      </c>
    </row>
    <row r="200" spans="1:10" x14ac:dyDescent="0.25">
      <c r="A200" s="8" t="s">
        <v>246</v>
      </c>
      <c r="B200" s="8">
        <v>7.9776071336700805E-5</v>
      </c>
      <c r="C200" s="8" t="s">
        <v>13</v>
      </c>
      <c r="J200" s="8" t="s">
        <v>603</v>
      </c>
    </row>
    <row r="201" spans="1:10" x14ac:dyDescent="0.25">
      <c r="A201" s="8" t="s">
        <v>247</v>
      </c>
      <c r="B201" s="8">
        <v>1.7515429564166001E-4</v>
      </c>
      <c r="C201" s="8" t="s">
        <v>13</v>
      </c>
      <c r="J201" s="8" t="s">
        <v>603</v>
      </c>
    </row>
    <row r="202" spans="1:10" x14ac:dyDescent="0.25">
      <c r="A202" s="8" t="s">
        <v>248</v>
      </c>
      <c r="B202" s="8">
        <v>1.01629641453972E-4</v>
      </c>
      <c r="C202" s="8" t="s">
        <v>13</v>
      </c>
      <c r="J202" s="8" t="s">
        <v>603</v>
      </c>
    </row>
    <row r="203" spans="1:10" x14ac:dyDescent="0.25">
      <c r="A203" s="8" t="s">
        <v>249</v>
      </c>
      <c r="B203" s="8">
        <v>5.9546438020892901E-5</v>
      </c>
      <c r="C203" s="8" t="s">
        <v>13</v>
      </c>
      <c r="J203" s="8" t="s">
        <v>603</v>
      </c>
    </row>
    <row r="204" spans="1:10" x14ac:dyDescent="0.25">
      <c r="A204" s="8" t="s">
        <v>250</v>
      </c>
      <c r="B204" s="8">
        <v>1.19446195881705E-4</v>
      </c>
      <c r="C204" s="8" t="s">
        <v>13</v>
      </c>
      <c r="J204" s="8" t="s">
        <v>603</v>
      </c>
    </row>
    <row r="205" spans="1:10" x14ac:dyDescent="0.25">
      <c r="A205" s="8" t="s">
        <v>251</v>
      </c>
      <c r="B205" s="8">
        <v>7.3283754296834204E-5</v>
      </c>
      <c r="C205" s="8" t="s">
        <v>13</v>
      </c>
      <c r="J205" s="8" t="s">
        <v>603</v>
      </c>
    </row>
    <row r="206" spans="1:10" x14ac:dyDescent="0.25">
      <c r="A206" s="8" t="s">
        <v>252</v>
      </c>
      <c r="B206" s="8">
        <v>1.1191807429252201E-6</v>
      </c>
      <c r="C206" s="8" t="s">
        <v>13</v>
      </c>
      <c r="J206" s="8" t="s">
        <v>603</v>
      </c>
    </row>
    <row r="207" spans="1:10" x14ac:dyDescent="0.25">
      <c r="A207" s="8" t="s">
        <v>253</v>
      </c>
      <c r="B207" s="8">
        <v>4.66743538529351E-7</v>
      </c>
      <c r="C207" s="8" t="s">
        <v>13</v>
      </c>
      <c r="J207" s="8" t="s">
        <v>603</v>
      </c>
    </row>
    <row r="208" spans="1:10" x14ac:dyDescent="0.25">
      <c r="A208" s="8" t="s">
        <v>254</v>
      </c>
      <c r="B208" s="8">
        <v>4.3916213211959499E-4</v>
      </c>
      <c r="C208" s="8" t="s">
        <v>13</v>
      </c>
      <c r="J208" s="8" t="s">
        <v>603</v>
      </c>
    </row>
    <row r="209" spans="1:10" x14ac:dyDescent="0.25">
      <c r="A209" s="8" t="s">
        <v>255</v>
      </c>
      <c r="B209" s="8">
        <v>1.3826737562614101E-7</v>
      </c>
      <c r="C209" s="8" t="s">
        <v>13</v>
      </c>
      <c r="J209" s="8" t="s">
        <v>603</v>
      </c>
    </row>
    <row r="210" spans="1:10" x14ac:dyDescent="0.25">
      <c r="A210" s="8" t="s">
        <v>256</v>
      </c>
      <c r="B210" s="8">
        <v>3.0112486356732302E-5</v>
      </c>
      <c r="C210" s="8" t="s">
        <v>13</v>
      </c>
      <c r="J210" s="8" t="s">
        <v>603</v>
      </c>
    </row>
    <row r="211" spans="1:10" x14ac:dyDescent="0.25">
      <c r="A211" s="8" t="s">
        <v>257</v>
      </c>
      <c r="B211" s="8">
        <v>1.068993265664E-6</v>
      </c>
      <c r="C211" s="8" t="s">
        <v>13</v>
      </c>
      <c r="J211" s="8" t="s">
        <v>603</v>
      </c>
    </row>
    <row r="212" spans="1:10" x14ac:dyDescent="0.25">
      <c r="A212" s="8" t="s">
        <v>258</v>
      </c>
      <c r="B212" s="8">
        <v>1.3749361270484E-4</v>
      </c>
      <c r="C212" s="8" t="s">
        <v>13</v>
      </c>
      <c r="J212" s="8" t="s">
        <v>603</v>
      </c>
    </row>
    <row r="213" spans="1:10" x14ac:dyDescent="0.25">
      <c r="A213" s="8" t="s">
        <v>259</v>
      </c>
      <c r="B213" s="8">
        <v>7.4618239317210001E-3</v>
      </c>
      <c r="C213" s="8" t="s">
        <v>13</v>
      </c>
      <c r="J213" s="8" t="s">
        <v>603</v>
      </c>
    </row>
    <row r="214" spans="1:10" x14ac:dyDescent="0.25">
      <c r="A214" s="8" t="s">
        <v>260</v>
      </c>
      <c r="B214" s="8">
        <v>1.5215588418670501E-4</v>
      </c>
      <c r="C214" s="8" t="s">
        <v>13</v>
      </c>
      <c r="J214" s="8" t="s">
        <v>603</v>
      </c>
    </row>
    <row r="215" spans="1:10" x14ac:dyDescent="0.25">
      <c r="A215" s="8" t="s">
        <v>261</v>
      </c>
      <c r="B215" s="8">
        <v>1.35591256379276E-3</v>
      </c>
      <c r="C215" s="8" t="s">
        <v>13</v>
      </c>
      <c r="J215" s="8" t="s">
        <v>603</v>
      </c>
    </row>
    <row r="216" spans="1:10" x14ac:dyDescent="0.25">
      <c r="A216" s="8" t="s">
        <v>262</v>
      </c>
      <c r="B216" s="8">
        <v>9.0417759033814803E-5</v>
      </c>
      <c r="C216" s="8" t="s">
        <v>13</v>
      </c>
      <c r="J216" s="8" t="s">
        <v>603</v>
      </c>
    </row>
    <row r="217" spans="1:10" x14ac:dyDescent="0.25">
      <c r="A217" s="8" t="s">
        <v>263</v>
      </c>
      <c r="B217" s="8">
        <v>6.7368156352054097E-4</v>
      </c>
      <c r="C217" s="8" t="s">
        <v>13</v>
      </c>
      <c r="J217" s="8" t="s">
        <v>603</v>
      </c>
    </row>
    <row r="218" spans="1:10" x14ac:dyDescent="0.25">
      <c r="A218" s="8" t="s">
        <v>264</v>
      </c>
      <c r="B218" s="8">
        <v>2.07625593429669E-4</v>
      </c>
      <c r="C218" s="8" t="s">
        <v>13</v>
      </c>
      <c r="J218" s="8" t="s">
        <v>603</v>
      </c>
    </row>
    <row r="219" spans="1:10" x14ac:dyDescent="0.25">
      <c r="A219" s="8" t="s">
        <v>265</v>
      </c>
      <c r="B219" s="8">
        <v>1.1681536832367199E-3</v>
      </c>
      <c r="C219" s="8" t="s">
        <v>13</v>
      </c>
      <c r="J219" s="8" t="s">
        <v>603</v>
      </c>
    </row>
    <row r="220" spans="1:10" x14ac:dyDescent="0.25">
      <c r="A220" s="8" t="s">
        <v>266</v>
      </c>
      <c r="B220" s="8">
        <v>5.0944124406127197E-4</v>
      </c>
      <c r="C220" s="8" t="s">
        <v>13</v>
      </c>
      <c r="J220" s="8" t="s">
        <v>603</v>
      </c>
    </row>
    <row r="221" spans="1:10" x14ac:dyDescent="0.25">
      <c r="A221" s="8" t="s">
        <v>267</v>
      </c>
      <c r="B221" s="8">
        <v>8.9063199022534499E-4</v>
      </c>
      <c r="C221" s="8" t="s">
        <v>13</v>
      </c>
      <c r="J221" s="8" t="s">
        <v>603</v>
      </c>
    </row>
    <row r="222" spans="1:10" x14ac:dyDescent="0.25">
      <c r="A222" s="8" t="s">
        <v>268</v>
      </c>
      <c r="B222" s="8">
        <v>1.4857500768411701E-4</v>
      </c>
      <c r="C222" s="8" t="s">
        <v>13</v>
      </c>
      <c r="J222" s="8" t="s">
        <v>603</v>
      </c>
    </row>
    <row r="223" spans="1:10" x14ac:dyDescent="0.25">
      <c r="A223" s="8" t="s">
        <v>269</v>
      </c>
      <c r="B223" s="8">
        <v>2.6346844804660101E-5</v>
      </c>
      <c r="C223" s="8" t="s">
        <v>13</v>
      </c>
      <c r="J223" s="8" t="s">
        <v>603</v>
      </c>
    </row>
    <row r="224" spans="1:10" x14ac:dyDescent="0.25">
      <c r="A224" s="8" t="s">
        <v>270</v>
      </c>
      <c r="B224" s="8">
        <v>4.2137405908520703E-5</v>
      </c>
      <c r="C224" s="8" t="s">
        <v>13</v>
      </c>
      <c r="J224" s="8" t="s">
        <v>603</v>
      </c>
    </row>
    <row r="225" spans="1:10" x14ac:dyDescent="0.25">
      <c r="A225" s="8" t="s">
        <v>271</v>
      </c>
      <c r="B225" s="8">
        <v>9.6056322104112998E-5</v>
      </c>
      <c r="C225" s="8" t="s">
        <v>13</v>
      </c>
      <c r="J225" s="8" t="s">
        <v>603</v>
      </c>
    </row>
    <row r="226" spans="1:10" x14ac:dyDescent="0.25">
      <c r="A226" s="8" t="s">
        <v>272</v>
      </c>
      <c r="B226" s="8">
        <v>3.3208049954204402E-4</v>
      </c>
      <c r="C226" s="8" t="s">
        <v>13</v>
      </c>
      <c r="J226" s="8" t="s">
        <v>603</v>
      </c>
    </row>
    <row r="227" spans="1:10" x14ac:dyDescent="0.25">
      <c r="A227" s="8" t="s">
        <v>273</v>
      </c>
      <c r="B227" s="8">
        <v>6.5966420112148206E-5</v>
      </c>
      <c r="C227" s="8" t="s">
        <v>13</v>
      </c>
      <c r="J227" s="8" t="s">
        <v>603</v>
      </c>
    </row>
    <row r="228" spans="1:10" x14ac:dyDescent="0.25">
      <c r="A228" s="8" t="s">
        <v>274</v>
      </c>
      <c r="B228" s="8">
        <v>1.77709239734074E-3</v>
      </c>
      <c r="C228" s="8" t="s">
        <v>13</v>
      </c>
      <c r="J228" s="8" t="s">
        <v>603</v>
      </c>
    </row>
    <row r="229" spans="1:10" x14ac:dyDescent="0.25">
      <c r="A229" s="8" t="s">
        <v>275</v>
      </c>
      <c r="B229" s="8">
        <v>4.5329329462334402E-4</v>
      </c>
      <c r="C229" s="8" t="s">
        <v>13</v>
      </c>
      <c r="J229" s="8" t="s">
        <v>603</v>
      </c>
    </row>
    <row r="230" spans="1:10" x14ac:dyDescent="0.25">
      <c r="A230" s="8" t="s">
        <v>276</v>
      </c>
      <c r="B230" s="8">
        <v>8.04806385360932E-4</v>
      </c>
      <c r="C230" s="8" t="s">
        <v>13</v>
      </c>
      <c r="J230" s="8" t="s">
        <v>603</v>
      </c>
    </row>
    <row r="231" spans="1:10" x14ac:dyDescent="0.25">
      <c r="A231" s="8" t="s">
        <v>277</v>
      </c>
      <c r="B231" s="8">
        <v>2.4421878872514301E-3</v>
      </c>
      <c r="C231" s="8" t="s">
        <v>13</v>
      </c>
      <c r="J231" s="8" t="s">
        <v>603</v>
      </c>
    </row>
    <row r="232" spans="1:10" x14ac:dyDescent="0.25">
      <c r="A232" s="8" t="s">
        <v>278</v>
      </c>
      <c r="B232" s="8">
        <v>1.0092827145924601E-3</v>
      </c>
      <c r="C232" s="8" t="s">
        <v>13</v>
      </c>
      <c r="J232" s="8" t="s">
        <v>603</v>
      </c>
    </row>
    <row r="233" spans="1:10" x14ac:dyDescent="0.25">
      <c r="A233" s="8" t="s">
        <v>279</v>
      </c>
      <c r="B233" s="8">
        <v>1.61478208087977E-5</v>
      </c>
      <c r="C233" s="8" t="s">
        <v>13</v>
      </c>
      <c r="J233" s="8" t="s">
        <v>603</v>
      </c>
    </row>
    <row r="234" spans="1:10" x14ac:dyDescent="0.25">
      <c r="A234" s="8" t="s">
        <v>280</v>
      </c>
      <c r="B234" s="8">
        <v>1.90712413592638E-5</v>
      </c>
      <c r="C234" s="8" t="s">
        <v>13</v>
      </c>
      <c r="J234" s="8" t="s">
        <v>603</v>
      </c>
    </row>
    <row r="235" spans="1:10" x14ac:dyDescent="0.25">
      <c r="A235" s="8" t="s">
        <v>281</v>
      </c>
      <c r="B235" s="8">
        <v>5.4508125077144104E-4</v>
      </c>
      <c r="C235" s="8" t="s">
        <v>13</v>
      </c>
      <c r="J235" s="8" t="s">
        <v>603</v>
      </c>
    </row>
    <row r="236" spans="1:10" x14ac:dyDescent="0.25">
      <c r="A236" s="8" t="s">
        <v>282</v>
      </c>
      <c r="B236" s="8">
        <v>5.6029299614426603E-4</v>
      </c>
      <c r="C236" s="8" t="s">
        <v>13</v>
      </c>
      <c r="J236" s="8" t="s">
        <v>603</v>
      </c>
    </row>
    <row r="237" spans="1:10" x14ac:dyDescent="0.25">
      <c r="A237" s="8" t="s">
        <v>283</v>
      </c>
      <c r="B237" s="8">
        <v>2.46340213388975E-4</v>
      </c>
      <c r="C237" s="8" t="s">
        <v>13</v>
      </c>
      <c r="J237" s="8" t="s">
        <v>603</v>
      </c>
    </row>
    <row r="238" spans="1:10" x14ac:dyDescent="0.25">
      <c r="A238" s="8" t="s">
        <v>284</v>
      </c>
      <c r="B238" s="8">
        <v>2.8910998151121802E-4</v>
      </c>
      <c r="C238" s="8" t="s">
        <v>13</v>
      </c>
      <c r="J238" s="8" t="s">
        <v>603</v>
      </c>
    </row>
    <row r="239" spans="1:10" x14ac:dyDescent="0.25">
      <c r="A239" s="8" t="s">
        <v>285</v>
      </c>
      <c r="B239" s="8">
        <v>2.9262561429336598E-4</v>
      </c>
      <c r="C239" s="8" t="s">
        <v>13</v>
      </c>
      <c r="J239" s="8" t="s">
        <v>603</v>
      </c>
    </row>
    <row r="240" spans="1:10" x14ac:dyDescent="0.25">
      <c r="A240" s="8" t="s">
        <v>286</v>
      </c>
      <c r="B240" s="8">
        <v>6.3725258405966504E-4</v>
      </c>
      <c r="C240" s="8" t="s">
        <v>13</v>
      </c>
      <c r="J240" s="8" t="s">
        <v>603</v>
      </c>
    </row>
    <row r="241" spans="1:10" x14ac:dyDescent="0.25">
      <c r="A241" s="8" t="s">
        <v>287</v>
      </c>
      <c r="B241" s="8">
        <v>7.4136941410274899E-5</v>
      </c>
      <c r="C241" s="8" t="s">
        <v>13</v>
      </c>
      <c r="J241" s="8" t="s">
        <v>603</v>
      </c>
    </row>
    <row r="242" spans="1:10" x14ac:dyDescent="0.25">
      <c r="A242" s="8" t="s">
        <v>288</v>
      </c>
      <c r="B242" s="8">
        <v>3.26078077261602E-4</v>
      </c>
      <c r="C242" s="8" t="s">
        <v>13</v>
      </c>
      <c r="J242" s="8" t="s">
        <v>603</v>
      </c>
    </row>
    <row r="243" spans="1:10" x14ac:dyDescent="0.25">
      <c r="A243" s="8" t="s">
        <v>289</v>
      </c>
      <c r="B243" s="8">
        <v>1.2576730864275601E-4</v>
      </c>
      <c r="C243" s="8" t="s">
        <v>13</v>
      </c>
      <c r="J243" s="8" t="s">
        <v>603</v>
      </c>
    </row>
    <row r="244" spans="1:10" x14ac:dyDescent="0.25">
      <c r="A244" s="8" t="s">
        <v>290</v>
      </c>
      <c r="B244" s="8">
        <v>2.2478440540705498E-3</v>
      </c>
      <c r="C244" s="8" t="s">
        <v>13</v>
      </c>
      <c r="J244" s="8" t="s">
        <v>603</v>
      </c>
    </row>
    <row r="245" spans="1:10" x14ac:dyDescent="0.25">
      <c r="A245" s="8" t="s">
        <v>291</v>
      </c>
      <c r="B245" s="8">
        <v>1.27436042261691E-4</v>
      </c>
      <c r="C245" s="8" t="s">
        <v>13</v>
      </c>
      <c r="J245" s="8" t="s">
        <v>603</v>
      </c>
    </row>
    <row r="246" spans="1:10" x14ac:dyDescent="0.25">
      <c r="A246" s="8" t="s">
        <v>292</v>
      </c>
      <c r="B246" s="8">
        <v>7.5742940682633995E-5</v>
      </c>
      <c r="C246" s="8" t="s">
        <v>13</v>
      </c>
      <c r="J246" s="8" t="s">
        <v>603</v>
      </c>
    </row>
    <row r="247" spans="1:10" x14ac:dyDescent="0.25">
      <c r="A247" s="8" t="s">
        <v>293</v>
      </c>
      <c r="B247" s="8">
        <v>2.1903973138321202E-3</v>
      </c>
      <c r="C247" s="8" t="s">
        <v>13</v>
      </c>
      <c r="J247" s="8" t="s">
        <v>603</v>
      </c>
    </row>
    <row r="248" spans="1:10" x14ac:dyDescent="0.25">
      <c r="A248" s="8" t="s">
        <v>294</v>
      </c>
      <c r="B248" s="8">
        <v>4.61343365976043E-4</v>
      </c>
      <c r="C248" s="8" t="s">
        <v>13</v>
      </c>
      <c r="J248" s="8" t="s">
        <v>603</v>
      </c>
    </row>
    <row r="249" spans="1:10" x14ac:dyDescent="0.25">
      <c r="A249" s="8" t="s">
        <v>295</v>
      </c>
      <c r="B249" s="8">
        <v>3.3741040962718499E-4</v>
      </c>
      <c r="C249" s="8" t="s">
        <v>13</v>
      </c>
      <c r="J249" s="8" t="s">
        <v>603</v>
      </c>
    </row>
    <row r="250" spans="1:10" x14ac:dyDescent="0.25">
      <c r="A250" s="8" t="s">
        <v>296</v>
      </c>
      <c r="B250" s="8">
        <v>2.6267809894247301E-3</v>
      </c>
      <c r="C250" s="8" t="s">
        <v>13</v>
      </c>
      <c r="J250" s="8" t="s">
        <v>603</v>
      </c>
    </row>
    <row r="251" spans="1:10" x14ac:dyDescent="0.25">
      <c r="A251" s="8" t="s">
        <v>297</v>
      </c>
      <c r="B251" s="8">
        <v>3.2441185301652898E-5</v>
      </c>
      <c r="C251" s="8" t="s">
        <v>13</v>
      </c>
      <c r="J251" s="8" t="s">
        <v>603</v>
      </c>
    </row>
    <row r="252" spans="1:10" x14ac:dyDescent="0.25">
      <c r="A252" s="8" t="s">
        <v>298</v>
      </c>
      <c r="B252" s="8">
        <v>6.3886149179670601E-5</v>
      </c>
      <c r="C252" s="8" t="s">
        <v>13</v>
      </c>
      <c r="J252" s="8" t="s">
        <v>603</v>
      </c>
    </row>
    <row r="253" spans="1:10" x14ac:dyDescent="0.25">
      <c r="A253" s="8" t="s">
        <v>299</v>
      </c>
      <c r="B253" s="8">
        <v>5.0894050948540898E-4</v>
      </c>
      <c r="C253" s="8" t="s">
        <v>13</v>
      </c>
      <c r="J253" s="8" t="s">
        <v>603</v>
      </c>
    </row>
    <row r="254" spans="1:10" x14ac:dyDescent="0.25">
      <c r="A254" s="8" t="s">
        <v>300</v>
      </c>
      <c r="B254" s="8">
        <v>3.3882569648595198E-4</v>
      </c>
      <c r="C254" s="8" t="s">
        <v>13</v>
      </c>
      <c r="J254" s="8" t="s">
        <v>603</v>
      </c>
    </row>
    <row r="255" spans="1:10" x14ac:dyDescent="0.25">
      <c r="A255" s="8" t="s">
        <v>301</v>
      </c>
      <c r="B255" s="8">
        <v>4.2884446507553999E-4</v>
      </c>
      <c r="C255" s="8" t="s">
        <v>13</v>
      </c>
      <c r="J255" s="8" t="s">
        <v>603</v>
      </c>
    </row>
    <row r="256" spans="1:10" x14ac:dyDescent="0.25">
      <c r="A256" s="8" t="s">
        <v>302</v>
      </c>
      <c r="B256" s="8">
        <v>8.3444225542909499E-4</v>
      </c>
      <c r="C256" s="8" t="s">
        <v>13</v>
      </c>
      <c r="J256" s="8" t="s">
        <v>603</v>
      </c>
    </row>
    <row r="257" spans="1:10" x14ac:dyDescent="0.25">
      <c r="A257" s="8" t="s">
        <v>303</v>
      </c>
      <c r="B257" s="8">
        <v>5.3520929500910799E-4</v>
      </c>
      <c r="C257" s="8" t="s">
        <v>13</v>
      </c>
      <c r="J257" s="8" t="s">
        <v>603</v>
      </c>
    </row>
    <row r="258" spans="1:10" x14ac:dyDescent="0.25">
      <c r="A258" s="8" t="s">
        <v>304</v>
      </c>
      <c r="B258" s="8">
        <v>9.6962206068678005E-6</v>
      </c>
      <c r="C258" s="8" t="s">
        <v>13</v>
      </c>
      <c r="J258" s="8" t="s">
        <v>603</v>
      </c>
    </row>
    <row r="259" spans="1:10" x14ac:dyDescent="0.25">
      <c r="A259" s="8" t="s">
        <v>305</v>
      </c>
      <c r="B259" s="8">
        <v>3.88250324092802E-4</v>
      </c>
      <c r="C259" s="8" t="s">
        <v>13</v>
      </c>
      <c r="J259" s="8" t="s">
        <v>603</v>
      </c>
    </row>
    <row r="260" spans="1:10" x14ac:dyDescent="0.25">
      <c r="A260" s="8" t="s">
        <v>306</v>
      </c>
      <c r="B260" s="8">
        <v>1.8076812149261899E-3</v>
      </c>
      <c r="C260" s="8" t="s">
        <v>13</v>
      </c>
      <c r="J260" s="8" t="s">
        <v>603</v>
      </c>
    </row>
    <row r="261" spans="1:10" x14ac:dyDescent="0.25">
      <c r="A261" s="8" t="s">
        <v>307</v>
      </c>
      <c r="B261" s="8">
        <v>5.4569847775670297E-4</v>
      </c>
      <c r="C261" s="8" t="s">
        <v>13</v>
      </c>
      <c r="J261" s="8" t="s">
        <v>603</v>
      </c>
    </row>
    <row r="262" spans="1:10" x14ac:dyDescent="0.25">
      <c r="A262" s="8" t="s">
        <v>308</v>
      </c>
      <c r="B262" s="8">
        <v>7.1509367662635501E-3</v>
      </c>
      <c r="C262" s="8" t="s">
        <v>13</v>
      </c>
      <c r="J262" s="8" t="s">
        <v>603</v>
      </c>
    </row>
    <row r="263" spans="1:10" x14ac:dyDescent="0.25">
      <c r="A263" s="1" t="s">
        <v>16</v>
      </c>
    </row>
    <row r="264" spans="1:10" x14ac:dyDescent="0.25">
      <c r="A264" s="8" t="s">
        <v>49</v>
      </c>
      <c r="B264" s="8">
        <v>5.4356853152137997E-7</v>
      </c>
      <c r="C264" s="8" t="s">
        <v>9</v>
      </c>
      <c r="J264" s="8" t="s">
        <v>603</v>
      </c>
    </row>
    <row r="265" spans="1:10" x14ac:dyDescent="0.25">
      <c r="A265" s="8" t="s">
        <v>310</v>
      </c>
      <c r="B265" s="8">
        <v>1.6899060358542199E-6</v>
      </c>
      <c r="C265" s="8" t="s">
        <v>9</v>
      </c>
      <c r="J265" s="8" t="s">
        <v>603</v>
      </c>
    </row>
    <row r="266" spans="1:10" x14ac:dyDescent="0.25">
      <c r="A266" s="8" t="s">
        <v>128</v>
      </c>
      <c r="B266" s="8">
        <v>2.9997800633259901E-8</v>
      </c>
      <c r="C266" s="8" t="s">
        <v>9</v>
      </c>
      <c r="J266" s="8" t="s">
        <v>603</v>
      </c>
    </row>
    <row r="267" spans="1:10" x14ac:dyDescent="0.25">
      <c r="A267" s="8" t="s">
        <v>115</v>
      </c>
      <c r="B267" s="8">
        <v>3.8689587716028E-7</v>
      </c>
      <c r="C267" s="8" t="s">
        <v>9</v>
      </c>
      <c r="J267" s="8" t="s">
        <v>603</v>
      </c>
    </row>
    <row r="268" spans="1:10" x14ac:dyDescent="0.25">
      <c r="A268" s="8" t="s">
        <v>65</v>
      </c>
      <c r="B268" s="8">
        <v>1.5664501318358601E-7</v>
      </c>
      <c r="C268" s="8" t="s">
        <v>9</v>
      </c>
      <c r="J268" s="8" t="s">
        <v>603</v>
      </c>
    </row>
    <row r="269" spans="1:10" x14ac:dyDescent="0.25">
      <c r="A269" s="8" t="s">
        <v>70</v>
      </c>
      <c r="B269" s="8">
        <v>3.7575982127101199E-6</v>
      </c>
      <c r="C269" s="8" t="s">
        <v>9</v>
      </c>
      <c r="J269" s="8" t="s">
        <v>603</v>
      </c>
    </row>
    <row r="270" spans="1:10" x14ac:dyDescent="0.25">
      <c r="A270" s="8" t="s">
        <v>110</v>
      </c>
      <c r="B270" s="8">
        <v>1.09912132247284E-7</v>
      </c>
      <c r="C270" s="8" t="s">
        <v>9</v>
      </c>
      <c r="J270" s="8" t="s">
        <v>603</v>
      </c>
    </row>
    <row r="271" spans="1:10" x14ac:dyDescent="0.25">
      <c r="A271" s="8" t="s">
        <v>311</v>
      </c>
      <c r="B271" s="8">
        <v>5.6422221805823304E-7</v>
      </c>
      <c r="C271" s="8" t="s">
        <v>9</v>
      </c>
      <c r="J271" s="8" t="s">
        <v>603</v>
      </c>
    </row>
    <row r="272" spans="1:10" x14ac:dyDescent="0.25">
      <c r="A272" s="8" t="s">
        <v>312</v>
      </c>
      <c r="B272" s="8">
        <v>2.2586560447811002E-6</v>
      </c>
      <c r="C272" s="8" t="s">
        <v>9</v>
      </c>
      <c r="J272" s="8" t="s">
        <v>603</v>
      </c>
    </row>
    <row r="273" spans="1:10" x14ac:dyDescent="0.25">
      <c r="A273" s="8" t="s">
        <v>141</v>
      </c>
      <c r="B273" s="8">
        <v>1.0159927242305E-7</v>
      </c>
      <c r="C273" s="8" t="s">
        <v>9</v>
      </c>
      <c r="J273" s="8" t="s">
        <v>603</v>
      </c>
    </row>
    <row r="274" spans="1:10" x14ac:dyDescent="0.25">
      <c r="A274" s="8" t="s">
        <v>164</v>
      </c>
      <c r="B274" s="8">
        <v>5.6425320562720505E-7</v>
      </c>
      <c r="C274" s="8" t="s">
        <v>9</v>
      </c>
      <c r="J274" s="8" t="s">
        <v>603</v>
      </c>
    </row>
    <row r="275" spans="1:10" x14ac:dyDescent="0.25">
      <c r="A275" s="8" t="s">
        <v>119</v>
      </c>
      <c r="B275" s="8">
        <v>4.4901042215141101E-8</v>
      </c>
      <c r="C275" s="8" t="s">
        <v>9</v>
      </c>
      <c r="J275" s="8" t="s">
        <v>603</v>
      </c>
    </row>
    <row r="276" spans="1:10" x14ac:dyDescent="0.25">
      <c r="A276" s="8" t="s">
        <v>123</v>
      </c>
      <c r="B276" s="8">
        <v>3.6773185805039202E-8</v>
      </c>
      <c r="C276" s="8" t="s">
        <v>9</v>
      </c>
      <c r="J276" s="8" t="s">
        <v>603</v>
      </c>
    </row>
    <row r="277" spans="1:10" x14ac:dyDescent="0.25">
      <c r="A277" s="8" t="s">
        <v>46</v>
      </c>
      <c r="B277" s="8">
        <v>5.9834474909342005E-8</v>
      </c>
      <c r="C277" s="8" t="s">
        <v>9</v>
      </c>
      <c r="J277" s="8" t="s">
        <v>603</v>
      </c>
    </row>
    <row r="278" spans="1:10" x14ac:dyDescent="0.25">
      <c r="A278" s="8" t="s">
        <v>51</v>
      </c>
      <c r="B278" s="8">
        <v>5.1069752744669803E-10</v>
      </c>
      <c r="C278" s="8" t="s">
        <v>9</v>
      </c>
      <c r="J278" s="8" t="s">
        <v>603</v>
      </c>
    </row>
    <row r="279" spans="1:10" x14ac:dyDescent="0.25">
      <c r="A279" s="8" t="s">
        <v>62</v>
      </c>
      <c r="B279" s="8">
        <v>2.14726898509037E-9</v>
      </c>
      <c r="C279" s="8" t="s">
        <v>9</v>
      </c>
      <c r="J279" s="8" t="s">
        <v>603</v>
      </c>
    </row>
    <row r="280" spans="1:10" x14ac:dyDescent="0.25">
      <c r="A280" s="8" t="s">
        <v>90</v>
      </c>
      <c r="B280" s="8">
        <v>1.10515230902642E-5</v>
      </c>
      <c r="C280" s="8" t="s">
        <v>9</v>
      </c>
      <c r="J280" s="8" t="s">
        <v>603</v>
      </c>
    </row>
    <row r="281" spans="1:10" x14ac:dyDescent="0.25">
      <c r="A281" s="8" t="s">
        <v>72</v>
      </c>
      <c r="B281" s="8">
        <v>1.3010919333335499E-15</v>
      </c>
      <c r="C281" s="8" t="s">
        <v>9</v>
      </c>
      <c r="J281" s="8" t="s">
        <v>603</v>
      </c>
    </row>
    <row r="282" spans="1:10" x14ac:dyDescent="0.25">
      <c r="A282" s="8" t="s">
        <v>66</v>
      </c>
      <c r="B282" s="8">
        <v>2.2491945970699401E-6</v>
      </c>
      <c r="C282" s="8" t="s">
        <v>9</v>
      </c>
      <c r="J282" s="8" t="s">
        <v>603</v>
      </c>
    </row>
    <row r="283" spans="1:10" x14ac:dyDescent="0.25">
      <c r="A283" s="8" t="s">
        <v>88</v>
      </c>
      <c r="B283" s="8">
        <v>2.9885282227409501E-6</v>
      </c>
      <c r="C283" s="8" t="s">
        <v>9</v>
      </c>
      <c r="J283" s="8" t="s">
        <v>603</v>
      </c>
    </row>
    <row r="284" spans="1:10" x14ac:dyDescent="0.25">
      <c r="A284" s="8" t="s">
        <v>135</v>
      </c>
      <c r="B284" s="8">
        <v>9.5369732489623207E-8</v>
      </c>
      <c r="C284" s="8" t="s">
        <v>9</v>
      </c>
      <c r="J284" s="8" t="s">
        <v>603</v>
      </c>
    </row>
    <row r="285" spans="1:10" x14ac:dyDescent="0.25">
      <c r="A285" s="8" t="s">
        <v>159</v>
      </c>
      <c r="B285" s="8">
        <v>1.9146113903287101E-6</v>
      </c>
      <c r="C285" s="8" t="s">
        <v>9</v>
      </c>
      <c r="J285" s="8" t="s">
        <v>603</v>
      </c>
    </row>
    <row r="286" spans="1:10" x14ac:dyDescent="0.25">
      <c r="A286" s="8" t="s">
        <v>313</v>
      </c>
      <c r="B286" s="8">
        <v>5.6425249001014297E-7</v>
      </c>
      <c r="C286" s="8" t="s">
        <v>9</v>
      </c>
      <c r="J286" s="8" t="s">
        <v>603</v>
      </c>
    </row>
    <row r="287" spans="1:10" x14ac:dyDescent="0.25">
      <c r="A287" s="8" t="s">
        <v>165</v>
      </c>
      <c r="B287" s="8">
        <v>1.1244543014617199E-6</v>
      </c>
      <c r="C287" s="8" t="s">
        <v>9</v>
      </c>
      <c r="J287" s="8" t="s">
        <v>603</v>
      </c>
    </row>
    <row r="288" spans="1:10" x14ac:dyDescent="0.25">
      <c r="A288" s="8" t="s">
        <v>142</v>
      </c>
      <c r="B288" s="8">
        <v>4.5672153160951199E-5</v>
      </c>
      <c r="C288" s="8" t="s">
        <v>9</v>
      </c>
      <c r="J288" s="8" t="s">
        <v>603</v>
      </c>
    </row>
    <row r="289" spans="1:10" x14ac:dyDescent="0.25">
      <c r="A289" s="8" t="s">
        <v>48</v>
      </c>
      <c r="B289" s="8">
        <v>1.36214565045277E-10</v>
      </c>
      <c r="C289" s="8" t="s">
        <v>9</v>
      </c>
      <c r="J289" s="8" t="s">
        <v>603</v>
      </c>
    </row>
    <row r="290" spans="1:10" x14ac:dyDescent="0.25">
      <c r="A290" s="8" t="s">
        <v>15</v>
      </c>
      <c r="B290" s="8">
        <v>3.3026370365207299E-4</v>
      </c>
      <c r="C290" s="8" t="s">
        <v>9</v>
      </c>
      <c r="J290" s="8" t="s">
        <v>603</v>
      </c>
    </row>
    <row r="291" spans="1:10" x14ac:dyDescent="0.25">
      <c r="A291" s="8" t="s">
        <v>89</v>
      </c>
      <c r="B291" s="8">
        <v>2.74141533432948E-5</v>
      </c>
      <c r="C291" s="8" t="s">
        <v>9</v>
      </c>
      <c r="J291" s="8" t="s">
        <v>603</v>
      </c>
    </row>
    <row r="292" spans="1:10" x14ac:dyDescent="0.25">
      <c r="A292" s="8" t="s">
        <v>121</v>
      </c>
      <c r="B292" s="8">
        <v>1.04907031354551E-10</v>
      </c>
      <c r="C292" s="8" t="s">
        <v>9</v>
      </c>
      <c r="J292" s="8" t="s">
        <v>603</v>
      </c>
    </row>
    <row r="293" spans="1:10" x14ac:dyDescent="0.25">
      <c r="A293" s="8" t="s">
        <v>71</v>
      </c>
      <c r="B293" s="8">
        <v>1.36315211312518E-5</v>
      </c>
      <c r="C293" s="8" t="s">
        <v>9</v>
      </c>
      <c r="J293" s="8" t="s">
        <v>603</v>
      </c>
    </row>
    <row r="294" spans="1:10" x14ac:dyDescent="0.25">
      <c r="A294" s="8" t="s">
        <v>18</v>
      </c>
      <c r="B294" s="8">
        <v>3.8542726265866599E-3</v>
      </c>
      <c r="C294" s="8" t="s">
        <v>9</v>
      </c>
      <c r="J294" s="8" t="s">
        <v>603</v>
      </c>
    </row>
    <row r="295" spans="1:10" x14ac:dyDescent="0.25">
      <c r="A295" s="8" t="s">
        <v>63</v>
      </c>
      <c r="B295" s="8">
        <v>0.90787532265238302</v>
      </c>
      <c r="C295" s="8" t="s">
        <v>9</v>
      </c>
      <c r="J295" s="8" t="s">
        <v>603</v>
      </c>
    </row>
    <row r="296" spans="1:10" x14ac:dyDescent="0.25">
      <c r="A296" s="8" t="s">
        <v>17</v>
      </c>
      <c r="B296" s="8">
        <v>2.7415243286588599E-5</v>
      </c>
      <c r="C296" s="8" t="s">
        <v>9</v>
      </c>
      <c r="J296" s="8" t="s">
        <v>603</v>
      </c>
    </row>
    <row r="297" spans="1:10" x14ac:dyDescent="0.25">
      <c r="A297" s="8" t="s">
        <v>45</v>
      </c>
      <c r="B297" s="8">
        <v>1.84333999515369E-6</v>
      </c>
      <c r="C297" s="8" t="s">
        <v>9</v>
      </c>
      <c r="J297" s="8" t="s">
        <v>603</v>
      </c>
    </row>
    <row r="298" spans="1:10" x14ac:dyDescent="0.25">
      <c r="A298" s="8" t="s">
        <v>129</v>
      </c>
      <c r="B298" s="8">
        <v>2.8037042591861899E-6</v>
      </c>
      <c r="C298" s="8" t="s">
        <v>9</v>
      </c>
      <c r="J298" s="8" t="s">
        <v>603</v>
      </c>
    </row>
    <row r="299" spans="1:10" x14ac:dyDescent="0.25">
      <c r="A299" s="8" t="s">
        <v>19</v>
      </c>
      <c r="B299" s="8">
        <v>3.2856678206828798E-4</v>
      </c>
      <c r="C299" s="8" t="s">
        <v>9</v>
      </c>
      <c r="J299" s="8" t="s">
        <v>603</v>
      </c>
    </row>
    <row r="300" spans="1:10" x14ac:dyDescent="0.25">
      <c r="A300" s="8" t="s">
        <v>27</v>
      </c>
      <c r="B300" s="8">
        <v>2.996339822112E-6</v>
      </c>
      <c r="C300" s="8" t="s">
        <v>9</v>
      </c>
      <c r="J300" s="8" t="s">
        <v>603</v>
      </c>
    </row>
    <row r="301" spans="1:10" x14ac:dyDescent="0.25">
      <c r="A301" s="8" t="s">
        <v>26</v>
      </c>
      <c r="B301" s="8">
        <v>2.06440213866883E-7</v>
      </c>
      <c r="C301" s="8" t="s">
        <v>9</v>
      </c>
      <c r="J301" s="8" t="s">
        <v>603</v>
      </c>
    </row>
    <row r="302" spans="1:10" x14ac:dyDescent="0.25">
      <c r="A302" s="8" t="s">
        <v>47</v>
      </c>
      <c r="B302" s="8">
        <v>4.8350844961060202E-8</v>
      </c>
      <c r="C302" s="8" t="s">
        <v>9</v>
      </c>
      <c r="J302" s="8" t="s">
        <v>603</v>
      </c>
    </row>
    <row r="303" spans="1:10" x14ac:dyDescent="0.25">
      <c r="A303" s="8" t="s">
        <v>25</v>
      </c>
      <c r="B303" s="8">
        <v>1.8214835545864201E-8</v>
      </c>
      <c r="C303" s="8" t="s">
        <v>9</v>
      </c>
      <c r="J303" s="8" t="s">
        <v>603</v>
      </c>
    </row>
    <row r="304" spans="1:10" x14ac:dyDescent="0.25">
      <c r="A304" s="8" t="s">
        <v>122</v>
      </c>
      <c r="B304" s="8">
        <v>9.3137888303094502E-8</v>
      </c>
      <c r="C304" s="8" t="s">
        <v>9</v>
      </c>
      <c r="J304" s="8" t="s">
        <v>603</v>
      </c>
    </row>
    <row r="305" spans="1:11" x14ac:dyDescent="0.25">
      <c r="A305" s="8" t="s">
        <v>69</v>
      </c>
      <c r="B305" s="8">
        <v>4.6479519877150896E-6</v>
      </c>
      <c r="C305" s="8" t="s">
        <v>9</v>
      </c>
      <c r="J305" s="8" t="s">
        <v>603</v>
      </c>
    </row>
    <row r="307" spans="1:11" x14ac:dyDescent="0.25">
      <c r="A307" s="2" t="s">
        <v>325</v>
      </c>
      <c r="B307" s="2"/>
      <c r="C307" s="2"/>
      <c r="D307" s="2"/>
      <c r="E307" s="2"/>
      <c r="F307" s="1"/>
      <c r="G307" s="1"/>
      <c r="H307" s="1"/>
      <c r="I307" s="1"/>
      <c r="J307" s="1"/>
    </row>
    <row r="308" spans="1:11" x14ac:dyDescent="0.25">
      <c r="A308" s="1" t="s">
        <v>10</v>
      </c>
      <c r="B308" s="1" t="s">
        <v>2</v>
      </c>
      <c r="C308" s="1" t="s">
        <v>0</v>
      </c>
      <c r="D308" s="1"/>
      <c r="E308" s="1" t="s">
        <v>3</v>
      </c>
      <c r="F308" s="1" t="s">
        <v>4</v>
      </c>
      <c r="G308" s="1" t="s">
        <v>5</v>
      </c>
      <c r="H308" s="1" t="s">
        <v>6</v>
      </c>
      <c r="I308" s="1" t="s">
        <v>7</v>
      </c>
      <c r="J308" s="1" t="s">
        <v>8</v>
      </c>
    </row>
    <row r="309" spans="1:11" x14ac:dyDescent="0.25">
      <c r="A309" s="8" t="s">
        <v>325</v>
      </c>
      <c r="B309" s="8">
        <v>1</v>
      </c>
      <c r="C309" s="8" t="s">
        <v>9</v>
      </c>
      <c r="D309" s="8"/>
      <c r="E309" s="8"/>
      <c r="F309" s="8"/>
      <c r="G309" s="8"/>
      <c r="H309" s="8"/>
      <c r="I309" s="8"/>
      <c r="J309" s="8"/>
    </row>
    <row r="310" spans="1:11" x14ac:dyDescent="0.25">
      <c r="A310" s="1" t="s">
        <v>1</v>
      </c>
      <c r="B310" s="1" t="s">
        <v>2</v>
      </c>
      <c r="C310" s="1" t="s">
        <v>0</v>
      </c>
      <c r="D310" s="1"/>
      <c r="E310" s="1" t="s">
        <v>3</v>
      </c>
      <c r="F310" s="1" t="s">
        <v>4</v>
      </c>
      <c r="G310" s="1" t="s">
        <v>5</v>
      </c>
      <c r="H310" s="1" t="s">
        <v>6</v>
      </c>
      <c r="I310" s="1" t="s">
        <v>7</v>
      </c>
      <c r="J310" s="1" t="s">
        <v>8</v>
      </c>
    </row>
    <row r="311" spans="1:11" x14ac:dyDescent="0.25">
      <c r="A311" s="12" t="s">
        <v>33</v>
      </c>
      <c r="B311" s="8">
        <v>2.0879999999999999E-2</v>
      </c>
      <c r="C311" s="8" t="s">
        <v>11</v>
      </c>
      <c r="D311" s="8"/>
      <c r="E311" s="8"/>
      <c r="F311" s="8"/>
      <c r="G311" s="8"/>
      <c r="H311" s="8"/>
      <c r="I311" s="8"/>
      <c r="J311" s="8" t="s">
        <v>603</v>
      </c>
    </row>
    <row r="312" spans="1:11" x14ac:dyDescent="0.25">
      <c r="A312" s="3" t="str">
        <f>A318</f>
        <v>Oxygen, liquid {RER}| air separation, cryogenic | Alloc Rec, U_mr</v>
      </c>
      <c r="B312" s="8">
        <v>1</v>
      </c>
      <c r="C312" s="8" t="s">
        <v>9</v>
      </c>
      <c r="D312" s="8"/>
      <c r="E312" s="8"/>
      <c r="F312" s="8"/>
      <c r="G312" s="8"/>
      <c r="H312" s="8"/>
      <c r="I312" s="8"/>
      <c r="J312" s="8" t="s">
        <v>603</v>
      </c>
    </row>
    <row r="313" spans="1:11" x14ac:dyDescent="0.25">
      <c r="A313" s="8" t="s">
        <v>35</v>
      </c>
      <c r="B313" s="8">
        <v>3.03059386822646E-2</v>
      </c>
      <c r="C313" s="8" t="s">
        <v>11</v>
      </c>
      <c r="D313" s="8"/>
      <c r="E313" s="8"/>
      <c r="F313" s="8"/>
      <c r="G313" s="8"/>
      <c r="H313" s="8"/>
      <c r="I313" s="8"/>
      <c r="J313" s="8" t="s">
        <v>603</v>
      </c>
    </row>
    <row r="314" spans="1:11" x14ac:dyDescent="0.25">
      <c r="A314" t="s">
        <v>37</v>
      </c>
      <c r="B314">
        <v>6.0406131773541895E-4</v>
      </c>
      <c r="C314" t="s">
        <v>11</v>
      </c>
      <c r="J314" s="8" t="s">
        <v>603</v>
      </c>
    </row>
    <row r="316" spans="1:11" x14ac:dyDescent="0.25">
      <c r="A316" s="2" t="s">
        <v>378</v>
      </c>
      <c r="B316" s="2"/>
      <c r="C316" s="2"/>
      <c r="D316" s="2"/>
      <c r="E316" s="2"/>
      <c r="F316" s="1"/>
      <c r="G316" s="1"/>
      <c r="H316" s="1"/>
      <c r="I316" s="1"/>
      <c r="J316" s="1"/>
      <c r="K316" s="8"/>
    </row>
    <row r="317" spans="1:11" x14ac:dyDescent="0.25">
      <c r="A317" s="1" t="s">
        <v>10</v>
      </c>
      <c r="B317" s="1" t="s">
        <v>2</v>
      </c>
      <c r="C317" s="1" t="s">
        <v>0</v>
      </c>
      <c r="D317" s="1"/>
      <c r="E317" s="1" t="s">
        <v>3</v>
      </c>
      <c r="F317" s="1" t="s">
        <v>4</v>
      </c>
      <c r="G317" s="1" t="s">
        <v>5</v>
      </c>
      <c r="H317" s="1" t="s">
        <v>6</v>
      </c>
      <c r="I317" s="1" t="s">
        <v>7</v>
      </c>
      <c r="J317" s="1" t="s">
        <v>8</v>
      </c>
      <c r="K317" s="8"/>
    </row>
    <row r="318" spans="1:11" x14ac:dyDescent="0.25">
      <c r="A318" s="8" t="s">
        <v>378</v>
      </c>
      <c r="B318" s="8">
        <v>1</v>
      </c>
      <c r="C318" s="8" t="s">
        <v>9</v>
      </c>
      <c r="D318" s="8"/>
      <c r="E318" s="8"/>
      <c r="F318" s="8"/>
      <c r="G318" s="8"/>
      <c r="H318" s="8"/>
      <c r="I318" s="8"/>
      <c r="J318" s="8"/>
      <c r="K318" s="8"/>
    </row>
    <row r="319" spans="1:11" x14ac:dyDescent="0.25">
      <c r="A319" s="1" t="s">
        <v>1</v>
      </c>
      <c r="B319" s="1" t="s">
        <v>2</v>
      </c>
      <c r="C319" s="1" t="s">
        <v>0</v>
      </c>
      <c r="D319" s="1"/>
      <c r="E319" s="1" t="s">
        <v>3</v>
      </c>
      <c r="F319" s="1" t="s">
        <v>4</v>
      </c>
      <c r="G319" s="1" t="s">
        <v>5</v>
      </c>
      <c r="H319" s="1" t="s">
        <v>6</v>
      </c>
      <c r="I319" s="1" t="s">
        <v>7</v>
      </c>
      <c r="J319" s="1" t="s">
        <v>8</v>
      </c>
      <c r="K319" s="8"/>
    </row>
    <row r="320" spans="1:11" x14ac:dyDescent="0.25">
      <c r="A320" s="8" t="s">
        <v>320</v>
      </c>
      <c r="B320" s="8">
        <v>0.51778652705287198</v>
      </c>
      <c r="C320" s="8" t="s">
        <v>41</v>
      </c>
      <c r="D320" s="8"/>
      <c r="E320" s="8"/>
      <c r="F320" s="8"/>
      <c r="G320" s="8"/>
      <c r="H320" s="8"/>
      <c r="I320" s="8"/>
      <c r="J320" s="8" t="s">
        <v>603</v>
      </c>
      <c r="K320" s="8"/>
    </row>
    <row r="321" spans="1:11" x14ac:dyDescent="0.25">
      <c r="A321" s="8" t="s">
        <v>379</v>
      </c>
      <c r="B321" s="8">
        <v>0.75874477258728601</v>
      </c>
      <c r="C321" s="8" t="s">
        <v>9</v>
      </c>
      <c r="D321" s="8"/>
      <c r="E321" s="8"/>
      <c r="F321" s="8"/>
      <c r="G321" s="8"/>
      <c r="H321" s="8"/>
      <c r="I321" s="8"/>
      <c r="J321" s="8" t="s">
        <v>603</v>
      </c>
      <c r="K321" s="8"/>
    </row>
    <row r="322" spans="1:11" x14ac:dyDescent="0.25">
      <c r="A322" s="8" t="s">
        <v>380</v>
      </c>
      <c r="B322" s="8">
        <v>0.23214575161279899</v>
      </c>
      <c r="C322" s="8" t="s">
        <v>9</v>
      </c>
      <c r="D322" s="8"/>
      <c r="E322" s="8"/>
      <c r="F322" s="8"/>
      <c r="G322" s="8"/>
      <c r="H322" s="8"/>
      <c r="I322" s="8"/>
      <c r="J322" s="8" t="s">
        <v>603</v>
      </c>
      <c r="K322" s="8"/>
    </row>
    <row r="323" spans="1:11" x14ac:dyDescent="0.25">
      <c r="A323" s="8" t="s">
        <v>381</v>
      </c>
      <c r="B323" s="8">
        <v>1.40694394916848E-2</v>
      </c>
      <c r="C323" s="8" t="s">
        <v>9</v>
      </c>
      <c r="D323" s="8"/>
      <c r="E323" s="8"/>
      <c r="F323" s="8"/>
      <c r="G323" s="8"/>
      <c r="H323" s="8"/>
      <c r="I323" s="8"/>
      <c r="J323" s="8" t="s">
        <v>603</v>
      </c>
      <c r="K323" s="8"/>
    </row>
    <row r="324" spans="1:11" x14ac:dyDescent="0.25">
      <c r="A324" s="8" t="s">
        <v>382</v>
      </c>
      <c r="B324" s="8">
        <v>6.3312477712581504E-10</v>
      </c>
      <c r="C324" s="8" t="s">
        <v>61</v>
      </c>
      <c r="J324" s="8" t="s">
        <v>603</v>
      </c>
    </row>
    <row r="325" spans="1:11" x14ac:dyDescent="0.25">
      <c r="A325" s="3" t="str">
        <f>'Electricity generation'!A32</f>
        <v>Electricity, global mix, medium voltage_mr_Scope 2</v>
      </c>
      <c r="B325" s="8">
        <v>0.80396797099999995</v>
      </c>
      <c r="C325" s="8" t="s">
        <v>13</v>
      </c>
      <c r="J325" s="8" t="s">
        <v>604</v>
      </c>
    </row>
    <row r="326" spans="1:11" x14ac:dyDescent="0.25">
      <c r="A326" s="1" t="s">
        <v>16</v>
      </c>
      <c r="B326" s="8"/>
      <c r="C326" s="8"/>
    </row>
    <row r="327" spans="1:11" x14ac:dyDescent="0.25">
      <c r="A327" s="8" t="s">
        <v>44</v>
      </c>
      <c r="B327" s="8">
        <v>0.200642279232988</v>
      </c>
      <c r="C327" s="8" t="s">
        <v>41</v>
      </c>
    </row>
    <row r="328" spans="1:11" x14ac:dyDescent="0.25">
      <c r="A328" s="1" t="s">
        <v>20</v>
      </c>
      <c r="B328" s="8"/>
      <c r="C328" s="8"/>
    </row>
    <row r="329" spans="1:11" x14ac:dyDescent="0.25">
      <c r="A329" s="8" t="s">
        <v>322</v>
      </c>
      <c r="B329" s="8">
        <v>0.31714424781988398</v>
      </c>
      <c r="C329" s="8" t="s">
        <v>41</v>
      </c>
    </row>
    <row r="331" spans="1:11" x14ac:dyDescent="0.25">
      <c r="A331" s="2" t="s">
        <v>474</v>
      </c>
      <c r="B331" s="2"/>
      <c r="C331" s="2"/>
      <c r="D331" s="2"/>
      <c r="E331" s="2"/>
      <c r="F331" s="1"/>
      <c r="G331" s="1"/>
      <c r="H331" s="1"/>
      <c r="I331" s="1"/>
      <c r="J331" s="1"/>
      <c r="K331" s="8"/>
    </row>
    <row r="332" spans="1:11" x14ac:dyDescent="0.25">
      <c r="A332" s="1" t="s">
        <v>10</v>
      </c>
      <c r="B332" s="1" t="s">
        <v>2</v>
      </c>
      <c r="C332" s="1" t="s">
        <v>0</v>
      </c>
      <c r="D332" s="1"/>
      <c r="E332" s="1" t="s">
        <v>3</v>
      </c>
      <c r="F332" s="1" t="s">
        <v>4</v>
      </c>
      <c r="G332" s="1" t="s">
        <v>5</v>
      </c>
      <c r="H332" s="1" t="s">
        <v>6</v>
      </c>
      <c r="I332" s="1" t="s">
        <v>7</v>
      </c>
      <c r="J332" s="1" t="s">
        <v>8</v>
      </c>
      <c r="K332" s="8"/>
    </row>
    <row r="333" spans="1:11" x14ac:dyDescent="0.25">
      <c r="A333" s="8" t="s">
        <v>474</v>
      </c>
      <c r="B333" s="8">
        <v>1</v>
      </c>
      <c r="C333" s="8" t="s">
        <v>14</v>
      </c>
      <c r="D333" s="8"/>
      <c r="E333" s="8"/>
      <c r="F333" s="8"/>
      <c r="G333" s="8"/>
      <c r="H333" s="8"/>
      <c r="I333" s="8"/>
      <c r="J333" s="8"/>
      <c r="K333" s="8"/>
    </row>
    <row r="334" spans="1:11" x14ac:dyDescent="0.25">
      <c r="A334" s="1" t="s">
        <v>1</v>
      </c>
      <c r="B334" s="1" t="s">
        <v>2</v>
      </c>
      <c r="C334" s="1" t="s">
        <v>0</v>
      </c>
      <c r="D334" s="1"/>
      <c r="E334" s="1" t="s">
        <v>3</v>
      </c>
      <c r="F334" s="1" t="s">
        <v>4</v>
      </c>
      <c r="G334" s="1" t="s">
        <v>5</v>
      </c>
      <c r="H334" s="1" t="s">
        <v>6</v>
      </c>
      <c r="I334" s="1" t="s">
        <v>7</v>
      </c>
      <c r="J334" s="1" t="s">
        <v>8</v>
      </c>
      <c r="K334" s="8"/>
    </row>
    <row r="335" spans="1:11" x14ac:dyDescent="0.25">
      <c r="A335" s="12" t="str">
        <f>'Energy mix'!P24</f>
        <v>Heat, district or industrial, other than natural gas {CH}| heat production, heavy fuel oil, at industrial furnace 1MW | Alloc Rec, U</v>
      </c>
      <c r="B335" s="9">
        <f>'Energy mix'!R24</f>
        <v>5.7534936699326598E-2</v>
      </c>
      <c r="C335" s="8" t="s">
        <v>14</v>
      </c>
      <c r="D335" s="8"/>
      <c r="E335" s="8"/>
      <c r="F335" s="8"/>
      <c r="G335" s="8"/>
      <c r="H335" s="8"/>
      <c r="I335" s="8"/>
      <c r="J335" s="8" t="str">
        <f>"For year "&amp;'Energy mix'!$R$23</f>
        <v>For year 2010</v>
      </c>
      <c r="K335" s="8"/>
    </row>
    <row r="336" spans="1:11" x14ac:dyDescent="0.25">
      <c r="A336" s="12" t="str">
        <f>'Energy mix'!P25</f>
        <v>Heat, district or industrial, other than natural gas {RoW}| heat production, at hard coal industrial furnace 1-10MW | Alloc Rec, U</v>
      </c>
      <c r="B336" s="9">
        <f>'Energy mix'!R25</f>
        <v>0.39993349112611032</v>
      </c>
      <c r="C336" s="8" t="s">
        <v>14</v>
      </c>
      <c r="D336" s="8"/>
      <c r="E336" s="8"/>
      <c r="F336" s="8"/>
      <c r="G336" s="8"/>
      <c r="H336" s="8"/>
      <c r="I336" s="8"/>
      <c r="J336" s="8" t="str">
        <f>"For year "&amp;'Energy mix'!$R$23</f>
        <v>For year 2010</v>
      </c>
      <c r="K336" s="8"/>
    </row>
    <row r="337" spans="1:11" x14ac:dyDescent="0.25">
      <c r="A337" s="12" t="str">
        <f>'Energy mix'!P27</f>
        <v>Heat, district or industrial, natural gas {Europe without Switzerland}| market for heat, district or industrial, natural gas | Alloc Rec, U</v>
      </c>
      <c r="B337" s="9">
        <f>'Energy mix'!R27</f>
        <v>0.48247668814230626</v>
      </c>
      <c r="C337" s="8" t="s">
        <v>14</v>
      </c>
      <c r="D337" s="8"/>
      <c r="E337" s="8"/>
      <c r="F337" s="8"/>
      <c r="G337" s="8"/>
      <c r="H337" s="8"/>
      <c r="I337" s="8"/>
      <c r="J337" s="8" t="str">
        <f>"For year "&amp;'Energy mix'!$R$23</f>
        <v>For year 2010</v>
      </c>
      <c r="K337" s="8"/>
    </row>
    <row r="338" spans="1:11" x14ac:dyDescent="0.25">
      <c r="A338" s="12" t="str">
        <f>'Energy mix'!P29</f>
        <v>Electricity, high voltage {DE}| electricity production, nuclear, pressure water reactor | Alloc Rec, U</v>
      </c>
      <c r="B338" s="9">
        <f>'Energy mix'!R29</f>
        <v>1.9706806714269776E-3</v>
      </c>
      <c r="C338" s="8" t="s">
        <v>14</v>
      </c>
      <c r="J338" s="8" t="str">
        <f>"For year "&amp;'Energy mix'!$R$23</f>
        <v>For year 2010</v>
      </c>
    </row>
    <row r="339" spans="1:11" x14ac:dyDescent="0.25">
      <c r="A339" s="12" t="str">
        <f>'Energy mix'!P30</f>
        <v>Heat, central or small-scale, other than natural gas {CH}| treatment of biogas, burned in micro gas turbine 100kWe | Alloc Rec, U</v>
      </c>
      <c r="B339" s="9">
        <f>'Energy mix'!R30</f>
        <v>3.1611895140517758E-2</v>
      </c>
      <c r="C339" s="8" t="s">
        <v>14</v>
      </c>
      <c r="J339" s="8" t="str">
        <f>"For year "&amp;'Energy mix'!$R$23</f>
        <v>For year 2010</v>
      </c>
    </row>
    <row r="340" spans="1:11" x14ac:dyDescent="0.25">
      <c r="A340" s="12" t="str">
        <f>'Energy mix'!P31</f>
        <v>Heat, for reuse in municipal waste incineration only {NL}| treatment of municipal solid waste, incineration | Alloc Rec, U</v>
      </c>
      <c r="B340" s="9">
        <f>'Energy mix'!R31</f>
        <v>2.462839232561494E-2</v>
      </c>
      <c r="C340" s="8" t="s">
        <v>14</v>
      </c>
      <c r="J340" s="8" t="str">
        <f>"For year "&amp;'Energy mix'!$R$23</f>
        <v>For year 2010</v>
      </c>
    </row>
    <row r="341" spans="1:11" x14ac:dyDescent="0.25">
      <c r="A341" s="12" t="str">
        <f>'Energy mix'!P33</f>
        <v>Electricity, high voltage {DE}| electricity production, geothermal | Alloc Rec, U</v>
      </c>
      <c r="B341" s="9">
        <f>'Energy mix'!R33</f>
        <v>1.8243043036783812E-3</v>
      </c>
      <c r="C341" s="8" t="s">
        <v>14</v>
      </c>
      <c r="J341" s="8" t="str">
        <f>"For year "&amp;'Energy mix'!$R$23</f>
        <v>For year 2010</v>
      </c>
    </row>
    <row r="342" spans="1:11" x14ac:dyDescent="0.25">
      <c r="A342" s="12" t="str">
        <f>'Energy mix'!P36</f>
        <v>Heat, solar+gas, multiple-dwelling, for hot water {CH}| heat production, at hot water tank, solar+gas, flat plate, multiple dwelling | Alloc Rec, U</v>
      </c>
      <c r="B342" s="9">
        <f>'Energy mix'!R36</f>
        <v>1.9611591018743991E-5</v>
      </c>
      <c r="C342" s="8" t="s">
        <v>14</v>
      </c>
      <c r="J342" s="8" t="str">
        <f>"For year "&amp;'Energy mix'!$R$23</f>
        <v>For year 2010</v>
      </c>
    </row>
    <row r="344" spans="1:11" x14ac:dyDescent="0.25">
      <c r="A344" s="2" t="s">
        <v>222</v>
      </c>
      <c r="B344" s="2"/>
      <c r="C344" s="2"/>
      <c r="D344" s="2"/>
      <c r="E344" s="2"/>
      <c r="F344" s="1"/>
      <c r="G344" s="1"/>
      <c r="H344" s="1"/>
      <c r="I344" s="1"/>
      <c r="J344" s="1"/>
    </row>
    <row r="345" spans="1:11" x14ac:dyDescent="0.25">
      <c r="A345" s="1" t="s">
        <v>10</v>
      </c>
      <c r="B345" s="1" t="s">
        <v>2</v>
      </c>
      <c r="C345" s="1" t="s">
        <v>0</v>
      </c>
      <c r="D345" s="1"/>
      <c r="E345" s="1" t="s">
        <v>3</v>
      </c>
      <c r="F345" s="1" t="s">
        <v>4</v>
      </c>
      <c r="G345" s="1" t="s">
        <v>5</v>
      </c>
      <c r="H345" s="1" t="s">
        <v>6</v>
      </c>
      <c r="I345" s="1" t="s">
        <v>7</v>
      </c>
      <c r="J345" s="1" t="s">
        <v>8</v>
      </c>
    </row>
    <row r="346" spans="1:11" x14ac:dyDescent="0.25">
      <c r="A346" s="8" t="s">
        <v>222</v>
      </c>
      <c r="B346" s="8">
        <v>1</v>
      </c>
      <c r="C346" s="8" t="s">
        <v>9</v>
      </c>
      <c r="D346" s="8"/>
      <c r="E346" s="8"/>
      <c r="F346" s="8"/>
      <c r="G346" s="8"/>
      <c r="H346" s="8"/>
      <c r="I346" s="8"/>
      <c r="J346" s="8" t="s">
        <v>603</v>
      </c>
    </row>
    <row r="347" spans="1:11" x14ac:dyDescent="0.25">
      <c r="A347" s="1" t="s">
        <v>1</v>
      </c>
      <c r="B347" s="1" t="s">
        <v>2</v>
      </c>
      <c r="C347" s="1" t="s">
        <v>0</v>
      </c>
      <c r="D347" s="1"/>
      <c r="E347" s="1" t="s">
        <v>3</v>
      </c>
      <c r="F347" s="1" t="s">
        <v>4</v>
      </c>
      <c r="G347" s="1" t="s">
        <v>5</v>
      </c>
      <c r="H347" s="1" t="s">
        <v>6</v>
      </c>
      <c r="I347" s="1" t="s">
        <v>7</v>
      </c>
      <c r="J347" s="1" t="s">
        <v>8</v>
      </c>
    </row>
    <row r="348" spans="1:11" x14ac:dyDescent="0.25">
      <c r="A348" s="12" t="s">
        <v>33</v>
      </c>
      <c r="B348" s="9">
        <v>0.20649999999999999</v>
      </c>
      <c r="C348" s="8" t="s">
        <v>11</v>
      </c>
      <c r="D348" s="8"/>
      <c r="E348" s="8"/>
      <c r="F348" s="8"/>
      <c r="G348" s="8"/>
      <c r="H348" s="8"/>
      <c r="I348" s="8"/>
      <c r="J348" s="8" t="s">
        <v>603</v>
      </c>
    </row>
    <row r="349" spans="1:11" x14ac:dyDescent="0.25">
      <c r="A349" s="12" t="s">
        <v>31</v>
      </c>
      <c r="B349" s="9">
        <v>2.01E-2</v>
      </c>
      <c r="C349" s="8" t="s">
        <v>11</v>
      </c>
      <c r="D349" s="8"/>
      <c r="E349" s="8"/>
      <c r="F349" s="8"/>
      <c r="G349" s="8"/>
      <c r="H349" s="8"/>
      <c r="I349" s="8"/>
      <c r="J349" s="8" t="s">
        <v>603</v>
      </c>
    </row>
    <row r="350" spans="1:11" x14ac:dyDescent="0.25">
      <c r="A350" s="12" t="s">
        <v>32</v>
      </c>
      <c r="B350" s="9">
        <v>0.44090000000000001</v>
      </c>
      <c r="C350" s="8" t="s">
        <v>11</v>
      </c>
      <c r="D350" s="8"/>
      <c r="E350" s="8"/>
      <c r="F350" s="8"/>
      <c r="G350" s="8"/>
      <c r="H350" s="8"/>
      <c r="I350" s="8"/>
      <c r="J350" s="8" t="s">
        <v>603</v>
      </c>
    </row>
    <row r="351" spans="1:11" x14ac:dyDescent="0.25">
      <c r="A351" s="3" t="str">
        <f>A360</f>
        <v>Ferronickel, 25% Ni {GLO}| production | Alloc Rec, U_mr</v>
      </c>
      <c r="B351">
        <v>1</v>
      </c>
      <c r="C351" s="8" t="s">
        <v>9</v>
      </c>
      <c r="J351" s="8" t="s">
        <v>603</v>
      </c>
    </row>
    <row r="352" spans="1:11" x14ac:dyDescent="0.25">
      <c r="A352" t="s">
        <v>35</v>
      </c>
      <c r="B352">
        <v>1.24034117202515E-2</v>
      </c>
      <c r="C352" s="8" t="s">
        <v>11</v>
      </c>
      <c r="J352" s="8" t="s">
        <v>603</v>
      </c>
    </row>
    <row r="353" spans="1:10" x14ac:dyDescent="0.25">
      <c r="A353" t="s">
        <v>36</v>
      </c>
      <c r="B353">
        <v>4.1976808277480702E-2</v>
      </c>
      <c r="C353" s="8" t="s">
        <v>11</v>
      </c>
      <c r="J353" s="8" t="s">
        <v>603</v>
      </c>
    </row>
    <row r="354" spans="1:10" x14ac:dyDescent="0.25">
      <c r="A354" t="s">
        <v>37</v>
      </c>
      <c r="B354">
        <v>2.4722617262255299E-4</v>
      </c>
      <c r="C354" s="8" t="s">
        <v>11</v>
      </c>
      <c r="J354" s="8" t="s">
        <v>603</v>
      </c>
    </row>
    <row r="355" spans="1:10" x14ac:dyDescent="0.25">
      <c r="A355" t="s">
        <v>38</v>
      </c>
      <c r="B355">
        <v>5.8964396874062498E-2</v>
      </c>
      <c r="C355" s="8" t="s">
        <v>11</v>
      </c>
      <c r="J355" s="8" t="s">
        <v>603</v>
      </c>
    </row>
    <row r="356" spans="1:10" x14ac:dyDescent="0.25">
      <c r="A356" t="s">
        <v>39</v>
      </c>
      <c r="B356">
        <v>7.6708156955582696E-2</v>
      </c>
      <c r="C356" s="8" t="s">
        <v>11</v>
      </c>
      <c r="J356" s="8" t="s">
        <v>603</v>
      </c>
    </row>
    <row r="358" spans="1:10" x14ac:dyDescent="0.25">
      <c r="A358" s="2" t="s">
        <v>412</v>
      </c>
      <c r="B358" s="2"/>
      <c r="C358" s="2"/>
      <c r="D358" s="2"/>
      <c r="E358" s="2"/>
      <c r="F358" s="1"/>
      <c r="G358" s="1"/>
      <c r="H358" s="1"/>
      <c r="I358" s="1"/>
      <c r="J358" s="1"/>
    </row>
    <row r="359" spans="1:10" x14ac:dyDescent="0.25">
      <c r="A359" s="1" t="s">
        <v>10</v>
      </c>
      <c r="B359" s="1" t="s">
        <v>2</v>
      </c>
      <c r="C359" s="1" t="s">
        <v>0</v>
      </c>
      <c r="D359" s="1"/>
      <c r="E359" s="1" t="s">
        <v>3</v>
      </c>
      <c r="F359" s="1" t="s">
        <v>4</v>
      </c>
      <c r="G359" s="1" t="s">
        <v>5</v>
      </c>
      <c r="H359" s="1" t="s">
        <v>6</v>
      </c>
      <c r="I359" s="1" t="s">
        <v>7</v>
      </c>
      <c r="J359" s="1" t="s">
        <v>8</v>
      </c>
    </row>
    <row r="360" spans="1:10" x14ac:dyDescent="0.25">
      <c r="A360" s="8" t="s">
        <v>412</v>
      </c>
      <c r="B360" s="8">
        <v>1</v>
      </c>
      <c r="C360" s="8" t="s">
        <v>9</v>
      </c>
      <c r="D360" s="8"/>
      <c r="E360" s="8"/>
      <c r="F360" s="8"/>
      <c r="G360" s="8"/>
      <c r="H360" s="8"/>
      <c r="I360" s="8"/>
      <c r="J360" s="8" t="s">
        <v>603</v>
      </c>
    </row>
    <row r="361" spans="1:10" x14ac:dyDescent="0.25">
      <c r="A361" s="1" t="s">
        <v>1</v>
      </c>
      <c r="B361" s="1" t="s">
        <v>2</v>
      </c>
      <c r="C361" s="1" t="s">
        <v>0</v>
      </c>
      <c r="D361" s="1"/>
      <c r="E361" s="1" t="s">
        <v>3</v>
      </c>
      <c r="F361" s="1" t="s">
        <v>4</v>
      </c>
      <c r="G361" s="1" t="s">
        <v>5</v>
      </c>
      <c r="H361" s="1" t="s">
        <v>6</v>
      </c>
      <c r="I361" s="1" t="s">
        <v>7</v>
      </c>
      <c r="J361" s="1" t="s">
        <v>8</v>
      </c>
    </row>
    <row r="362" spans="1:10" x14ac:dyDescent="0.25">
      <c r="A362" s="8" t="s">
        <v>413</v>
      </c>
      <c r="B362" s="8">
        <v>1.7403999999999999</v>
      </c>
      <c r="C362" s="8" t="s">
        <v>9</v>
      </c>
      <c r="D362" s="8"/>
      <c r="E362" s="8"/>
      <c r="F362" s="8"/>
      <c r="G362" s="8"/>
      <c r="H362" s="8"/>
      <c r="I362" s="8"/>
      <c r="J362" s="8" t="s">
        <v>603</v>
      </c>
    </row>
    <row r="363" spans="1:10" x14ac:dyDescent="0.25">
      <c r="A363" s="8" t="s">
        <v>414</v>
      </c>
      <c r="B363" s="8">
        <v>5.4938000000000002E-5</v>
      </c>
      <c r="C363" s="8" t="s">
        <v>415</v>
      </c>
      <c r="D363" s="8"/>
      <c r="E363" s="8"/>
      <c r="F363" s="8"/>
      <c r="G363" s="8"/>
      <c r="H363" s="8"/>
      <c r="I363" s="8"/>
      <c r="J363" s="8" t="s">
        <v>603</v>
      </c>
    </row>
    <row r="364" spans="1:10" x14ac:dyDescent="0.25">
      <c r="A364" s="8" t="s">
        <v>416</v>
      </c>
      <c r="B364" s="8">
        <v>1.6481E-3</v>
      </c>
      <c r="C364" s="8" t="s">
        <v>417</v>
      </c>
      <c r="J364" s="8" t="s">
        <v>603</v>
      </c>
    </row>
    <row r="365" spans="1:10" x14ac:dyDescent="0.25">
      <c r="A365" s="8" t="s">
        <v>418</v>
      </c>
      <c r="B365" s="8">
        <v>5.4938000000000002E-5</v>
      </c>
      <c r="C365" s="8" t="s">
        <v>415</v>
      </c>
      <c r="J365" s="8" t="s">
        <v>603</v>
      </c>
    </row>
    <row r="366" spans="1:10" x14ac:dyDescent="0.25">
      <c r="A366" s="8" t="s">
        <v>419</v>
      </c>
      <c r="B366" s="8">
        <v>7.9999999999999996E-7</v>
      </c>
      <c r="C366" s="8" t="s">
        <v>420</v>
      </c>
      <c r="J366" s="8" t="s">
        <v>603</v>
      </c>
    </row>
    <row r="367" spans="1:10" x14ac:dyDescent="0.25">
      <c r="A367" s="8" t="s">
        <v>421</v>
      </c>
      <c r="B367" s="8">
        <v>1.1999999999999999E-3</v>
      </c>
      <c r="C367" s="8" t="s">
        <v>9</v>
      </c>
      <c r="J367" s="8" t="s">
        <v>603</v>
      </c>
    </row>
    <row r="368" spans="1:10" x14ac:dyDescent="0.25">
      <c r="A368" s="8" t="s">
        <v>422</v>
      </c>
      <c r="B368" s="8">
        <v>6.4826000000000002E-11</v>
      </c>
      <c r="C368" s="8" t="s">
        <v>12</v>
      </c>
      <c r="J368" s="8" t="s">
        <v>603</v>
      </c>
    </row>
    <row r="369" spans="1:10" x14ac:dyDescent="0.25">
      <c r="A369" s="8" t="s">
        <v>423</v>
      </c>
      <c r="B369" s="8">
        <v>0.46927999999999997</v>
      </c>
      <c r="C369" s="8" t="s">
        <v>9</v>
      </c>
      <c r="J369" s="8" t="s">
        <v>603</v>
      </c>
    </row>
    <row r="370" spans="1:10" x14ac:dyDescent="0.25">
      <c r="A370" s="8" t="s">
        <v>424</v>
      </c>
      <c r="B370" s="8">
        <v>2.0000000000000001E-9</v>
      </c>
      <c r="C370" s="8" t="s">
        <v>12</v>
      </c>
      <c r="J370" s="8" t="s">
        <v>603</v>
      </c>
    </row>
    <row r="371" spans="1:10" x14ac:dyDescent="0.25">
      <c r="A371" s="8" t="s">
        <v>236</v>
      </c>
      <c r="B371" s="8">
        <v>5.5693999999999999</v>
      </c>
      <c r="C371" s="8" t="s">
        <v>13</v>
      </c>
      <c r="J371" s="8" t="s">
        <v>603</v>
      </c>
    </row>
    <row r="372" spans="1:10" x14ac:dyDescent="0.25">
      <c r="A372" s="8" t="s">
        <v>237</v>
      </c>
      <c r="B372" s="8">
        <v>1.9081999999999999</v>
      </c>
      <c r="C372" s="8" t="s">
        <v>14</v>
      </c>
      <c r="J372" s="8" t="s">
        <v>603</v>
      </c>
    </row>
    <row r="373" spans="1:10" x14ac:dyDescent="0.25">
      <c r="A373" s="3" t="str">
        <f>A333</f>
        <v>Heat, global mix_mr_Scope 2</v>
      </c>
      <c r="B373" s="8">
        <v>63.825800000000001</v>
      </c>
      <c r="C373" s="8" t="s">
        <v>14</v>
      </c>
      <c r="J373" s="8"/>
    </row>
    <row r="374" spans="1:10" x14ac:dyDescent="0.25">
      <c r="A374" s="3" t="str">
        <f>'Electricity generation'!A5</f>
        <v>Electricity, global mix, high voltage_mr</v>
      </c>
      <c r="B374" s="8">
        <v>3.7128999999999999</v>
      </c>
      <c r="C374" s="8" t="s">
        <v>13</v>
      </c>
      <c r="J374" s="8"/>
    </row>
    <row r="375" spans="1:10" x14ac:dyDescent="0.25">
      <c r="A375" s="34" t="s">
        <v>16</v>
      </c>
      <c r="B375" s="8"/>
      <c r="C375" s="8"/>
      <c r="J375" s="8"/>
    </row>
    <row r="376" spans="1:10" x14ac:dyDescent="0.25">
      <c r="A376" s="8" t="s">
        <v>17</v>
      </c>
      <c r="B376" s="8">
        <v>7.4688E-4</v>
      </c>
      <c r="C376" s="8" t="s">
        <v>9</v>
      </c>
      <c r="J376" s="8" t="s">
        <v>603</v>
      </c>
    </row>
    <row r="377" spans="1:10" x14ac:dyDescent="0.25">
      <c r="A377" s="8" t="s">
        <v>45</v>
      </c>
      <c r="B377" s="8">
        <v>3.1792999999999999E-5</v>
      </c>
      <c r="C377" s="8" t="s">
        <v>9</v>
      </c>
      <c r="J377" s="8" t="s">
        <v>603</v>
      </c>
    </row>
    <row r="378" spans="1:10" x14ac:dyDescent="0.25">
      <c r="A378" s="8" t="s">
        <v>124</v>
      </c>
      <c r="B378" s="8">
        <v>1.0109E-7</v>
      </c>
      <c r="C378" s="8" t="s">
        <v>9</v>
      </c>
      <c r="J378" s="8" t="s">
        <v>603</v>
      </c>
    </row>
    <row r="379" spans="1:10" x14ac:dyDescent="0.25">
      <c r="A379" s="8" t="s">
        <v>67</v>
      </c>
      <c r="B379" s="8">
        <v>9.6030999999999996E-6</v>
      </c>
      <c r="C379" s="8" t="s">
        <v>9</v>
      </c>
      <c r="J379" s="8" t="s">
        <v>603</v>
      </c>
    </row>
    <row r="380" spans="1:10" x14ac:dyDescent="0.25">
      <c r="A380" s="8" t="s">
        <v>51</v>
      </c>
      <c r="B380" s="8">
        <v>5.0542999999999998E-10</v>
      </c>
      <c r="C380" s="8" t="s">
        <v>9</v>
      </c>
      <c r="J380" s="8" t="s">
        <v>603</v>
      </c>
    </row>
    <row r="381" spans="1:10" x14ac:dyDescent="0.25">
      <c r="A381" s="8" t="s">
        <v>46</v>
      </c>
      <c r="B381" s="8">
        <v>9.8702000000000005E-5</v>
      </c>
      <c r="C381" s="8" t="s">
        <v>9</v>
      </c>
      <c r="J381" s="8" t="s">
        <v>603</v>
      </c>
    </row>
    <row r="382" spans="1:10" x14ac:dyDescent="0.25">
      <c r="A382" s="8" t="s">
        <v>425</v>
      </c>
      <c r="B382" s="8">
        <v>9.6030999999999996E-6</v>
      </c>
      <c r="C382" s="8" t="s">
        <v>9</v>
      </c>
      <c r="J382" s="8" t="s">
        <v>603</v>
      </c>
    </row>
    <row r="383" spans="1:10" x14ac:dyDescent="0.25">
      <c r="A383" s="8" t="s">
        <v>49</v>
      </c>
      <c r="B383" s="8">
        <v>7.6756999999999997E-5</v>
      </c>
      <c r="C383" s="8" t="s">
        <v>9</v>
      </c>
      <c r="J383" s="8" t="s">
        <v>603</v>
      </c>
    </row>
    <row r="384" spans="1:10" x14ac:dyDescent="0.25">
      <c r="A384" s="8" t="s">
        <v>47</v>
      </c>
      <c r="B384" s="8">
        <v>1.4358E-5</v>
      </c>
      <c r="C384" s="8" t="s">
        <v>9</v>
      </c>
      <c r="J384" s="8" t="s">
        <v>603</v>
      </c>
    </row>
    <row r="385" spans="1:10" x14ac:dyDescent="0.25">
      <c r="A385" s="8" t="s">
        <v>89</v>
      </c>
      <c r="B385" s="8">
        <v>5.2207E-3</v>
      </c>
      <c r="C385" s="8" t="s">
        <v>9</v>
      </c>
      <c r="J385" s="8" t="s">
        <v>603</v>
      </c>
    </row>
    <row r="386" spans="1:10" x14ac:dyDescent="0.25">
      <c r="A386" s="8" t="s">
        <v>113</v>
      </c>
      <c r="B386" s="8">
        <v>3.0202E-5</v>
      </c>
      <c r="C386" s="8" t="s">
        <v>9</v>
      </c>
      <c r="J386" s="8" t="s">
        <v>603</v>
      </c>
    </row>
    <row r="387" spans="1:10" x14ac:dyDescent="0.25">
      <c r="A387" s="8" t="s">
        <v>25</v>
      </c>
      <c r="B387" s="8">
        <v>1.0107999999999999E-6</v>
      </c>
      <c r="C387" s="8" t="s">
        <v>9</v>
      </c>
      <c r="J387" s="8" t="s">
        <v>603</v>
      </c>
    </row>
    <row r="388" spans="1:10" x14ac:dyDescent="0.25">
      <c r="A388" s="8" t="s">
        <v>71</v>
      </c>
      <c r="B388" s="8">
        <v>5.1409999999999997E-3</v>
      </c>
      <c r="C388" s="8" t="s">
        <v>9</v>
      </c>
      <c r="J388" s="8" t="s">
        <v>603</v>
      </c>
    </row>
    <row r="389" spans="1:10" x14ac:dyDescent="0.25">
      <c r="A389" s="8" t="s">
        <v>139</v>
      </c>
      <c r="B389" s="8">
        <v>1.6052000000000001E-5</v>
      </c>
      <c r="C389" s="8" t="s">
        <v>9</v>
      </c>
      <c r="J389" s="8" t="s">
        <v>603</v>
      </c>
    </row>
    <row r="390" spans="1:10" x14ac:dyDescent="0.25">
      <c r="A390" s="8" t="s">
        <v>72</v>
      </c>
      <c r="B390" s="8">
        <v>9.9999999999999994E-12</v>
      </c>
      <c r="C390" s="8" t="s">
        <v>9</v>
      </c>
      <c r="J390" s="8" t="s">
        <v>603</v>
      </c>
    </row>
    <row r="391" spans="1:10" x14ac:dyDescent="0.25">
      <c r="A391" s="8" t="s">
        <v>52</v>
      </c>
      <c r="B391" s="8">
        <v>1.1119000000000001E-9</v>
      </c>
      <c r="C391" s="8" t="s">
        <v>9</v>
      </c>
      <c r="J391" s="8" t="s">
        <v>603</v>
      </c>
    </row>
    <row r="392" spans="1:10" x14ac:dyDescent="0.25">
      <c r="A392" s="8" t="s">
        <v>136</v>
      </c>
      <c r="B392" s="8">
        <v>2.0217000000000002E-9</v>
      </c>
      <c r="C392" s="8" t="s">
        <v>9</v>
      </c>
      <c r="J392" s="8" t="s">
        <v>603</v>
      </c>
    </row>
    <row r="393" spans="1:10" x14ac:dyDescent="0.25">
      <c r="A393" s="8" t="s">
        <v>131</v>
      </c>
      <c r="B393" s="8">
        <v>2.6282E-8</v>
      </c>
      <c r="C393" s="8" t="s">
        <v>9</v>
      </c>
      <c r="J393" s="8" t="s">
        <v>603</v>
      </c>
    </row>
    <row r="394" spans="1:10" x14ac:dyDescent="0.25">
      <c r="A394" s="8" t="s">
        <v>63</v>
      </c>
      <c r="B394" s="8">
        <v>0.20648</v>
      </c>
      <c r="C394" s="8" t="s">
        <v>9</v>
      </c>
      <c r="J394" s="8" t="s">
        <v>603</v>
      </c>
    </row>
    <row r="395" spans="1:10" x14ac:dyDescent="0.25">
      <c r="A395" s="8" t="s">
        <v>26</v>
      </c>
      <c r="B395" s="8">
        <v>2.5033999999999999E-4</v>
      </c>
      <c r="C395" s="8" t="s">
        <v>9</v>
      </c>
      <c r="J395" s="8" t="s">
        <v>603</v>
      </c>
    </row>
    <row r="396" spans="1:10" x14ac:dyDescent="0.25">
      <c r="A396" s="8" t="s">
        <v>119</v>
      </c>
      <c r="B396" s="8">
        <v>5.0542999999999998E-10</v>
      </c>
      <c r="C396" s="8" t="s">
        <v>9</v>
      </c>
      <c r="J396" s="8" t="s">
        <v>603</v>
      </c>
    </row>
    <row r="397" spans="1:10" x14ac:dyDescent="0.25">
      <c r="A397" s="34" t="s">
        <v>20</v>
      </c>
      <c r="B397" s="8"/>
      <c r="C397" s="8"/>
      <c r="J397" s="8"/>
    </row>
    <row r="398" spans="1:10" x14ac:dyDescent="0.25">
      <c r="A398" s="8" t="s">
        <v>28</v>
      </c>
      <c r="B398" s="8">
        <v>4.1356999999999997E-5</v>
      </c>
      <c r="C398" s="8" t="s">
        <v>9</v>
      </c>
      <c r="J398" s="8" t="s">
        <v>603</v>
      </c>
    </row>
    <row r="399" spans="1:10" x14ac:dyDescent="0.25">
      <c r="A399" s="8" t="s">
        <v>113</v>
      </c>
      <c r="B399" s="8">
        <v>6.2516000000000002E-9</v>
      </c>
      <c r="C399" s="8" t="s">
        <v>9</v>
      </c>
      <c r="J399" s="8" t="s">
        <v>603</v>
      </c>
    </row>
    <row r="400" spans="1:10" x14ac:dyDescent="0.25">
      <c r="A400" s="8" t="s">
        <v>51</v>
      </c>
      <c r="B400" s="8">
        <v>2.2727999999999998E-9</v>
      </c>
      <c r="C400" s="8" t="s">
        <v>9</v>
      </c>
      <c r="J400" s="8" t="s">
        <v>603</v>
      </c>
    </row>
    <row r="401" spans="1:10" x14ac:dyDescent="0.25">
      <c r="A401" s="8" t="s">
        <v>47</v>
      </c>
      <c r="B401" s="8">
        <v>1.5265999999999999E-7</v>
      </c>
      <c r="C401" s="8" t="s">
        <v>9</v>
      </c>
      <c r="J401" s="8" t="s">
        <v>603</v>
      </c>
    </row>
    <row r="402" spans="1:10" x14ac:dyDescent="0.25">
      <c r="A402" s="8" t="s">
        <v>21</v>
      </c>
      <c r="B402" s="8">
        <v>3.2564999999999997E-5</v>
      </c>
      <c r="C402" s="8" t="s">
        <v>9</v>
      </c>
      <c r="J402" s="8" t="s">
        <v>603</v>
      </c>
    </row>
    <row r="403" spans="1:10" x14ac:dyDescent="0.25">
      <c r="A403" s="8" t="s">
        <v>67</v>
      </c>
      <c r="B403" s="8">
        <v>1.9735999999999999E-7</v>
      </c>
      <c r="C403" s="8" t="s">
        <v>9</v>
      </c>
      <c r="J403" s="8" t="s">
        <v>603</v>
      </c>
    </row>
    <row r="404" spans="1:10" x14ac:dyDescent="0.25">
      <c r="A404" s="8" t="s">
        <v>139</v>
      </c>
      <c r="B404" s="8">
        <v>1.9714E-7</v>
      </c>
      <c r="C404" s="8" t="s">
        <v>9</v>
      </c>
      <c r="J404" s="8" t="s">
        <v>603</v>
      </c>
    </row>
    <row r="405" spans="1:10" x14ac:dyDescent="0.25">
      <c r="A405" s="8" t="s">
        <v>22</v>
      </c>
      <c r="B405" s="8">
        <v>3.2564999999999997E-5</v>
      </c>
      <c r="C405" s="8" t="s">
        <v>9</v>
      </c>
      <c r="J405" s="8" t="s">
        <v>603</v>
      </c>
    </row>
    <row r="406" spans="1:10" x14ac:dyDescent="0.25">
      <c r="A406" s="8" t="s">
        <v>24</v>
      </c>
      <c r="B406" s="8">
        <v>8.3367000000000003E-5</v>
      </c>
      <c r="C406" s="8" t="s">
        <v>9</v>
      </c>
      <c r="J406" s="8" t="s">
        <v>603</v>
      </c>
    </row>
    <row r="407" spans="1:10" x14ac:dyDescent="0.25">
      <c r="A407" s="8" t="s">
        <v>426</v>
      </c>
      <c r="B407" s="8">
        <v>1.8206E-4</v>
      </c>
      <c r="C407" s="8" t="s">
        <v>9</v>
      </c>
      <c r="J407" s="8" t="s">
        <v>603</v>
      </c>
    </row>
    <row r="408" spans="1:10" x14ac:dyDescent="0.25">
      <c r="A408" s="8" t="s">
        <v>45</v>
      </c>
      <c r="B408" s="8">
        <v>3.4134000000000001E-7</v>
      </c>
      <c r="C408" s="8" t="s">
        <v>9</v>
      </c>
      <c r="J408" s="8" t="s">
        <v>603</v>
      </c>
    </row>
    <row r="409" spans="1:10" x14ac:dyDescent="0.25">
      <c r="A409" s="8" t="s">
        <v>26</v>
      </c>
      <c r="B409" s="8">
        <v>1.1917E-6</v>
      </c>
      <c r="C409" s="8" t="s">
        <v>9</v>
      </c>
      <c r="J409" s="8" t="s">
        <v>603</v>
      </c>
    </row>
    <row r="410" spans="1:10" x14ac:dyDescent="0.25">
      <c r="A410" s="8" t="s">
        <v>27</v>
      </c>
      <c r="B410" s="8">
        <v>2.3248000000000002E-6</v>
      </c>
      <c r="C410" s="8" t="s">
        <v>9</v>
      </c>
      <c r="J410" s="8" t="s">
        <v>603</v>
      </c>
    </row>
    <row r="411" spans="1:10" x14ac:dyDescent="0.25">
      <c r="A411" s="8" t="s">
        <v>49</v>
      </c>
      <c r="B411" s="8">
        <v>1.3266E-7</v>
      </c>
      <c r="C411" s="8" t="s">
        <v>9</v>
      </c>
      <c r="J411" s="8" t="s">
        <v>603</v>
      </c>
    </row>
    <row r="412" spans="1:10" x14ac:dyDescent="0.25">
      <c r="A412" s="8" t="s">
        <v>52</v>
      </c>
      <c r="B412" s="8">
        <v>2.1346999999999999E-8</v>
      </c>
      <c r="C412" s="8" t="s">
        <v>9</v>
      </c>
      <c r="J412" s="8" t="s">
        <v>603</v>
      </c>
    </row>
    <row r="413" spans="1:10" x14ac:dyDescent="0.25">
      <c r="A413" s="8" t="s">
        <v>116</v>
      </c>
      <c r="B413" s="8">
        <v>6.9070000000000001E-7</v>
      </c>
      <c r="C413" s="8" t="s">
        <v>9</v>
      </c>
      <c r="J413" s="8" t="s">
        <v>603</v>
      </c>
    </row>
    <row r="414" spans="1:10" x14ac:dyDescent="0.25">
      <c r="A414" s="8" t="s">
        <v>25</v>
      </c>
      <c r="B414" s="8">
        <v>2.0151999999999999E-7</v>
      </c>
      <c r="C414" s="8" t="s">
        <v>9</v>
      </c>
      <c r="J414" s="8" t="s">
        <v>603</v>
      </c>
    </row>
    <row r="415" spans="1:10" x14ac:dyDescent="0.25">
      <c r="A415" s="8" t="s">
        <v>115</v>
      </c>
      <c r="B415" s="8">
        <v>5.4885999999999997E-3</v>
      </c>
      <c r="C415" s="8" t="s">
        <v>9</v>
      </c>
      <c r="J415" s="8" t="s">
        <v>603</v>
      </c>
    </row>
    <row r="416" spans="1:10" x14ac:dyDescent="0.25">
      <c r="A416" s="8" t="s">
        <v>46</v>
      </c>
      <c r="B416" s="8">
        <v>4.2663E-7</v>
      </c>
      <c r="C416" s="8" t="s">
        <v>9</v>
      </c>
      <c r="J416" s="8" t="s">
        <v>603</v>
      </c>
    </row>
    <row r="417" spans="1:10" x14ac:dyDescent="0.25">
      <c r="A417" s="8" t="s">
        <v>23</v>
      </c>
      <c r="B417" s="8">
        <v>8.3367000000000003E-5</v>
      </c>
      <c r="C417" s="8" t="s">
        <v>9</v>
      </c>
      <c r="J417" s="8" t="s">
        <v>603</v>
      </c>
    </row>
    <row r="418" spans="1:10" x14ac:dyDescent="0.25">
      <c r="A418" s="8" t="s">
        <v>360</v>
      </c>
      <c r="B418" s="8">
        <v>1.8856999999999999E-2</v>
      </c>
      <c r="C418" s="8" t="s">
        <v>9</v>
      </c>
      <c r="J418" s="8" t="s">
        <v>603</v>
      </c>
    </row>
    <row r="419" spans="1:10" x14ac:dyDescent="0.25">
      <c r="A419" s="1" t="s">
        <v>94</v>
      </c>
      <c r="B419" s="8"/>
      <c r="C419" s="8"/>
      <c r="J419" s="8"/>
    </row>
    <row r="420" spans="1:10" x14ac:dyDescent="0.25">
      <c r="A420" s="8" t="s">
        <v>427</v>
      </c>
      <c r="B420" s="8">
        <v>12.675000000000001</v>
      </c>
      <c r="C420" s="8" t="s">
        <v>9</v>
      </c>
      <c r="J420" s="8" t="s">
        <v>603</v>
      </c>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tabColor theme="7" tint="0.39997558519241921"/>
  </sheetPr>
  <dimension ref="B3:S48"/>
  <sheetViews>
    <sheetView workbookViewId="0">
      <selection activeCell="N3" sqref="N3"/>
    </sheetView>
  </sheetViews>
  <sheetFormatPr defaultRowHeight="15" x14ac:dyDescent="0.25"/>
  <cols>
    <col min="2" max="2" width="18.140625" bestFit="1" customWidth="1"/>
  </cols>
  <sheetData>
    <row r="3" spans="2:19" ht="15.75" thickBot="1" x14ac:dyDescent="0.3">
      <c r="B3" s="1" t="s">
        <v>464</v>
      </c>
      <c r="C3" s="8" t="s">
        <v>465</v>
      </c>
      <c r="D3" s="8" t="s">
        <v>465</v>
      </c>
      <c r="E3" s="8" t="s">
        <v>465</v>
      </c>
      <c r="F3" s="8" t="s">
        <v>465</v>
      </c>
      <c r="G3" s="8" t="s">
        <v>465</v>
      </c>
      <c r="H3" s="8" t="s">
        <v>465</v>
      </c>
      <c r="I3" s="8" t="s">
        <v>465</v>
      </c>
      <c r="J3" s="8" t="s">
        <v>466</v>
      </c>
      <c r="K3" s="8" t="s">
        <v>611</v>
      </c>
      <c r="L3" s="8" t="s">
        <v>467</v>
      </c>
      <c r="M3" s="8" t="s">
        <v>467</v>
      </c>
      <c r="N3" s="8" t="s">
        <v>467</v>
      </c>
      <c r="O3" s="8" t="s">
        <v>467</v>
      </c>
      <c r="R3" s="1" t="s">
        <v>403</v>
      </c>
      <c r="S3" s="1" t="s">
        <v>605</v>
      </c>
    </row>
    <row r="4" spans="2:19" ht="15.75" thickBot="1" x14ac:dyDescent="0.3">
      <c r="B4" s="26" t="s">
        <v>634</v>
      </c>
      <c r="C4" s="22">
        <v>1900</v>
      </c>
      <c r="D4" s="20">
        <v>1910</v>
      </c>
      <c r="E4" s="20">
        <v>1920</v>
      </c>
      <c r="F4" s="20">
        <v>1930</v>
      </c>
      <c r="G4" s="20">
        <v>1940</v>
      </c>
      <c r="H4" s="20">
        <v>1950</v>
      </c>
      <c r="I4" s="20">
        <v>1960</v>
      </c>
      <c r="J4" s="20">
        <v>1970</v>
      </c>
      <c r="K4" s="20">
        <v>1980</v>
      </c>
      <c r="L4" s="20">
        <v>1990</v>
      </c>
      <c r="M4" s="20">
        <v>2000</v>
      </c>
      <c r="N4" s="20">
        <v>2010</v>
      </c>
      <c r="O4" s="21">
        <v>2015</v>
      </c>
      <c r="R4" s="33">
        <f>HLOOKUP(year,'Energy mix'!$C$4:$O$18,ROW(R1),FALSE)</f>
        <v>2010</v>
      </c>
    </row>
    <row r="5" spans="2:19" x14ac:dyDescent="0.25">
      <c r="B5" s="27" t="s">
        <v>635</v>
      </c>
      <c r="C5" s="23">
        <v>1.4921946740128558E-2</v>
      </c>
      <c r="D5" s="18">
        <v>2.543578797580932E-2</v>
      </c>
      <c r="E5" s="18">
        <v>4.948198546466677E-2</v>
      </c>
      <c r="F5" s="18">
        <v>8.8503010782803537E-2</v>
      </c>
      <c r="G5" s="18">
        <v>0.11775585696670779</v>
      </c>
      <c r="H5" s="18">
        <v>0.19463753723932473</v>
      </c>
      <c r="I5" s="18">
        <v>0.2733492986657543</v>
      </c>
      <c r="J5" s="18">
        <v>0.21443728302622908</v>
      </c>
      <c r="K5" s="18">
        <v>0.18771406524083617</v>
      </c>
      <c r="L5" s="18">
        <v>0.11403407962882359</v>
      </c>
      <c r="M5" s="18">
        <v>8.0474857592049781E-2</v>
      </c>
      <c r="N5" s="18">
        <v>4.5508749416965075E-2</v>
      </c>
      <c r="O5" s="19">
        <v>4.0696008159716864E-2</v>
      </c>
      <c r="P5" t="s">
        <v>383</v>
      </c>
      <c r="R5" s="30">
        <f>HLOOKUP(year,'Energy mix'!$C$4:$O$18,ROW(R2),FALSE)</f>
        <v>4.5508749416965075E-2</v>
      </c>
      <c r="S5" t="str">
        <f>P5</f>
        <v>Electricity, high voltage {DK}| electricity production, oil | Alloc Rec, U_mr</v>
      </c>
    </row>
    <row r="6" spans="2:19" x14ac:dyDescent="0.25">
      <c r="B6" s="28" t="s">
        <v>636</v>
      </c>
      <c r="C6" s="24">
        <v>0.47337006427915518</v>
      </c>
      <c r="D6" s="14">
        <v>0.55425115617218068</v>
      </c>
      <c r="E6" s="14">
        <v>0.54739446420287607</v>
      </c>
      <c r="F6" s="14">
        <v>0.51043271250525146</v>
      </c>
      <c r="G6" s="14">
        <v>0.51430332922318134</v>
      </c>
      <c r="H6" s="14">
        <v>0.45054617676266134</v>
      </c>
      <c r="I6" s="14">
        <v>0.38036264112213475</v>
      </c>
      <c r="J6" s="14">
        <v>0.39522666209989216</v>
      </c>
      <c r="K6" s="14">
        <v>0.39197685434762497</v>
      </c>
      <c r="L6" s="14">
        <v>0.37145536225083203</v>
      </c>
      <c r="M6" s="14">
        <v>0.3862082772665571</v>
      </c>
      <c r="N6" s="14">
        <v>0.40155200374922045</v>
      </c>
      <c r="O6" s="15">
        <v>0.39214512547653202</v>
      </c>
      <c r="P6" t="s">
        <v>384</v>
      </c>
      <c r="R6" s="31">
        <f>HLOOKUP(year,'Energy mix'!$C$4:$O$18,ROW(R3),FALSE)</f>
        <v>0.40155200374922045</v>
      </c>
      <c r="S6" s="8" t="str">
        <f t="shared" ref="S6:S18" si="0">P6</f>
        <v>Electricity, high voltage {DK}| electricity production, hard coal | Alloc Rec, U</v>
      </c>
    </row>
    <row r="7" spans="2:19" x14ac:dyDescent="0.25">
      <c r="B7" s="28" t="s">
        <v>637</v>
      </c>
      <c r="C7" s="24">
        <v>0</v>
      </c>
      <c r="D7" s="14">
        <v>0</v>
      </c>
      <c r="E7" s="14">
        <v>0</v>
      </c>
      <c r="F7" s="14">
        <v>0</v>
      </c>
      <c r="G7" s="14">
        <v>0</v>
      </c>
      <c r="H7" s="14">
        <v>0</v>
      </c>
      <c r="I7" s="14">
        <v>0</v>
      </c>
      <c r="J7" s="14">
        <v>0</v>
      </c>
      <c r="K7" s="14">
        <v>0</v>
      </c>
      <c r="L7" s="14">
        <v>0</v>
      </c>
      <c r="M7" s="14">
        <v>0</v>
      </c>
      <c r="N7" s="14">
        <v>0</v>
      </c>
      <c r="O7" s="15">
        <v>0</v>
      </c>
      <c r="P7" t="s">
        <v>386</v>
      </c>
      <c r="R7" s="31">
        <f>HLOOKUP(year,'Energy mix'!$C$4:$O$18,ROW(R4),FALSE)</f>
        <v>0</v>
      </c>
      <c r="S7" s="8" t="str">
        <f t="shared" si="0"/>
        <v>Electricity, high voltage_CCS {DK}| electricity production, hard coal | Alloc Rec, U</v>
      </c>
    </row>
    <row r="8" spans="2:19" x14ac:dyDescent="0.25">
      <c r="B8" s="28" t="s">
        <v>638</v>
      </c>
      <c r="C8" s="24">
        <v>5.2800734618916436E-3</v>
      </c>
      <c r="D8" s="14">
        <v>9.0715048025613657E-3</v>
      </c>
      <c r="E8" s="14">
        <v>1.2989021184475025E-2</v>
      </c>
      <c r="F8" s="14">
        <v>3.0387900854222098E-2</v>
      </c>
      <c r="G8" s="14">
        <v>3.8840937114673242E-2</v>
      </c>
      <c r="H8" s="14">
        <v>7.477656405163853E-2</v>
      </c>
      <c r="I8" s="14">
        <v>0.11016079370509749</v>
      </c>
      <c r="J8" s="14">
        <v>0.12333512148262905</v>
      </c>
      <c r="K8" s="14">
        <v>0.10607442880412292</v>
      </c>
      <c r="L8" s="14">
        <v>0.14711869443550185</v>
      </c>
      <c r="M8" s="14">
        <v>0.1770320558008027</v>
      </c>
      <c r="N8" s="14">
        <v>0.22375550314523707</v>
      </c>
      <c r="O8" s="15">
        <v>0.22790253810395614</v>
      </c>
      <c r="P8" t="s">
        <v>385</v>
      </c>
      <c r="R8" s="31">
        <f>HLOOKUP(year,'Energy mix'!$C$4:$O$18,ROW(R5),FALSE)</f>
        <v>0.22375550314523707</v>
      </c>
      <c r="S8" s="8" t="str">
        <f t="shared" si="0"/>
        <v>Electricity, high voltage {RoW}| electricity production, natural gas, combined cycle power plant | Alloc Rec, U</v>
      </c>
    </row>
    <row r="9" spans="2:19" x14ac:dyDescent="0.25">
      <c r="B9" s="28" t="s">
        <v>639</v>
      </c>
      <c r="C9" s="24">
        <v>0</v>
      </c>
      <c r="D9" s="14">
        <v>0</v>
      </c>
      <c r="E9" s="14">
        <v>0</v>
      </c>
      <c r="F9" s="14">
        <v>0</v>
      </c>
      <c r="G9" s="14">
        <v>0</v>
      </c>
      <c r="H9" s="14">
        <v>0</v>
      </c>
      <c r="I9" s="14">
        <v>0</v>
      </c>
      <c r="J9" s="14">
        <v>0</v>
      </c>
      <c r="K9" s="14">
        <v>0</v>
      </c>
      <c r="L9" s="14">
        <v>0</v>
      </c>
      <c r="M9" s="14">
        <v>0</v>
      </c>
      <c r="N9" s="14">
        <v>0</v>
      </c>
      <c r="O9" s="15">
        <v>0</v>
      </c>
      <c r="P9" t="s">
        <v>387</v>
      </c>
      <c r="R9" s="31">
        <f>HLOOKUP(year,'Energy mix'!$C$4:$O$18,ROW(R6),FALSE)</f>
        <v>0</v>
      </c>
      <c r="S9" s="8" t="str">
        <f t="shared" si="0"/>
        <v>Electricity, high voltage_CCS {RoW}| electricity production, natural gas, combined cycle power plant | Alloc Rec, U</v>
      </c>
    </row>
    <row r="10" spans="2:19" x14ac:dyDescent="0.25">
      <c r="B10" s="28" t="s">
        <v>640</v>
      </c>
      <c r="C10" s="24">
        <v>0</v>
      </c>
      <c r="D10" s="14">
        <v>0</v>
      </c>
      <c r="E10" s="14">
        <v>0</v>
      </c>
      <c r="F10" s="14">
        <v>0</v>
      </c>
      <c r="G10" s="14">
        <v>0</v>
      </c>
      <c r="H10" s="14">
        <v>0</v>
      </c>
      <c r="I10" s="14">
        <v>2.0526855969893939E-4</v>
      </c>
      <c r="J10" s="14">
        <v>2.3813838914589599E-2</v>
      </c>
      <c r="K10" s="14">
        <v>9.2850413072874172E-2</v>
      </c>
      <c r="L10" s="14">
        <v>0.16897542433742332</v>
      </c>
      <c r="M10" s="14">
        <v>0.16660847491058525</v>
      </c>
      <c r="N10" s="14">
        <v>0.1277434156911105</v>
      </c>
      <c r="O10" s="15">
        <v>0.10571571984221116</v>
      </c>
      <c r="P10" t="s">
        <v>388</v>
      </c>
      <c r="R10" s="31">
        <f>HLOOKUP(year,'Energy mix'!$C$4:$O$18,ROW(R7),FALSE)</f>
        <v>0.1277434156911105</v>
      </c>
      <c r="S10" s="8" t="str">
        <f t="shared" si="0"/>
        <v>Electricity, high voltage {DE}| electricity production, nuclear, pressure water reactor | Alloc Rec, U</v>
      </c>
    </row>
    <row r="11" spans="2:19" x14ac:dyDescent="0.25">
      <c r="B11" s="28" t="s">
        <v>641</v>
      </c>
      <c r="C11" s="24">
        <v>0.50505050505050497</v>
      </c>
      <c r="D11" s="14">
        <v>0.40910707933119889</v>
      </c>
      <c r="E11" s="14">
        <v>0.38657801144270915</v>
      </c>
      <c r="F11" s="14">
        <v>0.36409466461279932</v>
      </c>
      <c r="G11" s="14">
        <v>0.32059186189889027</v>
      </c>
      <c r="H11" s="14">
        <v>0.26812313803376364</v>
      </c>
      <c r="I11" s="14">
        <v>0.21895313034553535</v>
      </c>
      <c r="J11" s="14">
        <v>2.357531319446183E-3</v>
      </c>
      <c r="K11" s="14">
        <v>3.2710266365409027E-3</v>
      </c>
      <c r="L11" s="14">
        <v>8.9304459766486929E-3</v>
      </c>
      <c r="M11" s="14">
        <v>7.3848328981224523E-3</v>
      </c>
      <c r="N11" s="14">
        <v>1.3464306397923098E-2</v>
      </c>
      <c r="O11" s="15">
        <v>1.7835299540652078E-2</v>
      </c>
      <c r="P11" t="s">
        <v>389</v>
      </c>
      <c r="R11" s="31">
        <f>HLOOKUP(year,'Energy mix'!$C$4:$O$18,ROW(R8),FALSE)</f>
        <v>1.3464306397923098E-2</v>
      </c>
      <c r="S11" s="8" t="str">
        <f t="shared" si="0"/>
        <v>Electricity, high voltage {SE}| ethanol production from wood | Alloc Rec, U</v>
      </c>
    </row>
    <row r="12" spans="2:19" x14ac:dyDescent="0.25">
      <c r="B12" s="28" t="s">
        <v>642</v>
      </c>
      <c r="C12" s="24">
        <v>0</v>
      </c>
      <c r="D12" s="14">
        <v>0</v>
      </c>
      <c r="E12" s="14">
        <v>0</v>
      </c>
      <c r="F12" s="14">
        <v>0</v>
      </c>
      <c r="G12" s="14">
        <v>0</v>
      </c>
      <c r="H12" s="14">
        <v>0</v>
      </c>
      <c r="I12" s="14">
        <v>0</v>
      </c>
      <c r="J12" s="14">
        <v>0</v>
      </c>
      <c r="K12" s="14">
        <v>0</v>
      </c>
      <c r="L12" s="14">
        <v>2.0265446201204709E-3</v>
      </c>
      <c r="M12" s="14">
        <v>3.1894313052268329E-3</v>
      </c>
      <c r="N12" s="14">
        <v>3.7673881592558511E-3</v>
      </c>
      <c r="O12" s="15">
        <v>3.8743361174980811E-3</v>
      </c>
      <c r="P12" t="s">
        <v>390</v>
      </c>
      <c r="R12" s="31">
        <f>HLOOKUP(year,'Energy mix'!$C$4:$O$18,ROW(R9),FALSE)</f>
        <v>3.7673881592558511E-3</v>
      </c>
      <c r="S12" s="8" t="str">
        <f t="shared" si="0"/>
        <v>Electricity, for reuse in municipal waste incineration only {CH}| treatment of municipal solid waste, incineration | Alloc Rec, U</v>
      </c>
    </row>
    <row r="13" spans="2:19" x14ac:dyDescent="0.25">
      <c r="B13" s="28" t="s">
        <v>643</v>
      </c>
      <c r="C13" s="24">
        <v>1.3774104683195591E-3</v>
      </c>
      <c r="D13" s="14">
        <v>2.1344717182497333E-3</v>
      </c>
      <c r="E13" s="14">
        <v>3.5565177052729242E-3</v>
      </c>
      <c r="F13" s="14">
        <v>6.5817112449236799E-3</v>
      </c>
      <c r="G13" s="14">
        <v>8.5080147965474716E-3</v>
      </c>
      <c r="H13" s="14">
        <v>1.1916583912611717E-2</v>
      </c>
      <c r="I13" s="14">
        <v>1.696886760177899E-2</v>
      </c>
      <c r="J13" s="14">
        <v>0.24019343768110682</v>
      </c>
      <c r="K13" s="14">
        <v>0.2172306007702651</v>
      </c>
      <c r="L13" s="14">
        <v>0.18401857896753759</v>
      </c>
      <c r="M13" s="14">
        <v>0.17364222790841463</v>
      </c>
      <c r="N13" s="14">
        <v>0.16365447403761232</v>
      </c>
      <c r="O13" s="15">
        <v>0.16354626182292906</v>
      </c>
      <c r="P13" t="s">
        <v>391</v>
      </c>
      <c r="R13" s="31">
        <f>HLOOKUP(year,'Energy mix'!$C$4:$O$18,ROW(R10),FALSE)</f>
        <v>0.16365447403761232</v>
      </c>
      <c r="S13" s="8" t="str">
        <f t="shared" si="0"/>
        <v>Electricity, high voltage {SE}| electricity production, hydro, run-of-river | Alloc Rec, U</v>
      </c>
    </row>
    <row r="14" spans="2:19" x14ac:dyDescent="0.25">
      <c r="B14" s="28" t="s">
        <v>644</v>
      </c>
      <c r="C14" s="24">
        <v>0</v>
      </c>
      <c r="D14" s="14">
        <v>0</v>
      </c>
      <c r="E14" s="14">
        <v>0</v>
      </c>
      <c r="F14" s="14">
        <v>0</v>
      </c>
      <c r="G14" s="14">
        <v>0</v>
      </c>
      <c r="H14" s="14">
        <v>0</v>
      </c>
      <c r="I14" s="14">
        <v>0</v>
      </c>
      <c r="J14" s="14">
        <v>0</v>
      </c>
      <c r="K14" s="14">
        <v>4.1536377642765986E-3</v>
      </c>
      <c r="L14" s="14">
        <v>3.0577394386267411E-3</v>
      </c>
      <c r="M14" s="14">
        <v>3.343587473206764E-3</v>
      </c>
      <c r="N14" s="14">
        <v>3.1571016805495098E-3</v>
      </c>
      <c r="O14" s="15">
        <v>3.307351075567459E-3</v>
      </c>
      <c r="P14" t="s">
        <v>392</v>
      </c>
      <c r="R14" s="31">
        <f>HLOOKUP(year,'Energy mix'!$C$4:$O$18,ROW(R11),FALSE)</f>
        <v>3.1571016805495098E-3</v>
      </c>
      <c r="S14" s="8" t="str">
        <f t="shared" si="0"/>
        <v>Electricity, high voltage {DE}| electricity production, geothermal | Alloc Rec, U</v>
      </c>
    </row>
    <row r="15" spans="2:19" x14ac:dyDescent="0.25">
      <c r="B15" s="28" t="s">
        <v>645</v>
      </c>
      <c r="C15" s="24">
        <v>0</v>
      </c>
      <c r="D15" s="14">
        <v>0</v>
      </c>
      <c r="E15" s="14">
        <v>0</v>
      </c>
      <c r="F15" s="14">
        <v>0</v>
      </c>
      <c r="G15" s="14">
        <v>0</v>
      </c>
      <c r="H15" s="14">
        <v>0</v>
      </c>
      <c r="I15" s="14">
        <v>0</v>
      </c>
      <c r="J15" s="14">
        <v>0</v>
      </c>
      <c r="K15" s="14">
        <v>0</v>
      </c>
      <c r="L15" s="14">
        <v>3.2571116051809899E-4</v>
      </c>
      <c r="M15" s="14">
        <v>2.0161208635806663E-3</v>
      </c>
      <c r="N15" s="14">
        <v>1.5819526497778721E-2</v>
      </c>
      <c r="O15" s="15">
        <v>3.4453581373289494E-2</v>
      </c>
      <c r="P15" t="s">
        <v>393</v>
      </c>
      <c r="R15" s="31">
        <f>HLOOKUP(year,'Energy mix'!$C$4:$O$18,ROW(R12),FALSE)</f>
        <v>1.5819526497778721E-2</v>
      </c>
      <c r="S15" s="8" t="str">
        <f t="shared" si="0"/>
        <v>Electricity, high voltage {DE}| electricity production, wind, 1-3MW turbine, onshore | Alloc Rec, U</v>
      </c>
    </row>
    <row r="16" spans="2:19" x14ac:dyDescent="0.25">
      <c r="B16" s="28" t="s">
        <v>646</v>
      </c>
      <c r="C16" s="24">
        <v>0</v>
      </c>
      <c r="D16" s="14">
        <v>0</v>
      </c>
      <c r="E16" s="14">
        <v>0</v>
      </c>
      <c r="F16" s="14">
        <v>0</v>
      </c>
      <c r="G16" s="14">
        <v>0</v>
      </c>
      <c r="H16" s="14">
        <v>0</v>
      </c>
      <c r="I16" s="14">
        <v>0</v>
      </c>
      <c r="J16" s="14">
        <v>0</v>
      </c>
      <c r="K16" s="14">
        <v>0</v>
      </c>
      <c r="L16" s="14">
        <v>0</v>
      </c>
      <c r="M16" s="14">
        <v>0</v>
      </c>
      <c r="N16" s="14">
        <v>0</v>
      </c>
      <c r="O16" s="15">
        <v>0</v>
      </c>
      <c r="P16" t="s">
        <v>394</v>
      </c>
      <c r="R16" s="31">
        <f>HLOOKUP(year,'Energy mix'!$C$4:$O$18,ROW(R13),FALSE)</f>
        <v>0</v>
      </c>
      <c r="S16" s="8" t="str">
        <f t="shared" si="0"/>
        <v>Electricity, high voltage {DK}| electricity production, wind, 1-3MW turbine, offshore | Alloc Rec, U</v>
      </c>
    </row>
    <row r="17" spans="2:19" x14ac:dyDescent="0.25">
      <c r="B17" s="28" t="s">
        <v>647</v>
      </c>
      <c r="C17" s="24">
        <v>0</v>
      </c>
      <c r="D17" s="14">
        <v>0</v>
      </c>
      <c r="E17" s="14">
        <v>0</v>
      </c>
      <c r="F17" s="14">
        <v>0</v>
      </c>
      <c r="G17" s="14">
        <v>0</v>
      </c>
      <c r="H17" s="14">
        <v>0</v>
      </c>
      <c r="I17" s="14">
        <v>0</v>
      </c>
      <c r="J17" s="14">
        <v>0</v>
      </c>
      <c r="K17" s="14">
        <v>0</v>
      </c>
      <c r="L17" s="14">
        <v>5.5656314284407124E-5</v>
      </c>
      <c r="M17" s="14">
        <v>3.3828178705650276E-5</v>
      </c>
      <c r="N17" s="14">
        <v>7.6285809838292623E-5</v>
      </c>
      <c r="O17" s="15">
        <v>3.8719926944402863E-4</v>
      </c>
      <c r="P17" t="s">
        <v>395</v>
      </c>
      <c r="R17" s="31">
        <f>HLOOKUP(year,'Energy mix'!$C$4:$O$18,ROW(R14),FALSE)</f>
        <v>7.6285809838292623E-5</v>
      </c>
      <c r="S17" s="8" t="str">
        <f t="shared" si="0"/>
        <v>Heat, solar+gas, multiple-dwelling, for hot water {CH}| heat production, at hot water tank, solar+gas, flat plate, multiple dwelling | Alloc Rec, U</v>
      </c>
    </row>
    <row r="18" spans="2:19" ht="15.75" thickBot="1" x14ac:dyDescent="0.3">
      <c r="B18" s="29" t="s">
        <v>648</v>
      </c>
      <c r="C18" s="25">
        <v>0</v>
      </c>
      <c r="D18" s="16">
        <v>0</v>
      </c>
      <c r="E18" s="16">
        <v>0</v>
      </c>
      <c r="F18" s="16">
        <v>0</v>
      </c>
      <c r="G18" s="16">
        <v>0</v>
      </c>
      <c r="H18" s="16">
        <v>0</v>
      </c>
      <c r="I18" s="16">
        <v>0</v>
      </c>
      <c r="J18" s="16">
        <v>0</v>
      </c>
      <c r="K18" s="16">
        <v>0</v>
      </c>
      <c r="L18" s="16">
        <v>1.7628696832165153E-6</v>
      </c>
      <c r="M18" s="16">
        <v>6.6305802748147221E-5</v>
      </c>
      <c r="N18" s="16">
        <v>1.5012454145090976E-3</v>
      </c>
      <c r="O18" s="17">
        <v>1.0136579218203644E-2</v>
      </c>
      <c r="P18" t="s">
        <v>396</v>
      </c>
      <c r="R18" s="32">
        <f>HLOOKUP(year,'Energy mix'!$C$4:$O$18,ROW(R15),FALSE)</f>
        <v>1.5012454145090976E-3</v>
      </c>
      <c r="S18" s="8" t="str">
        <f t="shared" si="0"/>
        <v>Electricity, low voltage {IN}| electricity production, photovoltaic, 3kWp slanted-roof installation, CIS, panel, mounted | Alloc Rec, U</v>
      </c>
    </row>
    <row r="22" spans="2:19" ht="15.75" thickBot="1" x14ac:dyDescent="0.3">
      <c r="B22" s="1" t="s">
        <v>464</v>
      </c>
      <c r="C22" s="52" t="s">
        <v>468</v>
      </c>
      <c r="D22" s="52" t="s">
        <v>468</v>
      </c>
      <c r="E22" s="52" t="s">
        <v>468</v>
      </c>
      <c r="F22" s="52" t="s">
        <v>468</v>
      </c>
      <c r="G22" s="52" t="s">
        <v>468</v>
      </c>
      <c r="H22" s="52" t="s">
        <v>468</v>
      </c>
      <c r="I22" s="52" t="s">
        <v>468</v>
      </c>
      <c r="J22" s="52" t="s">
        <v>468</v>
      </c>
      <c r="K22" s="52" t="s">
        <v>468</v>
      </c>
      <c r="L22" s="8" t="s">
        <v>467</v>
      </c>
      <c r="M22" s="8" t="s">
        <v>467</v>
      </c>
      <c r="N22" s="8" t="s">
        <v>467</v>
      </c>
      <c r="O22" s="8" t="s">
        <v>467</v>
      </c>
      <c r="R22" s="1" t="s">
        <v>402</v>
      </c>
      <c r="S22" s="1" t="s">
        <v>605</v>
      </c>
    </row>
    <row r="23" spans="2:19" ht="15.75" thickBot="1" x14ac:dyDescent="0.3">
      <c r="B23" s="26" t="s">
        <v>649</v>
      </c>
      <c r="C23" s="22">
        <v>1900</v>
      </c>
      <c r="D23" s="20">
        <v>1910</v>
      </c>
      <c r="E23" s="20">
        <v>1920</v>
      </c>
      <c r="F23" s="20">
        <v>1930</v>
      </c>
      <c r="G23" s="20">
        <v>1940</v>
      </c>
      <c r="H23" s="20">
        <v>1950</v>
      </c>
      <c r="I23" s="20">
        <v>1960</v>
      </c>
      <c r="J23" s="20">
        <v>1970</v>
      </c>
      <c r="K23" s="20">
        <v>1980</v>
      </c>
      <c r="L23" s="20">
        <v>1990</v>
      </c>
      <c r="M23" s="20">
        <v>2000</v>
      </c>
      <c r="N23" s="20">
        <v>2010</v>
      </c>
      <c r="O23" s="21">
        <v>2015</v>
      </c>
      <c r="R23" s="33">
        <f>HLOOKUP(year,'Energy mix'!$C$23:$O$37,ROW(R1),FALSE)</f>
        <v>2010</v>
      </c>
    </row>
    <row r="24" spans="2:19" x14ac:dyDescent="0.25">
      <c r="B24" s="27" t="s">
        <v>635</v>
      </c>
      <c r="C24" s="23">
        <v>0</v>
      </c>
      <c r="D24" s="18">
        <v>0</v>
      </c>
      <c r="E24" s="18">
        <v>0</v>
      </c>
      <c r="F24" s="18">
        <v>0</v>
      </c>
      <c r="G24" s="18">
        <v>0</v>
      </c>
      <c r="H24" s="18">
        <v>0.05</v>
      </c>
      <c r="I24" s="18">
        <v>0.6</v>
      </c>
      <c r="J24" s="18">
        <v>0.55000000000000004</v>
      </c>
      <c r="K24" s="18">
        <v>0.35</v>
      </c>
      <c r="L24" s="18">
        <v>0.16123169246821123</v>
      </c>
      <c r="M24" s="18">
        <v>9.5258001080994054E-2</v>
      </c>
      <c r="N24" s="57">
        <v>5.7534936699326598E-2</v>
      </c>
      <c r="O24" s="58">
        <v>4.5446146251399269E-2</v>
      </c>
      <c r="P24" t="s">
        <v>397</v>
      </c>
      <c r="R24" s="30">
        <f>HLOOKUP(year,'Energy mix'!$C$23:$O$37,ROW(R2),FALSE)</f>
        <v>5.7534936699326598E-2</v>
      </c>
      <c r="S24" t="str">
        <f>P24</f>
        <v>Heat, district or industrial, other than natural gas {CH}| heat production, heavy fuel oil, at industrial furnace 1MW | Alloc Rec, U</v>
      </c>
    </row>
    <row r="25" spans="2:19" x14ac:dyDescent="0.25">
      <c r="B25" s="28" t="s">
        <v>636</v>
      </c>
      <c r="C25" s="24">
        <v>0.98</v>
      </c>
      <c r="D25" s="14">
        <v>0.98</v>
      </c>
      <c r="E25" s="14">
        <v>0.98</v>
      </c>
      <c r="F25" s="14">
        <v>0.98</v>
      </c>
      <c r="G25" s="14">
        <v>0.98</v>
      </c>
      <c r="H25" s="14">
        <v>0.9</v>
      </c>
      <c r="I25" s="14">
        <v>0.3</v>
      </c>
      <c r="J25" s="14">
        <v>0.2</v>
      </c>
      <c r="K25" s="14">
        <v>0.26200000000000001</v>
      </c>
      <c r="L25" s="14">
        <v>0.30643515654779974</v>
      </c>
      <c r="M25" s="14">
        <v>0.35572672207445716</v>
      </c>
      <c r="N25" s="59">
        <v>0.39993349112611032</v>
      </c>
      <c r="O25" s="60">
        <v>0.44844803106277847</v>
      </c>
      <c r="P25" t="s">
        <v>398</v>
      </c>
      <c r="R25" s="31">
        <f>HLOOKUP(year,'Energy mix'!$C$23:$O$37,ROW(R3),FALSE)</f>
        <v>0.39993349112611032</v>
      </c>
      <c r="S25" s="8" t="str">
        <f t="shared" ref="S25:S36" si="1">P25</f>
        <v>Heat, district or industrial, other than natural gas {RoW}| heat production, at hard coal industrial furnace 1-10MW | Alloc Rec, U</v>
      </c>
    </row>
    <row r="26" spans="2:19" x14ac:dyDescent="0.25">
      <c r="B26" s="28" t="s">
        <v>637</v>
      </c>
      <c r="C26" s="24">
        <v>0</v>
      </c>
      <c r="D26" s="14">
        <v>0</v>
      </c>
      <c r="E26" s="14">
        <v>0</v>
      </c>
      <c r="F26" s="14">
        <v>0</v>
      </c>
      <c r="G26" s="14">
        <v>0</v>
      </c>
      <c r="H26" s="14">
        <v>0</v>
      </c>
      <c r="I26" s="14">
        <v>0</v>
      </c>
      <c r="J26" s="14">
        <v>0</v>
      </c>
      <c r="K26" s="14">
        <v>0</v>
      </c>
      <c r="L26" s="14">
        <v>0</v>
      </c>
      <c r="M26" s="14">
        <v>0</v>
      </c>
      <c r="N26" s="59">
        <v>0</v>
      </c>
      <c r="O26" s="60">
        <v>0</v>
      </c>
      <c r="R26" s="31">
        <f>HLOOKUP(year,'Energy mix'!$C$23:$O$37,ROW(R4),FALSE)</f>
        <v>0</v>
      </c>
      <c r="S26" s="8"/>
    </row>
    <row r="27" spans="2:19" x14ac:dyDescent="0.25">
      <c r="B27" s="28" t="s">
        <v>638</v>
      </c>
      <c r="C27" s="24">
        <v>0</v>
      </c>
      <c r="D27" s="14">
        <v>0.01</v>
      </c>
      <c r="E27" s="14">
        <v>0.01</v>
      </c>
      <c r="F27" s="14">
        <v>0.01</v>
      </c>
      <c r="G27" s="14">
        <v>0.01</v>
      </c>
      <c r="H27" s="14">
        <v>0.05</v>
      </c>
      <c r="I27" s="14">
        <v>0.1</v>
      </c>
      <c r="J27" s="14">
        <v>0.25</v>
      </c>
      <c r="K27" s="14">
        <v>0.37</v>
      </c>
      <c r="L27" s="14">
        <v>0.51213288879657293</v>
      </c>
      <c r="M27" s="14">
        <v>0.51192592726454289</v>
      </c>
      <c r="N27" s="59">
        <v>0.48247668814230626</v>
      </c>
      <c r="O27" s="60">
        <v>0.43051031815344343</v>
      </c>
      <c r="P27" t="s">
        <v>399</v>
      </c>
      <c r="R27" s="31">
        <f>HLOOKUP(year,'Energy mix'!$C$23:$O$37,ROW(R5),FALSE)</f>
        <v>0.48247668814230626</v>
      </c>
      <c r="S27" s="8" t="str">
        <f t="shared" si="1"/>
        <v>Heat, district or industrial, natural gas {Europe without Switzerland}| market for heat, district or industrial, natural gas | Alloc Rec, U</v>
      </c>
    </row>
    <row r="28" spans="2:19" x14ac:dyDescent="0.25">
      <c r="B28" s="28" t="s">
        <v>639</v>
      </c>
      <c r="C28" s="24">
        <v>0</v>
      </c>
      <c r="D28" s="14">
        <v>0</v>
      </c>
      <c r="E28" s="14">
        <v>0</v>
      </c>
      <c r="F28" s="14">
        <v>0</v>
      </c>
      <c r="G28" s="14">
        <v>0</v>
      </c>
      <c r="H28" s="14">
        <v>0</v>
      </c>
      <c r="I28" s="14">
        <v>0</v>
      </c>
      <c r="J28" s="14">
        <v>0</v>
      </c>
      <c r="K28" s="14">
        <v>0</v>
      </c>
      <c r="L28" s="14">
        <v>0</v>
      </c>
      <c r="M28" s="14">
        <v>0</v>
      </c>
      <c r="N28" s="59">
        <v>0</v>
      </c>
      <c r="O28" s="60">
        <v>0</v>
      </c>
      <c r="R28" s="31">
        <f>HLOOKUP(year,'Energy mix'!$C$23:$O$37,ROW(R6),FALSE)</f>
        <v>0</v>
      </c>
      <c r="S28" s="8"/>
    </row>
    <row r="29" spans="2:19" x14ac:dyDescent="0.25">
      <c r="B29" s="28" t="s">
        <v>640</v>
      </c>
      <c r="C29" s="24">
        <v>0</v>
      </c>
      <c r="D29" s="14">
        <v>0</v>
      </c>
      <c r="E29" s="14">
        <v>0</v>
      </c>
      <c r="F29" s="14">
        <v>0</v>
      </c>
      <c r="G29" s="14">
        <v>0</v>
      </c>
      <c r="H29" s="14">
        <v>0</v>
      </c>
      <c r="I29" s="14">
        <v>0</v>
      </c>
      <c r="J29" s="14">
        <v>0</v>
      </c>
      <c r="K29" s="14">
        <v>3.0000000000000001E-3</v>
      </c>
      <c r="L29" s="14">
        <v>2.7609187059232597E-3</v>
      </c>
      <c r="M29" s="14">
        <v>1.5694127968010462E-3</v>
      </c>
      <c r="N29" s="59">
        <v>1.9706806714269776E-3</v>
      </c>
      <c r="O29" s="60">
        <v>1.9488209927377772E-3</v>
      </c>
      <c r="P29" t="s">
        <v>388</v>
      </c>
      <c r="R29" s="31">
        <f>HLOOKUP(year,'Energy mix'!$C$23:$O$37,ROW(R7),FALSE)</f>
        <v>1.9706806714269776E-3</v>
      </c>
      <c r="S29" s="8" t="str">
        <f t="shared" si="1"/>
        <v>Electricity, high voltage {DE}| electricity production, nuclear, pressure water reactor | Alloc Rec, U</v>
      </c>
    </row>
    <row r="30" spans="2:19" x14ac:dyDescent="0.25">
      <c r="B30" s="28" t="s">
        <v>641</v>
      </c>
      <c r="C30" s="24">
        <v>0.02</v>
      </c>
      <c r="D30" s="14">
        <v>0.01</v>
      </c>
      <c r="E30" s="14">
        <v>0.01</v>
      </c>
      <c r="F30" s="14">
        <v>0.01</v>
      </c>
      <c r="G30" s="14">
        <v>0.01</v>
      </c>
      <c r="H30" s="14">
        <v>0</v>
      </c>
      <c r="I30" s="14">
        <v>0</v>
      </c>
      <c r="J30" s="14">
        <v>0</v>
      </c>
      <c r="K30" s="14">
        <v>0.01</v>
      </c>
      <c r="L30" s="14">
        <v>1.102053243472388E-2</v>
      </c>
      <c r="M30" s="14">
        <v>1.7575599762772735E-2</v>
      </c>
      <c r="N30" s="59">
        <v>3.1611895140517758E-2</v>
      </c>
      <c r="O30" s="60">
        <v>4.0476569688579642E-2</v>
      </c>
      <c r="P30" t="s">
        <v>400</v>
      </c>
      <c r="R30" s="31">
        <f>HLOOKUP(year,'Energy mix'!$C$23:$O$37,ROW(R8),FALSE)</f>
        <v>3.1611895140517758E-2</v>
      </c>
      <c r="S30" s="8" t="str">
        <f t="shared" si="1"/>
        <v>Heat, central or small-scale, other than natural gas {CH}| treatment of biogas, burned in micro gas turbine 100kWe | Alloc Rec, U</v>
      </c>
    </row>
    <row r="31" spans="2:19" x14ac:dyDescent="0.25">
      <c r="B31" s="28" t="s">
        <v>642</v>
      </c>
      <c r="C31" s="24">
        <v>0</v>
      </c>
      <c r="D31" s="14">
        <v>0</v>
      </c>
      <c r="E31" s="14">
        <v>0</v>
      </c>
      <c r="F31" s="14">
        <v>0</v>
      </c>
      <c r="G31" s="14">
        <v>0</v>
      </c>
      <c r="H31" s="14">
        <v>0</v>
      </c>
      <c r="I31" s="14">
        <v>0</v>
      </c>
      <c r="J31" s="14">
        <v>0</v>
      </c>
      <c r="K31" s="14">
        <v>5.0000000000000001E-3</v>
      </c>
      <c r="L31" s="14">
        <v>5.4406805409409785E-3</v>
      </c>
      <c r="M31" s="14">
        <v>1.6438009590947249E-2</v>
      </c>
      <c r="N31" s="59">
        <v>2.462839232561494E-2</v>
      </c>
      <c r="O31" s="60">
        <v>3.0514620686427622E-2</v>
      </c>
      <c r="P31" t="s">
        <v>401</v>
      </c>
      <c r="R31" s="31">
        <f>HLOOKUP(year,'Energy mix'!$C$23:$O$37,ROW(R9),FALSE)</f>
        <v>2.462839232561494E-2</v>
      </c>
      <c r="S31" s="8" t="str">
        <f t="shared" si="1"/>
        <v>Heat, for reuse in municipal waste incineration only {NL}| treatment of municipal solid waste, incineration | Alloc Rec, U</v>
      </c>
    </row>
    <row r="32" spans="2:19" x14ac:dyDescent="0.25">
      <c r="B32" s="28" t="s">
        <v>643</v>
      </c>
      <c r="C32" s="24">
        <v>0</v>
      </c>
      <c r="D32" s="14">
        <v>0</v>
      </c>
      <c r="E32" s="14">
        <v>0</v>
      </c>
      <c r="F32" s="14">
        <v>0</v>
      </c>
      <c r="G32" s="14">
        <v>0</v>
      </c>
      <c r="H32" s="14">
        <v>0</v>
      </c>
      <c r="I32" s="14">
        <v>0</v>
      </c>
      <c r="J32" s="14">
        <v>0</v>
      </c>
      <c r="K32" s="14">
        <v>0</v>
      </c>
      <c r="L32" s="14">
        <v>0</v>
      </c>
      <c r="M32" s="14">
        <v>0</v>
      </c>
      <c r="N32" s="59">
        <v>0</v>
      </c>
      <c r="O32" s="60">
        <v>0</v>
      </c>
      <c r="R32" s="31">
        <f>HLOOKUP(year,'Energy mix'!$C$23:$O$37,ROW(R10),FALSE)</f>
        <v>0</v>
      </c>
      <c r="S32" s="8"/>
    </row>
    <row r="33" spans="2:19" x14ac:dyDescent="0.25">
      <c r="B33" s="28" t="s">
        <v>644</v>
      </c>
      <c r="C33" s="24">
        <v>0</v>
      </c>
      <c r="D33" s="14">
        <v>0</v>
      </c>
      <c r="E33" s="14">
        <v>0</v>
      </c>
      <c r="F33" s="14">
        <v>0</v>
      </c>
      <c r="G33" s="14">
        <v>0</v>
      </c>
      <c r="H33" s="14">
        <v>0</v>
      </c>
      <c r="I33" s="14">
        <v>0</v>
      </c>
      <c r="J33" s="14">
        <v>0</v>
      </c>
      <c r="K33" s="14">
        <v>0</v>
      </c>
      <c r="L33" s="14">
        <v>9.7660881449847204E-4</v>
      </c>
      <c r="M33" s="14">
        <v>1.5043560117562211E-3</v>
      </c>
      <c r="N33" s="59">
        <v>1.8243043036783812E-3</v>
      </c>
      <c r="O33" s="60">
        <v>2.5853694252948177E-3</v>
      </c>
      <c r="P33" t="s">
        <v>392</v>
      </c>
      <c r="R33" s="31">
        <f>HLOOKUP(year,'Energy mix'!$C$23:$O$37,ROW(R11),FALSE)</f>
        <v>1.8243043036783812E-3</v>
      </c>
      <c r="S33" s="8" t="str">
        <f t="shared" si="1"/>
        <v>Electricity, high voltage {DE}| electricity production, geothermal | Alloc Rec, U</v>
      </c>
    </row>
    <row r="34" spans="2:19" x14ac:dyDescent="0.25">
      <c r="B34" s="28" t="s">
        <v>645</v>
      </c>
      <c r="C34" s="24">
        <v>0</v>
      </c>
      <c r="D34" s="14">
        <v>0</v>
      </c>
      <c r="E34" s="14">
        <v>0</v>
      </c>
      <c r="F34" s="14">
        <v>0</v>
      </c>
      <c r="G34" s="14">
        <v>0</v>
      </c>
      <c r="H34" s="14">
        <v>0</v>
      </c>
      <c r="I34" s="14">
        <v>0</v>
      </c>
      <c r="J34" s="14">
        <v>0</v>
      </c>
      <c r="K34" s="14">
        <v>0</v>
      </c>
      <c r="L34" s="14">
        <v>0</v>
      </c>
      <c r="M34" s="14">
        <v>0</v>
      </c>
      <c r="N34" s="59">
        <v>0</v>
      </c>
      <c r="O34" s="60">
        <v>0</v>
      </c>
      <c r="R34" s="31">
        <f>HLOOKUP(year,'Energy mix'!$C$23:$O$37,ROW(R12),FALSE)</f>
        <v>0</v>
      </c>
      <c r="S34" s="8"/>
    </row>
    <row r="35" spans="2:19" x14ac:dyDescent="0.25">
      <c r="B35" s="28" t="s">
        <v>646</v>
      </c>
      <c r="C35" s="24">
        <v>0</v>
      </c>
      <c r="D35" s="14">
        <v>0</v>
      </c>
      <c r="E35" s="14">
        <v>0</v>
      </c>
      <c r="F35" s="14">
        <v>0</v>
      </c>
      <c r="G35" s="14">
        <v>0</v>
      </c>
      <c r="H35" s="14">
        <v>0</v>
      </c>
      <c r="I35" s="14">
        <v>0</v>
      </c>
      <c r="J35" s="14">
        <v>0</v>
      </c>
      <c r="K35" s="14">
        <v>0</v>
      </c>
      <c r="L35" s="14">
        <v>0</v>
      </c>
      <c r="M35" s="14">
        <v>0</v>
      </c>
      <c r="N35" s="59">
        <v>0</v>
      </c>
      <c r="O35" s="60">
        <v>0</v>
      </c>
      <c r="R35" s="31">
        <f>HLOOKUP(year,'Energy mix'!$C$23:$O$37,ROW(R13),FALSE)</f>
        <v>0</v>
      </c>
      <c r="S35" s="8"/>
    </row>
    <row r="36" spans="2:19" x14ac:dyDescent="0.25">
      <c r="B36" s="28" t="s">
        <v>647</v>
      </c>
      <c r="C36" s="24">
        <v>0</v>
      </c>
      <c r="D36" s="14">
        <v>0</v>
      </c>
      <c r="E36" s="14">
        <v>0</v>
      </c>
      <c r="F36" s="14">
        <v>0</v>
      </c>
      <c r="G36" s="14">
        <v>0</v>
      </c>
      <c r="H36" s="14">
        <v>0</v>
      </c>
      <c r="I36" s="14">
        <v>0</v>
      </c>
      <c r="J36" s="14">
        <v>0</v>
      </c>
      <c r="K36" s="14">
        <v>0</v>
      </c>
      <c r="L36" s="14">
        <v>1.5216913294788891E-6</v>
      </c>
      <c r="M36" s="14">
        <v>1.9714177286310639E-6</v>
      </c>
      <c r="N36" s="59">
        <v>1.9611591018743991E-5</v>
      </c>
      <c r="O36" s="60">
        <v>7.0123739338964866E-5</v>
      </c>
      <c r="P36" t="s">
        <v>395</v>
      </c>
      <c r="R36" s="31">
        <f>HLOOKUP(year,'Energy mix'!$C$23:$O$37,ROW(R14),FALSE)</f>
        <v>1.9611591018743991E-5</v>
      </c>
      <c r="S36" s="8" t="str">
        <f t="shared" si="1"/>
        <v>Heat, solar+gas, multiple-dwelling, for hot water {CH}| heat production, at hot water tank, solar+gas, flat plate, multiple dwelling | Alloc Rec, U</v>
      </c>
    </row>
    <row r="37" spans="2:19" ht="15.75" thickBot="1" x14ac:dyDescent="0.3">
      <c r="B37" s="29" t="s">
        <v>648</v>
      </c>
      <c r="C37" s="25">
        <v>0</v>
      </c>
      <c r="D37" s="16">
        <v>0</v>
      </c>
      <c r="E37" s="16">
        <v>0</v>
      </c>
      <c r="F37" s="16">
        <v>0</v>
      </c>
      <c r="G37" s="16">
        <v>0</v>
      </c>
      <c r="H37" s="16">
        <v>0</v>
      </c>
      <c r="I37" s="16">
        <v>0</v>
      </c>
      <c r="J37" s="16">
        <v>0</v>
      </c>
      <c r="K37" s="16">
        <v>0</v>
      </c>
      <c r="L37" s="16">
        <v>0</v>
      </c>
      <c r="M37" s="16">
        <v>0</v>
      </c>
      <c r="N37" s="61">
        <v>0</v>
      </c>
      <c r="O37" s="62">
        <v>0</v>
      </c>
      <c r="R37" s="32">
        <f>HLOOKUP(year,'Energy mix'!$C$23:$O$37,ROW(R15),FALSE)</f>
        <v>0</v>
      </c>
      <c r="S37" s="8"/>
    </row>
    <row r="38" spans="2:19" x14ac:dyDescent="0.25">
      <c r="B38" s="8"/>
    </row>
    <row r="39" spans="2:19" x14ac:dyDescent="0.25">
      <c r="B39" s="8"/>
    </row>
    <row r="42" spans="2:19" x14ac:dyDescent="0.25">
      <c r="F42" s="8"/>
    </row>
    <row r="43" spans="2:19" x14ac:dyDescent="0.25">
      <c r="F43" s="8"/>
    </row>
    <row r="44" spans="2:19" x14ac:dyDescent="0.25">
      <c r="F44" s="8"/>
    </row>
    <row r="45" spans="2:19" x14ac:dyDescent="0.25">
      <c r="F45" s="8"/>
    </row>
    <row r="46" spans="2:19" x14ac:dyDescent="0.25">
      <c r="F46" s="8"/>
    </row>
    <row r="47" spans="2:19" x14ac:dyDescent="0.25">
      <c r="F47" s="8"/>
    </row>
    <row r="48" spans="2:19" x14ac:dyDescent="0.25">
      <c r="F48" s="8"/>
    </row>
  </sheetData>
  <conditionalFormatting sqref="C5:O18">
    <cfRule type="cellIs" dxfId="3" priority="4" operator="equal">
      <formula>0</formula>
    </cfRule>
  </conditionalFormatting>
  <conditionalFormatting sqref="C24:O37">
    <cfRule type="cellIs" dxfId="2" priority="3" operator="equal">
      <formula>0</formula>
    </cfRule>
  </conditionalFormatting>
  <conditionalFormatting sqref="R5:R18">
    <cfRule type="cellIs" dxfId="1" priority="2" operator="equal">
      <formula>0</formula>
    </cfRule>
  </conditionalFormatting>
  <conditionalFormatting sqref="R24:R37">
    <cfRule type="cellIs" dxfId="0" priority="1" operator="equal">
      <formula>0</formula>
    </cfRule>
  </conditionalFormatting>
  <pageMargins left="0.7" right="0.7" top="0.75" bottom="0.75" header="0.3" footer="0.3"/>
  <legacy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dimension ref="A1:T118"/>
  <sheetViews>
    <sheetView workbookViewId="0">
      <selection activeCell="J13" sqref="J13"/>
    </sheetView>
  </sheetViews>
  <sheetFormatPr defaultRowHeight="15" x14ac:dyDescent="0.25"/>
  <sheetData>
    <row r="1" spans="1:20" x14ac:dyDescent="0.25">
      <c r="A1" s="2" t="s">
        <v>443</v>
      </c>
    </row>
    <row r="2" spans="1:20" x14ac:dyDescent="0.25">
      <c r="A2" s="8" t="s">
        <v>439</v>
      </c>
      <c r="B2" s="35" t="s">
        <v>29</v>
      </c>
      <c r="C2" s="36" t="s">
        <v>55</v>
      </c>
      <c r="D2" s="8" t="s">
        <v>74</v>
      </c>
      <c r="E2" s="8" t="s">
        <v>440</v>
      </c>
      <c r="F2" s="8" t="s">
        <v>167</v>
      </c>
      <c r="G2" s="8" t="s">
        <v>441</v>
      </c>
      <c r="H2" s="8" t="s">
        <v>442</v>
      </c>
      <c r="I2" s="4" t="s">
        <v>448</v>
      </c>
      <c r="J2" s="44" t="s">
        <v>434</v>
      </c>
      <c r="K2" s="45" t="s">
        <v>447</v>
      </c>
      <c r="L2" s="4" t="s">
        <v>446</v>
      </c>
      <c r="M2" s="8" t="s">
        <v>445</v>
      </c>
      <c r="N2" s="8" t="s">
        <v>444</v>
      </c>
      <c r="O2" s="8" t="s">
        <v>317</v>
      </c>
      <c r="P2" s="8" t="s">
        <v>435</v>
      </c>
      <c r="Q2" s="8" t="s">
        <v>436</v>
      </c>
      <c r="R2" s="8" t="s">
        <v>437</v>
      </c>
      <c r="S2" s="8" t="s">
        <v>438</v>
      </c>
      <c r="T2" s="8" t="s">
        <v>347</v>
      </c>
    </row>
    <row r="3" spans="1:20" x14ac:dyDescent="0.25">
      <c r="A3" s="8">
        <v>1900</v>
      </c>
      <c r="B3" s="37">
        <v>52.455686549760003</v>
      </c>
      <c r="C3" s="38">
        <v>50.711908638675709</v>
      </c>
      <c r="D3" s="13">
        <v>0</v>
      </c>
      <c r="E3" s="38">
        <v>0</v>
      </c>
      <c r="F3" s="13">
        <v>37.374676666703998</v>
      </c>
      <c r="G3" s="13">
        <v>3.7578396115275337</v>
      </c>
      <c r="H3" s="13">
        <v>5.8494031905660018</v>
      </c>
      <c r="I3" s="13">
        <v>8.3960787485242019</v>
      </c>
      <c r="J3" s="13">
        <v>12.083814484053697</v>
      </c>
      <c r="K3" s="13">
        <v>0</v>
      </c>
      <c r="L3" s="13">
        <v>0.61735430932703639</v>
      </c>
      <c r="M3" s="13">
        <v>0.38186344565217395</v>
      </c>
      <c r="N3" s="13">
        <v>0</v>
      </c>
      <c r="O3" s="13">
        <v>19.12995992468618</v>
      </c>
      <c r="P3" s="13">
        <v>1.0330178359330537</v>
      </c>
      <c r="Q3" s="13">
        <v>10.435201839317063</v>
      </c>
      <c r="R3" s="13">
        <v>1.4385729863364005</v>
      </c>
      <c r="S3" s="13">
        <v>2.9096669045447681</v>
      </c>
      <c r="T3" s="13">
        <v>1.8835607846185907</v>
      </c>
    </row>
    <row r="4" spans="1:20" x14ac:dyDescent="0.25">
      <c r="A4" s="8">
        <v>1901</v>
      </c>
      <c r="B4" s="37">
        <v>49.580506198080009</v>
      </c>
      <c r="C4" s="38">
        <v>48.044741360256928</v>
      </c>
      <c r="D4" s="13">
        <v>0</v>
      </c>
      <c r="E4" s="38">
        <v>0</v>
      </c>
      <c r="F4" s="13">
        <v>35.408974382509349</v>
      </c>
      <c r="G4" s="13">
        <v>3.5718646835920502</v>
      </c>
      <c r="H4" s="13">
        <v>4.9629084999325803</v>
      </c>
      <c r="I4" s="13">
        <v>9.8828876407513899</v>
      </c>
      <c r="J4" s="13">
        <v>11.487372429624005</v>
      </c>
      <c r="K4" s="13">
        <v>0</v>
      </c>
      <c r="L4" s="13">
        <v>0.65221714009298315</v>
      </c>
      <c r="M4" s="13">
        <v>0.38186344565217395</v>
      </c>
      <c r="N4" s="38">
        <v>0</v>
      </c>
      <c r="O4" s="13">
        <v>19.157074409237193</v>
      </c>
      <c r="P4" s="13">
        <v>1.0344820180988084</v>
      </c>
      <c r="Q4" s="13">
        <v>10.449992519494794</v>
      </c>
      <c r="R4" s="13">
        <v>1.4406119955746368</v>
      </c>
      <c r="S4" s="13">
        <v>2.9137910176449773</v>
      </c>
      <c r="T4" s="13">
        <v>1.8862305121034626</v>
      </c>
    </row>
    <row r="5" spans="1:20" x14ac:dyDescent="0.25">
      <c r="A5" s="8">
        <v>1902</v>
      </c>
      <c r="B5" s="37">
        <v>54.79002955296</v>
      </c>
      <c r="C5" s="38">
        <v>53.217146273291249</v>
      </c>
      <c r="D5" s="13">
        <v>0</v>
      </c>
      <c r="E5" s="38">
        <v>0</v>
      </c>
      <c r="F5" s="13">
        <v>39.22103680341565</v>
      </c>
      <c r="G5" s="13">
        <v>4.0276285111089853</v>
      </c>
      <c r="H5" s="13">
        <v>4.7606791483931792</v>
      </c>
      <c r="I5" s="13">
        <v>11.587762461801335</v>
      </c>
      <c r="J5" s="13">
        <v>12.954920756645299</v>
      </c>
      <c r="K5" s="13">
        <v>0</v>
      </c>
      <c r="L5" s="13">
        <v>0.71116501823678246</v>
      </c>
      <c r="M5" s="13">
        <v>0.38186344565217395</v>
      </c>
      <c r="N5" s="38">
        <v>0</v>
      </c>
      <c r="O5" s="13">
        <v>21.27747358151014</v>
      </c>
      <c r="P5" s="13">
        <v>1.1489835734015474</v>
      </c>
      <c r="Q5" s="13">
        <v>11.606649063977965</v>
      </c>
      <c r="R5" s="13">
        <v>1.6000660133295623</v>
      </c>
      <c r="S5" s="13">
        <v>3.2363037317476926</v>
      </c>
      <c r="T5" s="13">
        <v>2.0950077779396095</v>
      </c>
    </row>
    <row r="6" spans="1:20" x14ac:dyDescent="0.25">
      <c r="A6" s="8">
        <v>1903</v>
      </c>
      <c r="B6" s="37">
        <v>58.029548148000003</v>
      </c>
      <c r="C6" s="38">
        <v>56.495260192858211</v>
      </c>
      <c r="D6" s="13">
        <v>0</v>
      </c>
      <c r="E6" s="38">
        <v>0</v>
      </c>
      <c r="F6" s="13">
        <v>41.637006762136501</v>
      </c>
      <c r="G6" s="13">
        <v>4.3102127773262735</v>
      </c>
      <c r="H6" s="13">
        <v>4.7850577850975293</v>
      </c>
      <c r="I6" s="13">
        <v>12.479172929524911</v>
      </c>
      <c r="J6" s="13">
        <v>13.614413300999448</v>
      </c>
      <c r="K6" s="13">
        <v>0</v>
      </c>
      <c r="L6" s="13">
        <v>0.71185855019482236</v>
      </c>
      <c r="M6" s="13">
        <v>0.38186344565217395</v>
      </c>
      <c r="N6" s="38">
        <v>0</v>
      </c>
      <c r="O6" s="13">
        <v>22.380656208028217</v>
      </c>
      <c r="P6" s="13">
        <v>1.2085554352335237</v>
      </c>
      <c r="Q6" s="13">
        <v>12.20842415491731</v>
      </c>
      <c r="R6" s="13">
        <v>1.683025346843722</v>
      </c>
      <c r="S6" s="13">
        <v>3.4040978092410921</v>
      </c>
      <c r="T6" s="13">
        <v>2.2036285770297606</v>
      </c>
    </row>
    <row r="7" spans="1:20" x14ac:dyDescent="0.25">
      <c r="A7" s="8">
        <v>1904</v>
      </c>
      <c r="B7" s="37">
        <v>59.6875</v>
      </c>
      <c r="C7" s="38">
        <v>57.778771797577768</v>
      </c>
      <c r="D7" s="13">
        <v>0</v>
      </c>
      <c r="E7" s="38">
        <v>0</v>
      </c>
      <c r="F7" s="13">
        <v>42.582954814814812</v>
      </c>
      <c r="G7" s="13">
        <v>4.4422571265515307</v>
      </c>
      <c r="H7" s="13">
        <v>4.613777240246713</v>
      </c>
      <c r="I7" s="13">
        <v>13.00810677554348</v>
      </c>
      <c r="J7" s="13">
        <v>13.787727906952094</v>
      </c>
      <c r="K7" s="13">
        <v>0</v>
      </c>
      <c r="L7" s="13">
        <v>0.70417396649287178</v>
      </c>
      <c r="M7" s="13">
        <v>0.46034515760869565</v>
      </c>
      <c r="N7" s="38">
        <v>0</v>
      </c>
      <c r="O7" s="13">
        <v>22.801891732790697</v>
      </c>
      <c r="P7" s="13">
        <v>1.2313021535706976</v>
      </c>
      <c r="Q7" s="13">
        <v>12.438203921319996</v>
      </c>
      <c r="R7" s="13">
        <v>1.7147022583058602</v>
      </c>
      <c r="S7" s="13">
        <v>3.4681677325574651</v>
      </c>
      <c r="T7" s="13">
        <v>2.2451039757579605</v>
      </c>
    </row>
    <row r="8" spans="1:20" x14ac:dyDescent="0.25">
      <c r="A8" s="8">
        <v>1905</v>
      </c>
      <c r="B8" s="37">
        <v>72.5</v>
      </c>
      <c r="C8" s="38">
        <v>70.344637921503576</v>
      </c>
      <c r="D8" s="13">
        <v>0</v>
      </c>
      <c r="E8" s="38">
        <v>0</v>
      </c>
      <c r="F8" s="13">
        <v>51.843998148148138</v>
      </c>
      <c r="G8" s="13">
        <v>5.5034531338423145</v>
      </c>
      <c r="H8" s="13">
        <v>4.9871787896177757</v>
      </c>
      <c r="I8" s="13">
        <v>16.857286173323519</v>
      </c>
      <c r="J8" s="13">
        <v>16.712316411189203</v>
      </c>
      <c r="K8" s="13">
        <v>0</v>
      </c>
      <c r="L8" s="13">
        <v>0.86641962788042048</v>
      </c>
      <c r="M8" s="13">
        <v>0.66386602173913045</v>
      </c>
      <c r="N8" s="38">
        <v>0</v>
      </c>
      <c r="O8" s="13">
        <v>28.060946916625028</v>
      </c>
      <c r="P8" s="13">
        <v>1.5152911334977515</v>
      </c>
      <c r="Q8" s="13">
        <v>15.306965933549785</v>
      </c>
      <c r="R8" s="13">
        <v>2.1101832081302021</v>
      </c>
      <c r="S8" s="13">
        <v>4.2680700260186679</v>
      </c>
      <c r="T8" s="13">
        <v>2.7629174028332906</v>
      </c>
    </row>
    <row r="9" spans="1:20" x14ac:dyDescent="0.25">
      <c r="A9" s="8">
        <v>1906</v>
      </c>
      <c r="B9" s="37">
        <v>62.5</v>
      </c>
      <c r="C9" s="38">
        <v>60.782526760138694</v>
      </c>
      <c r="D9" s="13">
        <v>0</v>
      </c>
      <c r="E9" s="38">
        <v>0</v>
      </c>
      <c r="F9" s="13">
        <v>44.796722222222215</v>
      </c>
      <c r="G9" s="13">
        <v>4.73370728719879</v>
      </c>
      <c r="H9" s="13">
        <v>3.992561410334611</v>
      </c>
      <c r="I9" s="13">
        <v>20.369159428015983</v>
      </c>
      <c r="J9" s="13">
        <v>14.058583015842412</v>
      </c>
      <c r="K9" s="13">
        <v>0</v>
      </c>
      <c r="L9" s="13">
        <v>0.95727831959061038</v>
      </c>
      <c r="M9" s="13">
        <v>0.84994226086956515</v>
      </c>
      <c r="N9" s="38">
        <v>0</v>
      </c>
      <c r="O9" s="13">
        <v>28.159267104257225</v>
      </c>
      <c r="P9" s="13">
        <v>1.5206004236298902</v>
      </c>
      <c r="Q9" s="13">
        <v>15.360598612701272</v>
      </c>
      <c r="R9" s="13">
        <v>2.1175768862401432</v>
      </c>
      <c r="S9" s="13">
        <v>4.2830245265575249</v>
      </c>
      <c r="T9" s="13">
        <v>2.7725981366398136</v>
      </c>
    </row>
    <row r="10" spans="1:20" x14ac:dyDescent="0.25">
      <c r="A10" s="8">
        <v>1907</v>
      </c>
      <c r="B10" s="37">
        <v>84.375</v>
      </c>
      <c r="C10" s="38">
        <v>82.246217774762528</v>
      </c>
      <c r="D10" s="13">
        <v>0</v>
      </c>
      <c r="E10" s="38">
        <v>0</v>
      </c>
      <c r="F10" s="13">
        <v>60.615462499999985</v>
      </c>
      <c r="G10" s="13">
        <v>6.374735908215535</v>
      </c>
      <c r="H10" s="13">
        <v>4.9781482307586655</v>
      </c>
      <c r="I10" s="13">
        <v>25.705946237180708</v>
      </c>
      <c r="J10" s="13">
        <v>19.017522988196962</v>
      </c>
      <c r="K10" s="13">
        <v>0</v>
      </c>
      <c r="L10" s="13">
        <v>1.2440560032578838</v>
      </c>
      <c r="M10" s="13">
        <v>1.1601723913043478</v>
      </c>
      <c r="N10" s="38">
        <v>0</v>
      </c>
      <c r="O10" s="13">
        <v>36.474092095488992</v>
      </c>
      <c r="P10" s="13">
        <v>1.9696009731564055</v>
      </c>
      <c r="Q10" s="13">
        <v>19.896252497168287</v>
      </c>
      <c r="R10" s="13">
        <v>2.7428517255807718</v>
      </c>
      <c r="S10" s="13">
        <v>5.5477094077238762</v>
      </c>
      <c r="T10" s="13">
        <v>3.5912866412738707</v>
      </c>
    </row>
    <row r="11" spans="1:20" x14ac:dyDescent="0.25">
      <c r="A11" s="8">
        <v>1908</v>
      </c>
      <c r="B11" s="37">
        <v>68.125</v>
      </c>
      <c r="C11" s="38">
        <v>66.559456756620904</v>
      </c>
      <c r="D11" s="13">
        <v>0</v>
      </c>
      <c r="E11" s="38">
        <v>0</v>
      </c>
      <c r="F11" s="13">
        <v>49.05431962962961</v>
      </c>
      <c r="G11" s="13">
        <v>5.1345166942969085</v>
      </c>
      <c r="H11" s="13">
        <v>3.6897255861318605</v>
      </c>
      <c r="I11" s="13">
        <v>17.305847423385863</v>
      </c>
      <c r="J11" s="13">
        <v>15.386032691120358</v>
      </c>
      <c r="K11" s="13">
        <v>0</v>
      </c>
      <c r="L11" s="13">
        <v>0.86012452654102955</v>
      </c>
      <c r="M11" s="13">
        <v>0.83753999999999984</v>
      </c>
      <c r="N11" s="38">
        <v>0</v>
      </c>
      <c r="O11" s="13">
        <v>26.655489159025375</v>
      </c>
      <c r="P11" s="13">
        <v>1.4393964145873701</v>
      </c>
      <c r="Q11" s="13">
        <v>14.54030278135675</v>
      </c>
      <c r="R11" s="13">
        <v>2.0044927847587082</v>
      </c>
      <c r="S11" s="13">
        <v>4.0542999010877603</v>
      </c>
      <c r="T11" s="13">
        <v>2.6245342004076262</v>
      </c>
    </row>
    <row r="12" spans="1:20" x14ac:dyDescent="0.25">
      <c r="A12" s="8">
        <v>1909</v>
      </c>
      <c r="B12" s="37">
        <v>78.75</v>
      </c>
      <c r="C12" s="38">
        <v>77.117442333785604</v>
      </c>
      <c r="D12" s="13">
        <v>0</v>
      </c>
      <c r="E12" s="38">
        <v>0</v>
      </c>
      <c r="F12" s="13">
        <v>56.835554999999985</v>
      </c>
      <c r="G12" s="13">
        <v>5.8688239130012771</v>
      </c>
      <c r="H12" s="13">
        <v>3.8531629945827817</v>
      </c>
      <c r="I12" s="13">
        <v>23.628618057262603</v>
      </c>
      <c r="J12" s="13">
        <v>17.56770089713174</v>
      </c>
      <c r="K12" s="13">
        <v>0</v>
      </c>
      <c r="L12" s="13">
        <v>1.0389396220908846</v>
      </c>
      <c r="M12" s="13">
        <v>1.1793095217391305</v>
      </c>
      <c r="N12" s="38">
        <v>0</v>
      </c>
      <c r="O12" s="13">
        <v>33.087411764964997</v>
      </c>
      <c r="P12" s="13">
        <v>1.7867202353081097</v>
      </c>
      <c r="Q12" s="13">
        <v>18.048852243670755</v>
      </c>
      <c r="R12" s="13">
        <v>2.4881733647253674</v>
      </c>
      <c r="S12" s="13">
        <v>5.0325953294511763</v>
      </c>
      <c r="T12" s="13">
        <v>3.2578296823608337</v>
      </c>
    </row>
    <row r="13" spans="1:20" x14ac:dyDescent="0.25">
      <c r="A13" s="8">
        <v>1910</v>
      </c>
      <c r="B13" s="37">
        <v>88.75</v>
      </c>
      <c r="C13" s="38">
        <v>84.636363636363626</v>
      </c>
      <c r="D13" s="13">
        <v>0</v>
      </c>
      <c r="E13" s="38">
        <v>0</v>
      </c>
      <c r="F13" s="13">
        <v>62.376999999999995</v>
      </c>
      <c r="G13" s="13">
        <v>6.208484696253965</v>
      </c>
      <c r="H13" s="13">
        <v>3.7923775547172633</v>
      </c>
      <c r="I13" s="13">
        <v>28.295281238156736</v>
      </c>
      <c r="J13" s="13">
        <v>18.368743135430922</v>
      </c>
      <c r="K13" s="13">
        <v>0</v>
      </c>
      <c r="L13" s="13">
        <v>1.0337417248198102</v>
      </c>
      <c r="M13" s="13">
        <v>1.4041772608695648</v>
      </c>
      <c r="N13" s="38">
        <v>0</v>
      </c>
      <c r="O13" s="13">
        <v>37.026024639796013</v>
      </c>
      <c r="P13" s="13">
        <v>1.9994053305489847</v>
      </c>
      <c r="Q13" s="13">
        <v>20.197326180762325</v>
      </c>
      <c r="R13" s="13">
        <v>2.78435705291266</v>
      </c>
      <c r="S13" s="13">
        <v>5.6316583477129738</v>
      </c>
      <c r="T13" s="13">
        <v>3.6456306388726278</v>
      </c>
    </row>
    <row r="14" spans="1:20" x14ac:dyDescent="0.25">
      <c r="A14" s="8">
        <v>1911</v>
      </c>
      <c r="B14" s="37">
        <v>83.125</v>
      </c>
      <c r="C14" s="38">
        <v>81.590760824148774</v>
      </c>
      <c r="D14" s="13">
        <v>0</v>
      </c>
      <c r="E14" s="38">
        <v>0</v>
      </c>
      <c r="F14" s="13">
        <v>60.407200000000003</v>
      </c>
      <c r="G14" s="13">
        <v>5.9353075523007313</v>
      </c>
      <c r="H14" s="13">
        <v>3.3552580687453495</v>
      </c>
      <c r="I14" s="13">
        <v>29.489502455620304</v>
      </c>
      <c r="J14" s="13">
        <v>17.35509937842351</v>
      </c>
      <c r="K14" s="13">
        <v>0</v>
      </c>
      <c r="L14" s="13">
        <v>0.95037202691257272</v>
      </c>
      <c r="M14" s="13">
        <v>1.4700316304347825</v>
      </c>
      <c r="N14" s="38">
        <v>0</v>
      </c>
      <c r="O14" s="13">
        <v>36.834184492095559</v>
      </c>
      <c r="P14" s="13">
        <v>1.9890459625731602</v>
      </c>
      <c r="Q14" s="13">
        <v>20.092679298593204</v>
      </c>
      <c r="R14" s="13">
        <v>2.769930673805586</v>
      </c>
      <c r="S14" s="13">
        <v>5.6024794612477349</v>
      </c>
      <c r="T14" s="13">
        <v>3.6267418079212508</v>
      </c>
    </row>
    <row r="15" spans="1:20" x14ac:dyDescent="0.25">
      <c r="A15" s="8">
        <v>1912</v>
      </c>
      <c r="B15" s="37">
        <v>94.375</v>
      </c>
      <c r="C15" s="38">
        <v>92.950420031271463</v>
      </c>
      <c r="D15" s="13">
        <v>0</v>
      </c>
      <c r="E15" s="38">
        <v>0</v>
      </c>
      <c r="F15" s="13">
        <v>69.130600000000001</v>
      </c>
      <c r="G15" s="13">
        <v>6.735205376435899</v>
      </c>
      <c r="H15" s="13">
        <v>3.5019539344981254</v>
      </c>
      <c r="I15" s="13">
        <v>36.943125374265243</v>
      </c>
      <c r="J15" s="13">
        <v>19.222939762595477</v>
      </c>
      <c r="K15" s="13">
        <v>0</v>
      </c>
      <c r="L15" s="13">
        <v>1.1017356427132814</v>
      </c>
      <c r="M15" s="13">
        <v>1.8425363478260868</v>
      </c>
      <c r="N15" s="38">
        <v>0</v>
      </c>
      <c r="O15" s="13">
        <v>43.828603743328742</v>
      </c>
      <c r="P15" s="13">
        <v>2.366744602139752</v>
      </c>
      <c r="Q15" s="13">
        <v>23.908065055948391</v>
      </c>
      <c r="R15" s="13">
        <v>3.2959110014983213</v>
      </c>
      <c r="S15" s="13">
        <v>6.666330629360302</v>
      </c>
      <c r="T15" s="13">
        <v>4.3154214426236361</v>
      </c>
    </row>
    <row r="16" spans="1:20" x14ac:dyDescent="0.25">
      <c r="A16" s="8">
        <v>1913</v>
      </c>
      <c r="B16" s="37">
        <v>110.625</v>
      </c>
      <c r="C16" s="38">
        <v>99.185598968020528</v>
      </c>
      <c r="D16" s="13">
        <v>0</v>
      </c>
      <c r="E16" s="38">
        <v>0</v>
      </c>
      <c r="F16" s="13">
        <v>74.10199999999999</v>
      </c>
      <c r="G16" s="13">
        <v>7.1665618621945795</v>
      </c>
      <c r="H16" s="13">
        <v>3.4024339522629043</v>
      </c>
      <c r="I16" s="13">
        <v>40.22108891393588</v>
      </c>
      <c r="J16" s="13">
        <v>19.954738078304832</v>
      </c>
      <c r="K16" s="13">
        <v>0</v>
      </c>
      <c r="L16" s="13">
        <v>1.114687442842762</v>
      </c>
      <c r="M16" s="13">
        <v>2.0109310434782612</v>
      </c>
      <c r="N16" s="38">
        <v>0</v>
      </c>
      <c r="O16" s="13">
        <v>46.692715601577248</v>
      </c>
      <c r="P16" s="13">
        <v>2.5214066424851715</v>
      </c>
      <c r="Q16" s="13">
        <v>25.470409433504368</v>
      </c>
      <c r="R16" s="13">
        <v>3.5112922132386091</v>
      </c>
      <c r="S16" s="13">
        <v>7.1019620429999</v>
      </c>
      <c r="T16" s="13">
        <v>4.5974256287378141</v>
      </c>
    </row>
    <row r="17" spans="1:20" x14ac:dyDescent="0.25">
      <c r="A17" s="8">
        <v>1914</v>
      </c>
      <c r="B17" s="37">
        <v>73.75</v>
      </c>
      <c r="C17" s="38">
        <v>70.36819497086357</v>
      </c>
      <c r="D17" s="13">
        <v>0</v>
      </c>
      <c r="E17" s="38">
        <v>0</v>
      </c>
      <c r="F17" s="13">
        <v>52.809399999999997</v>
      </c>
      <c r="G17" s="13">
        <v>5.0824808486240443</v>
      </c>
      <c r="H17" s="13">
        <v>2.1842292153805523</v>
      </c>
      <c r="I17" s="13">
        <v>32.903009501873001</v>
      </c>
      <c r="J17" s="13">
        <v>13.778290083047249</v>
      </c>
      <c r="K17" s="13">
        <v>0</v>
      </c>
      <c r="L17" s="13">
        <v>0.85216840885919787</v>
      </c>
      <c r="M17" s="13">
        <v>1.6086423913043477</v>
      </c>
      <c r="N17" s="38">
        <v>0</v>
      </c>
      <c r="O17" s="13">
        <v>35.92843772032505</v>
      </c>
      <c r="P17" s="13">
        <v>1.9401356368975526</v>
      </c>
      <c r="Q17" s="13">
        <v>19.598603492060111</v>
      </c>
      <c r="R17" s="13">
        <v>2.7018185165684439</v>
      </c>
      <c r="S17" s="13">
        <v>5.4647153772614407</v>
      </c>
      <c r="T17" s="13">
        <v>3.5375608003907399</v>
      </c>
    </row>
    <row r="18" spans="1:20" x14ac:dyDescent="0.25">
      <c r="A18" s="8">
        <v>1915</v>
      </c>
      <c r="B18" s="37">
        <v>72.5</v>
      </c>
      <c r="C18" s="38">
        <v>62.836882321732539</v>
      </c>
      <c r="D18" s="13">
        <v>0</v>
      </c>
      <c r="E18" s="38">
        <v>0</v>
      </c>
      <c r="F18" s="13">
        <v>47.369</v>
      </c>
      <c r="G18" s="13">
        <v>4.5812992514649711</v>
      </c>
      <c r="H18" s="13">
        <v>1.763436560953302</v>
      </c>
      <c r="I18" s="13">
        <v>37.187023835228118</v>
      </c>
      <c r="J18" s="13">
        <v>12.078039971400624</v>
      </c>
      <c r="K18" s="13">
        <v>0</v>
      </c>
      <c r="L18" s="13">
        <v>0.90638047361014773</v>
      </c>
      <c r="M18" s="13">
        <v>1.7945514782608696</v>
      </c>
      <c r="N18" s="38">
        <v>0</v>
      </c>
      <c r="O18" s="13">
        <v>37.61060262361714</v>
      </c>
      <c r="P18" s="13">
        <v>2.0309725416753253</v>
      </c>
      <c r="Q18" s="13">
        <v>20.516207625156913</v>
      </c>
      <c r="R18" s="13">
        <v>2.8283173172960088</v>
      </c>
      <c r="S18" s="13">
        <v>5.7205726590521673</v>
      </c>
      <c r="T18" s="13">
        <v>3.7031889489899421</v>
      </c>
    </row>
    <row r="19" spans="1:20" x14ac:dyDescent="0.25">
      <c r="A19" s="8">
        <v>1916</v>
      </c>
      <c r="B19" s="37">
        <v>98.657755614178399</v>
      </c>
      <c r="C19" s="38">
        <v>92.039864281956596</v>
      </c>
      <c r="D19" s="13">
        <v>0</v>
      </c>
      <c r="E19" s="38">
        <v>0</v>
      </c>
      <c r="F19" s="13">
        <v>69.693399999999997</v>
      </c>
      <c r="G19" s="13">
        <v>6.7768735762743635</v>
      </c>
      <c r="H19" s="13">
        <v>2.3329810130493671</v>
      </c>
      <c r="I19" s="13">
        <v>44.70917158561813</v>
      </c>
      <c r="J19" s="13">
        <v>17.308015232371648</v>
      </c>
      <c r="K19" s="13">
        <v>0</v>
      </c>
      <c r="L19" s="13">
        <v>1.0243482377277953</v>
      </c>
      <c r="M19" s="13">
        <v>2.2181940000000004</v>
      </c>
      <c r="N19" s="38">
        <v>0</v>
      </c>
      <c r="O19" s="13">
        <v>47.314897048136849</v>
      </c>
      <c r="P19" s="13">
        <v>2.5550044405993901</v>
      </c>
      <c r="Q19" s="13">
        <v>25.809803190788166</v>
      </c>
      <c r="R19" s="13">
        <v>3.5580802580198911</v>
      </c>
      <c r="S19" s="13">
        <v>7.1965958410216153</v>
      </c>
      <c r="T19" s="13">
        <v>4.6586864248017221</v>
      </c>
    </row>
    <row r="20" spans="1:20" x14ac:dyDescent="0.25">
      <c r="A20" s="8">
        <v>1917</v>
      </c>
      <c r="B20" s="37">
        <v>88.75</v>
      </c>
      <c r="C20" s="38">
        <v>88.67241646754637</v>
      </c>
      <c r="D20" s="13">
        <v>0</v>
      </c>
      <c r="E20" s="38">
        <v>0</v>
      </c>
      <c r="F20" s="13">
        <v>67.4422</v>
      </c>
      <c r="G20" s="13">
        <v>6.5207573331802617</v>
      </c>
      <c r="H20" s="13">
        <v>1.9804344842687507</v>
      </c>
      <c r="I20" s="13">
        <v>48.335181504549823</v>
      </c>
      <c r="J20" s="13">
        <v>16.145099522653773</v>
      </c>
      <c r="K20" s="13">
        <v>0</v>
      </c>
      <c r="L20" s="13">
        <v>1.0630711459511399</v>
      </c>
      <c r="M20" s="13">
        <v>2.4424591304347825</v>
      </c>
      <c r="N20" s="38">
        <v>0</v>
      </c>
      <c r="O20" s="13">
        <v>48.976372051500789</v>
      </c>
      <c r="P20" s="13">
        <v>2.6447240907810428</v>
      </c>
      <c r="Q20" s="13">
        <v>26.716121190373162</v>
      </c>
      <c r="R20" s="13">
        <v>3.6830231782728591</v>
      </c>
      <c r="S20" s="13">
        <v>7.4493061890332708</v>
      </c>
      <c r="T20" s="13">
        <v>4.8222774188906286</v>
      </c>
    </row>
    <row r="21" spans="1:20" x14ac:dyDescent="0.25">
      <c r="A21" s="8">
        <v>1918</v>
      </c>
      <c r="B21" s="37">
        <v>84.083341568261019</v>
      </c>
      <c r="C21" s="38">
        <v>80.054963484409939</v>
      </c>
      <c r="D21" s="13">
        <v>0</v>
      </c>
      <c r="E21" s="38">
        <v>0</v>
      </c>
      <c r="F21" s="13">
        <v>61.157600000000002</v>
      </c>
      <c r="G21" s="13">
        <v>5.888440579133511</v>
      </c>
      <c r="H21" s="13">
        <v>1.5505629756794637</v>
      </c>
      <c r="I21" s="13">
        <v>46.757525781365253</v>
      </c>
      <c r="J21" s="13">
        <v>14.145628802116684</v>
      </c>
      <c r="K21" s="13">
        <v>0</v>
      </c>
      <c r="L21" s="13">
        <v>0.99229634765748465</v>
      </c>
      <c r="M21" s="13">
        <v>2.4091434782608694</v>
      </c>
      <c r="N21" s="38">
        <v>0</v>
      </c>
      <c r="O21" s="13">
        <v>46.098610169555819</v>
      </c>
      <c r="P21" s="13">
        <v>2.4893249491560141</v>
      </c>
      <c r="Q21" s="13">
        <v>25.146330861391</v>
      </c>
      <c r="R21" s="13">
        <v>3.4666154847505974</v>
      </c>
      <c r="S21" s="13">
        <v>7.0115986067894402</v>
      </c>
      <c r="T21" s="13">
        <v>4.5389292336543932</v>
      </c>
    </row>
    <row r="22" spans="1:20" x14ac:dyDescent="0.25">
      <c r="A22" s="8">
        <v>1919</v>
      </c>
      <c r="B22" s="37">
        <v>68.75</v>
      </c>
      <c r="C22" s="38">
        <v>62.222564550448098</v>
      </c>
      <c r="D22" s="13">
        <v>0</v>
      </c>
      <c r="E22" s="38">
        <v>0</v>
      </c>
      <c r="F22" s="13">
        <v>47.744199999999999</v>
      </c>
      <c r="G22" s="13">
        <v>4.5930172860464751</v>
      </c>
      <c r="H22" s="13">
        <v>1.0791235253810532</v>
      </c>
      <c r="I22" s="13">
        <v>36.168354751899443</v>
      </c>
      <c r="J22" s="13">
        <v>10.696529226191872</v>
      </c>
      <c r="K22" s="13">
        <v>0</v>
      </c>
      <c r="L22" s="13">
        <v>0.74786245854504485</v>
      </c>
      <c r="M22" s="13">
        <v>1.949595163043478</v>
      </c>
      <c r="N22" s="38">
        <v>0</v>
      </c>
      <c r="O22" s="13">
        <v>35.449025587542614</v>
      </c>
      <c r="P22" s="13">
        <v>1.9142473817273014</v>
      </c>
      <c r="Q22" s="13">
        <v>19.337088967748617</v>
      </c>
      <c r="R22" s="13">
        <v>2.6657667241832046</v>
      </c>
      <c r="S22" s="13">
        <v>5.3917967918652323</v>
      </c>
      <c r="T22" s="13">
        <v>3.4903572570203178</v>
      </c>
    </row>
    <row r="23" spans="1:20" x14ac:dyDescent="0.25">
      <c r="A23" s="8">
        <v>1920</v>
      </c>
      <c r="B23" s="37">
        <v>77.5</v>
      </c>
      <c r="C23" s="38">
        <v>74.608519770800314</v>
      </c>
      <c r="D23" s="13">
        <v>0</v>
      </c>
      <c r="E23" s="38">
        <v>0</v>
      </c>
      <c r="F23" s="13">
        <v>57.499399999999994</v>
      </c>
      <c r="G23" s="13">
        <v>5.5718097251776069</v>
      </c>
      <c r="H23" s="13">
        <v>1.151593511010395</v>
      </c>
      <c r="I23" s="13">
        <v>45.6192471529234</v>
      </c>
      <c r="J23" s="13">
        <v>12.50139801654174</v>
      </c>
      <c r="K23" s="13">
        <v>0</v>
      </c>
      <c r="L23" s="13">
        <v>0.77559245740680649</v>
      </c>
      <c r="M23" s="13">
        <v>2.5698570652173913</v>
      </c>
      <c r="N23" s="38">
        <v>0</v>
      </c>
      <c r="O23" s="13">
        <v>43.832381742169815</v>
      </c>
      <c r="P23" s="13">
        <v>2.3669486140771698</v>
      </c>
      <c r="Q23" s="13">
        <v>23.910125916536209</v>
      </c>
      <c r="R23" s="13">
        <v>3.2961951070111701</v>
      </c>
      <c r="S23" s="13">
        <v>6.6669052629840291</v>
      </c>
      <c r="T23" s="13">
        <v>4.3157934293130698</v>
      </c>
    </row>
    <row r="24" spans="1:20" x14ac:dyDescent="0.25">
      <c r="A24" s="8">
        <v>1921</v>
      </c>
      <c r="B24" s="37">
        <v>45.625</v>
      </c>
      <c r="C24" s="38">
        <v>44.473379566961221</v>
      </c>
      <c r="D24" s="13">
        <v>0</v>
      </c>
      <c r="E24" s="38">
        <v>0</v>
      </c>
      <c r="F24" s="13">
        <v>34.424599999999998</v>
      </c>
      <c r="G24" s="13">
        <v>3.3650621247363168</v>
      </c>
      <c r="H24" s="13">
        <v>0.56109642129663329</v>
      </c>
      <c r="I24" s="13">
        <v>29.035759541571949</v>
      </c>
      <c r="J24" s="13">
        <v>7.2645970517818421</v>
      </c>
      <c r="K24" s="13">
        <v>0</v>
      </c>
      <c r="L24" s="13">
        <v>0.38975606418276848</v>
      </c>
      <c r="M24" s="13">
        <v>1.6302215217391307</v>
      </c>
      <c r="N24" s="38">
        <v>0</v>
      </c>
      <c r="O24" s="13">
        <v>27.217001420400624</v>
      </c>
      <c r="P24" s="13">
        <v>1.4697180767016336</v>
      </c>
      <c r="Q24" s="13">
        <v>14.846602104814334</v>
      </c>
      <c r="R24" s="13">
        <v>2.0467185068141269</v>
      </c>
      <c r="S24" s="13">
        <v>4.139705916042935</v>
      </c>
      <c r="T24" s="13">
        <v>2.6798214294333431</v>
      </c>
    </row>
    <row r="25" spans="1:20" x14ac:dyDescent="0.25">
      <c r="A25" s="8">
        <v>1922</v>
      </c>
      <c r="B25" s="37">
        <v>86.940880654508661</v>
      </c>
      <c r="C25" s="38">
        <v>84.459100441453799</v>
      </c>
      <c r="D25" s="13">
        <v>0</v>
      </c>
      <c r="E25" s="38">
        <v>0</v>
      </c>
      <c r="F25" s="13">
        <v>65.66</v>
      </c>
      <c r="G25" s="13">
        <v>6.5003058214284044</v>
      </c>
      <c r="H25" s="13">
        <v>0.82523138430970155</v>
      </c>
      <c r="I25" s="13">
        <v>45.171645480982306</v>
      </c>
      <c r="J25" s="13">
        <v>13.378686122568405</v>
      </c>
      <c r="K25" s="13">
        <v>0</v>
      </c>
      <c r="L25" s="13">
        <v>0</v>
      </c>
      <c r="M25" s="13">
        <v>2.5240925217391301</v>
      </c>
      <c r="N25" s="38">
        <v>0</v>
      </c>
      <c r="O25" s="13">
        <v>43.329758856719678</v>
      </c>
      <c r="P25" s="13">
        <v>2.339806978262863</v>
      </c>
      <c r="Q25" s="13">
        <v>23.635950158752014</v>
      </c>
      <c r="R25" s="13">
        <v>3.2583978660253199</v>
      </c>
      <c r="S25" s="13">
        <v>6.5904563221070642</v>
      </c>
      <c r="T25" s="13">
        <v>4.2663045249864053</v>
      </c>
    </row>
    <row r="26" spans="1:20" x14ac:dyDescent="0.25">
      <c r="A26" s="8">
        <v>1923</v>
      </c>
      <c r="B26" s="37">
        <v>85</v>
      </c>
      <c r="C26" s="38">
        <v>82.292731449132916</v>
      </c>
      <c r="D26" s="13">
        <v>0</v>
      </c>
      <c r="E26" s="38">
        <v>0</v>
      </c>
      <c r="F26" s="13">
        <v>64.253</v>
      </c>
      <c r="G26" s="13">
        <v>6.3673969919421136</v>
      </c>
      <c r="H26" s="13">
        <v>0.75617842250324774</v>
      </c>
      <c r="I26" s="13">
        <v>51.827662496134117</v>
      </c>
      <c r="J26" s="13">
        <v>12.875319477548473</v>
      </c>
      <c r="K26" s="13">
        <v>0</v>
      </c>
      <c r="L26" s="13">
        <v>0</v>
      </c>
      <c r="M26" s="13">
        <v>2.9212112934782608</v>
      </c>
      <c r="N26" s="38">
        <v>0</v>
      </c>
      <c r="O26" s="13">
        <v>47.866260182764869</v>
      </c>
      <c r="P26" s="13">
        <v>2.5847780498693029</v>
      </c>
      <c r="Q26" s="13">
        <v>26.110566267096402</v>
      </c>
      <c r="R26" s="13">
        <v>3.5995427657439181</v>
      </c>
      <c r="S26" s="13">
        <v>7.2804581737985377</v>
      </c>
      <c r="T26" s="13">
        <v>4.7129743575814214</v>
      </c>
    </row>
    <row r="27" spans="1:20" x14ac:dyDescent="0.25">
      <c r="A27" s="8">
        <v>1924</v>
      </c>
      <c r="B27" s="37">
        <v>94.896784175249991</v>
      </c>
      <c r="C27" s="38">
        <v>91.987289533217023</v>
      </c>
      <c r="D27" s="13">
        <v>0</v>
      </c>
      <c r="E27" s="38">
        <v>0</v>
      </c>
      <c r="F27" s="13">
        <v>72.132199999999997</v>
      </c>
      <c r="G27" s="13">
        <v>7.1692582796582309</v>
      </c>
      <c r="H27" s="13">
        <v>0.79282521542210072</v>
      </c>
      <c r="I27" s="13">
        <v>52.349709568654916</v>
      </c>
      <c r="J27" s="13">
        <v>14.238954940153333</v>
      </c>
      <c r="K27" s="13">
        <v>0</v>
      </c>
      <c r="L27" s="13">
        <v>0</v>
      </c>
      <c r="M27" s="13">
        <v>2.9458490217391304</v>
      </c>
      <c r="N27" s="38">
        <v>0</v>
      </c>
      <c r="O27" s="13">
        <v>49.229137122178635</v>
      </c>
      <c r="P27" s="13">
        <v>2.6583734045976462</v>
      </c>
      <c r="Q27" s="13">
        <v>26.854002008777222</v>
      </c>
      <c r="R27" s="13">
        <v>3.702031111587833</v>
      </c>
      <c r="S27" s="13">
        <v>7.4877517562833713</v>
      </c>
      <c r="T27" s="13">
        <v>4.8471649971565798</v>
      </c>
    </row>
    <row r="28" spans="1:20" x14ac:dyDescent="0.25">
      <c r="A28" s="8">
        <v>1925</v>
      </c>
      <c r="B28" s="37">
        <v>94.375</v>
      </c>
      <c r="C28" s="38">
        <v>91.593870420237678</v>
      </c>
      <c r="D28" s="13">
        <v>0</v>
      </c>
      <c r="E28" s="38">
        <v>0</v>
      </c>
      <c r="F28" s="13">
        <v>72.132199999999997</v>
      </c>
      <c r="G28" s="13">
        <v>7.2080411419006296</v>
      </c>
      <c r="H28" s="13">
        <v>0.73836987417052313</v>
      </c>
      <c r="I28" s="13">
        <v>60.909868291402766</v>
      </c>
      <c r="J28" s="13">
        <v>13.9136325331527</v>
      </c>
      <c r="K28" s="13">
        <v>0</v>
      </c>
      <c r="L28" s="13">
        <v>0</v>
      </c>
      <c r="M28" s="13">
        <v>3.4121971304347825</v>
      </c>
      <c r="N28" s="38">
        <v>0</v>
      </c>
      <c r="O28" s="13">
        <v>55.28184748041253</v>
      </c>
      <c r="P28" s="13">
        <v>2.9852197639422768</v>
      </c>
      <c r="Q28" s="13">
        <v>30.155694982090228</v>
      </c>
      <c r="R28" s="13">
        <v>4.1571949305270222</v>
      </c>
      <c r="S28" s="13">
        <v>8.4083690017707458</v>
      </c>
      <c r="T28" s="13">
        <v>5.4431227470059245</v>
      </c>
    </row>
    <row r="29" spans="1:20" x14ac:dyDescent="0.25">
      <c r="A29" s="8">
        <v>1926</v>
      </c>
      <c r="B29" s="37">
        <v>96.875</v>
      </c>
      <c r="C29" s="38">
        <v>93.575812653128366</v>
      </c>
      <c r="D29" s="13">
        <v>0</v>
      </c>
      <c r="E29" s="38">
        <v>0</v>
      </c>
      <c r="F29" s="13">
        <v>74.008200000000002</v>
      </c>
      <c r="G29" s="13">
        <v>7.5246206029467864</v>
      </c>
      <c r="H29" s="13">
        <v>0</v>
      </c>
      <c r="I29" s="13">
        <v>64.474752170585845</v>
      </c>
      <c r="J29" s="13">
        <v>14.10628186576697</v>
      </c>
      <c r="K29" s="13">
        <v>0</v>
      </c>
      <c r="L29" s="13">
        <v>0</v>
      </c>
      <c r="M29" s="13">
        <v>3.5458700869565218</v>
      </c>
      <c r="N29" s="38">
        <v>0</v>
      </c>
      <c r="O29" s="13">
        <v>57.488832886316537</v>
      </c>
      <c r="P29" s="13">
        <v>3.1043969758610932</v>
      </c>
      <c r="Q29" s="13">
        <v>31.359583451156805</v>
      </c>
      <c r="R29" s="13">
        <v>4.3231602330510039</v>
      </c>
      <c r="S29" s="13">
        <v>8.7440514820087465</v>
      </c>
      <c r="T29" s="13">
        <v>5.660425406245789</v>
      </c>
    </row>
    <row r="30" spans="1:20" x14ac:dyDescent="0.25">
      <c r="A30" s="8">
        <v>1927</v>
      </c>
      <c r="B30" s="37">
        <v>106.875</v>
      </c>
      <c r="C30" s="38">
        <v>102.50870305422207</v>
      </c>
      <c r="D30" s="13">
        <v>0</v>
      </c>
      <c r="E30" s="38">
        <v>0</v>
      </c>
      <c r="F30" s="13">
        <v>81.418399999999991</v>
      </c>
      <c r="G30" s="13">
        <v>8.31502433159819</v>
      </c>
      <c r="H30" s="13">
        <v>0</v>
      </c>
      <c r="I30" s="13">
        <v>70.991177788500792</v>
      </c>
      <c r="J30" s="13">
        <v>15.028155241050348</v>
      </c>
      <c r="K30" s="13">
        <v>0</v>
      </c>
      <c r="L30" s="13">
        <v>0</v>
      </c>
      <c r="M30" s="13">
        <v>4.0186822499999995</v>
      </c>
      <c r="N30" s="38">
        <v>0</v>
      </c>
      <c r="O30" s="13">
        <v>63.02661069568579</v>
      </c>
      <c r="P30" s="13">
        <v>3.4034369775670328</v>
      </c>
      <c r="Q30" s="13">
        <v>34.380385868389631</v>
      </c>
      <c r="R30" s="13">
        <v>4.7396011243155716</v>
      </c>
      <c r="S30" s="13">
        <v>9.5863474868138105</v>
      </c>
      <c r="T30" s="13">
        <v>6.2056822262665472</v>
      </c>
    </row>
    <row r="31" spans="1:20" x14ac:dyDescent="0.25">
      <c r="A31" s="8">
        <v>1928</v>
      </c>
      <c r="B31" s="37">
        <v>108.75</v>
      </c>
      <c r="C31" s="38">
        <v>104.545415739367</v>
      </c>
      <c r="D31" s="13">
        <v>0</v>
      </c>
      <c r="E31" s="38">
        <v>0</v>
      </c>
      <c r="F31" s="13">
        <v>83.388199999999998</v>
      </c>
      <c r="G31" s="13">
        <v>8.5542733822401811</v>
      </c>
      <c r="H31" s="13">
        <v>0</v>
      </c>
      <c r="I31" s="13">
        <v>77.487771310702712</v>
      </c>
      <c r="J31" s="13">
        <v>14.88672616194426</v>
      </c>
      <c r="K31" s="13">
        <v>0</v>
      </c>
      <c r="L31" s="13">
        <v>0</v>
      </c>
      <c r="M31" s="13">
        <v>4.5086967391304356</v>
      </c>
      <c r="N31" s="38">
        <v>0</v>
      </c>
      <c r="O31" s="13">
        <v>67.81823594824418</v>
      </c>
      <c r="P31" s="13">
        <v>3.662184741205186</v>
      </c>
      <c r="Q31" s="13">
        <v>36.994169527407713</v>
      </c>
      <c r="R31" s="13">
        <v>5.0999313433079614</v>
      </c>
      <c r="S31" s="13">
        <v>10.315153687727941</v>
      </c>
      <c r="T31" s="13">
        <v>6.6774718931471586</v>
      </c>
    </row>
    <row r="32" spans="1:20" x14ac:dyDescent="0.25">
      <c r="A32" s="8">
        <v>1929</v>
      </c>
      <c r="B32" s="37">
        <v>125.625</v>
      </c>
      <c r="C32" s="38">
        <v>115.34782953783061</v>
      </c>
      <c r="D32" s="13">
        <v>0</v>
      </c>
      <c r="E32" s="38">
        <v>0</v>
      </c>
      <c r="F32" s="13">
        <v>92.393000000000001</v>
      </c>
      <c r="G32" s="13">
        <v>9.513920232789145</v>
      </c>
      <c r="H32" s="13">
        <v>0</v>
      </c>
      <c r="I32" s="13">
        <v>85.64675775759379</v>
      </c>
      <c r="J32" s="13">
        <v>16.109451399160605</v>
      </c>
      <c r="K32" s="13">
        <v>0</v>
      </c>
      <c r="L32" s="13">
        <v>0</v>
      </c>
      <c r="M32" s="13">
        <v>5.1233906086956527</v>
      </c>
      <c r="N32" s="38">
        <v>0</v>
      </c>
      <c r="O32" s="13">
        <v>74.815719835815031</v>
      </c>
      <c r="P32" s="13">
        <v>4.0400488711340117</v>
      </c>
      <c r="Q32" s="13">
        <v>40.811227013238735</v>
      </c>
      <c r="R32" s="13">
        <v>5.6261421316532898</v>
      </c>
      <c r="S32" s="13">
        <v>11.379470987027467</v>
      </c>
      <c r="T32" s="13">
        <v>7.3664532759372294</v>
      </c>
    </row>
    <row r="33" spans="1:20" x14ac:dyDescent="0.25">
      <c r="A33" s="8">
        <v>1930</v>
      </c>
      <c r="B33" s="37">
        <v>111.875</v>
      </c>
      <c r="C33" s="38">
        <v>93.524459561521724</v>
      </c>
      <c r="D33" s="13">
        <v>0</v>
      </c>
      <c r="E33" s="38">
        <v>0</v>
      </c>
      <c r="F33" s="13">
        <v>75.227599999999995</v>
      </c>
      <c r="G33" s="13">
        <v>7.7757022849075641</v>
      </c>
      <c r="H33" s="13">
        <v>0</v>
      </c>
      <c r="I33" s="13">
        <v>67.860195516985456</v>
      </c>
      <c r="J33" s="13">
        <v>12.801985700715626</v>
      </c>
      <c r="K33" s="13">
        <v>0</v>
      </c>
      <c r="L33" s="13">
        <v>0</v>
      </c>
      <c r="M33" s="13">
        <v>4.1688222065217388</v>
      </c>
      <c r="N33" s="38">
        <v>0</v>
      </c>
      <c r="O33" s="13">
        <v>59.381702396955973</v>
      </c>
      <c r="P33" s="13">
        <v>3.2066119294356223</v>
      </c>
      <c r="Q33" s="13">
        <v>32.392124840515514</v>
      </c>
      <c r="R33" s="13">
        <v>4.4655040202510889</v>
      </c>
      <c r="S33" s="13">
        <v>9.0319569345770052</v>
      </c>
      <c r="T33" s="13">
        <v>5.8467998050776311</v>
      </c>
    </row>
    <row r="34" spans="1:20" x14ac:dyDescent="0.25">
      <c r="A34" s="8">
        <v>1931</v>
      </c>
      <c r="B34" s="37">
        <v>74.375</v>
      </c>
      <c r="C34" s="38">
        <v>64.683169388569766</v>
      </c>
      <c r="D34" s="13">
        <v>0</v>
      </c>
      <c r="E34" s="38">
        <v>0</v>
      </c>
      <c r="F34" s="13">
        <v>52.246600000000001</v>
      </c>
      <c r="G34" s="13">
        <v>5.5347050104215194</v>
      </c>
      <c r="H34" s="13">
        <v>0</v>
      </c>
      <c r="I34" s="13">
        <v>50.012732884191614</v>
      </c>
      <c r="J34" s="13">
        <v>8.6238448079466288</v>
      </c>
      <c r="K34" s="13">
        <v>0</v>
      </c>
      <c r="L34" s="13">
        <v>0</v>
      </c>
      <c r="M34" s="13">
        <v>3.1501111304347824</v>
      </c>
      <c r="N34" s="38">
        <v>0</v>
      </c>
      <c r="O34" s="13">
        <v>43.250682175801117</v>
      </c>
      <c r="P34" s="13">
        <v>2.3355368374932604</v>
      </c>
      <c r="Q34" s="13">
        <v>23.59281462007775</v>
      </c>
      <c r="R34" s="13">
        <v>3.2524512996202439</v>
      </c>
      <c r="S34" s="13">
        <v>6.5784287589393502</v>
      </c>
      <c r="T34" s="13">
        <v>4.2585185319293171</v>
      </c>
    </row>
    <row r="35" spans="1:20" x14ac:dyDescent="0.25">
      <c r="A35" s="8">
        <v>1932</v>
      </c>
      <c r="B35" s="37">
        <v>47.625</v>
      </c>
      <c r="C35" s="38">
        <v>46.026926725109185</v>
      </c>
      <c r="D35" s="13">
        <v>0</v>
      </c>
      <c r="E35" s="38">
        <v>0</v>
      </c>
      <c r="F35" s="13">
        <v>37.332399999999993</v>
      </c>
      <c r="G35" s="13">
        <v>3.4118356275840318</v>
      </c>
      <c r="H35" s="13">
        <v>0</v>
      </c>
      <c r="I35" s="13">
        <v>36.741933069343069</v>
      </c>
      <c r="J35" s="13">
        <v>6.1306898240269128</v>
      </c>
      <c r="K35" s="13">
        <v>0</v>
      </c>
      <c r="L35" s="13">
        <v>0</v>
      </c>
      <c r="M35" s="13">
        <v>2.3256090000000005</v>
      </c>
      <c r="N35" s="38">
        <v>0</v>
      </c>
      <c r="O35" s="13">
        <v>31.638762325358982</v>
      </c>
      <c r="P35" s="13">
        <v>1.7084931655693851</v>
      </c>
      <c r="Q35" s="13">
        <v>17.25862846086007</v>
      </c>
      <c r="R35" s="13">
        <v>2.3792349268669954</v>
      </c>
      <c r="S35" s="13">
        <v>4.8122557496871021</v>
      </c>
      <c r="T35" s="13">
        <v>3.1151937706368136</v>
      </c>
    </row>
    <row r="36" spans="1:20" x14ac:dyDescent="0.25">
      <c r="A36" s="8">
        <v>1933</v>
      </c>
      <c r="B36" s="37">
        <v>57</v>
      </c>
      <c r="C36" s="38">
        <v>56.892648564346224</v>
      </c>
      <c r="D36" s="13">
        <v>0</v>
      </c>
      <c r="E36" s="38">
        <v>0</v>
      </c>
      <c r="F36" s="13">
        <v>46.337199999999996</v>
      </c>
      <c r="G36" s="13">
        <v>3.6099739260815036</v>
      </c>
      <c r="H36" s="13">
        <v>0</v>
      </c>
      <c r="I36" s="13">
        <v>49.902443546729643</v>
      </c>
      <c r="J36" s="13">
        <v>7.4375831887964834</v>
      </c>
      <c r="K36" s="13">
        <v>0</v>
      </c>
      <c r="L36" s="13">
        <v>0</v>
      </c>
      <c r="M36" s="13">
        <v>3.1606252173913036</v>
      </c>
      <c r="N36" s="38">
        <v>0</v>
      </c>
      <c r="O36" s="13">
        <v>42.350456367042199</v>
      </c>
      <c r="P36" s="13">
        <v>2.2869246438202788</v>
      </c>
      <c r="Q36" s="13">
        <v>23.101750443657846</v>
      </c>
      <c r="R36" s="13">
        <v>3.1847543188015734</v>
      </c>
      <c r="S36" s="13">
        <v>6.4415044134271184</v>
      </c>
      <c r="T36" s="13">
        <v>4.1698811256119228</v>
      </c>
    </row>
    <row r="37" spans="1:20" x14ac:dyDescent="0.25">
      <c r="A37" s="8">
        <v>1934</v>
      </c>
      <c r="B37" s="37">
        <v>75</v>
      </c>
      <c r="C37" s="38">
        <v>72.256592624180556</v>
      </c>
      <c r="D37" s="13">
        <v>0</v>
      </c>
      <c r="E37" s="38">
        <v>0</v>
      </c>
      <c r="F37" s="13">
        <v>59.093999999999994</v>
      </c>
      <c r="G37" s="13">
        <v>5.1158023459632123</v>
      </c>
      <c r="H37" s="13">
        <v>0</v>
      </c>
      <c r="I37" s="13">
        <v>61.231982403401851</v>
      </c>
      <c r="J37" s="13">
        <v>8.9220512151107787</v>
      </c>
      <c r="K37" s="13">
        <v>0</v>
      </c>
      <c r="L37" s="13">
        <v>0</v>
      </c>
      <c r="M37" s="13">
        <v>3.8801801739130446</v>
      </c>
      <c r="N37" s="38">
        <v>0</v>
      </c>
      <c r="O37" s="13">
        <v>51.823949654697969</v>
      </c>
      <c r="P37" s="13">
        <v>2.7984932813536902</v>
      </c>
      <c r="Q37" s="13">
        <v>28.269446297141194</v>
      </c>
      <c r="R37" s="13">
        <v>3.8971610140332866</v>
      </c>
      <c r="S37" s="13">
        <v>7.8824227424795614</v>
      </c>
      <c r="T37" s="13">
        <v>5.1026536207047783</v>
      </c>
    </row>
    <row r="38" spans="1:20" x14ac:dyDescent="0.25">
      <c r="A38" s="8">
        <v>1935</v>
      </c>
      <c r="B38" s="37">
        <v>86.25</v>
      </c>
      <c r="C38" s="38">
        <v>84.981610088157439</v>
      </c>
      <c r="D38" s="13">
        <v>0</v>
      </c>
      <c r="E38" s="38">
        <v>0</v>
      </c>
      <c r="F38" s="13">
        <v>69.787199999999999</v>
      </c>
      <c r="G38" s="13">
        <v>6.230380713431745</v>
      </c>
      <c r="H38" s="13">
        <v>0</v>
      </c>
      <c r="I38" s="13">
        <v>74.879597744198009</v>
      </c>
      <c r="J38" s="13">
        <v>9.9540262145763432</v>
      </c>
      <c r="K38" s="13">
        <v>0</v>
      </c>
      <c r="L38" s="13">
        <v>0</v>
      </c>
      <c r="M38" s="13">
        <v>4.7867719565217399</v>
      </c>
      <c r="N38" s="38">
        <v>0</v>
      </c>
      <c r="O38" s="13">
        <v>62.734277140707256</v>
      </c>
      <c r="P38" s="13">
        <v>3.3876509655981915</v>
      </c>
      <c r="Q38" s="13">
        <v>34.2209208374844</v>
      </c>
      <c r="R38" s="13">
        <v>4.7176176409811861</v>
      </c>
      <c r="S38" s="13">
        <v>9.5418835531015738</v>
      </c>
      <c r="T38" s="13">
        <v>6.176898683470144</v>
      </c>
    </row>
    <row r="39" spans="1:20" x14ac:dyDescent="0.25">
      <c r="A39" s="8">
        <v>1936</v>
      </c>
      <c r="B39" s="37">
        <v>106.25</v>
      </c>
      <c r="C39" s="38">
        <v>104.20052093977775</v>
      </c>
      <c r="D39" s="13">
        <v>0</v>
      </c>
      <c r="E39" s="38">
        <v>0</v>
      </c>
      <c r="F39" s="13">
        <v>85.920799999999986</v>
      </c>
      <c r="G39" s="13">
        <v>7.0841150706579272</v>
      </c>
      <c r="H39" s="13">
        <v>0</v>
      </c>
      <c r="I39" s="13">
        <v>94.671493299554896</v>
      </c>
      <c r="J39" s="13">
        <v>11.745736662131243</v>
      </c>
      <c r="K39" s="13">
        <v>0</v>
      </c>
      <c r="L39" s="13">
        <v>0</v>
      </c>
      <c r="M39" s="13">
        <v>6.1064806956521744</v>
      </c>
      <c r="N39" s="38">
        <v>0</v>
      </c>
      <c r="O39" s="13">
        <v>78.766597460136808</v>
      </c>
      <c r="P39" s="13">
        <v>4.2533962628473878</v>
      </c>
      <c r="Q39" s="13">
        <v>42.966391248530023</v>
      </c>
      <c r="R39" s="13">
        <v>5.923248129002288</v>
      </c>
      <c r="S39" s="13">
        <v>11.980399473686809</v>
      </c>
      <c r="T39" s="13">
        <v>7.7554618356674778</v>
      </c>
    </row>
    <row r="40" spans="1:20" x14ac:dyDescent="0.25">
      <c r="A40" s="8">
        <v>1937</v>
      </c>
      <c r="B40" s="37">
        <v>132.5</v>
      </c>
      <c r="C40" s="38">
        <v>117.82498658465923</v>
      </c>
      <c r="D40" s="13">
        <v>0</v>
      </c>
      <c r="E40" s="38">
        <v>0</v>
      </c>
      <c r="F40" s="13">
        <v>97.551999999999992</v>
      </c>
      <c r="G40" s="13">
        <v>8.8239273090307577</v>
      </c>
      <c r="H40" s="13">
        <v>0</v>
      </c>
      <c r="I40" s="13">
        <v>104.35049915997354</v>
      </c>
      <c r="J40" s="13">
        <v>12.56773707681878</v>
      </c>
      <c r="K40" s="13">
        <v>0</v>
      </c>
      <c r="L40" s="13">
        <v>0</v>
      </c>
      <c r="M40" s="13">
        <v>6.8047649999999988</v>
      </c>
      <c r="N40" s="38">
        <v>0</v>
      </c>
      <c r="O40" s="13">
        <v>86.606100865754627</v>
      </c>
      <c r="P40" s="13">
        <v>4.6767294467507501</v>
      </c>
      <c r="Q40" s="13">
        <v>47.242761961260484</v>
      </c>
      <c r="R40" s="13">
        <v>6.5127787851047483</v>
      </c>
      <c r="S40" s="13">
        <v>13.17278794168128</v>
      </c>
      <c r="T40" s="13">
        <v>8.5273495575361817</v>
      </c>
    </row>
    <row r="41" spans="1:20" x14ac:dyDescent="0.25">
      <c r="A41" s="8">
        <v>1938</v>
      </c>
      <c r="B41" s="37">
        <v>101.25</v>
      </c>
      <c r="C41" s="38">
        <v>93.539581127869482</v>
      </c>
      <c r="D41" s="13">
        <v>0</v>
      </c>
      <c r="E41" s="38">
        <v>0</v>
      </c>
      <c r="F41" s="13">
        <v>77.760199999999998</v>
      </c>
      <c r="G41" s="13">
        <v>7.1709724735011529</v>
      </c>
      <c r="H41" s="13">
        <v>0</v>
      </c>
      <c r="I41" s="13">
        <v>85.086583896237357</v>
      </c>
      <c r="J41" s="13">
        <v>9.5088283835922063</v>
      </c>
      <c r="K41" s="13">
        <v>0</v>
      </c>
      <c r="L41" s="13">
        <v>0</v>
      </c>
      <c r="M41" s="13">
        <v>6.0119902173913049</v>
      </c>
      <c r="N41" s="38">
        <v>0</v>
      </c>
      <c r="O41" s="13">
        <v>70.425181748054598</v>
      </c>
      <c r="P41" s="13">
        <v>3.8029598143949483</v>
      </c>
      <c r="Q41" s="13">
        <v>38.416232391746298</v>
      </c>
      <c r="R41" s="13">
        <v>5.2959736674537057</v>
      </c>
      <c r="S41" s="13">
        <v>10.711670143879106</v>
      </c>
      <c r="T41" s="13">
        <v>6.9341551740050829</v>
      </c>
    </row>
    <row r="42" spans="1:20" x14ac:dyDescent="0.25">
      <c r="A42" s="8">
        <v>1939</v>
      </c>
      <c r="B42" s="37">
        <v>125</v>
      </c>
      <c r="C42" s="38">
        <v>114.62649734815669</v>
      </c>
      <c r="D42" s="13">
        <v>0</v>
      </c>
      <c r="E42" s="38">
        <v>0</v>
      </c>
      <c r="F42" s="13">
        <v>95.675999999999988</v>
      </c>
      <c r="G42" s="13">
        <v>6.3163871454610856</v>
      </c>
      <c r="H42" s="13">
        <v>0</v>
      </c>
      <c r="I42" s="13">
        <v>106.63648620795702</v>
      </c>
      <c r="J42" s="13">
        <v>11.591394219572601</v>
      </c>
      <c r="K42" s="13">
        <v>0</v>
      </c>
      <c r="L42" s="13">
        <v>0</v>
      </c>
      <c r="M42" s="13">
        <v>8.1112830652173908</v>
      </c>
      <c r="N42" s="38">
        <v>0</v>
      </c>
      <c r="O42" s="13">
        <v>88.437414444922908</v>
      </c>
      <c r="P42" s="13">
        <v>4.7756203800258374</v>
      </c>
      <c r="Q42" s="13">
        <v>48.241725205560989</v>
      </c>
      <c r="R42" s="13">
        <v>6.650493566258203</v>
      </c>
      <c r="S42" s="13">
        <v>13.451330737072777</v>
      </c>
      <c r="T42" s="13">
        <v>8.7076630791348144</v>
      </c>
    </row>
    <row r="43" spans="1:20" x14ac:dyDescent="0.25">
      <c r="A43" s="8">
        <v>1940</v>
      </c>
      <c r="B43" s="37">
        <v>132.5</v>
      </c>
      <c r="C43" s="38">
        <v>123.11998868319252</v>
      </c>
      <c r="D43" s="13">
        <v>0</v>
      </c>
      <c r="E43" s="38">
        <v>0</v>
      </c>
      <c r="F43" s="13">
        <v>103.17999999999999</v>
      </c>
      <c r="G43" s="13">
        <v>6.5053474445782777</v>
      </c>
      <c r="H43" s="13">
        <v>0</v>
      </c>
      <c r="I43" s="13">
        <v>109.53372827537459</v>
      </c>
      <c r="J43" s="13">
        <v>11.89748507815708</v>
      </c>
      <c r="K43" s="13">
        <v>0</v>
      </c>
      <c r="L43" s="13">
        <v>0</v>
      </c>
      <c r="M43" s="13">
        <v>9.4561141304347807</v>
      </c>
      <c r="N43" s="38">
        <v>0</v>
      </c>
      <c r="O43" s="13">
        <v>91.62112923877649</v>
      </c>
      <c r="P43" s="13">
        <v>4.9475409788939304</v>
      </c>
      <c r="Q43" s="13">
        <v>49.978409788460183</v>
      </c>
      <c r="R43" s="13">
        <v>6.8899089187559914</v>
      </c>
      <c r="S43" s="13">
        <v>13.935573757217906</v>
      </c>
      <c r="T43" s="13">
        <v>9.0211357867997304</v>
      </c>
    </row>
    <row r="44" spans="1:20" x14ac:dyDescent="0.25">
      <c r="A44" s="8">
        <v>1941</v>
      </c>
      <c r="B44" s="37">
        <v>145.625</v>
      </c>
      <c r="C44" s="38">
        <v>122.6271440215659</v>
      </c>
      <c r="D44" s="13">
        <v>0</v>
      </c>
      <c r="E44" s="38">
        <v>0</v>
      </c>
      <c r="F44" s="13">
        <v>103.17999999999999</v>
      </c>
      <c r="G44" s="13">
        <v>6.8397204046194835</v>
      </c>
      <c r="H44" s="13">
        <v>0</v>
      </c>
      <c r="I44" s="13">
        <v>113.16335409095592</v>
      </c>
      <c r="J44" s="13">
        <v>11.326266767867949</v>
      </c>
      <c r="K44" s="13">
        <v>0</v>
      </c>
      <c r="L44" s="13">
        <v>0</v>
      </c>
      <c r="M44" s="13">
        <v>10.954035352173911</v>
      </c>
      <c r="N44" s="38">
        <v>0</v>
      </c>
      <c r="O44" s="13">
        <v>94.81055934769843</v>
      </c>
      <c r="P44" s="13">
        <v>5.1197702047757154</v>
      </c>
      <c r="Q44" s="13">
        <v>51.718212018576011</v>
      </c>
      <c r="R44" s="13">
        <v>7.1297540629469216</v>
      </c>
      <c r="S44" s="13">
        <v>14.420686076784932</v>
      </c>
      <c r="T44" s="13">
        <v>9.9692773902473384</v>
      </c>
    </row>
    <row r="45" spans="1:20" x14ac:dyDescent="0.25">
      <c r="A45" s="8">
        <v>1942</v>
      </c>
      <c r="B45" s="37">
        <v>146.875</v>
      </c>
      <c r="C45" s="38">
        <v>114.36579653162957</v>
      </c>
      <c r="D45" s="13">
        <v>0</v>
      </c>
      <c r="E45" s="38">
        <v>0</v>
      </c>
      <c r="F45" s="13">
        <v>96.61399999999999</v>
      </c>
      <c r="G45" s="13">
        <v>5.7995208709069841</v>
      </c>
      <c r="H45" s="13">
        <v>0</v>
      </c>
      <c r="I45" s="13">
        <v>118.24733849390276</v>
      </c>
      <c r="J45" s="13">
        <v>10.219311586843739</v>
      </c>
      <c r="K45" s="13">
        <v>0</v>
      </c>
      <c r="L45" s="13">
        <v>0</v>
      </c>
      <c r="M45" s="13">
        <v>12.045186521739129</v>
      </c>
      <c r="N45" s="38">
        <v>0</v>
      </c>
      <c r="O45" s="13">
        <v>98.358285621739938</v>
      </c>
      <c r="P45" s="13">
        <v>5.3113474235739568</v>
      </c>
      <c r="Q45" s="13">
        <v>53.653461223802914</v>
      </c>
      <c r="R45" s="13">
        <v>7.396543078754843</v>
      </c>
      <c r="S45" s="13">
        <v>14.960295243066646</v>
      </c>
      <c r="T45" s="13">
        <v>11.000152670877458</v>
      </c>
    </row>
    <row r="46" spans="1:20" x14ac:dyDescent="0.25">
      <c r="A46" s="8">
        <v>1943</v>
      </c>
      <c r="B46" s="37">
        <v>141.875</v>
      </c>
      <c r="C46" s="38">
        <v>113.05583782396715</v>
      </c>
      <c r="D46" s="13">
        <v>0</v>
      </c>
      <c r="E46" s="38">
        <v>0</v>
      </c>
      <c r="F46" s="13">
        <v>98.49</v>
      </c>
      <c r="G46" s="13">
        <v>5.2274496432297726</v>
      </c>
      <c r="H46" s="13">
        <v>0</v>
      </c>
      <c r="I46" s="13">
        <v>124.29102865005753</v>
      </c>
      <c r="J46" s="13">
        <v>10.419348850968998</v>
      </c>
      <c r="K46" s="13">
        <v>0</v>
      </c>
      <c r="L46" s="13">
        <v>0</v>
      </c>
      <c r="M46" s="13">
        <v>13.369657304347825</v>
      </c>
      <c r="N46" s="38">
        <v>0</v>
      </c>
      <c r="O46" s="13">
        <v>103.65602436376203</v>
      </c>
      <c r="P46" s="13">
        <v>5.5974253156431502</v>
      </c>
      <c r="Q46" s="13">
        <v>56.543324730188544</v>
      </c>
      <c r="R46" s="13">
        <v>7.794933032154904</v>
      </c>
      <c r="S46" s="13">
        <v>15.766081305728207</v>
      </c>
      <c r="T46" s="13">
        <v>12.285904807207016</v>
      </c>
    </row>
    <row r="47" spans="1:20" x14ac:dyDescent="0.25">
      <c r="A47" s="8">
        <v>1944</v>
      </c>
      <c r="B47" s="37">
        <v>124.375</v>
      </c>
      <c r="C47" s="38">
        <v>101.07131534425893</v>
      </c>
      <c r="D47" s="13">
        <v>0</v>
      </c>
      <c r="E47" s="38">
        <v>0</v>
      </c>
      <c r="F47" s="13">
        <v>91.923999999999992</v>
      </c>
      <c r="G47" s="13">
        <v>5.1026129750849742</v>
      </c>
      <c r="H47" s="13">
        <v>0</v>
      </c>
      <c r="I47" s="13">
        <v>117.39677657968819</v>
      </c>
      <c r="J47" s="13">
        <v>9.5922440295069435</v>
      </c>
      <c r="K47" s="13">
        <v>0</v>
      </c>
      <c r="L47" s="13">
        <v>0</v>
      </c>
      <c r="M47" s="13">
        <v>13.302707478260867</v>
      </c>
      <c r="N47" s="38">
        <v>0</v>
      </c>
      <c r="O47" s="13">
        <v>98.204209661219195</v>
      </c>
      <c r="P47" s="13">
        <v>5.3030273217058363</v>
      </c>
      <c r="Q47" s="13">
        <v>53.569414328098453</v>
      </c>
      <c r="R47" s="13">
        <v>7.3849565665236838</v>
      </c>
      <c r="S47" s="13">
        <v>14.93686028947144</v>
      </c>
      <c r="T47" s="13">
        <v>12.296527912169953</v>
      </c>
    </row>
    <row r="48" spans="1:20" x14ac:dyDescent="0.25">
      <c r="A48" s="8">
        <v>1945</v>
      </c>
      <c r="B48" s="37">
        <v>99.375</v>
      </c>
      <c r="C48" s="38">
        <v>75.566966292134836</v>
      </c>
      <c r="D48" s="13">
        <v>0</v>
      </c>
      <c r="E48" s="38">
        <v>0</v>
      </c>
      <c r="F48" s="13">
        <v>67.254599999999996</v>
      </c>
      <c r="G48" s="13">
        <v>4.1632302553781111</v>
      </c>
      <c r="H48" s="13">
        <v>0</v>
      </c>
      <c r="I48" s="13">
        <v>87.51858729128368</v>
      </c>
      <c r="J48" s="13">
        <v>6.880346099138916</v>
      </c>
      <c r="K48" s="13">
        <v>0</v>
      </c>
      <c r="L48" s="13">
        <v>0</v>
      </c>
      <c r="M48" s="13">
        <v>10.462407701086955</v>
      </c>
      <c r="N48" s="38">
        <v>0</v>
      </c>
      <c r="O48" s="13">
        <v>73.402938764056685</v>
      </c>
      <c r="P48" s="13">
        <v>3.9637586932590607</v>
      </c>
      <c r="Q48" s="13">
        <v>40.040569066405276</v>
      </c>
      <c r="R48" s="13">
        <v>5.5199009950570632</v>
      </c>
      <c r="S48" s="13">
        <v>11.164586986013022</v>
      </c>
      <c r="T48" s="13">
        <v>9.6819941383885855</v>
      </c>
    </row>
    <row r="49" spans="1:20" x14ac:dyDescent="0.25">
      <c r="A49" s="8">
        <v>1946</v>
      </c>
      <c r="B49" s="37">
        <v>96.25</v>
      </c>
      <c r="C49" s="38">
        <v>82.021967930230943</v>
      </c>
      <c r="D49" s="13">
        <v>0</v>
      </c>
      <c r="E49" s="38">
        <v>0</v>
      </c>
      <c r="F49" s="13">
        <v>67.254599999999996</v>
      </c>
      <c r="G49" s="13">
        <v>4.1692915531782893</v>
      </c>
      <c r="H49" s="13">
        <v>0</v>
      </c>
      <c r="I49" s="13">
        <v>85.929996009683833</v>
      </c>
      <c r="J49" s="13">
        <v>6.8768067820498633</v>
      </c>
      <c r="K49" s="13">
        <v>0</v>
      </c>
      <c r="L49" s="13">
        <v>0</v>
      </c>
      <c r="M49" s="13">
        <v>10.828632913043478</v>
      </c>
      <c r="N49" s="38">
        <v>0</v>
      </c>
      <c r="O49" s="13">
        <v>72.544804993344016</v>
      </c>
      <c r="P49" s="13">
        <v>3.9174194696405769</v>
      </c>
      <c r="Q49" s="13">
        <v>39.572465675819224</v>
      </c>
      <c r="R49" s="13">
        <v>5.4553693354994692</v>
      </c>
      <c r="S49" s="13">
        <v>11.034064839487625</v>
      </c>
      <c r="T49" s="13">
        <v>10.053994289179945</v>
      </c>
    </row>
    <row r="50" spans="1:20" x14ac:dyDescent="0.25">
      <c r="A50" s="8">
        <v>1947</v>
      </c>
      <c r="B50" s="37">
        <v>115</v>
      </c>
      <c r="C50" s="38">
        <v>101.5347943189292</v>
      </c>
      <c r="D50" s="13">
        <v>0</v>
      </c>
      <c r="E50" s="38">
        <v>0</v>
      </c>
      <c r="F50" s="13">
        <v>85.076599999999999</v>
      </c>
      <c r="G50" s="13">
        <v>6.3439286746305621</v>
      </c>
      <c r="H50" s="13">
        <v>0</v>
      </c>
      <c r="I50" s="13">
        <v>104.56139973558909</v>
      </c>
      <c r="J50" s="13">
        <v>8.5299765593673449</v>
      </c>
      <c r="K50" s="13">
        <v>0</v>
      </c>
      <c r="L50" s="13">
        <v>0</v>
      </c>
      <c r="M50" s="13">
        <v>13.38789913043478</v>
      </c>
      <c r="N50" s="38">
        <v>0</v>
      </c>
      <c r="O50" s="13">
        <v>88.535492797773841</v>
      </c>
      <c r="P50" s="13">
        <v>4.7809166110797872</v>
      </c>
      <c r="Q50" s="13">
        <v>48.295225966257647</v>
      </c>
      <c r="R50" s="13">
        <v>6.6578690583925928</v>
      </c>
      <c r="S50" s="13">
        <v>13.466248454541402</v>
      </c>
      <c r="T50" s="13">
        <v>12.862283508297123</v>
      </c>
    </row>
    <row r="51" spans="1:20" x14ac:dyDescent="0.25">
      <c r="A51" s="8">
        <v>1948</v>
      </c>
      <c r="B51" s="37">
        <v>131.875</v>
      </c>
      <c r="C51" s="38">
        <v>116.38394357939751</v>
      </c>
      <c r="D51" s="13">
        <v>0</v>
      </c>
      <c r="E51" s="38">
        <v>0</v>
      </c>
      <c r="F51" s="13">
        <v>96.61399999999999</v>
      </c>
      <c r="G51" s="13">
        <v>6.8516091310454872</v>
      </c>
      <c r="H51" s="13">
        <v>0</v>
      </c>
      <c r="I51" s="13">
        <v>118.94092239101668</v>
      </c>
      <c r="J51" s="13">
        <v>9.7637959614584098</v>
      </c>
      <c r="K51" s="13">
        <v>0</v>
      </c>
      <c r="L51" s="13">
        <v>0</v>
      </c>
      <c r="M51" s="13">
        <v>15.476766847826084</v>
      </c>
      <c r="N51" s="38">
        <v>0</v>
      </c>
      <c r="O51" s="13">
        <v>100.92703964021081</v>
      </c>
      <c r="P51" s="13">
        <v>5.4500601405713835</v>
      </c>
      <c r="Q51" s="13">
        <v>55.054690853338585</v>
      </c>
      <c r="R51" s="13">
        <v>7.5897133809438531</v>
      </c>
      <c r="S51" s="13">
        <v>15.351002729276065</v>
      </c>
      <c r="T51" s="13">
        <v>15.337520061668664</v>
      </c>
    </row>
    <row r="52" spans="1:20" x14ac:dyDescent="0.25">
      <c r="A52" s="8">
        <v>1949</v>
      </c>
      <c r="B52" s="37">
        <v>139.375</v>
      </c>
      <c r="C52" s="38">
        <v>122.3013564839935</v>
      </c>
      <c r="D52" s="13">
        <v>0</v>
      </c>
      <c r="E52" s="38">
        <v>0</v>
      </c>
      <c r="F52" s="13">
        <v>98.49</v>
      </c>
      <c r="G52" s="13">
        <v>6.3199014540199876</v>
      </c>
      <c r="H52" s="13">
        <v>0</v>
      </c>
      <c r="I52" s="13">
        <v>122.52152007308376</v>
      </c>
      <c r="J52" s="13">
        <v>10.089909623615128</v>
      </c>
      <c r="K52" s="13">
        <v>0</v>
      </c>
      <c r="L52" s="13">
        <v>0</v>
      </c>
      <c r="M52" s="13">
        <v>16.201565217391305</v>
      </c>
      <c r="N52" s="38">
        <v>0</v>
      </c>
      <c r="O52" s="13">
        <v>104.16909643986314</v>
      </c>
      <c r="P52" s="13">
        <v>5.6251312077526094</v>
      </c>
      <c r="Q52" s="13">
        <v>56.823200416980939</v>
      </c>
      <c r="R52" s="13">
        <v>7.8335160522777079</v>
      </c>
      <c r="S52" s="13">
        <v>15.844119568503183</v>
      </c>
      <c r="T52" s="13">
        <v>16.526901151427069</v>
      </c>
    </row>
    <row r="53" spans="1:20" x14ac:dyDescent="0.25">
      <c r="A53" s="8">
        <v>1950</v>
      </c>
      <c r="B53" s="37">
        <v>156.25</v>
      </c>
      <c r="C53" s="38">
        <v>154.43041537647002</v>
      </c>
      <c r="D53" s="13">
        <v>0</v>
      </c>
      <c r="E53" s="38">
        <v>0</v>
      </c>
      <c r="F53" s="13">
        <v>125.69199999999999</v>
      </c>
      <c r="G53" s="13">
        <v>8.3047165566890264</v>
      </c>
      <c r="H53" s="13">
        <v>0</v>
      </c>
      <c r="I53" s="13">
        <v>144.2124109059163</v>
      </c>
      <c r="J53" s="13">
        <v>12.882140584335463</v>
      </c>
      <c r="K53" s="13">
        <v>0</v>
      </c>
      <c r="L53" s="13">
        <v>0</v>
      </c>
      <c r="M53" s="13">
        <v>19.652651413043476</v>
      </c>
      <c r="N53" s="38">
        <v>0</v>
      </c>
      <c r="O53" s="13">
        <v>123.72304203230668</v>
      </c>
      <c r="P53" s="13">
        <v>6.68104426974456</v>
      </c>
      <c r="Q53" s="13">
        <v>67.489682198202956</v>
      </c>
      <c r="R53" s="13">
        <v>9.3039727608294616</v>
      </c>
      <c r="S53" s="13">
        <v>18.818274693113846</v>
      </c>
      <c r="T53" s="13">
        <v>20.456700444987124</v>
      </c>
    </row>
    <row r="54" spans="1:20" x14ac:dyDescent="0.25">
      <c r="A54" s="8">
        <v>1951</v>
      </c>
      <c r="B54" s="37">
        <v>183.75</v>
      </c>
      <c r="C54" s="38">
        <v>173.97472921209632</v>
      </c>
      <c r="D54" s="13">
        <v>3.0987865254062887</v>
      </c>
      <c r="E54" s="38">
        <v>0</v>
      </c>
      <c r="F54" s="13">
        <v>141.63800000000001</v>
      </c>
      <c r="G54" s="13">
        <v>9.4355902080471648</v>
      </c>
      <c r="H54" s="13">
        <v>0</v>
      </c>
      <c r="I54" s="13">
        <v>160.37348041347911</v>
      </c>
      <c r="J54" s="13">
        <v>14.580433360526188</v>
      </c>
      <c r="K54" s="13">
        <v>0</v>
      </c>
      <c r="L54" s="13">
        <v>0</v>
      </c>
      <c r="M54" s="13">
        <v>22.514709130434781</v>
      </c>
      <c r="N54" s="38">
        <v>0</v>
      </c>
      <c r="O54" s="13">
        <v>138.22803603310805</v>
      </c>
      <c r="P54" s="13">
        <v>7.4643139457878354</v>
      </c>
      <c r="Q54" s="13">
        <v>75.402011375700113</v>
      </c>
      <c r="R54" s="13">
        <v>10.394748309689724</v>
      </c>
      <c r="S54" s="13">
        <v>21.024484280635736</v>
      </c>
      <c r="T54" s="13">
        <v>23.346023812017972</v>
      </c>
    </row>
    <row r="55" spans="1:20" x14ac:dyDescent="0.25">
      <c r="A55" s="8">
        <v>1952</v>
      </c>
      <c r="B55" s="37">
        <v>186.24999999999997</v>
      </c>
      <c r="C55" s="38">
        <v>175.27199729092257</v>
      </c>
      <c r="D55" s="13">
        <v>6.3570154457847421</v>
      </c>
      <c r="E55" s="38">
        <v>0</v>
      </c>
      <c r="F55" s="13">
        <v>143.51399999999998</v>
      </c>
      <c r="G55" s="13">
        <v>9.4364025851688229</v>
      </c>
      <c r="H55" s="13">
        <v>0</v>
      </c>
      <c r="I55" s="13">
        <v>159.84133150513446</v>
      </c>
      <c r="J55" s="13">
        <v>14.869901087793648</v>
      </c>
      <c r="K55" s="13">
        <v>0</v>
      </c>
      <c r="L55" s="13">
        <v>0</v>
      </c>
      <c r="M55" s="13">
        <v>22.981684239130434</v>
      </c>
      <c r="N55" s="38">
        <v>0</v>
      </c>
      <c r="O55" s="13">
        <v>138.38504178244096</v>
      </c>
      <c r="P55" s="13">
        <v>7.4727922562518119</v>
      </c>
      <c r="Q55" s="13">
        <v>75.487656441903709</v>
      </c>
      <c r="R55" s="13">
        <v>10.406555142039561</v>
      </c>
      <c r="S55" s="13">
        <v>21.04836485510927</v>
      </c>
      <c r="T55" s="13">
        <v>23.86412768743677</v>
      </c>
    </row>
    <row r="56" spans="1:20" x14ac:dyDescent="0.25">
      <c r="A56" s="8">
        <v>1953</v>
      </c>
      <c r="B56" s="37">
        <v>206.875</v>
      </c>
      <c r="C56" s="38">
        <v>186.82893700122924</v>
      </c>
      <c r="D56" s="13">
        <v>10.351999147825342</v>
      </c>
      <c r="E56" s="38">
        <v>0</v>
      </c>
      <c r="F56" s="13">
        <v>158.52199999999999</v>
      </c>
      <c r="G56" s="13">
        <v>10.761059842603194</v>
      </c>
      <c r="H56" s="13">
        <v>0</v>
      </c>
      <c r="I56" s="13">
        <v>177.43060788405688</v>
      </c>
      <c r="J56" s="13">
        <v>16.456807558588647</v>
      </c>
      <c r="K56" s="13">
        <v>0</v>
      </c>
      <c r="L56" s="13">
        <v>0</v>
      </c>
      <c r="M56" s="13">
        <v>26.115805434782605</v>
      </c>
      <c r="N56" s="38">
        <v>0</v>
      </c>
      <c r="O56" s="13">
        <v>154.00225461419967</v>
      </c>
      <c r="P56" s="13">
        <v>8.3161217491667827</v>
      </c>
      <c r="Q56" s="13">
        <v>84.006689869499766</v>
      </c>
      <c r="R56" s="13">
        <v>11.580969546987815</v>
      </c>
      <c r="S56" s="13">
        <v>23.423742926819774</v>
      </c>
      <c r="T56" s="13">
        <v>27.104337523159256</v>
      </c>
    </row>
    <row r="57" spans="1:20" x14ac:dyDescent="0.25">
      <c r="A57" s="8">
        <v>1954</v>
      </c>
      <c r="B57" s="39">
        <v>200.47611701442418</v>
      </c>
      <c r="C57" s="38">
        <v>181.84778873689825</v>
      </c>
      <c r="D57" s="13">
        <v>13.687467969443922</v>
      </c>
      <c r="E57" s="38">
        <v>0</v>
      </c>
      <c r="F57" s="13">
        <v>149.142</v>
      </c>
      <c r="G57" s="13">
        <v>9.103128313175473</v>
      </c>
      <c r="H57" s="13">
        <v>0</v>
      </c>
      <c r="I57" s="13">
        <v>168.35462199962126</v>
      </c>
      <c r="J57" s="13">
        <v>15.840882684617403</v>
      </c>
      <c r="K57" s="13">
        <v>0</v>
      </c>
      <c r="L57" s="13">
        <v>0</v>
      </c>
      <c r="M57" s="13">
        <v>25.389109565217385</v>
      </c>
      <c r="N57" s="38">
        <v>0</v>
      </c>
      <c r="O57" s="13">
        <v>146.70922997461923</v>
      </c>
      <c r="P57" s="13">
        <v>7.9222984186294392</v>
      </c>
      <c r="Q57" s="13">
        <v>80.028417858855036</v>
      </c>
      <c r="R57" s="13">
        <v>11.032534094091366</v>
      </c>
      <c r="S57" s="13">
        <v>22.314473879139587</v>
      </c>
      <c r="T57" s="13">
        <v>26.341924470329882</v>
      </c>
    </row>
    <row r="58" spans="1:20" x14ac:dyDescent="0.25">
      <c r="A58" s="8">
        <v>1955</v>
      </c>
      <c r="B58" s="37">
        <v>227.5</v>
      </c>
      <c r="C58" s="38">
        <v>207.08893641155987</v>
      </c>
      <c r="D58" s="13">
        <v>19.857843217546787</v>
      </c>
      <c r="E58" s="38">
        <v>0</v>
      </c>
      <c r="F58" s="13">
        <v>181.03399999999999</v>
      </c>
      <c r="G58" s="13">
        <v>11.094322014668601</v>
      </c>
      <c r="H58" s="13">
        <v>0</v>
      </c>
      <c r="I58" s="13">
        <v>199.73172584695152</v>
      </c>
      <c r="J58" s="13">
        <v>19.36475543904427</v>
      </c>
      <c r="K58" s="13">
        <v>1.1560441535162627</v>
      </c>
      <c r="L58" s="13">
        <v>0</v>
      </c>
      <c r="M58" s="13">
        <v>31.706810706521736</v>
      </c>
      <c r="N58" s="38">
        <v>1.089547757296297</v>
      </c>
      <c r="O58" s="13">
        <v>175.45263960329908</v>
      </c>
      <c r="P58" s="13">
        <v>9.5538705700850493</v>
      </c>
      <c r="Q58" s="13">
        <v>96.084074067751061</v>
      </c>
      <c r="R58" s="13">
        <v>13.304649386488812</v>
      </c>
      <c r="S58" s="13">
        <v>27.127613325366791</v>
      </c>
      <c r="T58" s="13">
        <v>32.422577531270896</v>
      </c>
    </row>
    <row r="59" spans="1:20" x14ac:dyDescent="0.25">
      <c r="A59" s="8">
        <v>1956</v>
      </c>
      <c r="B59" s="37">
        <v>243.12499999999997</v>
      </c>
      <c r="C59" s="38">
        <v>217.22991669986951</v>
      </c>
      <c r="D59" s="13">
        <v>25.485074026241609</v>
      </c>
      <c r="E59" s="38">
        <v>0</v>
      </c>
      <c r="F59" s="13">
        <v>188.53799999999998</v>
      </c>
      <c r="G59" s="13">
        <v>11.303815240702557</v>
      </c>
      <c r="H59" s="13">
        <v>0</v>
      </c>
      <c r="I59" s="13">
        <v>211.12337852304663</v>
      </c>
      <c r="J59" s="13">
        <v>19.319173048396053</v>
      </c>
      <c r="K59" s="13">
        <v>1.4277605269587095</v>
      </c>
      <c r="L59" s="13">
        <v>0</v>
      </c>
      <c r="M59" s="13">
        <v>34.75993304347827</v>
      </c>
      <c r="N59" s="38">
        <v>2.6910457381679622</v>
      </c>
      <c r="O59" s="13">
        <v>184.37161495266807</v>
      </c>
      <c r="P59" s="13">
        <v>10.152244441756519</v>
      </c>
      <c r="Q59" s="13">
        <v>101.50256664901595</v>
      </c>
      <c r="R59" s="13">
        <v>14.13794040777945</v>
      </c>
      <c r="S59" s="13">
        <v>29.132796158258842</v>
      </c>
      <c r="T59" s="13">
        <v>34.743120795576665</v>
      </c>
    </row>
    <row r="60" spans="1:20" x14ac:dyDescent="0.25">
      <c r="A60" s="8">
        <v>1957</v>
      </c>
      <c r="B60" s="37">
        <v>264.37499999999994</v>
      </c>
      <c r="C60" s="38">
        <v>218.42213313117205</v>
      </c>
      <c r="D60" s="13">
        <v>30.491978699223367</v>
      </c>
      <c r="E60" s="38">
        <v>0</v>
      </c>
      <c r="F60" s="13">
        <v>198.85599999999999</v>
      </c>
      <c r="G60" s="13">
        <v>11.581738977513581</v>
      </c>
      <c r="H60" s="13">
        <v>0</v>
      </c>
      <c r="I60" s="13">
        <v>218.4130906727473</v>
      </c>
      <c r="J60" s="13">
        <v>19.559232356090348</v>
      </c>
      <c r="K60" s="13">
        <v>1.6992016676459234</v>
      </c>
      <c r="L60" s="13">
        <v>0</v>
      </c>
      <c r="M60" s="13">
        <v>36.627643369565213</v>
      </c>
      <c r="N60" s="38">
        <v>3.5889880435939405</v>
      </c>
      <c r="O60" s="13">
        <v>190.38256026007056</v>
      </c>
      <c r="P60" s="13">
        <v>10.542295482421808</v>
      </c>
      <c r="Q60" s="13">
        <v>105.09169561860259</v>
      </c>
      <c r="R60" s="13">
        <v>14.681122597742963</v>
      </c>
      <c r="S60" s="13">
        <v>30.410727573212281</v>
      </c>
      <c r="T60" s="13">
        <v>36.362950927756934</v>
      </c>
    </row>
    <row r="61" spans="1:20" x14ac:dyDescent="0.25">
      <c r="A61" s="8">
        <v>1958</v>
      </c>
      <c r="B61" s="37">
        <v>248.125</v>
      </c>
      <c r="C61" s="38">
        <v>207.6064570101033</v>
      </c>
      <c r="D61" s="13">
        <v>33.79639997838882</v>
      </c>
      <c r="E61" s="38">
        <v>0</v>
      </c>
      <c r="F61" s="13">
        <v>184.786</v>
      </c>
      <c r="G61" s="13">
        <v>10.243886999269973</v>
      </c>
      <c r="H61" s="13">
        <v>0</v>
      </c>
      <c r="I61" s="13">
        <v>201.98870593553335</v>
      </c>
      <c r="J61" s="13">
        <v>17.779055178339068</v>
      </c>
      <c r="K61" s="13">
        <v>1.7795903300003197</v>
      </c>
      <c r="L61" s="13">
        <v>0</v>
      </c>
      <c r="M61" s="13">
        <v>34.586080434782616</v>
      </c>
      <c r="N61" s="38">
        <v>4.0711128329952873</v>
      </c>
      <c r="O61" s="13">
        <v>175.85993366072537</v>
      </c>
      <c r="P61" s="13">
        <v>9.7932205432045265</v>
      </c>
      <c r="Q61" s="13">
        <v>97.33631106079379</v>
      </c>
      <c r="R61" s="13">
        <v>13.637966386092231</v>
      </c>
      <c r="S61" s="13">
        <v>28.397096607159426</v>
      </c>
      <c r="T61" s="13">
        <v>34.047498600516192</v>
      </c>
    </row>
    <row r="62" spans="1:20" x14ac:dyDescent="0.25">
      <c r="A62" s="8">
        <v>1959</v>
      </c>
      <c r="B62" s="39">
        <v>280.88627776957753</v>
      </c>
      <c r="C62" s="38">
        <v>227.9854535385038</v>
      </c>
      <c r="D62" s="13">
        <v>42.620426032420475</v>
      </c>
      <c r="E62" s="38">
        <v>0</v>
      </c>
      <c r="F62" s="13">
        <v>210.11199999999999</v>
      </c>
      <c r="G62" s="13">
        <v>10.872790375364456</v>
      </c>
      <c r="H62" s="13">
        <v>0</v>
      </c>
      <c r="I62" s="13">
        <v>222.22292783713252</v>
      </c>
      <c r="J62" s="13">
        <v>19.418133580321197</v>
      </c>
      <c r="K62" s="13">
        <v>7.9186508454226239</v>
      </c>
      <c r="L62" s="13">
        <v>0</v>
      </c>
      <c r="M62" s="13">
        <v>39.722835326086958</v>
      </c>
      <c r="N62" s="38">
        <v>5.0205853981707351</v>
      </c>
      <c r="O62" s="13">
        <v>198.26355466321468</v>
      </c>
      <c r="P62" s="13">
        <v>11.07223262734024</v>
      </c>
      <c r="Q62" s="13">
        <v>109.88528321484078</v>
      </c>
      <c r="R62" s="13">
        <v>15.419109140296035</v>
      </c>
      <c r="S62" s="13">
        <v>32.189223750534104</v>
      </c>
      <c r="T62" s="13">
        <v>38.787152750681216</v>
      </c>
    </row>
    <row r="63" spans="1:20" x14ac:dyDescent="0.25">
      <c r="A63" s="8">
        <v>1960</v>
      </c>
      <c r="B63" s="37">
        <v>321.25</v>
      </c>
      <c r="C63" s="38">
        <v>252.81120025171319</v>
      </c>
      <c r="D63" s="13">
        <v>53.626618235211737</v>
      </c>
      <c r="E63" s="38">
        <v>0</v>
      </c>
      <c r="F63" s="13">
        <v>242.94199999999998</v>
      </c>
      <c r="G63" s="13">
        <v>13.327291289984089</v>
      </c>
      <c r="H63" s="13">
        <v>0</v>
      </c>
      <c r="I63" s="13">
        <v>248.50445528981422</v>
      </c>
      <c r="J63" s="13">
        <v>21.552273851506531</v>
      </c>
      <c r="K63" s="13">
        <v>12.499519463053504</v>
      </c>
      <c r="L63" s="13">
        <v>0</v>
      </c>
      <c r="M63" s="13">
        <v>46.626395869565215</v>
      </c>
      <c r="N63" s="38">
        <v>6.669339131835355</v>
      </c>
      <c r="O63" s="13">
        <v>224.8031072856314</v>
      </c>
      <c r="P63" s="13">
        <v>12.625562616134893</v>
      </c>
      <c r="Q63" s="13">
        <v>124.93195026848812</v>
      </c>
      <c r="R63" s="13">
        <v>17.582264976543406</v>
      </c>
      <c r="S63" s="13">
        <v>36.893634966537853</v>
      </c>
      <c r="T63" s="13">
        <v>44.582353452222542</v>
      </c>
    </row>
    <row r="64" spans="1:20" x14ac:dyDescent="0.25">
      <c r="A64" s="8">
        <v>1961</v>
      </c>
      <c r="B64" s="37">
        <v>309.375</v>
      </c>
      <c r="C64" s="38">
        <v>239.59465468470782</v>
      </c>
      <c r="D64" s="13">
        <v>57.116991983660832</v>
      </c>
      <c r="E64" s="38">
        <v>0</v>
      </c>
      <c r="F64" s="13">
        <v>240.12799999999999</v>
      </c>
      <c r="G64" s="13">
        <v>11.506122070759664</v>
      </c>
      <c r="H64" s="13">
        <v>0</v>
      </c>
      <c r="I64" s="13">
        <v>249.50266761453935</v>
      </c>
      <c r="J64" s="13">
        <v>20.497531065513623</v>
      </c>
      <c r="K64" s="13">
        <v>16.329048699569718</v>
      </c>
      <c r="L64" s="13">
        <v>0</v>
      </c>
      <c r="M64" s="13">
        <v>49.025833043478265</v>
      </c>
      <c r="N64" s="38">
        <v>7.7658175973577483</v>
      </c>
      <c r="O64" s="13">
        <v>228.19907157550747</v>
      </c>
      <c r="P64" s="13">
        <v>12.888877967924783</v>
      </c>
      <c r="Q64" s="13">
        <v>127.16322291980592</v>
      </c>
      <c r="R64" s="13">
        <v>17.94895598496192</v>
      </c>
      <c r="S64" s="13">
        <v>37.854234913564575</v>
      </c>
      <c r="T64" s="13">
        <v>45.912233160131898</v>
      </c>
    </row>
    <row r="65" spans="1:20" x14ac:dyDescent="0.25">
      <c r="A65" s="8">
        <v>1962</v>
      </c>
      <c r="B65" s="37">
        <v>311.875</v>
      </c>
      <c r="C65" s="38">
        <v>238.23804116411654</v>
      </c>
      <c r="D65" s="13">
        <v>63.329099549954847</v>
      </c>
      <c r="E65" s="38">
        <v>0</v>
      </c>
      <c r="F65" s="13">
        <v>249.50799999999998</v>
      </c>
      <c r="G65" s="13">
        <v>10.307130767693558</v>
      </c>
      <c r="H65" s="13">
        <v>0</v>
      </c>
      <c r="I65" s="13">
        <v>248.84897868215009</v>
      </c>
      <c r="J65" s="13">
        <v>20.095037023569802</v>
      </c>
      <c r="K65" s="13">
        <v>24.960351562547132</v>
      </c>
      <c r="L65" s="13">
        <v>0</v>
      </c>
      <c r="M65" s="13">
        <v>51.509481195652164</v>
      </c>
      <c r="N65" s="38">
        <v>8.5061959736573201</v>
      </c>
      <c r="O65" s="13">
        <v>234.61579370599628</v>
      </c>
      <c r="P65" s="13">
        <v>13.289354546603418</v>
      </c>
      <c r="Q65" s="13">
        <v>130.9192643750751</v>
      </c>
      <c r="R65" s="13">
        <v>18.50665670193661</v>
      </c>
      <c r="S65" s="13">
        <v>39.130071592013259</v>
      </c>
      <c r="T65" s="13">
        <v>47.73555389354852</v>
      </c>
    </row>
    <row r="66" spans="1:20" x14ac:dyDescent="0.25">
      <c r="A66" s="8">
        <v>1963</v>
      </c>
      <c r="B66" s="37">
        <v>318.75</v>
      </c>
      <c r="C66" s="38">
        <v>242.03395862665914</v>
      </c>
      <c r="D66" s="13">
        <v>71.278609174841151</v>
      </c>
      <c r="E66" s="38">
        <v>0</v>
      </c>
      <c r="F66" s="13">
        <v>263.57799999999997</v>
      </c>
      <c r="G66" s="13">
        <v>11.156703469697105</v>
      </c>
      <c r="H66" s="13">
        <v>0</v>
      </c>
      <c r="I66" s="13">
        <v>263.25836704463029</v>
      </c>
      <c r="J66" s="13">
        <v>20.064886378998089</v>
      </c>
      <c r="K66" s="13">
        <v>30.946557059791456</v>
      </c>
      <c r="L66" s="13">
        <v>0</v>
      </c>
      <c r="M66" s="13">
        <v>56.538049891304347</v>
      </c>
      <c r="N66" s="38">
        <v>10.205670579521458</v>
      </c>
      <c r="O66" s="13">
        <v>250.95831020728886</v>
      </c>
      <c r="P66" s="13">
        <v>14.295742136440714</v>
      </c>
      <c r="Q66" s="13">
        <v>140.42107308977529</v>
      </c>
      <c r="R66" s="13">
        <v>19.908144604821139</v>
      </c>
      <c r="S66" s="13">
        <v>42.304055567234833</v>
      </c>
      <c r="T66" s="13">
        <v>51.802601949785057</v>
      </c>
    </row>
    <row r="67" spans="1:20" x14ac:dyDescent="0.25">
      <c r="A67" s="8">
        <v>1964</v>
      </c>
      <c r="B67" s="37">
        <v>358.12499999999994</v>
      </c>
      <c r="C67" s="38">
        <v>264.48524285801039</v>
      </c>
      <c r="D67" s="13">
        <v>85.826337086373982</v>
      </c>
      <c r="E67" s="38">
        <v>0</v>
      </c>
      <c r="F67" s="13">
        <v>297.346</v>
      </c>
      <c r="G67" s="13">
        <v>12.066611286556078</v>
      </c>
      <c r="H67" s="13">
        <v>0</v>
      </c>
      <c r="I67" s="13">
        <v>293.29127541905046</v>
      </c>
      <c r="J67" s="13">
        <v>21.392508322717276</v>
      </c>
      <c r="K67" s="13">
        <v>39.696728353156672</v>
      </c>
      <c r="L67" s="13">
        <v>0</v>
      </c>
      <c r="M67" s="13">
        <v>65.33183249999999</v>
      </c>
      <c r="N67" s="38">
        <v>12.767439666405302</v>
      </c>
      <c r="O67" s="13">
        <v>283.03092101586424</v>
      </c>
      <c r="P67" s="13">
        <v>16.214416086537614</v>
      </c>
      <c r="Q67" s="13">
        <v>158.80139385857447</v>
      </c>
      <c r="R67" s="13">
        <v>22.580075735326457</v>
      </c>
      <c r="S67" s="13">
        <v>48.219816151407102</v>
      </c>
      <c r="T67" s="13">
        <v>59.273268236373774</v>
      </c>
    </row>
    <row r="68" spans="1:20" x14ac:dyDescent="0.25">
      <c r="A68" s="8">
        <v>1965</v>
      </c>
      <c r="B68" s="37">
        <v>381.875</v>
      </c>
      <c r="C68" s="38">
        <v>277.35712652188244</v>
      </c>
      <c r="D68" s="13">
        <v>98.720333168805297</v>
      </c>
      <c r="E68" s="38">
        <v>0</v>
      </c>
      <c r="F68" s="13">
        <v>314.22999999999996</v>
      </c>
      <c r="G68" s="13">
        <v>11.045757966882823</v>
      </c>
      <c r="H68" s="13">
        <v>0</v>
      </c>
      <c r="I68" s="13">
        <v>287.57798609588252</v>
      </c>
      <c r="J68" s="13">
        <v>20.57480935377945</v>
      </c>
      <c r="K68" s="13">
        <v>63.788841688133196</v>
      </c>
      <c r="L68" s="13">
        <v>0</v>
      </c>
      <c r="M68" s="13">
        <v>70.697799293478255</v>
      </c>
      <c r="N68" s="38">
        <v>14.115151932582306</v>
      </c>
      <c r="O68" s="13">
        <v>297.94326049850872</v>
      </c>
      <c r="P68" s="13">
        <v>17.117930642804719</v>
      </c>
      <c r="Q68" s="13">
        <v>167.40152951354423</v>
      </c>
      <c r="R68" s="13">
        <v>23.838303413683612</v>
      </c>
      <c r="S68" s="13">
        <v>51.033806454519009</v>
      </c>
      <c r="T68" s="13">
        <v>63.098693532826275</v>
      </c>
    </row>
    <row r="69" spans="1:20" x14ac:dyDescent="0.25">
      <c r="A69" s="8">
        <v>1966</v>
      </c>
      <c r="B69" s="37">
        <v>391.25</v>
      </c>
      <c r="C69" s="38">
        <v>280.76438028975002</v>
      </c>
      <c r="D69" s="13">
        <v>109.186147890458</v>
      </c>
      <c r="E69" s="38">
        <v>0</v>
      </c>
      <c r="F69" s="13">
        <v>325.48599999999999</v>
      </c>
      <c r="G69" s="13">
        <v>12.586392686829024</v>
      </c>
      <c r="H69" s="13">
        <v>0</v>
      </c>
      <c r="I69" s="13">
        <v>274.0384767893915</v>
      </c>
      <c r="J69" s="13">
        <v>19.60422991633952</v>
      </c>
      <c r="K69" s="13">
        <v>90.147817619669752</v>
      </c>
      <c r="L69" s="13">
        <v>0</v>
      </c>
      <c r="M69" s="13">
        <v>75.311559782608683</v>
      </c>
      <c r="N69" s="38">
        <v>15.970003726322339</v>
      </c>
      <c r="O69" s="13">
        <v>307.90278103412993</v>
      </c>
      <c r="P69" s="13">
        <v>17.790963447491915</v>
      </c>
      <c r="Q69" s="13">
        <v>173.47515700366617</v>
      </c>
      <c r="R69" s="13">
        <v>24.775563912062811</v>
      </c>
      <c r="S69" s="13">
        <v>53.299864504451712</v>
      </c>
      <c r="T69" s="13">
        <v>73.86148543378745</v>
      </c>
    </row>
    <row r="70" spans="1:20" x14ac:dyDescent="0.25">
      <c r="A70" s="8">
        <v>1967</v>
      </c>
      <c r="B70" s="39">
        <v>407.34960616118894</v>
      </c>
      <c r="C70" s="38">
        <v>285.21265517899104</v>
      </c>
      <c r="D70" s="13">
        <v>120.78400699750826</v>
      </c>
      <c r="E70" s="38">
        <v>0</v>
      </c>
      <c r="F70" s="13">
        <v>328.29999999999995</v>
      </c>
      <c r="G70" s="13">
        <v>13.519488690416139</v>
      </c>
      <c r="H70" s="13">
        <v>0</v>
      </c>
      <c r="I70" s="13">
        <v>262.2536769479857</v>
      </c>
      <c r="J70" s="13">
        <v>19.67290627299975</v>
      </c>
      <c r="K70" s="13">
        <v>113.42297301008914</v>
      </c>
      <c r="L70" s="13">
        <v>0</v>
      </c>
      <c r="M70" s="13">
        <v>81.742126304347821</v>
      </c>
      <c r="N70" s="38">
        <v>17.97776878129979</v>
      </c>
      <c r="O70" s="13">
        <v>318.80220410381997</v>
      </c>
      <c r="P70" s="13">
        <v>18.52589836576303</v>
      </c>
      <c r="Q70" s="13">
        <v>180.11431994184983</v>
      </c>
      <c r="R70" s="13">
        <v>25.799028835284815</v>
      </c>
      <c r="S70" s="13">
        <v>55.770811600617435</v>
      </c>
      <c r="T70" s="13">
        <v>73.88901994650692</v>
      </c>
    </row>
    <row r="71" spans="1:20" x14ac:dyDescent="0.25">
      <c r="A71" s="8">
        <v>1968</v>
      </c>
      <c r="B71" s="39">
        <v>440.11576080546035</v>
      </c>
      <c r="C71" s="38">
        <v>300.47798279813071</v>
      </c>
      <c r="D71" s="13">
        <v>138.17600668819102</v>
      </c>
      <c r="E71" s="38">
        <v>0</v>
      </c>
      <c r="F71" s="13">
        <v>355.50199999999995</v>
      </c>
      <c r="G71" s="13">
        <v>12.332399853048383</v>
      </c>
      <c r="H71" s="13">
        <v>0</v>
      </c>
      <c r="I71" s="13">
        <v>250.13300213735118</v>
      </c>
      <c r="J71" s="13">
        <v>20.95226774893662</v>
      </c>
      <c r="K71" s="13">
        <v>150.42008880319031</v>
      </c>
      <c r="L71" s="13">
        <v>0</v>
      </c>
      <c r="M71" s="13">
        <v>91.366239130434792</v>
      </c>
      <c r="N71" s="38">
        <v>18.606622558787969</v>
      </c>
      <c r="O71" s="13">
        <v>343.31778619544315</v>
      </c>
      <c r="P71" s="13">
        <v>19.895583239089575</v>
      </c>
      <c r="Q71" s="13">
        <v>193.70457933349462</v>
      </c>
      <c r="R71" s="13">
        <v>27.706441844065477</v>
      </c>
      <c r="S71" s="13">
        <v>59.754317416636042</v>
      </c>
      <c r="T71" s="13">
        <v>78.104763429865699</v>
      </c>
    </row>
    <row r="72" spans="1:20" x14ac:dyDescent="0.25">
      <c r="A72" s="8">
        <v>1969</v>
      </c>
      <c r="B72" s="39">
        <v>476.18665940189112</v>
      </c>
      <c r="C72" s="38">
        <v>316.79889396433509</v>
      </c>
      <c r="D72" s="13">
        <v>157.80619062642853</v>
      </c>
      <c r="E72" s="38">
        <v>0</v>
      </c>
      <c r="F72" s="13">
        <v>385.51799999999997</v>
      </c>
      <c r="G72" s="13">
        <v>12.632020758306203</v>
      </c>
      <c r="H72" s="13">
        <v>0</v>
      </c>
      <c r="I72" s="13">
        <v>245.44592385747538</v>
      </c>
      <c r="J72" s="13">
        <v>20.188434575201637</v>
      </c>
      <c r="K72" s="13">
        <v>188.73935436490567</v>
      </c>
      <c r="L72" s="13">
        <v>0</v>
      </c>
      <c r="M72" s="13">
        <v>102.90447391304347</v>
      </c>
      <c r="N72" s="38">
        <v>29.024441159356186</v>
      </c>
      <c r="O72" s="13">
        <v>365.61628634617404</v>
      </c>
      <c r="P72" s="13">
        <v>21.859161223210464</v>
      </c>
      <c r="Q72" s="13">
        <v>209.46730489738536</v>
      </c>
      <c r="R72" s="13">
        <v>30.440905999730127</v>
      </c>
      <c r="S72" s="13">
        <v>67.365135822792325</v>
      </c>
      <c r="T72" s="13">
        <v>91.409935401474016</v>
      </c>
    </row>
    <row r="73" spans="1:20" x14ac:dyDescent="0.25">
      <c r="A73" s="8">
        <v>1970</v>
      </c>
      <c r="B73" s="39">
        <v>494.13673030680627</v>
      </c>
      <c r="C73" s="38">
        <v>319.7576504695798</v>
      </c>
      <c r="D73" s="13">
        <v>172.73788685024158</v>
      </c>
      <c r="E73" s="40">
        <v>0.51314099568522109</v>
      </c>
      <c r="F73" s="13">
        <v>404.27799999999996</v>
      </c>
      <c r="G73" s="13">
        <v>12.229473733714441</v>
      </c>
      <c r="H73" s="13">
        <v>0</v>
      </c>
      <c r="I73" s="13">
        <v>235.03317738185703</v>
      </c>
      <c r="J73" s="13">
        <v>18.048833758670757</v>
      </c>
      <c r="K73" s="13">
        <v>215.29642435493514</v>
      </c>
      <c r="L73" s="13">
        <v>0</v>
      </c>
      <c r="M73" s="13">
        <v>110.58084782608695</v>
      </c>
      <c r="N73" s="38">
        <v>34.514512935393363</v>
      </c>
      <c r="O73" s="13">
        <v>376.16287295788567</v>
      </c>
      <c r="P73" s="13">
        <v>22.828903132716</v>
      </c>
      <c r="Q73" s="13">
        <v>217.11705595517793</v>
      </c>
      <c r="R73" s="13">
        <v>31.791361399634134</v>
      </c>
      <c r="S73" s="13">
        <v>71.192750715728721</v>
      </c>
      <c r="T73" s="13">
        <v>101.02246400874105</v>
      </c>
    </row>
    <row r="74" spans="1:20" x14ac:dyDescent="0.25">
      <c r="A74" s="8">
        <v>1971</v>
      </c>
      <c r="B74" s="39">
        <v>504.41043405761866</v>
      </c>
      <c r="C74" s="38">
        <v>317.55350069887459</v>
      </c>
      <c r="D74" s="13">
        <v>185.18161797301394</v>
      </c>
      <c r="E74" s="40">
        <v>0.61706828595058227</v>
      </c>
      <c r="F74" s="13">
        <v>403.34</v>
      </c>
      <c r="G74" s="13">
        <v>12.02280236189122</v>
      </c>
      <c r="H74" s="13">
        <v>0</v>
      </c>
      <c r="I74" s="13">
        <v>216.77633733427515</v>
      </c>
      <c r="J74" s="13">
        <v>14.991385354663178</v>
      </c>
      <c r="K74" s="13">
        <v>224.36320164094758</v>
      </c>
      <c r="L74" s="13">
        <v>0</v>
      </c>
      <c r="M74" s="13">
        <v>112.16204999999997</v>
      </c>
      <c r="N74" s="38">
        <v>36.018905969380711</v>
      </c>
      <c r="O74" s="13">
        <v>367.42769145433402</v>
      </c>
      <c r="P74" s="13">
        <v>22.46687358370189</v>
      </c>
      <c r="Q74" s="13">
        <v>212.87183498900839</v>
      </c>
      <c r="R74" s="13">
        <v>31.287201731377447</v>
      </c>
      <c r="S74" s="13">
        <v>70.473408787803393</v>
      </c>
      <c r="T74" s="13">
        <v>104.77375800237942</v>
      </c>
    </row>
    <row r="75" spans="1:20" x14ac:dyDescent="0.25">
      <c r="A75" s="8">
        <v>1972</v>
      </c>
      <c r="B75" s="39">
        <v>528.79940355588906</v>
      </c>
      <c r="C75" s="38">
        <v>323.52478008055363</v>
      </c>
      <c r="D75" s="13">
        <v>203.51830418269992</v>
      </c>
      <c r="E75" s="40">
        <v>0.90286833418032564</v>
      </c>
      <c r="F75" s="13">
        <v>425.85199999999998</v>
      </c>
      <c r="G75" s="13">
        <v>11.47610826414272</v>
      </c>
      <c r="H75" s="13">
        <v>0</v>
      </c>
      <c r="I75" s="13">
        <v>225.51762883740602</v>
      </c>
      <c r="J75" s="13">
        <v>12.838005860265495</v>
      </c>
      <c r="K75" s="13">
        <v>252.46758618950747</v>
      </c>
      <c r="L75" s="13">
        <v>0</v>
      </c>
      <c r="M75" s="13">
        <v>125.7603456521739</v>
      </c>
      <c r="N75" s="38">
        <v>41.401736742417931</v>
      </c>
      <c r="O75" s="13">
        <v>396.69136920442349</v>
      </c>
      <c r="P75" s="13">
        <v>24.439520545561134</v>
      </c>
      <c r="Q75" s="13">
        <v>230.69452279188127</v>
      </c>
      <c r="R75" s="13">
        <v>34.034295278262917</v>
      </c>
      <c r="S75" s="13">
        <v>77.104460636672087</v>
      </c>
      <c r="T75" s="13">
        <v>119.76897047033238</v>
      </c>
    </row>
    <row r="76" spans="1:20" x14ac:dyDescent="0.25">
      <c r="A76" s="8">
        <v>1973</v>
      </c>
      <c r="B76" s="39">
        <v>578.84246583599793</v>
      </c>
      <c r="C76" s="38">
        <v>343.90393589560301</v>
      </c>
      <c r="D76" s="13">
        <v>233.01600093732071</v>
      </c>
      <c r="E76" s="40">
        <v>1.2341365719011645</v>
      </c>
      <c r="F76" s="13">
        <v>469.93799999999999</v>
      </c>
      <c r="G76" s="13">
        <v>14.112974353834339</v>
      </c>
      <c r="H76" s="13">
        <v>0</v>
      </c>
      <c r="I76" s="13">
        <v>241.31589588296865</v>
      </c>
      <c r="J76" s="13">
        <v>10.929662235720853</v>
      </c>
      <c r="K76" s="13">
        <v>288.78985199007059</v>
      </c>
      <c r="L76" s="13">
        <v>0</v>
      </c>
      <c r="M76" s="13">
        <v>144.77620108695649</v>
      </c>
      <c r="N76" s="38">
        <v>55.897761182118067</v>
      </c>
      <c r="O76" s="13">
        <v>432.92543768340795</v>
      </c>
      <c r="P76" s="13">
        <v>27.452920425080436</v>
      </c>
      <c r="Q76" s="13">
        <v>255.46788784183681</v>
      </c>
      <c r="R76" s="13">
        <v>38.230733629000902</v>
      </c>
      <c r="S76" s="13">
        <v>88.486552350404182</v>
      </c>
      <c r="T76" s="13">
        <v>141.14822982964293</v>
      </c>
    </row>
    <row r="77" spans="1:20" x14ac:dyDescent="0.25">
      <c r="A77" s="8">
        <v>1974</v>
      </c>
      <c r="B77" s="39">
        <v>600.4086840130002</v>
      </c>
      <c r="C77" s="38">
        <v>345.96074778954727</v>
      </c>
      <c r="D77" s="13">
        <v>252.45377861263307</v>
      </c>
      <c r="E77" s="40">
        <v>1.766763934511141</v>
      </c>
      <c r="F77" s="13">
        <v>480.25599999999997</v>
      </c>
      <c r="G77" s="13">
        <v>11.710329848916846</v>
      </c>
      <c r="H77" s="13">
        <v>0</v>
      </c>
      <c r="I77" s="13">
        <v>254.19491621282663</v>
      </c>
      <c r="J77" s="13">
        <v>8.3523456158825375</v>
      </c>
      <c r="K77" s="13">
        <v>322.69358613225216</v>
      </c>
      <c r="L77" s="13">
        <v>0</v>
      </c>
      <c r="M77" s="13">
        <v>111.11199999999999</v>
      </c>
      <c r="N77" s="38">
        <v>68.720973506723382</v>
      </c>
      <c r="O77" s="13">
        <v>429.48954603688207</v>
      </c>
      <c r="P77" s="13">
        <v>28.202194454631766</v>
      </c>
      <c r="Q77" s="13">
        <v>258.02376823184102</v>
      </c>
      <c r="R77" s="13">
        <v>39.274167092376089</v>
      </c>
      <c r="S77" s="13">
        <v>93.157354222432744</v>
      </c>
      <c r="T77" s="13">
        <v>151.69630437775453</v>
      </c>
    </row>
    <row r="78" spans="1:20" x14ac:dyDescent="0.25">
      <c r="A78" s="8">
        <v>1975</v>
      </c>
      <c r="B78" s="39">
        <v>559.35791167112916</v>
      </c>
      <c r="C78" s="38">
        <v>312.4719803020871</v>
      </c>
      <c r="D78" s="13">
        <v>245.02811707282652</v>
      </c>
      <c r="E78" s="40">
        <v>1.8252230352854071</v>
      </c>
      <c r="F78" s="13">
        <v>449.30199999999996</v>
      </c>
      <c r="G78" s="13">
        <v>11.237592141377531</v>
      </c>
      <c r="H78" s="13">
        <v>0</v>
      </c>
      <c r="I78" s="13">
        <v>224.22229055190292</v>
      </c>
      <c r="J78" s="13">
        <v>5.1477112456645946</v>
      </c>
      <c r="K78" s="13">
        <v>305.12742760245885</v>
      </c>
      <c r="L78" s="13">
        <v>0</v>
      </c>
      <c r="M78" s="13">
        <v>100.459</v>
      </c>
      <c r="N78" s="38">
        <v>75.046770303647918</v>
      </c>
      <c r="O78" s="13">
        <v>381.17704369742376</v>
      </c>
      <c r="P78" s="13">
        <v>26.054469914796815</v>
      </c>
      <c r="Q78" s="13">
        <v>233.85519863070104</v>
      </c>
      <c r="R78" s="13">
        <v>36.283261807272602</v>
      </c>
      <c r="S78" s="13">
        <v>88.370970319355578</v>
      </c>
      <c r="T78" s="13">
        <v>146.2099218176624</v>
      </c>
    </row>
    <row r="79" spans="1:20" x14ac:dyDescent="0.25">
      <c r="A79" s="8">
        <v>1976</v>
      </c>
      <c r="B79" s="39">
        <v>574.14410270801136</v>
      </c>
      <c r="C79" s="38">
        <v>310.70110989621247</v>
      </c>
      <c r="D79" s="13">
        <v>261.53606864063266</v>
      </c>
      <c r="E79" s="40">
        <v>1.9616276037586935</v>
      </c>
      <c r="F79" s="13">
        <v>467.12399999999997</v>
      </c>
      <c r="G79" s="13">
        <v>10.27329530034598</v>
      </c>
      <c r="H79" s="13">
        <v>0</v>
      </c>
      <c r="I79" s="13">
        <v>226.9503740684045</v>
      </c>
      <c r="J79" s="13">
        <v>0</v>
      </c>
      <c r="K79" s="13">
        <v>328.03562593159552</v>
      </c>
      <c r="L79" s="13">
        <v>0</v>
      </c>
      <c r="M79" s="13">
        <v>112.274</v>
      </c>
      <c r="N79" s="38">
        <v>91.270491840000005</v>
      </c>
      <c r="O79" s="13">
        <v>390.10688640000001</v>
      </c>
      <c r="P79" s="13">
        <v>27.719390720736001</v>
      </c>
      <c r="Q79" s="13">
        <v>244.33126117174365</v>
      </c>
      <c r="R79" s="13">
        <v>38.601818188876798</v>
      </c>
      <c r="S79" s="13">
        <v>96.299806616640012</v>
      </c>
      <c r="T79" s="13">
        <v>161.85561108485993</v>
      </c>
    </row>
    <row r="80" spans="1:20" x14ac:dyDescent="0.25">
      <c r="A80" s="8">
        <v>1977</v>
      </c>
      <c r="B80" s="39">
        <v>569.57782307482614</v>
      </c>
      <c r="C80" s="38">
        <v>298.13656384700903</v>
      </c>
      <c r="D80" s="13">
        <v>269.54950119519299</v>
      </c>
      <c r="E80" s="40">
        <v>2.2864003858379474</v>
      </c>
      <c r="F80" s="13">
        <v>457.74399999999997</v>
      </c>
      <c r="G80" s="13">
        <v>10.157775260780117</v>
      </c>
      <c r="H80" s="13">
        <v>0</v>
      </c>
      <c r="I80" s="13">
        <v>214.78607979105604</v>
      </c>
      <c r="J80" s="13">
        <v>0</v>
      </c>
      <c r="K80" s="13">
        <v>335.70292020894402</v>
      </c>
      <c r="L80" s="13">
        <v>0</v>
      </c>
      <c r="M80" s="13">
        <v>115.78100000000001</v>
      </c>
      <c r="N80" s="38">
        <v>107.94640032</v>
      </c>
      <c r="O80" s="13">
        <v>375.34986719999995</v>
      </c>
      <c r="P80" s="13">
        <v>28.138185412127996</v>
      </c>
      <c r="Q80" s="13">
        <v>242.04259760228061</v>
      </c>
      <c r="R80" s="13">
        <v>39.185028573926388</v>
      </c>
      <c r="S80" s="13">
        <v>100.80900693071999</v>
      </c>
      <c r="T80" s="13">
        <v>170.53736122371072</v>
      </c>
    </row>
    <row r="81" spans="1:20" x14ac:dyDescent="0.25">
      <c r="A81" s="8">
        <v>1978</v>
      </c>
      <c r="B81" s="39">
        <v>594.59656839893091</v>
      </c>
      <c r="C81" s="38">
        <v>300.42725094589804</v>
      </c>
      <c r="D81" s="13">
        <v>292.19446381781398</v>
      </c>
      <c r="E81" s="40">
        <v>3.2477278207925386</v>
      </c>
      <c r="F81" s="13">
        <v>474.62799999999999</v>
      </c>
      <c r="G81" s="13">
        <v>11.590026186706323</v>
      </c>
      <c r="H81" s="13">
        <v>0</v>
      </c>
      <c r="I81" s="13">
        <v>211.27033368458027</v>
      </c>
      <c r="J81" s="13">
        <v>0</v>
      </c>
      <c r="K81" s="13">
        <v>363.92966631541981</v>
      </c>
      <c r="L81" s="13">
        <v>0</v>
      </c>
      <c r="M81" s="13">
        <v>132.65</v>
      </c>
      <c r="N81" s="38">
        <v>131.42721735000001</v>
      </c>
      <c r="O81" s="13">
        <v>384.65276849999998</v>
      </c>
      <c r="P81" s="13">
        <v>30.352293643815006</v>
      </c>
      <c r="Q81" s="13">
        <v>255.22931945749087</v>
      </c>
      <c r="R81" s="13">
        <v>42.268379296571993</v>
      </c>
      <c r="S81" s="13">
        <v>111.73370911560001</v>
      </c>
      <c r="T81" s="13">
        <v>190.49921713017036</v>
      </c>
    </row>
    <row r="82" spans="1:20" x14ac:dyDescent="0.25">
      <c r="A82" s="8">
        <v>1979</v>
      </c>
      <c r="B82" s="39">
        <v>622.81812575454308</v>
      </c>
      <c r="C82" s="38">
        <v>303.3981733703576</v>
      </c>
      <c r="D82" s="13">
        <v>317.35136553875753</v>
      </c>
      <c r="E82" s="40">
        <v>4.312982546012492</v>
      </c>
      <c r="F82" s="13">
        <v>499.01599999999996</v>
      </c>
      <c r="G82" s="13">
        <v>12.148899068314854</v>
      </c>
      <c r="H82" s="13">
        <v>0</v>
      </c>
      <c r="I82" s="13">
        <v>191.74498615371243</v>
      </c>
      <c r="J82" s="13">
        <v>0</v>
      </c>
      <c r="K82" s="13">
        <v>404.00501384628762</v>
      </c>
      <c r="L82" s="13">
        <v>0</v>
      </c>
      <c r="M82" s="13">
        <v>141.80000000000001</v>
      </c>
      <c r="N82" s="38">
        <v>154.38839129999997</v>
      </c>
      <c r="O82" s="13">
        <v>386.077923</v>
      </c>
      <c r="P82" s="13">
        <v>32.103121567769996</v>
      </c>
      <c r="Q82" s="13">
        <v>263.93928447842001</v>
      </c>
      <c r="R82" s="13">
        <v>44.706569294375996</v>
      </c>
      <c r="S82" s="13">
        <v>121.24975056479998</v>
      </c>
      <c r="T82" s="13">
        <v>208.22265979133539</v>
      </c>
    </row>
    <row r="83" spans="1:20" x14ac:dyDescent="0.25">
      <c r="A83" s="8">
        <v>1980</v>
      </c>
      <c r="B83" s="39">
        <v>586.10648132071901</v>
      </c>
      <c r="C83" s="38">
        <v>275.06885203038661</v>
      </c>
      <c r="D83" s="13">
        <v>309.09097406765198</v>
      </c>
      <c r="E83" s="40">
        <v>4.6377553280917452</v>
      </c>
      <c r="F83" s="13">
        <v>482.13199999999995</v>
      </c>
      <c r="G83" s="13">
        <v>12.843408529920374</v>
      </c>
      <c r="H83" s="13">
        <v>0</v>
      </c>
      <c r="I83" s="13">
        <v>168.41093560456122</v>
      </c>
      <c r="J83" s="13">
        <v>0</v>
      </c>
      <c r="K83" s="13">
        <v>397.50906439543883</v>
      </c>
      <c r="L83" s="13">
        <v>0</v>
      </c>
      <c r="M83" s="13">
        <v>142.91999999999999</v>
      </c>
      <c r="N83" s="38">
        <v>176.44232628</v>
      </c>
      <c r="O83" s="13">
        <v>347.3812188</v>
      </c>
      <c r="P83" s="13">
        <v>31.621231401012</v>
      </c>
      <c r="Q83" s="13">
        <v>250.44974659944754</v>
      </c>
      <c r="R83" s="13">
        <v>44.0354926177056</v>
      </c>
      <c r="S83" s="13">
        <v>124.29582552288001</v>
      </c>
      <c r="T83" s="13">
        <v>211.32736517621785</v>
      </c>
    </row>
    <row r="84" spans="1:20" x14ac:dyDescent="0.25">
      <c r="A84" s="8">
        <v>1981</v>
      </c>
      <c r="B84" s="39">
        <v>546.07364309669856</v>
      </c>
      <c r="C84" s="38">
        <v>246.42727440546295</v>
      </c>
      <c r="D84" s="13">
        <v>297.8326758842444</v>
      </c>
      <c r="E84" s="40">
        <v>5.1444008681353823</v>
      </c>
      <c r="F84" s="13">
        <v>470.87599999999998</v>
      </c>
      <c r="G84" s="13">
        <v>10.162607061253551</v>
      </c>
      <c r="H84" s="13">
        <v>0</v>
      </c>
      <c r="I84" s="13">
        <v>150.23724628321384</v>
      </c>
      <c r="J84" s="13">
        <v>0</v>
      </c>
      <c r="K84" s="13">
        <v>406.75275371678612</v>
      </c>
      <c r="L84" s="13">
        <v>0</v>
      </c>
      <c r="M84" s="13">
        <v>142.94</v>
      </c>
      <c r="N84" s="38">
        <v>196.00979706000001</v>
      </c>
      <c r="O84" s="13">
        <v>324.64153260000001</v>
      </c>
      <c r="P84" s="13">
        <v>31.819756966073999</v>
      </c>
      <c r="Q84" s="13">
        <v>244.80558627687157</v>
      </c>
      <c r="R84" s="13">
        <v>44.311957849051197</v>
      </c>
      <c r="S84" s="13">
        <v>128.76194491775999</v>
      </c>
      <c r="T84" s="13">
        <v>218.80442569449878</v>
      </c>
    </row>
    <row r="85" spans="1:20" x14ac:dyDescent="0.25">
      <c r="A85" s="8">
        <v>1982</v>
      </c>
      <c r="B85" s="39">
        <v>545.49451747381408</v>
      </c>
      <c r="C85" s="38">
        <v>236.94698686507428</v>
      </c>
      <c r="D85" s="13">
        <v>306.73576127121078</v>
      </c>
      <c r="E85" s="40">
        <v>4.7286917070739367</v>
      </c>
      <c r="F85" s="13">
        <v>428.666</v>
      </c>
      <c r="G85" s="13">
        <v>12.358567825050514</v>
      </c>
      <c r="H85" s="13">
        <v>0</v>
      </c>
      <c r="I85" s="13">
        <v>134.4024179260031</v>
      </c>
      <c r="J85" s="13">
        <v>0</v>
      </c>
      <c r="K85" s="13">
        <v>368.43758207399679</v>
      </c>
      <c r="L85" s="13">
        <v>0</v>
      </c>
      <c r="M85" s="13">
        <v>134.72</v>
      </c>
      <c r="N85" s="38">
        <v>194.43712924249226</v>
      </c>
      <c r="O85" s="13">
        <v>282.30887895211487</v>
      </c>
      <c r="P85" s="13">
        <v>29.419146185191892</v>
      </c>
      <c r="Q85" s="13">
        <v>221.17022647889758</v>
      </c>
      <c r="R85" s="13">
        <v>40.968885057896848</v>
      </c>
      <c r="S85" s="13">
        <v>121.68621783182606</v>
      </c>
      <c r="T85" s="13">
        <v>207.91291345440314</v>
      </c>
    </row>
    <row r="86" spans="1:20" x14ac:dyDescent="0.25">
      <c r="A86" s="8">
        <v>1983</v>
      </c>
      <c r="B86" s="39">
        <v>529.33789703177013</v>
      </c>
      <c r="C86" s="38">
        <v>220.5335438225668</v>
      </c>
      <c r="D86" s="13">
        <v>307.04624540002573</v>
      </c>
      <c r="E86" s="40">
        <v>5.1314099568522114</v>
      </c>
      <c r="F86" s="13">
        <v>434.29399999999998</v>
      </c>
      <c r="G86" s="13">
        <v>12.542118652652055</v>
      </c>
      <c r="H86" s="13">
        <v>0</v>
      </c>
      <c r="I86" s="13">
        <v>144.25363688715589</v>
      </c>
      <c r="J86" s="13">
        <v>0</v>
      </c>
      <c r="K86" s="13">
        <v>371.71636311284408</v>
      </c>
      <c r="L86" s="13">
        <v>0</v>
      </c>
      <c r="M86" s="13">
        <v>140.4</v>
      </c>
      <c r="N86" s="38">
        <v>208.70948361862571</v>
      </c>
      <c r="O86" s="13">
        <v>264.97370746940101</v>
      </c>
      <c r="P86" s="13">
        <v>29.523501559145469</v>
      </c>
      <c r="Q86" s="13">
        <v>216.6448339595955</v>
      </c>
      <c r="R86" s="13">
        <v>41.114209578661843</v>
      </c>
      <c r="S86" s="13">
        <v>124.82984177163932</v>
      </c>
      <c r="T86" s="13">
        <v>214.11078681792367</v>
      </c>
    </row>
    <row r="87" spans="1:20" x14ac:dyDescent="0.25">
      <c r="A87" s="8">
        <v>1984</v>
      </c>
      <c r="B87" s="39">
        <v>584.62388458953103</v>
      </c>
      <c r="C87" s="38">
        <v>233.30155859802903</v>
      </c>
      <c r="D87" s="13">
        <v>349.38059496734508</v>
      </c>
      <c r="E87" s="40">
        <v>6.0667555692404633</v>
      </c>
      <c r="F87" s="13">
        <v>464.30999999999995</v>
      </c>
      <c r="G87" s="13">
        <v>13.431726184172144</v>
      </c>
      <c r="H87" s="13">
        <v>0</v>
      </c>
      <c r="I87" s="13">
        <v>150.58173992390383</v>
      </c>
      <c r="J87" s="13">
        <v>0</v>
      </c>
      <c r="K87" s="13">
        <v>397.44826007609612</v>
      </c>
      <c r="L87" s="13">
        <v>0</v>
      </c>
      <c r="M87" s="13">
        <v>155.86000000000001</v>
      </c>
      <c r="N87" s="38">
        <v>240.73251431683912</v>
      </c>
      <c r="O87" s="13">
        <v>269.99281925964726</v>
      </c>
      <c r="P87" s="13">
        <v>32.129012533718523</v>
      </c>
      <c r="Q87" s="13">
        <v>230.44592982658358</v>
      </c>
      <c r="R87" s="13">
        <v>44.742624861770977</v>
      </c>
      <c r="S87" s="13">
        <v>138.5625761077122</v>
      </c>
      <c r="T87" s="13">
        <v>238.824780637581</v>
      </c>
    </row>
    <row r="88" spans="1:20" x14ac:dyDescent="0.25">
      <c r="A88" s="8">
        <v>1985</v>
      </c>
      <c r="B88" s="39">
        <v>582.02391919112313</v>
      </c>
      <c r="C88" s="38">
        <v>221.71319601442573</v>
      </c>
      <c r="D88" s="13">
        <v>358.37762750530129</v>
      </c>
      <c r="E88" s="40">
        <v>7.2554239516505321</v>
      </c>
      <c r="F88" s="13">
        <v>468.06199999999995</v>
      </c>
      <c r="G88" s="13">
        <v>13.56321498800898</v>
      </c>
      <c r="H88" s="13">
        <v>0</v>
      </c>
      <c r="I88" s="13">
        <v>151.26710332822282</v>
      </c>
      <c r="J88" s="13">
        <v>0</v>
      </c>
      <c r="K88" s="13">
        <v>409.06289667177725</v>
      </c>
      <c r="L88" s="13">
        <v>0</v>
      </c>
      <c r="M88" s="13">
        <v>150.49</v>
      </c>
      <c r="N88" s="38">
        <v>269.93877205956187</v>
      </c>
      <c r="O88" s="13">
        <v>269.91479464856229</v>
      </c>
      <c r="P88" s="13">
        <v>34.253935394164429</v>
      </c>
      <c r="Q88" s="13">
        <v>240.49345848766549</v>
      </c>
      <c r="R88" s="13">
        <v>47.701776697058605</v>
      </c>
      <c r="S88" s="13">
        <v>150.37924295016887</v>
      </c>
      <c r="T88" s="13">
        <v>256.7410163659427</v>
      </c>
    </row>
    <row r="89" spans="1:20" x14ac:dyDescent="0.25">
      <c r="A89" s="8">
        <v>1986</v>
      </c>
      <c r="B89" s="39">
        <v>596.74074021990225</v>
      </c>
      <c r="C89" s="38">
        <v>216.77034185564182</v>
      </c>
      <c r="D89" s="13">
        <v>377.98842321886093</v>
      </c>
      <c r="E89" s="40">
        <v>8.1388059189061011</v>
      </c>
      <c r="F89" s="13">
        <v>464.30999999999995</v>
      </c>
      <c r="G89" s="13">
        <v>13.477257459372726</v>
      </c>
      <c r="H89" s="13">
        <v>0</v>
      </c>
      <c r="I89" s="13">
        <v>144.30623995563204</v>
      </c>
      <c r="J89" s="13">
        <v>0</v>
      </c>
      <c r="K89" s="13">
        <v>390.6</v>
      </c>
      <c r="L89" s="13">
        <v>0</v>
      </c>
      <c r="M89" s="13">
        <v>161.631</v>
      </c>
      <c r="N89" s="38">
        <v>281.87857448235383</v>
      </c>
      <c r="O89" s="13">
        <v>249.84714973081262</v>
      </c>
      <c r="P89" s="13">
        <v>34.040694165227478</v>
      </c>
      <c r="Q89" s="13">
        <v>233.6716859831011</v>
      </c>
      <c r="R89" s="13">
        <v>47.404818541205664</v>
      </c>
      <c r="S89" s="13">
        <v>152.16257413940991</v>
      </c>
      <c r="T89" s="13">
        <v>251.8889471163854</v>
      </c>
    </row>
    <row r="90" spans="1:20" x14ac:dyDescent="0.25">
      <c r="A90" s="8">
        <v>1987</v>
      </c>
      <c r="B90" s="39">
        <v>609.86051122950414</v>
      </c>
      <c r="C90" s="38">
        <v>210.87936991600293</v>
      </c>
      <c r="D90" s="13">
        <v>396.95559103018707</v>
      </c>
      <c r="E90" s="40">
        <v>8.7818560274230251</v>
      </c>
      <c r="F90" s="13">
        <v>477.44199999999995</v>
      </c>
      <c r="G90" s="13">
        <v>13.88184193203892</v>
      </c>
      <c r="H90" s="13">
        <v>0</v>
      </c>
      <c r="I90" s="13">
        <v>135.19999999999999</v>
      </c>
      <c r="J90" s="13">
        <v>0</v>
      </c>
      <c r="K90" s="13">
        <v>401.9</v>
      </c>
      <c r="L90" s="13">
        <v>0</v>
      </c>
      <c r="M90" s="13">
        <v>169.45</v>
      </c>
      <c r="N90" s="38">
        <v>310.85829056264566</v>
      </c>
      <c r="O90" s="13">
        <v>245.40074211164125</v>
      </c>
      <c r="P90" s="13">
        <v>35.9132094560455</v>
      </c>
      <c r="Q90" s="13">
        <v>241.25804046319033</v>
      </c>
      <c r="R90" s="13">
        <v>50.01246946471521</v>
      </c>
      <c r="S90" s="13">
        <v>163.22306055305214</v>
      </c>
      <c r="T90" s="13">
        <v>269.8808459654303</v>
      </c>
    </row>
    <row r="91" spans="1:20" x14ac:dyDescent="0.25">
      <c r="A91" s="8">
        <v>1988</v>
      </c>
      <c r="B91" s="39">
        <v>622.51027460752164</v>
      </c>
      <c r="C91" s="38">
        <v>204.49825350318531</v>
      </c>
      <c r="D91" s="13">
        <v>415.94445673530515</v>
      </c>
      <c r="E91" s="40">
        <v>9.1520969989933736</v>
      </c>
      <c r="F91" s="13">
        <v>505.58199999999999</v>
      </c>
      <c r="G91" s="13">
        <v>14.724814399868714</v>
      </c>
      <c r="H91" s="13">
        <v>0</v>
      </c>
      <c r="I91" s="13">
        <v>135.5</v>
      </c>
      <c r="J91" s="13">
        <v>0</v>
      </c>
      <c r="K91" s="13">
        <v>431.8</v>
      </c>
      <c r="L91" s="13">
        <v>0</v>
      </c>
      <c r="M91" s="13">
        <v>183.16800000000001</v>
      </c>
      <c r="N91" s="38">
        <v>341.29987776881188</v>
      </c>
      <c r="O91" s="13">
        <v>244.35262140969468</v>
      </c>
      <c r="P91" s="13">
        <v>38.075802645469899</v>
      </c>
      <c r="Q91" s="13">
        <v>251.20316932471016</v>
      </c>
      <c r="R91" s="13">
        <v>53.024080721098812</v>
      </c>
      <c r="S91" s="13">
        <v>175.39248421278339</v>
      </c>
      <c r="T91" s="13">
        <v>228.07092086061888</v>
      </c>
    </row>
    <row r="92" spans="1:20" x14ac:dyDescent="0.25">
      <c r="A92" s="8">
        <v>1989</v>
      </c>
      <c r="B92" s="39">
        <v>627.63569746591759</v>
      </c>
      <c r="C92" s="38">
        <v>195.09040099563427</v>
      </c>
      <c r="D92" s="13">
        <v>430.46070886145918</v>
      </c>
      <c r="E92" s="40">
        <v>10.152397167797476</v>
      </c>
      <c r="F92" s="13">
        <v>512.14800000000002</v>
      </c>
      <c r="G92" s="13">
        <v>14.941156943852093</v>
      </c>
      <c r="H92" s="13">
        <v>0</v>
      </c>
      <c r="I92" s="13">
        <v>136.19999999999999</v>
      </c>
      <c r="J92" s="13">
        <v>0</v>
      </c>
      <c r="K92" s="13">
        <v>443.5</v>
      </c>
      <c r="L92" s="13">
        <v>0</v>
      </c>
      <c r="M92" s="13">
        <v>185.24</v>
      </c>
      <c r="N92" s="38">
        <v>376.77460733393281</v>
      </c>
      <c r="O92" s="13">
        <v>238.58589377468499</v>
      </c>
      <c r="P92" s="13">
        <v>40.350507138476694</v>
      </c>
      <c r="Q92" s="13">
        <v>260.31318021305799</v>
      </c>
      <c r="R92" s="13">
        <v>56.191817348397166</v>
      </c>
      <c r="S92" s="13">
        <v>188.8826304133724</v>
      </c>
      <c r="T92" s="13">
        <v>294.41337009510886</v>
      </c>
    </row>
    <row r="93" spans="1:20" x14ac:dyDescent="0.25">
      <c r="A93" s="8">
        <v>1990</v>
      </c>
      <c r="B93" s="39">
        <v>623.83946112144974</v>
      </c>
      <c r="C93" s="38">
        <v>182.76581157024793</v>
      </c>
      <c r="D93" s="13">
        <v>439.00167051017559</v>
      </c>
      <c r="E93" s="40">
        <v>11.483965574322417</v>
      </c>
      <c r="F93" s="13">
        <v>498.07799999999997</v>
      </c>
      <c r="G93" s="13">
        <v>14.555106919575628</v>
      </c>
      <c r="H93" s="13">
        <v>0</v>
      </c>
      <c r="I93" s="13">
        <v>126.4</v>
      </c>
      <c r="J93" s="13">
        <v>0</v>
      </c>
      <c r="K93" s="13">
        <v>423.7</v>
      </c>
      <c r="L93" s="13">
        <v>0</v>
      </c>
      <c r="M93" s="13">
        <v>198.95499999999998</v>
      </c>
      <c r="N93" s="38">
        <v>385.26220555057597</v>
      </c>
      <c r="O93" s="13">
        <v>219.78525459079023</v>
      </c>
      <c r="P93" s="13">
        <v>39.954018532539664</v>
      </c>
      <c r="Q93" s="13">
        <v>252.98988951372647</v>
      </c>
      <c r="R93" s="13">
        <v>55.639670252721899</v>
      </c>
      <c r="S93" s="13">
        <v>189.46053047124246</v>
      </c>
      <c r="T93" s="13">
        <v>281.59464898572043</v>
      </c>
    </row>
    <row r="94" spans="1:20" x14ac:dyDescent="0.25">
      <c r="A94" s="8">
        <v>1991</v>
      </c>
      <c r="B94" s="39">
        <v>599.54626371812321</v>
      </c>
      <c r="C94" s="38">
        <v>175.15286860257177</v>
      </c>
      <c r="D94" s="13">
        <v>422.40210189034178</v>
      </c>
      <c r="E94" s="40">
        <v>12.54922029954237</v>
      </c>
      <c r="F94" s="13">
        <v>477.44199999999995</v>
      </c>
      <c r="G94" s="13">
        <v>13.975479988916078</v>
      </c>
      <c r="H94" s="13">
        <v>0</v>
      </c>
      <c r="I94" s="13">
        <v>111</v>
      </c>
      <c r="J94" s="13">
        <v>0</v>
      </c>
      <c r="K94" s="13">
        <v>418.2</v>
      </c>
      <c r="L94" s="13">
        <v>0</v>
      </c>
      <c r="M94" s="13">
        <v>212.67</v>
      </c>
      <c r="N94" s="38">
        <v>423.58399674087855</v>
      </c>
      <c r="O94" s="13">
        <v>208.84025834391505</v>
      </c>
      <c r="P94" s="13">
        <v>42.156647312981463</v>
      </c>
      <c r="Q94" s="13">
        <v>260.25880096607068</v>
      </c>
      <c r="R94" s="13">
        <v>58.707034776596394</v>
      </c>
      <c r="S94" s="13">
        <v>203.31612197416533</v>
      </c>
      <c r="T94" s="13">
        <v>310.18062679322412</v>
      </c>
    </row>
    <row r="95" spans="1:20" x14ac:dyDescent="0.25">
      <c r="A95" s="8">
        <v>1992</v>
      </c>
      <c r="B95" s="39">
        <v>594.56030838491438</v>
      </c>
      <c r="C95" s="38">
        <v>173.40867470738519</v>
      </c>
      <c r="D95" s="13">
        <v>419.17690047391773</v>
      </c>
      <c r="E95" s="40">
        <v>13.322179520890995</v>
      </c>
      <c r="F95" s="13">
        <v>471.81399999999996</v>
      </c>
      <c r="G95" s="13">
        <v>13.833873123923555</v>
      </c>
      <c r="H95" s="13">
        <v>0</v>
      </c>
      <c r="I95" s="13">
        <v>96.9</v>
      </c>
      <c r="J95" s="13">
        <v>0</v>
      </c>
      <c r="K95" s="13">
        <v>411</v>
      </c>
      <c r="L95" s="13">
        <v>0</v>
      </c>
      <c r="M95" s="13">
        <v>213.38</v>
      </c>
      <c r="N95" s="38">
        <v>422.33554407579089</v>
      </c>
      <c r="O95" s="13">
        <v>187.52671741842573</v>
      </c>
      <c r="P95" s="13">
        <v>40.914703903720152</v>
      </c>
      <c r="Q95" s="13">
        <v>248.20116584524905</v>
      </c>
      <c r="R95" s="13">
        <v>56.977513584439897</v>
      </c>
      <c r="S95" s="13">
        <v>199.56870907003784</v>
      </c>
      <c r="T95" s="13">
        <v>276.62943116952249</v>
      </c>
    </row>
    <row r="96" spans="1:20" x14ac:dyDescent="0.25">
      <c r="A96" s="8">
        <v>1993</v>
      </c>
      <c r="B96" s="37">
        <v>595.625</v>
      </c>
      <c r="C96" s="38">
        <v>168.58077350590028</v>
      </c>
      <c r="D96" s="13">
        <v>410.14036474986108</v>
      </c>
      <c r="E96" s="40">
        <v>15.361752592348708</v>
      </c>
      <c r="F96" s="13">
        <v>475.56599999999997</v>
      </c>
      <c r="G96" s="13">
        <v>13.967201575243243</v>
      </c>
      <c r="H96" s="13">
        <v>0</v>
      </c>
      <c r="I96" s="13">
        <v>74</v>
      </c>
      <c r="J96" s="13">
        <v>0</v>
      </c>
      <c r="K96" s="13">
        <v>416</v>
      </c>
      <c r="L96" s="13">
        <v>0</v>
      </c>
      <c r="M96" s="13">
        <v>228</v>
      </c>
      <c r="N96" s="38">
        <v>450.01442199441391</v>
      </c>
      <c r="O96" s="13">
        <v>167.847661182557</v>
      </c>
      <c r="P96" s="13">
        <v>41.869825067250851</v>
      </c>
      <c r="Q96" s="13">
        <v>247.02885316583712</v>
      </c>
      <c r="R96" s="13">
        <v>58.307608241801191</v>
      </c>
      <c r="S96" s="13">
        <v>207.78547017360455</v>
      </c>
      <c r="T96" s="13">
        <v>277.88480717246955</v>
      </c>
    </row>
    <row r="97" spans="1:20" x14ac:dyDescent="0.25">
      <c r="A97" s="8">
        <v>1994</v>
      </c>
      <c r="B97" s="37">
        <v>613.75</v>
      </c>
      <c r="C97" s="38">
        <v>170.72220144611367</v>
      </c>
      <c r="D97" s="13">
        <v>417.7772431715261</v>
      </c>
      <c r="E97" s="40">
        <v>17.778062091018359</v>
      </c>
      <c r="F97" s="13">
        <v>484.00799999999998</v>
      </c>
      <c r="G97" s="13">
        <v>14.23887151727339</v>
      </c>
      <c r="H97" s="13">
        <v>0</v>
      </c>
      <c r="I97" s="13">
        <v>72.900000000000006</v>
      </c>
      <c r="J97" s="13">
        <v>0</v>
      </c>
      <c r="K97" s="13">
        <v>422</v>
      </c>
      <c r="L97" s="13">
        <v>0</v>
      </c>
      <c r="M97" s="13">
        <v>232</v>
      </c>
      <c r="N97" s="38">
        <v>504.14300656293818</v>
      </c>
      <c r="O97" s="13">
        <v>160.90298380883226</v>
      </c>
      <c r="P97" s="13">
        <v>45.440786304115136</v>
      </c>
      <c r="Q97" s="13">
        <v>261.94078211622406</v>
      </c>
      <c r="R97" s="13">
        <v>63.280502408693657</v>
      </c>
      <c r="S97" s="13">
        <v>228.65126149531338</v>
      </c>
      <c r="T97" s="13">
        <v>309.42074143096056</v>
      </c>
    </row>
    <row r="98" spans="1:20" x14ac:dyDescent="0.25">
      <c r="A98" s="8">
        <v>1995</v>
      </c>
      <c r="B98" s="37">
        <v>637.5</v>
      </c>
      <c r="C98" s="38">
        <v>180.37128204370393</v>
      </c>
      <c r="D98" s="13">
        <v>442.63388920349792</v>
      </c>
      <c r="E98" s="40">
        <v>19.921562452741433</v>
      </c>
      <c r="F98" s="13">
        <v>502.76799999999997</v>
      </c>
      <c r="G98" s="13">
        <v>14.815417038399159</v>
      </c>
      <c r="H98" s="13">
        <v>0</v>
      </c>
      <c r="I98" s="13">
        <v>59</v>
      </c>
      <c r="J98" s="13">
        <v>0</v>
      </c>
      <c r="K98" s="13">
        <v>435.8</v>
      </c>
      <c r="L98" s="13">
        <v>0</v>
      </c>
      <c r="M98" s="13">
        <v>245</v>
      </c>
      <c r="N98" s="38">
        <v>523.27070530081335</v>
      </c>
      <c r="O98" s="13">
        <v>141.71466210682721</v>
      </c>
      <c r="P98" s="13">
        <v>45.799026170197962</v>
      </c>
      <c r="Q98" s="13">
        <v>258.08192448786224</v>
      </c>
      <c r="R98" s="13">
        <v>63.779384592571979</v>
      </c>
      <c r="S98" s="13">
        <v>233.47943575327781</v>
      </c>
      <c r="T98" s="13">
        <v>317.62619222908302</v>
      </c>
    </row>
    <row r="99" spans="1:20" x14ac:dyDescent="0.25">
      <c r="A99" s="8">
        <v>1996</v>
      </c>
      <c r="B99" s="37">
        <v>637.5</v>
      </c>
      <c r="C99" s="38">
        <v>174.75227487015582</v>
      </c>
      <c r="D99" s="13">
        <v>431.38947482790786</v>
      </c>
      <c r="E99" s="40">
        <v>21.629867286478305</v>
      </c>
      <c r="F99" s="13">
        <v>484.00799999999998</v>
      </c>
      <c r="G99" s="13">
        <v>14.286334422330967</v>
      </c>
      <c r="H99" s="13">
        <v>0</v>
      </c>
      <c r="I99" s="13">
        <v>55</v>
      </c>
      <c r="J99" s="13">
        <v>0</v>
      </c>
      <c r="K99" s="13">
        <v>431.8</v>
      </c>
      <c r="L99" s="13">
        <v>0</v>
      </c>
      <c r="M99" s="13">
        <v>249</v>
      </c>
      <c r="N99" s="38">
        <v>555.27357502078917</v>
      </c>
      <c r="O99" s="13">
        <v>130.63372159660929</v>
      </c>
      <c r="P99" s="13">
        <v>47.53366458523243</v>
      </c>
      <c r="Q99" s="13">
        <v>263.09363767119157</v>
      </c>
      <c r="R99" s="13">
        <v>66.195029200175526</v>
      </c>
      <c r="S99" s="13">
        <v>244.7551869382639</v>
      </c>
      <c r="T99" s="13">
        <v>265.67113337898269</v>
      </c>
    </row>
    <row r="100" spans="1:20" x14ac:dyDescent="0.25">
      <c r="A100" s="8">
        <v>1997</v>
      </c>
      <c r="B100" s="37">
        <v>650</v>
      </c>
      <c r="C100" s="38">
        <v>177.30555996430809</v>
      </c>
      <c r="D100" s="13">
        <v>446.15776413934395</v>
      </c>
      <c r="E100" s="40">
        <v>29.759399999999992</v>
      </c>
      <c r="F100" s="13">
        <v>506.52</v>
      </c>
      <c r="G100" s="13">
        <v>14.975650334155555</v>
      </c>
      <c r="H100" s="13">
        <v>0</v>
      </c>
      <c r="I100" s="13">
        <v>49</v>
      </c>
      <c r="J100" s="13">
        <v>0</v>
      </c>
      <c r="K100" s="13">
        <v>466</v>
      </c>
      <c r="L100" s="13">
        <v>0</v>
      </c>
      <c r="M100" s="13">
        <v>269</v>
      </c>
      <c r="N100" s="38">
        <v>613.78052478834036</v>
      </c>
      <c r="O100" s="13">
        <v>127.03872080184955</v>
      </c>
      <c r="P100" s="13">
        <v>51.60469118036989</v>
      </c>
      <c r="Q100" s="13">
        <v>281.34540617250235</v>
      </c>
      <c r="R100" s="13">
        <v>71.8643106808114</v>
      </c>
      <c r="S100" s="13">
        <v>267.90370197323921</v>
      </c>
      <c r="T100" s="13">
        <v>298.68390273845444</v>
      </c>
    </row>
    <row r="101" spans="1:20" x14ac:dyDescent="0.25">
      <c r="A101" s="8">
        <v>1998</v>
      </c>
      <c r="B101" s="37">
        <v>656.25</v>
      </c>
      <c r="C101" s="38">
        <v>177.58674332793191</v>
      </c>
      <c r="D101" s="13">
        <v>447.44122824397823</v>
      </c>
      <c r="E101" s="40">
        <v>30.293800000000001</v>
      </c>
      <c r="F101" s="13">
        <v>501.83</v>
      </c>
      <c r="G101" s="13">
        <v>14.861592190218742</v>
      </c>
      <c r="H101" s="13">
        <v>0</v>
      </c>
      <c r="I101" s="13">
        <v>44</v>
      </c>
      <c r="J101" s="13">
        <v>0</v>
      </c>
      <c r="K101" s="13">
        <v>459</v>
      </c>
      <c r="L101" s="13">
        <v>0</v>
      </c>
      <c r="M101" s="13">
        <v>261</v>
      </c>
      <c r="N101" s="38">
        <v>593.5193636943784</v>
      </c>
      <c r="O101" s="13">
        <v>100.64570864999715</v>
      </c>
      <c r="P101" s="13">
        <v>48.702429880420041</v>
      </c>
      <c r="Q101" s="13">
        <v>259.94851682252965</v>
      </c>
      <c r="R101" s="13">
        <v>67.822643092733074</v>
      </c>
      <c r="S101" s="13">
        <v>255.68355458188785</v>
      </c>
      <c r="T101" s="13">
        <v>301.58326783419659</v>
      </c>
    </row>
    <row r="102" spans="1:20" x14ac:dyDescent="0.25">
      <c r="A102" s="8">
        <v>1999</v>
      </c>
      <c r="B102" s="39">
        <v>637.49999999999989</v>
      </c>
      <c r="C102" s="38">
        <v>176.48061676159477</v>
      </c>
      <c r="D102" s="13">
        <v>446.31403523335274</v>
      </c>
      <c r="E102" s="40">
        <v>31.621449999999996</v>
      </c>
      <c r="F102" s="13">
        <v>505.58199999999999</v>
      </c>
      <c r="G102" s="13">
        <v>14.997496148014422</v>
      </c>
      <c r="H102" s="13">
        <v>0</v>
      </c>
      <c r="I102" s="13">
        <v>35</v>
      </c>
      <c r="J102" s="13">
        <v>0</v>
      </c>
      <c r="K102" s="13">
        <v>466</v>
      </c>
      <c r="L102" s="13">
        <v>0</v>
      </c>
      <c r="M102" s="13">
        <v>262</v>
      </c>
      <c r="N102" s="38">
        <v>615.70509761649919</v>
      </c>
      <c r="O102" s="13">
        <v>94.209284162600682</v>
      </c>
      <c r="P102" s="13">
        <v>49.972202961023228</v>
      </c>
      <c r="Q102" s="13">
        <v>264.10217242711229</v>
      </c>
      <c r="R102" s="13">
        <v>69.590919679054565</v>
      </c>
      <c r="S102" s="13">
        <v>263.68979665581378</v>
      </c>
      <c r="T102" s="13">
        <v>304.83502062877972</v>
      </c>
    </row>
    <row r="103" spans="1:20" x14ac:dyDescent="0.25">
      <c r="A103" s="8">
        <v>2000</v>
      </c>
      <c r="B103" s="39">
        <v>678.1661150138234</v>
      </c>
      <c r="C103" s="38">
        <v>187.08534513274336</v>
      </c>
      <c r="D103" s="13">
        <v>475.43736795713852</v>
      </c>
      <c r="E103" s="40">
        <v>35.612750000000005</v>
      </c>
      <c r="F103" s="13">
        <v>537.47399999999993</v>
      </c>
      <c r="G103" s="13">
        <v>15.96988781626284</v>
      </c>
      <c r="H103" s="13">
        <v>0</v>
      </c>
      <c r="I103" s="13">
        <v>32.5</v>
      </c>
      <c r="J103" s="13">
        <v>0</v>
      </c>
      <c r="K103" s="13">
        <v>522.6</v>
      </c>
      <c r="L103" s="13">
        <v>0</v>
      </c>
      <c r="M103" s="13">
        <v>287</v>
      </c>
      <c r="N103" s="38">
        <v>693.34878535512246</v>
      </c>
      <c r="O103" s="13">
        <v>92.052522114525857</v>
      </c>
      <c r="P103" s="13">
        <v>55.515962646572824</v>
      </c>
      <c r="Q103" s="13">
        <v>289.7497886063843</v>
      </c>
      <c r="R103" s="13">
        <v>77.311118352264359</v>
      </c>
      <c r="S103" s="13">
        <v>294.80744668244398</v>
      </c>
      <c r="T103" s="13">
        <v>381.16682352438676</v>
      </c>
    </row>
    <row r="104" spans="1:20" x14ac:dyDescent="0.25">
      <c r="A104" s="8">
        <v>2001</v>
      </c>
      <c r="B104" s="39">
        <v>695.01790688359847</v>
      </c>
      <c r="C104" s="38">
        <v>193.23638904415878</v>
      </c>
      <c r="D104" s="13">
        <v>485.74939205047275</v>
      </c>
      <c r="E104" s="40">
        <v>31.905349999999999</v>
      </c>
      <c r="F104" s="13">
        <v>548.73</v>
      </c>
      <c r="G104" s="13">
        <v>16.331240573082017</v>
      </c>
      <c r="H104" s="13">
        <v>0</v>
      </c>
      <c r="I104" s="13">
        <v>36.700000000000003</v>
      </c>
      <c r="J104" s="13">
        <v>0</v>
      </c>
      <c r="K104" s="13">
        <v>529</v>
      </c>
      <c r="L104" s="13">
        <v>0</v>
      </c>
      <c r="M104" s="13">
        <v>285</v>
      </c>
      <c r="N104" s="38">
        <v>702.80639005952787</v>
      </c>
      <c r="O104" s="13">
        <v>90.941115948618005</v>
      </c>
      <c r="P104" s="13">
        <v>56.145406096564962</v>
      </c>
      <c r="Q104" s="13">
        <v>292.41091255740713</v>
      </c>
      <c r="R104" s="13">
        <v>78.187676638179326</v>
      </c>
      <c r="S104" s="13">
        <v>298.46873170989358</v>
      </c>
      <c r="T104" s="13">
        <v>388.93726205393568</v>
      </c>
    </row>
    <row r="105" spans="1:20" x14ac:dyDescent="0.25">
      <c r="A105" s="8">
        <v>2002</v>
      </c>
      <c r="B105" s="39">
        <v>740.83285775869649</v>
      </c>
      <c r="C105" s="38">
        <v>205.23742686776569</v>
      </c>
      <c r="D105" s="13">
        <v>518.50648189184199</v>
      </c>
      <c r="E105" s="40">
        <v>36.255699999999997</v>
      </c>
      <c r="F105" s="13">
        <v>570.30399999999997</v>
      </c>
      <c r="G105" s="13">
        <v>17.001286177523735</v>
      </c>
      <c r="H105" s="13">
        <v>0</v>
      </c>
      <c r="I105" s="13">
        <v>35</v>
      </c>
      <c r="J105" s="13">
        <v>0</v>
      </c>
      <c r="K105" s="13">
        <v>564.70000000000005</v>
      </c>
      <c r="L105" s="13">
        <v>0</v>
      </c>
      <c r="M105" s="13">
        <v>304</v>
      </c>
      <c r="N105" s="38">
        <v>762.60502232726719</v>
      </c>
      <c r="O105" s="13">
        <v>82.785454412253614</v>
      </c>
      <c r="P105" s="13">
        <v>60.064320665919475</v>
      </c>
      <c r="Q105" s="13">
        <v>308.62113282589746</v>
      </c>
      <c r="R105" s="13">
        <v>83.645128038465629</v>
      </c>
      <c r="S105" s="13">
        <v>321.44670165864704</v>
      </c>
      <c r="T105" s="13">
        <v>415.29424276031727</v>
      </c>
    </row>
    <row r="106" spans="1:20" x14ac:dyDescent="0.25">
      <c r="A106" s="8">
        <v>2003</v>
      </c>
      <c r="B106" s="39">
        <v>814.69216594684406</v>
      </c>
      <c r="C106" s="38">
        <v>225.9557814677658</v>
      </c>
      <c r="D106" s="13">
        <v>569.94370711870442</v>
      </c>
      <c r="E106" s="40">
        <v>39.094699999999996</v>
      </c>
      <c r="F106" s="13">
        <v>631.274</v>
      </c>
      <c r="G106" s="13">
        <v>18.849809959480353</v>
      </c>
      <c r="H106" s="13">
        <v>0</v>
      </c>
      <c r="I106" s="13">
        <v>33</v>
      </c>
      <c r="J106" s="13">
        <v>0</v>
      </c>
      <c r="K106" s="13">
        <v>611</v>
      </c>
      <c r="L106" s="13">
        <v>0</v>
      </c>
      <c r="M106" s="13">
        <v>324</v>
      </c>
      <c r="N106" s="38">
        <v>823.91502354788076</v>
      </c>
      <c r="O106" s="13">
        <v>82.591242832355562</v>
      </c>
      <c r="P106" s="13">
        <v>64.523332329587717</v>
      </c>
      <c r="Q106" s="13">
        <v>329.69638764287282</v>
      </c>
      <c r="R106" s="13">
        <v>89.854714651573985</v>
      </c>
      <c r="S106" s="13">
        <v>346.247712571693</v>
      </c>
      <c r="T106" s="13">
        <v>388.68499520383762</v>
      </c>
    </row>
    <row r="107" spans="1:20" x14ac:dyDescent="0.25">
      <c r="A107" s="8">
        <v>2004</v>
      </c>
      <c r="B107" s="39">
        <v>879.46168640831911</v>
      </c>
      <c r="C107" s="38">
        <v>243.31919563115082</v>
      </c>
      <c r="D107" s="13">
        <v>615.85576112109834</v>
      </c>
      <c r="E107" s="40">
        <v>44.054599999999994</v>
      </c>
      <c r="F107" s="13">
        <v>675.36</v>
      </c>
      <c r="G107" s="13">
        <v>20.199329361713403</v>
      </c>
      <c r="H107" s="13">
        <v>0</v>
      </c>
      <c r="I107" s="13">
        <v>33</v>
      </c>
      <c r="J107" s="13">
        <v>0</v>
      </c>
      <c r="K107" s="13">
        <v>674</v>
      </c>
      <c r="L107" s="13">
        <v>0</v>
      </c>
      <c r="M107" s="13">
        <v>353</v>
      </c>
      <c r="N107" s="38">
        <v>911.57357318310676</v>
      </c>
      <c r="O107" s="13">
        <v>82.368073673528869</v>
      </c>
      <c r="P107" s="13">
        <v>70.901589463419043</v>
      </c>
      <c r="Q107" s="13">
        <v>359.85866385075343</v>
      </c>
      <c r="R107" s="13">
        <v>98.73702828979836</v>
      </c>
      <c r="S107" s="13">
        <v>381.71548114490196</v>
      </c>
      <c r="T107" s="13">
        <v>413.98923774587269</v>
      </c>
    </row>
    <row r="108" spans="1:20" x14ac:dyDescent="0.25">
      <c r="A108" s="8">
        <v>2005</v>
      </c>
      <c r="B108" s="39">
        <v>1006.1198315473575</v>
      </c>
      <c r="C108" s="38">
        <v>279.79023866669087</v>
      </c>
      <c r="D108" s="13">
        <v>703.12121286860611</v>
      </c>
      <c r="E108" s="40">
        <v>46.033549999999998</v>
      </c>
      <c r="F108" s="13">
        <v>752.27599999999995</v>
      </c>
      <c r="G108" s="13">
        <v>22.536693471050828</v>
      </c>
      <c r="H108" s="13">
        <v>0</v>
      </c>
      <c r="I108" s="13">
        <v>33.9</v>
      </c>
      <c r="J108" s="13">
        <v>0</v>
      </c>
      <c r="K108" s="13">
        <v>739</v>
      </c>
      <c r="L108" s="13">
        <v>0</v>
      </c>
      <c r="M108" s="13">
        <v>365</v>
      </c>
      <c r="N108" s="38">
        <v>986.15296564157393</v>
      </c>
      <c r="O108" s="13">
        <v>81.872282288325678</v>
      </c>
      <c r="P108" s="13">
        <v>76.311654438840336</v>
      </c>
      <c r="Q108" s="13">
        <v>385.35367937641274</v>
      </c>
      <c r="R108" s="13">
        <v>106.27104470001467</v>
      </c>
      <c r="S108" s="13">
        <v>411.8447252208918</v>
      </c>
      <c r="T108" s="13">
        <v>452.87678436743926</v>
      </c>
    </row>
    <row r="109" spans="1:20" x14ac:dyDescent="0.25">
      <c r="A109" s="8">
        <v>2006</v>
      </c>
      <c r="B109" s="39">
        <v>1084.3953828789004</v>
      </c>
      <c r="C109" s="38">
        <v>301.90321255504887</v>
      </c>
      <c r="D109" s="13">
        <v>757.47819153121418</v>
      </c>
      <c r="E109" s="40">
        <v>48.555250000000001</v>
      </c>
      <c r="F109" s="13">
        <v>826.37799999999993</v>
      </c>
      <c r="G109" s="13">
        <v>24.797160315605048</v>
      </c>
      <c r="H109" s="13">
        <v>0</v>
      </c>
      <c r="I109" s="13">
        <v>31.8</v>
      </c>
      <c r="J109" s="13">
        <v>0</v>
      </c>
      <c r="K109" s="13">
        <v>818</v>
      </c>
      <c r="L109" s="13">
        <v>0</v>
      </c>
      <c r="M109" s="13">
        <v>395</v>
      </c>
      <c r="N109" s="38">
        <v>1089.5892740180839</v>
      </c>
      <c r="O109" s="13">
        <v>80.248416110706444</v>
      </c>
      <c r="P109" s="13">
        <v>83.764472545896467</v>
      </c>
      <c r="Q109" s="13">
        <v>420.20274212417479</v>
      </c>
      <c r="R109" s="13">
        <v>116.649783989841</v>
      </c>
      <c r="S109" s="13">
        <v>453.48944006776242</v>
      </c>
      <c r="T109" s="13">
        <v>465.81462308234035</v>
      </c>
    </row>
    <row r="110" spans="1:20" x14ac:dyDescent="0.25">
      <c r="A110" s="8">
        <v>2007</v>
      </c>
      <c r="B110" s="39">
        <v>1181.2120787761064</v>
      </c>
      <c r="C110" s="38">
        <v>328.17278618611658</v>
      </c>
      <c r="D110" s="13">
        <v>825.79202249403056</v>
      </c>
      <c r="E110" s="40">
        <v>54.959700000000005</v>
      </c>
      <c r="F110" s="13">
        <v>896.72799999999995</v>
      </c>
      <c r="G110" s="13">
        <v>26.952123377017713</v>
      </c>
      <c r="H110" s="13">
        <v>0</v>
      </c>
      <c r="I110" s="13">
        <v>32.5</v>
      </c>
      <c r="J110" s="13">
        <v>0</v>
      </c>
      <c r="K110" s="13">
        <v>882</v>
      </c>
      <c r="L110" s="13">
        <v>0</v>
      </c>
      <c r="M110" s="13">
        <v>416</v>
      </c>
      <c r="N110" s="38">
        <v>1174.1452463095914</v>
      </c>
      <c r="O110" s="13">
        <v>77.537261080142144</v>
      </c>
      <c r="P110" s="13">
        <v>89.782200554296892</v>
      </c>
      <c r="Q110" s="13">
        <v>447.9359778059054</v>
      </c>
      <c r="R110" s="13">
        <v>125.03002743857638</v>
      </c>
      <c r="S110" s="13">
        <v>487.3222421656742</v>
      </c>
      <c r="T110" s="13">
        <v>488.18335897300051</v>
      </c>
    </row>
    <row r="111" spans="1:20" x14ac:dyDescent="0.25">
      <c r="A111" s="8">
        <v>2008</v>
      </c>
      <c r="B111" s="41">
        <v>1160.5245583268054</v>
      </c>
      <c r="C111" s="42">
        <v>321.88289811105517</v>
      </c>
      <c r="D111" s="13">
        <v>811.87159355127119</v>
      </c>
      <c r="E111" s="43">
        <v>55.619349999999997</v>
      </c>
      <c r="F111" s="13">
        <v>873.27799999999991</v>
      </c>
      <c r="G111" s="13">
        <v>26.290126230313469</v>
      </c>
      <c r="H111" s="13">
        <v>0</v>
      </c>
      <c r="I111" s="13">
        <v>32.5</v>
      </c>
      <c r="J111" s="13">
        <v>0</v>
      </c>
      <c r="K111" s="13">
        <v>884</v>
      </c>
      <c r="L111" s="13">
        <v>0</v>
      </c>
      <c r="M111" s="13">
        <v>409</v>
      </c>
      <c r="N111" s="38">
        <v>1178.5081577004416</v>
      </c>
      <c r="O111" s="13">
        <v>69.671379669094193</v>
      </c>
      <c r="P111" s="13">
        <v>89.675499198493284</v>
      </c>
      <c r="Q111" s="13">
        <v>445.15250369356966</v>
      </c>
      <c r="R111" s="13">
        <v>124.88143592086473</v>
      </c>
      <c r="S111" s="13">
        <v>487.89282071634807</v>
      </c>
      <c r="T111" s="13">
        <v>487.41775818942176</v>
      </c>
    </row>
    <row r="112" spans="1:20" x14ac:dyDescent="0.25">
      <c r="A112" s="8">
        <v>2009</v>
      </c>
      <c r="B112" s="39">
        <v>1186.7801289382815</v>
      </c>
      <c r="C112" s="38">
        <v>330.32585354437396</v>
      </c>
      <c r="D112" s="13">
        <v>829.07856590132951</v>
      </c>
      <c r="E112" s="40">
        <v>53.298049999999996</v>
      </c>
      <c r="F112" s="13">
        <v>862.02199999999993</v>
      </c>
      <c r="G112" s="13">
        <v>25.993529064890676</v>
      </c>
      <c r="H112" s="13">
        <v>0</v>
      </c>
      <c r="I112" s="13">
        <v>28</v>
      </c>
      <c r="J112" s="13">
        <v>0</v>
      </c>
      <c r="K112" s="13">
        <v>865</v>
      </c>
      <c r="L112" s="13">
        <v>0</v>
      </c>
      <c r="M112" s="13">
        <v>341</v>
      </c>
      <c r="N112" s="42">
        <v>1112.7437422096616</v>
      </c>
      <c r="O112" s="13">
        <v>51.406454092713098</v>
      </c>
      <c r="P112" s="13">
        <v>83.894967328090829</v>
      </c>
      <c r="Q112" s="13">
        <v>412.46907647040132</v>
      </c>
      <c r="R112" s="13">
        <v>116.83151005689687</v>
      </c>
      <c r="S112" s="13">
        <v>458.48013726241464</v>
      </c>
      <c r="T112" s="13">
        <v>415.22430304617512</v>
      </c>
    </row>
    <row r="113" spans="1:20" x14ac:dyDescent="0.25">
      <c r="A113" s="8">
        <v>2010</v>
      </c>
      <c r="B113" s="39">
        <v>1307.6664516306973</v>
      </c>
      <c r="C113" s="38">
        <v>364.09059731272612</v>
      </c>
      <c r="D113" s="13">
        <v>913.41163432461985</v>
      </c>
      <c r="E113" s="40">
        <v>58.399899999999995</v>
      </c>
      <c r="F113" s="13">
        <v>975.52</v>
      </c>
      <c r="G113" s="13">
        <v>29.463794085355353</v>
      </c>
      <c r="H113" s="13">
        <v>0</v>
      </c>
      <c r="I113" s="13">
        <v>14.9</v>
      </c>
      <c r="J113" s="13">
        <v>0</v>
      </c>
      <c r="K113" s="13">
        <v>993</v>
      </c>
      <c r="L113" s="13">
        <v>0</v>
      </c>
      <c r="M113" s="13">
        <v>421</v>
      </c>
      <c r="N113" s="38">
        <v>1290.6390021744053</v>
      </c>
      <c r="O113" s="13">
        <v>57.672756017881753</v>
      </c>
      <c r="P113" s="13">
        <v>97.201912083479769</v>
      </c>
      <c r="Q113" s="13">
        <v>477.34600223440128</v>
      </c>
      <c r="R113" s="13">
        <v>135.36266275329032</v>
      </c>
      <c r="S113" s="13">
        <v>531.48082207095399</v>
      </c>
      <c r="T113" s="13">
        <v>496.18768309008766</v>
      </c>
    </row>
    <row r="114" spans="1:20" x14ac:dyDescent="0.25">
      <c r="A114" s="8">
        <v>2011</v>
      </c>
      <c r="B114" s="39">
        <v>1340.875013276094</v>
      </c>
      <c r="C114" s="38">
        <v>373.06332733601403</v>
      </c>
      <c r="D114" s="13">
        <v>936.88143699654393</v>
      </c>
      <c r="E114" s="40">
        <v>60.729550000000003</v>
      </c>
      <c r="F114" s="13">
        <v>1031.8</v>
      </c>
      <c r="G114" s="13">
        <v>31.21421866528889</v>
      </c>
      <c r="H114" s="13">
        <v>0</v>
      </c>
      <c r="I114" s="13">
        <v>16</v>
      </c>
      <c r="J114" s="13">
        <v>0</v>
      </c>
      <c r="K114" s="13">
        <v>1065</v>
      </c>
      <c r="L114" s="13">
        <v>0</v>
      </c>
      <c r="M114" s="13">
        <v>454</v>
      </c>
      <c r="N114" s="38">
        <v>1389.6675413082492</v>
      </c>
      <c r="O114" s="13">
        <v>59.197490660248008</v>
      </c>
      <c r="P114" s="13">
        <v>104.50342825702477</v>
      </c>
      <c r="Q114" s="13">
        <v>512.38981234880873</v>
      </c>
      <c r="R114" s="13">
        <v>145.53070009126409</v>
      </c>
      <c r="S114" s="13">
        <v>571.81929255926457</v>
      </c>
      <c r="T114" s="13">
        <v>516.14934966266947</v>
      </c>
    </row>
    <row r="115" spans="1:20" x14ac:dyDescent="0.25">
      <c r="A115" s="8">
        <v>2012</v>
      </c>
      <c r="B115" s="37">
        <v>1357.8697327513423</v>
      </c>
      <c r="C115" s="38">
        <v>378.07386485964116</v>
      </c>
      <c r="D115" s="13">
        <v>948.47359814168385</v>
      </c>
      <c r="E115" s="40">
        <v>60.629349999999995</v>
      </c>
      <c r="F115" s="13">
        <v>1050.56</v>
      </c>
      <c r="G115" s="13">
        <v>31.833260043268538</v>
      </c>
      <c r="H115" s="13">
        <v>0</v>
      </c>
      <c r="I115" s="13">
        <v>16</v>
      </c>
      <c r="J115" s="13">
        <v>0</v>
      </c>
      <c r="K115" s="13">
        <v>1099</v>
      </c>
      <c r="L115" s="13">
        <v>0</v>
      </c>
      <c r="M115" s="13">
        <v>448</v>
      </c>
      <c r="N115" s="38">
        <v>1421.0480787718011</v>
      </c>
      <c r="O115" s="13">
        <v>55.071132007498029</v>
      </c>
      <c r="P115" s="13">
        <v>106.56824607086919</v>
      </c>
      <c r="Q115" s="13">
        <v>520.98017890861558</v>
      </c>
      <c r="R115" s="13">
        <v>148.40615008387709</v>
      </c>
      <c r="S115" s="13">
        <v>583.90079108091993</v>
      </c>
      <c r="T115" s="13">
        <v>496.12892149005864</v>
      </c>
    </row>
    <row r="116" spans="1:20" x14ac:dyDescent="0.25">
      <c r="A116" s="8">
        <v>2013</v>
      </c>
      <c r="B116" s="37">
        <v>1393.75</v>
      </c>
      <c r="C116" s="38">
        <v>397.06423314472153</v>
      </c>
      <c r="D116" s="13">
        <v>994.77649438923584</v>
      </c>
      <c r="E116" s="40">
        <v>62.441299999999998</v>
      </c>
      <c r="F116" s="13">
        <v>1097.46</v>
      </c>
      <c r="G116" s="13">
        <v>33.308197412645015</v>
      </c>
      <c r="H116" s="13">
        <v>0</v>
      </c>
      <c r="I116" s="13">
        <v>10.9</v>
      </c>
      <c r="J116" s="13">
        <v>0</v>
      </c>
      <c r="K116" s="13">
        <v>1209</v>
      </c>
      <c r="L116" s="13">
        <v>0</v>
      </c>
      <c r="M116" s="13">
        <v>428</v>
      </c>
      <c r="N116" s="38">
        <v>1500.4635212325702</v>
      </c>
      <c r="O116" s="13">
        <v>56.141065883465714</v>
      </c>
      <c r="P116" s="13">
        <v>112.41540825556153</v>
      </c>
      <c r="Q116" s="13">
        <v>549.00002595363628</v>
      </c>
      <c r="R116" s="13">
        <v>156.54886482996713</v>
      </c>
      <c r="S116" s="13">
        <v>616.22678222006607</v>
      </c>
      <c r="T116" s="13">
        <v>511.78761776501727</v>
      </c>
    </row>
    <row r="117" spans="1:20" x14ac:dyDescent="0.25">
      <c r="A117" s="8">
        <v>2014</v>
      </c>
      <c r="B117" s="37">
        <v>1456.25</v>
      </c>
      <c r="C117" s="38">
        <v>409.06752138378067</v>
      </c>
      <c r="D117" s="13">
        <v>1022.58608047312</v>
      </c>
      <c r="E117" s="40">
        <v>62.282649999999997</v>
      </c>
      <c r="F117" s="13">
        <v>1106.8399999999999</v>
      </c>
      <c r="G117" s="13">
        <v>33.64715246136047</v>
      </c>
      <c r="H117" s="13">
        <v>0</v>
      </c>
      <c r="I117" s="13">
        <v>9.4</v>
      </c>
      <c r="J117" s="13">
        <v>0</v>
      </c>
      <c r="K117" s="13">
        <v>1229</v>
      </c>
      <c r="L117" s="13">
        <v>0</v>
      </c>
      <c r="M117" s="13">
        <v>430</v>
      </c>
      <c r="N117" s="38">
        <v>1523.1709872725767</v>
      </c>
      <c r="O117" s="13">
        <v>53.350937301565345</v>
      </c>
      <c r="P117" s="13">
        <v>113.92011558645538</v>
      </c>
      <c r="Q117" s="13">
        <v>555.32294595859878</v>
      </c>
      <c r="R117" s="13">
        <v>158.6443091129897</v>
      </c>
      <c r="S117" s="13">
        <v>624.99892740896166</v>
      </c>
      <c r="T117" s="13">
        <v>522.4609296991822</v>
      </c>
    </row>
    <row r="118" spans="1:20" x14ac:dyDescent="0.25">
      <c r="A118" s="8">
        <v>2015</v>
      </c>
      <c r="B118" s="37">
        <v>1425</v>
      </c>
      <c r="C118" s="38">
        <v>402.13417356371679</v>
      </c>
      <c r="D118" s="13">
        <v>1004.1661860932926</v>
      </c>
      <c r="E118" s="40">
        <v>60.228549999999998</v>
      </c>
      <c r="F118" s="13">
        <v>1088.08</v>
      </c>
      <c r="G118" s="13">
        <v>33.130211518679339</v>
      </c>
      <c r="H118" s="13">
        <v>0</v>
      </c>
      <c r="I118" s="13">
        <v>7.6</v>
      </c>
      <c r="J118" s="13">
        <v>0</v>
      </c>
      <c r="K118" s="13">
        <v>1201</v>
      </c>
      <c r="L118" s="13">
        <v>0</v>
      </c>
      <c r="M118" s="13">
        <v>408</v>
      </c>
      <c r="N118" s="38">
        <v>1476.792299855286</v>
      </c>
      <c r="O118" s="13">
        <v>50.907067493331965</v>
      </c>
      <c r="P118" s="13">
        <v>110.40714030409028</v>
      </c>
      <c r="Q118" s="13">
        <v>537.96706962404221</v>
      </c>
      <c r="R118" s="13">
        <v>153.75216575680719</v>
      </c>
      <c r="S118" s="13">
        <v>605.84384640712676</v>
      </c>
      <c r="T118" s="13">
        <v>520.86782022961052</v>
      </c>
    </row>
  </sheetData>
  <pageMargins left="0.7" right="0.7"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theme="8" tint="-0.249977111117893"/>
  </sheetPr>
  <dimension ref="A1:M83"/>
  <sheetViews>
    <sheetView zoomScaleNormal="100" workbookViewId="0">
      <selection activeCell="D7" sqref="D7"/>
    </sheetView>
  </sheetViews>
  <sheetFormatPr defaultRowHeight="15" x14ac:dyDescent="0.25"/>
  <cols>
    <col min="1" max="1" width="25.140625" customWidth="1"/>
    <col min="3" max="3" width="30.5703125" bestFit="1" customWidth="1"/>
    <col min="4" max="4" width="75.7109375" customWidth="1"/>
    <col min="5" max="5" width="27.42578125" customWidth="1"/>
    <col min="14" max="14" width="9.140625" customWidth="1"/>
  </cols>
  <sheetData>
    <row r="1" spans="1:7" s="8" customFormat="1" x14ac:dyDescent="0.25">
      <c r="A1" s="1" t="s">
        <v>558</v>
      </c>
      <c r="B1" s="1" t="s">
        <v>559</v>
      </c>
      <c r="C1" s="1" t="s">
        <v>0</v>
      </c>
      <c r="D1" s="1" t="s">
        <v>7</v>
      </c>
      <c r="E1" s="1" t="s">
        <v>560</v>
      </c>
    </row>
    <row r="2" spans="1:7" s="8" customFormat="1" x14ac:dyDescent="0.25">
      <c r="A2" s="76" t="s">
        <v>214</v>
      </c>
      <c r="B2" s="74">
        <v>1</v>
      </c>
      <c r="C2" s="74"/>
      <c r="D2" s="74"/>
      <c r="E2" s="74"/>
    </row>
    <row r="3" spans="1:7" s="8" customFormat="1" x14ac:dyDescent="0.25">
      <c r="A3" s="76" t="s">
        <v>202</v>
      </c>
      <c r="B3" s="74">
        <v>2010</v>
      </c>
      <c r="C3" s="74"/>
      <c r="D3" s="74"/>
      <c r="E3" s="74"/>
    </row>
    <row r="4" spans="1:7" s="8" customFormat="1" x14ac:dyDescent="0.25">
      <c r="A4" s="76" t="s">
        <v>407</v>
      </c>
      <c r="B4" s="74">
        <v>3</v>
      </c>
      <c r="C4" s="74"/>
      <c r="D4" s="74"/>
      <c r="E4" s="74" t="s">
        <v>406</v>
      </c>
    </row>
    <row r="5" spans="1:7" s="8" customFormat="1" x14ac:dyDescent="0.25"/>
    <row r="6" spans="1:7" s="8" customFormat="1" x14ac:dyDescent="0.25">
      <c r="A6" s="73" t="s">
        <v>488</v>
      </c>
      <c r="B6" s="74">
        <v>0.85</v>
      </c>
      <c r="C6" s="74" t="s">
        <v>570</v>
      </c>
      <c r="D6" s="75" t="s">
        <v>623</v>
      </c>
      <c r="E6" s="74"/>
    </row>
    <row r="7" spans="1:7" s="8" customFormat="1" x14ac:dyDescent="0.25">
      <c r="A7" s="73" t="s">
        <v>433</v>
      </c>
      <c r="B7" s="74">
        <f>IF(year=1900,0.53,IF(year=1910,0.54,IF(year=1920,0.62,IF(year=1930,0.58,IF(year=1940,0.57,IF(year=1950,0.56,IF(year=1960,0.55,IF(year=1970,0.54,IF(year=1980,0.53,IF(year=1990,0.52,IF(year=2000,0.56,IF(year=2010,0.45,IF(year=2015,0.43,0.43)))))))))))))</f>
        <v>0.45</v>
      </c>
      <c r="C7" s="74" t="s">
        <v>570</v>
      </c>
      <c r="D7" s="75" t="s">
        <v>623</v>
      </c>
      <c r="E7" s="74"/>
    </row>
    <row r="8" spans="1:7" x14ac:dyDescent="0.25">
      <c r="A8" s="76" t="s">
        <v>428</v>
      </c>
      <c r="B8" s="74">
        <v>0.95</v>
      </c>
      <c r="C8" s="74" t="s">
        <v>570</v>
      </c>
      <c r="D8" s="75" t="s">
        <v>588</v>
      </c>
      <c r="E8" s="74"/>
      <c r="G8" s="8"/>
    </row>
    <row r="9" spans="1:7" s="8" customFormat="1" x14ac:dyDescent="0.25">
      <c r="A9" s="76" t="s">
        <v>429</v>
      </c>
      <c r="B9" s="74">
        <f>IF(year=1900,0.11,IF(year=1910,0.11,IF(year=1920,0.11,IF(year=1930,0.11,IF(year=1940,0.11,IF(year=1950,0.11,IF(year=1960,0.11,IF(year=1970,0.09,IF(year=1980,0.09,IF(year=1990,0.08,IF(year=2000,0.08,IF(year=2010,0.08,IF(year=2015,0.08,0.08)))))))))))))</f>
        <v>0.08</v>
      </c>
      <c r="C9" s="74" t="s">
        <v>493</v>
      </c>
      <c r="D9" s="75" t="s">
        <v>579</v>
      </c>
      <c r="E9" s="74"/>
    </row>
    <row r="10" spans="1:7" s="8" customFormat="1" x14ac:dyDescent="0.25">
      <c r="A10" s="76" t="s">
        <v>494</v>
      </c>
      <c r="B10" s="74">
        <f>IF(year=1900,0.14,IF(year=1910,0.14,IF(year=1920,0.14,IF(year=1930,0.14,IF(year=1940,0.14,IF(year=1950,0.14,IF(year=1960,0.13,IF(year=1970,0.11,IF(year=1980,0.12,IF(year=1990,0.1,IF(year=2000,0.1,IF(year=2010,0.1,IF(year=2015,0.1,0.1)))))))))))))</f>
        <v>0.1</v>
      </c>
      <c r="C10" s="74" t="s">
        <v>493</v>
      </c>
      <c r="D10" s="75" t="s">
        <v>579</v>
      </c>
      <c r="E10" s="74"/>
    </row>
    <row r="11" spans="1:7" s="8" customFormat="1" x14ac:dyDescent="0.25">
      <c r="A11" s="76" t="s">
        <v>430</v>
      </c>
      <c r="B11" s="74">
        <f>IF(year=1900,1.86,IF(year=1910,1.86,IF(year=1920,1.86,IF(year=1930,1.86,IF(year=1940,1.86,IF(year=1950,1.86,IF(year=1960,1.79,IF(year=1970,1.48,IF(year=1980,1.57,IF(year=1990,1.36,IF(year=2000,1.31,IF(year=2010,1.36,IF(year=2015,1.37,1.37)))))))))))))</f>
        <v>1.36</v>
      </c>
      <c r="C11" s="74" t="s">
        <v>493</v>
      </c>
      <c r="D11" s="75" t="s">
        <v>579</v>
      </c>
      <c r="E11" s="74"/>
    </row>
    <row r="12" spans="1:7" s="8" customFormat="1" x14ac:dyDescent="0.25">
      <c r="A12" s="76" t="s">
        <v>431</v>
      </c>
      <c r="B12" s="74">
        <f>IF(year=1900,0.01,IF(year=1910,0.01,IF(year=1920,0.01,IF(year=1930,0.01,IF(year=1940,0.01,IF(year=1950,0.01,IF(year=1960,0.01,IF(year=1970,0.01,IF(year=1980,0.01,IF(year=1990,0.01,IF(year=2000,0.01,IF(year=2010,0.01,IF(year=2015,0.01,0.01)))))))))))))</f>
        <v>0.01</v>
      </c>
      <c r="C12" s="74" t="s">
        <v>493</v>
      </c>
      <c r="D12" s="75" t="s">
        <v>580</v>
      </c>
      <c r="E12" s="74"/>
    </row>
    <row r="13" spans="1:7" s="8" customFormat="1" x14ac:dyDescent="0.25">
      <c r="A13" s="76" t="s">
        <v>432</v>
      </c>
      <c r="B13" s="74">
        <f>IF(year=1900,0.49,IF(year=1910,0.49,IF(year=1920,0.49,IF(year=1930,0.49,IF(year=1940,0.49,IF(year=1950,0.49,IF(year=1960,0.47,IF(year=1970,0.39,IF(year=1980,0.42,IF(year=1990,0.36,IF(year=2000,0.35,IF(year=2010,0.36,IF(year=2015,0.36,0.36)))))))))))))</f>
        <v>0.36</v>
      </c>
      <c r="C13" s="74" t="s">
        <v>493</v>
      </c>
      <c r="D13" s="75" t="s">
        <v>580</v>
      </c>
      <c r="E13" s="74"/>
    </row>
    <row r="14" spans="1:7" s="8" customFormat="1" x14ac:dyDescent="0.25">
      <c r="A14" s="76" t="s">
        <v>495</v>
      </c>
      <c r="B14" s="74">
        <f>IF(year=1900,0.14,IF(year=1910,0.14,IF(year=1920,0.14,IF(year=1930,0.14,IF(year=1940,0.14,IF(year=1950,0.14,IF(year=1960,0.13,IF(year=1970,0.11,IF(year=1980,0.12,IF(year=1990,0.1,IF(year=2000,0.1,IF(year=2010,0.1,IF(year=2015,0.1,0.1)))))))))))))</f>
        <v>0.1</v>
      </c>
      <c r="C14" s="74" t="s">
        <v>493</v>
      </c>
      <c r="D14" s="75" t="s">
        <v>580</v>
      </c>
      <c r="E14" s="74"/>
    </row>
    <row r="15" spans="1:7" s="8" customFormat="1" x14ac:dyDescent="0.25">
      <c r="A15" s="76" t="s">
        <v>496</v>
      </c>
      <c r="B15" s="74">
        <f>IF(year=1900,0.48,IF(year=1910,0.48,IF(year=1920,0.48,IF(year=1930,0.48,IF(year=1940,0.48,IF(year=1950,0.48,IF(year=1960,0.46,IF(year=1970,0.38,IF(year=1980,0.4,IF(year=1990,0.35,IF(year=2000,0.34,IF(year=2010,0.35,IF(year=2015,0.35,0.35)))))))))))))</f>
        <v>0.35</v>
      </c>
      <c r="C15" s="74" t="s">
        <v>493</v>
      </c>
      <c r="D15" s="75" t="s">
        <v>580</v>
      </c>
      <c r="E15" s="74"/>
    </row>
    <row r="16" spans="1:7" x14ac:dyDescent="0.25">
      <c r="A16" s="76" t="s">
        <v>203</v>
      </c>
      <c r="B16" s="74">
        <f>IF(year=1900,55.56,IF(year=1910,47.62,IF(year=1920,41.67,IF(year=1930,35.71,IF(year=1940,33.33,IF(year=1950,31.23,IF(year=1960,20.29,IF(year=1970,15.78,IF(year=1980,14.49,IF(year=1990,14.49,IF(year=2000,12.88,IF(year=2010,11.91,IF(year=2015,11.42,11.42)))))))))))))</f>
        <v>11.91</v>
      </c>
      <c r="C16" s="74" t="s">
        <v>490</v>
      </c>
      <c r="D16" s="75" t="s">
        <v>586</v>
      </c>
      <c r="E16" s="74"/>
    </row>
    <row r="17" spans="1:5" s="8" customFormat="1" x14ac:dyDescent="0.25">
      <c r="A17" s="76" t="s">
        <v>456</v>
      </c>
      <c r="B17" s="74">
        <v>0.90700000000000003</v>
      </c>
      <c r="C17" s="74" t="s">
        <v>571</v>
      </c>
      <c r="D17" s="75" t="s">
        <v>561</v>
      </c>
      <c r="E17" s="77"/>
    </row>
    <row r="18" spans="1:5" s="8" customFormat="1" x14ac:dyDescent="0.25">
      <c r="A18" s="76" t="s">
        <v>457</v>
      </c>
      <c r="B18" s="59">
        <v>0.94339622641509424</v>
      </c>
      <c r="C18" s="74" t="s">
        <v>571</v>
      </c>
      <c r="D18" s="75" t="s">
        <v>561</v>
      </c>
      <c r="E18" s="77"/>
    </row>
    <row r="19" spans="1:5" s="8" customFormat="1" x14ac:dyDescent="0.25">
      <c r="A19" s="76" t="s">
        <v>458</v>
      </c>
      <c r="B19" s="59">
        <v>0.9174311926605504</v>
      </c>
      <c r="C19" s="74" t="s">
        <v>571</v>
      </c>
      <c r="D19" s="75" t="s">
        <v>561</v>
      </c>
      <c r="E19" s="77"/>
    </row>
    <row r="20" spans="1:5" x14ac:dyDescent="0.25">
      <c r="A20" s="76" t="s">
        <v>211</v>
      </c>
      <c r="B20" s="74">
        <f>IF(year=1900,0,IF(year=1910,0,IF(year=1920,0,IF(year=1930,0,IF(year=1940,0,IF(year=1950,0,IF(year=1960,0,IF(year=1970,0.76,IF(year=1980,0.76,IF(year=1990,0.76,IF(year=2000,0.71,IF(year=2010,0.6,IF(year=2015,0.63,0.63)))))))))))))</f>
        <v>0.6</v>
      </c>
      <c r="C20" s="74" t="s">
        <v>572</v>
      </c>
      <c r="D20" s="75" t="s">
        <v>620</v>
      </c>
      <c r="E20" s="74"/>
    </row>
    <row r="21" spans="1:5" x14ac:dyDescent="0.25">
      <c r="A21" s="76" t="s">
        <v>210</v>
      </c>
      <c r="B21" s="74">
        <f>IF(year=1900,0,IF(year=1910,0,IF(year=1920,0,IF(year=1930,0,IF(year=1940,0,IF(year=1950,0,IF(year=1960,0,IF(year=1970,0.24,IF(year=1980,0.24,IF(year=1990,0.24,IF(year=2000,0.22,IF(year=2010,0.14,IF(year=2015,0.16,0.16)))))))))))))</f>
        <v>0.14000000000000001</v>
      </c>
      <c r="C21" s="74" t="s">
        <v>572</v>
      </c>
      <c r="D21" s="75" t="s">
        <v>620</v>
      </c>
      <c r="E21" s="74"/>
    </row>
    <row r="22" spans="1:5" x14ac:dyDescent="0.25">
      <c r="A22" s="76" t="s">
        <v>209</v>
      </c>
      <c r="B22" s="74">
        <f>IF(year=1900,0,IF(year=1910,0,IF(year=1920,0,IF(year=1930,0,IF(year=1940,0,IF(year=1950,0,IF(year=1960,0,IF(year=1970,0,IF(year=1980,0,IF(year=1990,0,IF(year=2000,0.07,IF(year=2010,0.26,IF(year=2015,0.2,0.2)))))))))))))</f>
        <v>0.26</v>
      </c>
      <c r="C22" s="74" t="s">
        <v>572</v>
      </c>
      <c r="D22" s="75" t="s">
        <v>620</v>
      </c>
      <c r="E22" s="74"/>
    </row>
    <row r="23" spans="1:5" s="8" customFormat="1" x14ac:dyDescent="0.25">
      <c r="A23" s="76" t="s">
        <v>499</v>
      </c>
      <c r="B23" s="74">
        <f>IF(year=1900,0.08,IF(year=1910,0.08,IF(year=1920,0.08,IF(year=1930,0.08,IF(year=1940,0.08,IF(year=1950,0.08,IF(year=1960,0.08,IF(year=1970,0.07,IF(year=1980,0.07,IF(year=1990,0.06,IF(year=2000,0.06,IF(year=2010,0.06,IF(year=2015,0.06,0.06)))))))))))))</f>
        <v>0.06</v>
      </c>
      <c r="C23" s="74" t="s">
        <v>573</v>
      </c>
      <c r="D23" s="75" t="s">
        <v>581</v>
      </c>
      <c r="E23" s="74"/>
    </row>
    <row r="24" spans="1:5" s="8" customFormat="1" x14ac:dyDescent="0.25">
      <c r="A24" s="76" t="s">
        <v>500</v>
      </c>
      <c r="B24" s="74">
        <f>IF(year=1900,4.15,IF(year=1910,4.15,IF(year=1920,4.15,IF(year=1930,4.15,IF(year=1940,4.15,IF(year=1950,4.15,IF(year=1960,4,IF(year=1970,3.31,IF(year=1980,3.51,IF(year=1990,3.04,IF(year=2000,2.93,IF(year=2010,3.04,IF(year=2015,3.07,3.07)))))))))))))</f>
        <v>3.04</v>
      </c>
      <c r="C24" s="74" t="s">
        <v>573</v>
      </c>
      <c r="D24" s="75" t="s">
        <v>581</v>
      </c>
      <c r="E24" s="74"/>
    </row>
    <row r="25" spans="1:5" s="8" customFormat="1" x14ac:dyDescent="0.25">
      <c r="A25" s="76" t="s">
        <v>502</v>
      </c>
      <c r="B25" s="74">
        <f>IF(year=1900,0.71,IF(year=1910,0.71,IF(year=1920,0.71,IF(year=1930,0.71,IF(year=1940,0.71,IF(year=1950,0.71,IF(year=1960,0.68,IF(year=1970,0.57,IF(year=1980,0.6,IF(year=1990,0.52,IF(year=2000,0.5,IF(year=2010,0.52,IF(year=2015,0.53,0.53)))))))))))))</f>
        <v>0.52</v>
      </c>
      <c r="C25" s="74" t="s">
        <v>573</v>
      </c>
      <c r="D25" s="75" t="s">
        <v>581</v>
      </c>
      <c r="E25" s="74"/>
    </row>
    <row r="26" spans="1:5" s="8" customFormat="1" x14ac:dyDescent="0.25">
      <c r="A26" s="76" t="s">
        <v>501</v>
      </c>
      <c r="B26" s="74">
        <f>IF(year=1900,0.09,IF(year=1910,0.09,IF(year=1920,0.09,IF(year=1930,0.09,IF(year=1940,0.09,IF(year=1950,0.09,IF(year=1960,0.09,IF(year=1970,0.07,IF(year=1980,0.08,IF(year=1990,0.07,IF(year=2000,0.06,IF(year=2010,0.07,IF(year=2015,0.07,0.07)))))))))))))</f>
        <v>7.0000000000000007E-2</v>
      </c>
      <c r="C26" s="74" t="s">
        <v>573</v>
      </c>
      <c r="D26" s="75" t="s">
        <v>581</v>
      </c>
      <c r="E26" s="74"/>
    </row>
    <row r="27" spans="1:5" s="8" customFormat="1" x14ac:dyDescent="0.25">
      <c r="A27" s="76" t="s">
        <v>506</v>
      </c>
      <c r="B27" s="74">
        <f>IF(year=1900,10.25,IF(year=1910,10.25,IF(year=1920,10.25,IF(year=1930,10.25,IF(year=1940,10.25,IF(year=1950,10.25,IF(year=1960,9.87,IF(year=1970,8.17,IF(year=1980,8.66,IF(year=1990,7.5,IF(year=2000,7.24,IF(year=2010,7.5,IF(year=2015,7.57,7.57)))))))))))))</f>
        <v>7.5</v>
      </c>
      <c r="C27" s="74" t="s">
        <v>573</v>
      </c>
      <c r="D27" s="75" t="s">
        <v>618</v>
      </c>
      <c r="E27" s="74"/>
    </row>
    <row r="28" spans="1:5" s="8" customFormat="1" x14ac:dyDescent="0.25">
      <c r="A28" s="76" t="s">
        <v>507</v>
      </c>
      <c r="B28" s="74">
        <f>IF(year=1900,0.82,IF(year=1910,0.82,IF(year=1920,0.82,IF(year=1930,0.82,IF(year=1940,0.82,IF(year=1950,0.82,IF(year=1960,0.79,IF(year=1970,0.65,IF(year=1980,0.69,IF(year=1990,0.6,IF(year=2000,0.58,IF(year=2010,0.6,IF(year=2015,0.61,0.61)))))))))))))</f>
        <v>0.6</v>
      </c>
      <c r="C28" s="74" t="s">
        <v>573</v>
      </c>
      <c r="D28" s="75" t="s">
        <v>618</v>
      </c>
      <c r="E28" s="74"/>
    </row>
    <row r="29" spans="1:5" s="8" customFormat="1" x14ac:dyDescent="0.25">
      <c r="A29" s="76" t="s">
        <v>508</v>
      </c>
      <c r="B29" s="74">
        <f>IF(year=1900,1.04,IF(year=1910,1.04,IF(year=1920,1.04,IF(year=1930,1.04,IF(year=1940,1.04,IF(year=1950,1.04,IF(year=1960,1,IF(year=1970,0.83,IF(year=1980,0.88,IF(year=1990,0.76,IF(year=2000,0.73,IF(year=2010,0.76,IF(year=2015,0.77,0.77)))))))))))))</f>
        <v>0.76</v>
      </c>
      <c r="C29" s="74" t="s">
        <v>573</v>
      </c>
      <c r="D29" s="75" t="s">
        <v>618</v>
      </c>
      <c r="E29" s="74"/>
    </row>
    <row r="30" spans="1:5" s="8" customFormat="1" x14ac:dyDescent="0.25">
      <c r="A30" s="76" t="s">
        <v>568</v>
      </c>
      <c r="B30" s="74">
        <f>IF(year=1900,0.41,IF(year=1910,0.41,IF(year=1920,0.41,IF(year=1930,0.41,IF(year=1940,0.41,IF(year=1950,0.41,IF(year=1960,0.39,IF(year=1970,0.33,IF(year=1980,0.35,IF(year=1990,0.3,IF(year=2000,0.29,IF(year=2010,0.3,IF(year=2015,0.3,0.3)))))))))))))</f>
        <v>0.3</v>
      </c>
      <c r="C30" s="74" t="s">
        <v>573</v>
      </c>
      <c r="D30" s="75" t="s">
        <v>618</v>
      </c>
      <c r="E30" s="74"/>
    </row>
    <row r="31" spans="1:5" s="8" customFormat="1" x14ac:dyDescent="0.25">
      <c r="A31" s="76" t="s">
        <v>518</v>
      </c>
      <c r="B31" s="74">
        <f>IF(year=1900,0.18,IF(year=1910,0.18,IF(year=1920,0.18,IF(year=1930,0.18,IF(year=1940,0.18,IF(year=1950,0.18,IF(year=1960,0.17,IF(year=1970,0.14,IF(year=1980,0.15,IF(year=1990,0.13,IF(year=2000,0.13,IF(year=2010,0.13,IF(year=2015,0.13,0.13)))))))))))))</f>
        <v>0.13</v>
      </c>
      <c r="C31" s="74" t="s">
        <v>573</v>
      </c>
      <c r="D31" s="75" t="s">
        <v>619</v>
      </c>
      <c r="E31" s="74"/>
    </row>
    <row r="32" spans="1:5" s="8" customFormat="1" x14ac:dyDescent="0.25">
      <c r="A32" s="76" t="s">
        <v>519</v>
      </c>
      <c r="B32" s="74">
        <f>IF(year=1900,0.59,IF(year=1910,0.59,IF(year=1920,0.59,IF(year=1930,0.59,IF(year=1940,0.59,IF(year=1950,0.59,IF(year=1960,0.57,IF(year=1970,0.47,IF(year=1980,0.5,IF(year=1990,0.43,IF(year=2000,0.42,IF(year=2010,0.43,IF(year=2015,0.43,0.43)))))))))))))</f>
        <v>0.43</v>
      </c>
      <c r="C32" s="74" t="s">
        <v>573</v>
      </c>
      <c r="D32" s="75" t="s">
        <v>619</v>
      </c>
      <c r="E32" s="74"/>
    </row>
    <row r="33" spans="1:7" s="8" customFormat="1" x14ac:dyDescent="0.25">
      <c r="A33" s="76" t="s">
        <v>520</v>
      </c>
      <c r="B33" s="74">
        <f>IF(year=1900,0.11,IF(year=1910,0.11,IF(year=1920,0.11,IF(year=1930,0.11,IF(year=1940,0.11,IF(year=1950,0.11,IF(year=1960,0.11,IF(year=1970,0.09,IF(year=1980,0.09,IF(year=1990,0.08,IF(year=2000,0.08,IF(year=2010,0.08,IF(year=2015,0.08,0.08)))))))))))))</f>
        <v>0.08</v>
      </c>
      <c r="C33" s="74" t="s">
        <v>573</v>
      </c>
      <c r="D33" s="75" t="s">
        <v>619</v>
      </c>
      <c r="E33" s="74"/>
    </row>
    <row r="34" spans="1:7" s="8" customFormat="1" x14ac:dyDescent="0.25">
      <c r="A34" s="76" t="s">
        <v>521</v>
      </c>
      <c r="B34" s="74">
        <f>IF(year=1900,0.04,IF(year=1910,0.04,IF(year=1920,0.04,IF(year=1930,0.04,IF(year=1940,0.04,IF(year=1950,0.04,IF(year=1960,0.04,IF(year=1970,0.03,IF(year=1980,0.03,IF(year=1990,0.03,IF(year=2000,0.03,IF(year=2010,0.03,IF(year=2015,0.03,0.03)))))))))))))</f>
        <v>0.03</v>
      </c>
      <c r="C34" s="74" t="s">
        <v>573</v>
      </c>
      <c r="D34" s="75" t="s">
        <v>619</v>
      </c>
      <c r="E34" s="74"/>
    </row>
    <row r="35" spans="1:7" s="8" customFormat="1" x14ac:dyDescent="0.25">
      <c r="A35" s="76" t="s">
        <v>615</v>
      </c>
      <c r="B35" s="74">
        <f>IF(year=1900,2.14,IF(year=1910,2.14,IF(year=1920,2.14,IF(year=1930,2.14,IF(year=1940,2.14,IF(year=1950,2.14,IF(year=1960,2.11,IF(year=1970,1.8,IF(year=1980,1.51,IF(year=1990,1.11,IF(year=2000,1,IF(year=2010,1,IF(year=2015,1,1)))))))))))))</f>
        <v>1</v>
      </c>
      <c r="C35" s="74" t="s">
        <v>572</v>
      </c>
      <c r="D35" s="75" t="s">
        <v>576</v>
      </c>
      <c r="E35" s="74"/>
    </row>
    <row r="36" spans="1:7" s="8" customFormat="1" x14ac:dyDescent="0.25">
      <c r="A36" s="76" t="s">
        <v>616</v>
      </c>
      <c r="B36" s="74">
        <f>IF(year=1900,4.92,IF(year=1910,4.92,IF(year=1920,4.92,IF(year=1930,4.92,IF(year=1940,4.92,IF(year=1950,4.92,IF(year=1960,4.55,IF(year=1970,3.51,IF(year=1980,2.26,IF(year=1990,1.46,IF(year=2000,1.21,IF(year=2010,1,IF(year=2015,1,1)))))))))))))</f>
        <v>1</v>
      </c>
      <c r="C36" s="74" t="s">
        <v>572</v>
      </c>
      <c r="D36" s="75" t="s">
        <v>577</v>
      </c>
      <c r="E36" s="74"/>
    </row>
    <row r="37" spans="1:7" x14ac:dyDescent="0.25">
      <c r="A37" s="76" t="s">
        <v>545</v>
      </c>
      <c r="B37" s="74">
        <f>IF(year=1900,0.6,IF(year=1910,0.6,IF(year=1920,0.6,IF(year=1930,0.6,IF(year=1940,0.6,IF(year=1950,0.6,IF(year=1960,0.58,IF(year=1970,0.48,IF(year=1980,0.51,IF(year=1990,0.44,IF(year=2000,0.42,IF(year=2010,0.44,IF(year=2015,0.44,0.44)))))))))))))</f>
        <v>0.44</v>
      </c>
      <c r="C37" s="74" t="s">
        <v>493</v>
      </c>
      <c r="D37" s="75" t="s">
        <v>578</v>
      </c>
      <c r="E37" s="74"/>
      <c r="F37" s="8"/>
      <c r="G37" s="8"/>
    </row>
    <row r="38" spans="1:7" x14ac:dyDescent="0.25">
      <c r="A38" s="76" t="s">
        <v>546</v>
      </c>
      <c r="B38" s="74">
        <f>IF(year=1900,3.44,IF(year=1910,3.44,IF(year=1920,3.44,IF(year=1930,3.44,IF(year=1940,3.44,IF(year=1950,3.44,IF(year=1960,3.32,IF(year=1970,2.75,IF(year=1980,2.91,IF(year=1990,2.52,IF(year=2000,2.43,IF(year=2010,2.52,IF(year=2015,2.54,2.54)))))))))))))</f>
        <v>2.52</v>
      </c>
      <c r="C38" s="74" t="s">
        <v>493</v>
      </c>
      <c r="D38" s="75" t="s">
        <v>578</v>
      </c>
      <c r="E38" s="74"/>
      <c r="F38" s="8"/>
      <c r="G38" s="8"/>
    </row>
    <row r="39" spans="1:7" s="8" customFormat="1" x14ac:dyDescent="0.25">
      <c r="A39" s="76" t="s">
        <v>547</v>
      </c>
      <c r="B39" s="74">
        <f>IF(year=1900,0.05,IF(year=1910,0.05,IF(year=1920,0.05,IF(year=1930,0.05,IF(year=1940,0.05,IF(year=1950,0.05,IF(year=1960,0.05,IF(year=1970,0.04,IF(year=1980,0.05,IF(year=1990,0.04,IF(year=2000,0.04,IF(year=2010,0.04,IF(year=2015,0.04,0.04)))))))))))))</f>
        <v>0.04</v>
      </c>
      <c r="C39" s="74" t="s">
        <v>493</v>
      </c>
      <c r="D39" s="75" t="s">
        <v>578</v>
      </c>
      <c r="E39" s="74"/>
    </row>
    <row r="40" spans="1:7" x14ac:dyDescent="0.25">
      <c r="A40" s="76" t="s">
        <v>548</v>
      </c>
      <c r="B40" s="74">
        <f>IF(year=1900,0.64,IF(year=1910,0.64,IF(year=1920,0.64,IF(year=1930,0.64,IF(year=1940,0.64,IF(year=1950,0.64,IF(year=1960,0.62,IF(year=1970,0.51,IF(year=1980,0.54,IF(year=1990,0.47,IF(year=2000,0.45,IF(year=2010,0.47,IF(year=2015,0.47,0.47)))))))))))))</f>
        <v>0.47</v>
      </c>
      <c r="C40" s="74" t="s">
        <v>493</v>
      </c>
      <c r="D40" s="75" t="s">
        <v>578</v>
      </c>
      <c r="E40" s="74"/>
      <c r="F40" s="8"/>
      <c r="G40" s="8"/>
    </row>
    <row r="41" spans="1:7" x14ac:dyDescent="0.25">
      <c r="A41" s="76" t="s">
        <v>549</v>
      </c>
      <c r="B41" s="74">
        <f>IF(year=1900,4.04,IF(year=1910,4.04,IF(year=1920,4.04,IF(year=1930,4.04,IF(year=1940,4.04,IF(year=1950,4.04,IF(year=1960,3.9,IF(year=1970,3.23,IF(year=1980,3.42,IF(year=1990,2.96,IF(year=2000,2.86,IF(year=2010,2.96,IF(year=2015,2.99,2.99)))))))))))))</f>
        <v>2.96</v>
      </c>
      <c r="C41" s="74" t="s">
        <v>493</v>
      </c>
      <c r="D41" s="75" t="s">
        <v>578</v>
      </c>
      <c r="E41" s="74"/>
      <c r="F41" s="8"/>
      <c r="G41" s="8"/>
    </row>
    <row r="42" spans="1:7" s="8" customFormat="1" x14ac:dyDescent="0.25">
      <c r="A42" s="76" t="s">
        <v>550</v>
      </c>
      <c r="B42" s="74">
        <f>IF(year=1900,0.12,IF(year=1910,0.12,IF(year=1920,0.12,IF(year=1930,0.12,IF(year=1940,0.12,IF(year=1950,0.12,IF(year=1960,0.12,IF(year=1970,0.1,IF(year=1980,0.1,IF(year=1990,0.09,IF(year=2000,0.09,IF(year=2010,0.09,IF(year=2015,0.09,0.09)))))))))))))</f>
        <v>0.09</v>
      </c>
      <c r="C42" s="74" t="s">
        <v>493</v>
      </c>
      <c r="D42" s="75" t="s">
        <v>578</v>
      </c>
      <c r="E42" s="74"/>
    </row>
    <row r="43" spans="1:7" x14ac:dyDescent="0.25">
      <c r="A43" s="76" t="s">
        <v>551</v>
      </c>
      <c r="B43" s="74">
        <f>IF(year=1900,0.64,IF(year=1910,0.64,IF(year=1920,0.64,IF(year=1930,0.64,IF(year=1940,0.64,IF(year=1950,0.64,IF(year=1960,0.62,IF(year=1970,0.51,IF(year=1980,0.54,IF(year=1990,0.47,IF(year=2000,0.45,IF(year=2010,0.47,IF(year=2015,0.47,0.47)))))))))))))</f>
        <v>0.47</v>
      </c>
      <c r="C43" s="74" t="s">
        <v>493</v>
      </c>
      <c r="D43" s="75" t="s">
        <v>578</v>
      </c>
      <c r="E43" s="74"/>
      <c r="F43" s="8"/>
      <c r="G43" s="8"/>
    </row>
    <row r="44" spans="1:7" x14ac:dyDescent="0.25">
      <c r="A44" s="76" t="s">
        <v>552</v>
      </c>
      <c r="B44" s="74">
        <f>IF(year=1900,4.04,IF(year=1910,4.04,IF(year=1920,4.04,IF(year=1930,4.04,IF(year=1940,4.04,IF(year=1950,4.04,IF(year=1960,3.9,IF(year=1970,3.23,IF(year=1980,3.42,IF(year=1990,2.96,IF(year=2000,2.86,IF(year=2010,2.96,IF(year=2015,2.99,2.99)))))))))))))</f>
        <v>2.96</v>
      </c>
      <c r="C44" s="74" t="s">
        <v>493</v>
      </c>
      <c r="D44" s="75" t="s">
        <v>578</v>
      </c>
      <c r="E44" s="74"/>
      <c r="F44" s="8"/>
      <c r="G44" s="8"/>
    </row>
    <row r="45" spans="1:7" s="8" customFormat="1" x14ac:dyDescent="0.25">
      <c r="A45" s="76" t="s">
        <v>553</v>
      </c>
      <c r="B45" s="74">
        <f>IF(year=1900,0.12,IF(year=1910,0.12,IF(year=1920,0.12,IF(year=1930,0.12,IF(year=1940,0.12,IF(year=1950,0.12,IF(year=1960,0.12,IF(year=1970,0.1,IF(year=1980,0.1,IF(year=1990,0.09,IF(year=2000,0.09,IF(year=2010,0.09,IF(year=2015,0.09,0.09)))))))))))))</f>
        <v>0.09</v>
      </c>
      <c r="C45" s="74" t="s">
        <v>493</v>
      </c>
      <c r="D45" s="75" t="s">
        <v>578</v>
      </c>
      <c r="E45" s="74"/>
    </row>
    <row r="46" spans="1:7" x14ac:dyDescent="0.25">
      <c r="A46" s="76" t="s">
        <v>542</v>
      </c>
      <c r="B46" s="74">
        <f>IF(year=1900,0.55,IF(year=1910,0.55,IF(year=1920,0.55,IF(year=1930,0.55,IF(year=1940,0.55,IF(year=1950,0.55,IF(year=1960,0.53,IF(year=1970,0.44,IF(year=1980,0.46,IF(year=1990,0.4,IF(year=2000,0.39,IF(year=2010,0.4,IF(year=2015,0.4,0.4)))))))))))))</f>
        <v>0.4</v>
      </c>
      <c r="C46" s="74" t="s">
        <v>493</v>
      </c>
      <c r="D46" s="75" t="s">
        <v>578</v>
      </c>
      <c r="E46" s="74"/>
    </row>
    <row r="47" spans="1:7" x14ac:dyDescent="0.25">
      <c r="A47" s="76" t="s">
        <v>543</v>
      </c>
      <c r="B47" s="74">
        <f>IF(year=1900,2.84,IF(year=1910,2.84,IF(year=1920,2.84,IF(year=1930,2.84,IF(year=1940,2.84,IF(year=1950,2.84,IF(year=1960,2.74,IF(year=1970,2.27,IF(year=1980,2.4,IF(year=1990,2.08,IF(year=2000,2.01,IF(year=2010,2.08,IF(year=2015,2.1,2.1)))))))))))))</f>
        <v>2.08</v>
      </c>
      <c r="C47" s="74" t="s">
        <v>493</v>
      </c>
      <c r="D47" s="75" t="s">
        <v>578</v>
      </c>
      <c r="E47" s="74"/>
    </row>
    <row r="48" spans="1:7" s="8" customFormat="1" x14ac:dyDescent="0.25">
      <c r="A48" s="76" t="s">
        <v>544</v>
      </c>
      <c r="B48" s="74">
        <f>IF(year=1900,0.04,IF(year=1910,0.04,IF(year=1920,0.04,IF(year=1930,0.04,IF(year=1940,0.04,IF(year=1950,0.04,IF(year=1960,0.04,IF(year=1970,0.03,IF(year=1980,0.03,IF(year=1990,0.03,IF(year=2000,0.03,IF(year=2010,0.03,IF(year=2015,0.03,0.03)))))))))))))</f>
        <v>0.03</v>
      </c>
      <c r="C48" s="74" t="s">
        <v>493</v>
      </c>
      <c r="D48" s="75" t="s">
        <v>578</v>
      </c>
      <c r="E48" s="74"/>
    </row>
    <row r="49" spans="1:5" s="8" customFormat="1" x14ac:dyDescent="0.25">
      <c r="A49" s="76" t="s">
        <v>554</v>
      </c>
      <c r="B49" s="74">
        <f>IF(year=1900,1.67,IF(year=1910,1.67,IF(year=1920,1.67,IF(year=1930,1.67,IF(year=1940,1.67,IF(year=1950,1.67,IF(year=1960,1.61,IF(year=1970,1.33,IF(year=1980,1.41,IF(year=1990,1.22,IF(year=2000,1.18,IF(year=2010,1.22,IF(year=2015,1.23,1.23)))))))))))))</f>
        <v>1.22</v>
      </c>
      <c r="C49" s="74" t="s">
        <v>493</v>
      </c>
      <c r="D49" s="75" t="s">
        <v>578</v>
      </c>
      <c r="E49" s="74"/>
    </row>
    <row r="50" spans="1:5" s="8" customFormat="1" x14ac:dyDescent="0.25">
      <c r="A50" s="76" t="s">
        <v>555</v>
      </c>
      <c r="B50" s="74">
        <f>IF(year=1900,2.51,IF(year=1910,2.51,IF(year=1920,2.51,IF(year=1930,2.51,IF(year=1940,2.51,IF(year=1950,2.51,IF(year=1960,2.42,IF(year=1970,2.01,IF(year=1980,2.13,IF(year=1990,1.84,IF(year=2000,1.78,IF(year=2010,1.84,IF(year=2015,1.86,1.86)))))))))))))</f>
        <v>1.84</v>
      </c>
      <c r="C50" s="74" t="s">
        <v>493</v>
      </c>
      <c r="D50" s="75" t="s">
        <v>578</v>
      </c>
      <c r="E50" s="74"/>
    </row>
    <row r="51" spans="1:5" s="8" customFormat="1" x14ac:dyDescent="0.25">
      <c r="A51" s="76" t="s">
        <v>556</v>
      </c>
      <c r="B51" s="74">
        <f>IF(year=1900,1.35,IF(year=1910,1.35,IF(year=1920,1.35,IF(year=1930,1.35,IF(year=1940,1.35,IF(year=1950,1.35,IF(year=1960,1.3,IF(year=1970,1.08,IF(year=1980,1.14,IF(year=1990,0.99,IF(year=2000,0.96,IF(year=2010,0.99,IF(year=2015,1,1)))))))))))))</f>
        <v>0.99</v>
      </c>
      <c r="C51" s="74" t="s">
        <v>493</v>
      </c>
      <c r="D51" s="75" t="s">
        <v>578</v>
      </c>
      <c r="E51" s="74"/>
    </row>
    <row r="52" spans="1:5" x14ac:dyDescent="0.25">
      <c r="A52" s="76" t="s">
        <v>377</v>
      </c>
      <c r="B52" s="74">
        <f>1/1.105</f>
        <v>0.90497737556561086</v>
      </c>
      <c r="C52" s="74" t="s">
        <v>570</v>
      </c>
      <c r="D52" s="75" t="s">
        <v>588</v>
      </c>
      <c r="E52" s="74"/>
    </row>
    <row r="53" spans="1:5" x14ac:dyDescent="0.25">
      <c r="A53" s="76" t="s">
        <v>375</v>
      </c>
      <c r="B53" s="74">
        <f>IF(year=1900,2.97,IF(year=1910,2.97,IF(year=1920,2.97,IF(year=1930,2.97,IF(year=1940,2.97,IF(year=1950,2.97,IF(year=1960,2.97,IF(year=1970,2.64,IF(year=1980,2.12,IF(year=1990,1.84,IF(year=2000,1.7,IF(year=2010,1.65,IF(year=2015,1.49,1.49)))))))))))))</f>
        <v>1.65</v>
      </c>
      <c r="C53" s="74" t="s">
        <v>490</v>
      </c>
      <c r="D53" s="83" t="s">
        <v>617</v>
      </c>
      <c r="E53" s="74"/>
    </row>
    <row r="54" spans="1:5" x14ac:dyDescent="0.25">
      <c r="A54" s="76" t="s">
        <v>376</v>
      </c>
      <c r="B54" s="74">
        <f>IF(year=1900,6.5,IF(year=1910,6.5,IF(year=1920,6.5,IF(year=1930,6.5,IF(year=1940,6.5,IF(year=1950,6.5,IF(year=1960,6.5,IF(year=1970,5.49,IF(year=1980,3.85,IF(year=1990,2.66,IF(year=2000,1.81,IF(year=2010,1.3,IF(year=2015,1.3,1.3)))))))))))))</f>
        <v>1.3</v>
      </c>
      <c r="C54" s="74" t="s">
        <v>574</v>
      </c>
      <c r="D54" s="83" t="s">
        <v>617</v>
      </c>
      <c r="E54" s="74" t="s">
        <v>562</v>
      </c>
    </row>
    <row r="55" spans="1:5" s="8" customFormat="1" x14ac:dyDescent="0.25">
      <c r="A55" s="76" t="s">
        <v>491</v>
      </c>
      <c r="B55" s="74">
        <f>IF(year=1900,0.92,IF(year=1910,0.92,IF(year=1920,0.92,IF(year=1930,0.92,IF(year=1940,0.92,IF(year=1950,0.92,IF(year=1960,0.92,IF(year=1970,0.82,IF(year=1980,0.66,IF(year=1990,0.57,IF(year=2000,0.52,IF(year=2010,0.51,IF(year=2015,0.46,0.46)))))))))))))</f>
        <v>0.51</v>
      </c>
      <c r="C55" s="74" t="s">
        <v>490</v>
      </c>
      <c r="D55" s="83" t="s">
        <v>617</v>
      </c>
      <c r="E55" s="74"/>
    </row>
    <row r="56" spans="1:5" x14ac:dyDescent="0.25">
      <c r="A56" s="76" t="s">
        <v>455</v>
      </c>
      <c r="B56" s="74">
        <v>0.65</v>
      </c>
      <c r="C56" s="74" t="s">
        <v>570</v>
      </c>
      <c r="D56" s="75" t="s">
        <v>588</v>
      </c>
      <c r="E56" s="74"/>
    </row>
    <row r="57" spans="1:5" x14ac:dyDescent="0.25">
      <c r="A57" s="76" t="s">
        <v>453</v>
      </c>
      <c r="B57" s="74">
        <v>0.6</v>
      </c>
      <c r="C57" s="74" t="s">
        <v>570</v>
      </c>
      <c r="D57" s="75" t="s">
        <v>588</v>
      </c>
      <c r="E57" s="74"/>
    </row>
    <row r="58" spans="1:5" x14ac:dyDescent="0.25">
      <c r="A58" s="76" t="s">
        <v>454</v>
      </c>
      <c r="B58" s="74">
        <v>0.65</v>
      </c>
      <c r="C58" s="74" t="s">
        <v>570</v>
      </c>
      <c r="D58" s="75" t="s">
        <v>588</v>
      </c>
      <c r="E58" s="74"/>
    </row>
    <row r="59" spans="1:5" s="8" customFormat="1" x14ac:dyDescent="0.25">
      <c r="A59" s="76" t="s">
        <v>567</v>
      </c>
      <c r="B59" s="74">
        <f>IF(year=1900,0,IF(year=1910,0,IF(year=1920,0,IF(year=1930,0,IF(year=1940,0,IF(year=1950,0,IF(year=1960,0,IF(year=1970,0,IF(year=1980,0,IF(year=1990,1.6,IF(year=2000,3.1,IF(year=2010,4,IF(year=2015,3.9,3.9)))))))))))))</f>
        <v>4</v>
      </c>
      <c r="C59" s="74" t="s">
        <v>575</v>
      </c>
      <c r="D59" s="75" t="s">
        <v>586</v>
      </c>
      <c r="E59" s="74"/>
    </row>
    <row r="60" spans="1:5" s="8" customFormat="1" x14ac:dyDescent="0.25">
      <c r="A60" s="76" t="s">
        <v>524</v>
      </c>
      <c r="B60" s="74">
        <v>0.95238095199999995</v>
      </c>
      <c r="C60" s="74" t="s">
        <v>570</v>
      </c>
      <c r="D60" s="75" t="s">
        <v>588</v>
      </c>
      <c r="E60" s="74"/>
    </row>
    <row r="61" spans="1:5" s="8" customFormat="1" x14ac:dyDescent="0.25">
      <c r="A61" s="76" t="s">
        <v>525</v>
      </c>
      <c r="B61" s="74">
        <v>0.92131967400000003</v>
      </c>
      <c r="C61" s="74" t="s">
        <v>570</v>
      </c>
      <c r="D61" s="75" t="s">
        <v>588</v>
      </c>
      <c r="E61" s="74"/>
    </row>
    <row r="62" spans="1:5" s="8" customFormat="1" x14ac:dyDescent="0.25">
      <c r="A62" s="76" t="s">
        <v>526</v>
      </c>
      <c r="B62" s="74">
        <v>0.90196078400000002</v>
      </c>
      <c r="C62" s="74" t="s">
        <v>570</v>
      </c>
      <c r="D62" s="75" t="s">
        <v>588</v>
      </c>
      <c r="E62" s="74"/>
    </row>
    <row r="63" spans="1:5" s="8" customFormat="1" x14ac:dyDescent="0.25">
      <c r="A63" s="76" t="s">
        <v>528</v>
      </c>
      <c r="B63" s="74">
        <v>0.96357679699999998</v>
      </c>
      <c r="C63" s="74" t="s">
        <v>570</v>
      </c>
      <c r="D63" s="75" t="s">
        <v>588</v>
      </c>
      <c r="E63" s="74"/>
    </row>
    <row r="64" spans="1:5" s="8" customFormat="1" x14ac:dyDescent="0.25">
      <c r="A64" s="73" t="s">
        <v>527</v>
      </c>
      <c r="B64" s="74">
        <v>0.78965296249796169</v>
      </c>
      <c r="C64" s="74" t="s">
        <v>570</v>
      </c>
      <c r="D64" s="75" t="s">
        <v>621</v>
      </c>
      <c r="E64" s="74"/>
    </row>
    <row r="65" spans="1:13" s="8" customFormat="1" x14ac:dyDescent="0.25">
      <c r="A65" s="73" t="s">
        <v>523</v>
      </c>
      <c r="B65" s="74">
        <v>0.92668366800000002</v>
      </c>
      <c r="C65" s="74" t="s">
        <v>570</v>
      </c>
      <c r="D65" s="75" t="s">
        <v>583</v>
      </c>
      <c r="E65" s="74"/>
    </row>
    <row r="66" spans="1:13" s="8" customFormat="1" x14ac:dyDescent="0.25">
      <c r="A66" s="76" t="s">
        <v>529</v>
      </c>
      <c r="B66" s="74">
        <v>0.92103421100000005</v>
      </c>
      <c r="C66" s="74" t="s">
        <v>570</v>
      </c>
      <c r="D66" s="75" t="s">
        <v>622</v>
      </c>
      <c r="E66" s="74"/>
    </row>
    <row r="67" spans="1:13" s="8" customFormat="1" x14ac:dyDescent="0.25">
      <c r="A67" s="73" t="s">
        <v>530</v>
      </c>
      <c r="B67" s="74">
        <f>RE_BTC</f>
        <v>0.78965296249796169</v>
      </c>
      <c r="C67" s="74" t="s">
        <v>570</v>
      </c>
      <c r="D67" s="75" t="s">
        <v>621</v>
      </c>
      <c r="E67" s="74" t="s">
        <v>564</v>
      </c>
    </row>
    <row r="68" spans="1:13" s="8" customFormat="1" x14ac:dyDescent="0.25">
      <c r="A68" s="76" t="s">
        <v>531</v>
      </c>
      <c r="B68" s="74">
        <v>0.90700000000000003</v>
      </c>
      <c r="C68" s="74" t="s">
        <v>570</v>
      </c>
      <c r="D68" s="75" t="s">
        <v>588</v>
      </c>
      <c r="E68" s="74"/>
    </row>
    <row r="69" spans="1:13" s="8" customFormat="1" x14ac:dyDescent="0.25">
      <c r="A69" s="76" t="s">
        <v>532</v>
      </c>
      <c r="B69" s="74">
        <v>0.91743119299999998</v>
      </c>
      <c r="C69" s="74" t="s">
        <v>570</v>
      </c>
      <c r="D69" s="75" t="s">
        <v>588</v>
      </c>
      <c r="E69" s="74"/>
    </row>
    <row r="70" spans="1:13" s="8" customFormat="1" x14ac:dyDescent="0.25">
      <c r="A70" s="76" t="s">
        <v>533</v>
      </c>
      <c r="B70" s="74">
        <v>0.98367106000000004</v>
      </c>
      <c r="C70" s="74" t="s">
        <v>570</v>
      </c>
      <c r="D70" s="75" t="s">
        <v>588</v>
      </c>
      <c r="E70" s="74"/>
    </row>
    <row r="71" spans="1:13" s="8" customFormat="1" x14ac:dyDescent="0.25">
      <c r="A71" s="76" t="s">
        <v>534</v>
      </c>
      <c r="B71" s="74">
        <v>0.98367106000000004</v>
      </c>
      <c r="C71" s="74" t="s">
        <v>570</v>
      </c>
      <c r="D71" s="75" t="s">
        <v>588</v>
      </c>
      <c r="E71" s="74"/>
    </row>
    <row r="72" spans="1:13" s="8" customFormat="1" x14ac:dyDescent="0.25">
      <c r="A72" s="73" t="s">
        <v>522</v>
      </c>
      <c r="B72" s="74">
        <f>RE_CC*(1-0.13)</f>
        <v>0.80621479116000005</v>
      </c>
      <c r="C72" s="74" t="s">
        <v>570</v>
      </c>
      <c r="D72" s="78" t="s">
        <v>584</v>
      </c>
      <c r="E72" s="74" t="s">
        <v>564</v>
      </c>
    </row>
    <row r="73" spans="1:13" s="8" customFormat="1" x14ac:dyDescent="0.25">
      <c r="A73" s="73" t="s">
        <v>535</v>
      </c>
      <c r="B73" s="74">
        <v>0.81</v>
      </c>
      <c r="C73" s="74" t="s">
        <v>570</v>
      </c>
      <c r="D73" s="78" t="s">
        <v>585</v>
      </c>
      <c r="E73" s="74" t="s">
        <v>564</v>
      </c>
    </row>
    <row r="74" spans="1:13" s="8" customFormat="1" x14ac:dyDescent="0.25">
      <c r="A74" s="76" t="s">
        <v>536</v>
      </c>
      <c r="B74" s="74">
        <v>0.95238095199999995</v>
      </c>
      <c r="C74" s="74" t="s">
        <v>570</v>
      </c>
      <c r="D74" s="75" t="s">
        <v>589</v>
      </c>
      <c r="E74" s="74"/>
    </row>
    <row r="75" spans="1:13" s="8" customFormat="1" x14ac:dyDescent="0.25">
      <c r="A75" s="76" t="s">
        <v>537</v>
      </c>
      <c r="B75" s="74">
        <v>0.85638998700000002</v>
      </c>
      <c r="C75" s="74" t="s">
        <v>570</v>
      </c>
      <c r="D75" s="75" t="s">
        <v>588</v>
      </c>
      <c r="E75" s="74"/>
    </row>
    <row r="76" spans="1:13" s="8" customFormat="1" x14ac:dyDescent="0.25">
      <c r="A76" s="73" t="s">
        <v>538</v>
      </c>
      <c r="B76" s="74">
        <f>RE_BTC</f>
        <v>0.78965296249796169</v>
      </c>
      <c r="C76" s="74" t="s">
        <v>570</v>
      </c>
      <c r="D76" s="75" t="s">
        <v>621</v>
      </c>
      <c r="E76" s="74"/>
    </row>
    <row r="77" spans="1:13" s="8" customFormat="1" x14ac:dyDescent="0.25">
      <c r="A77" s="73" t="s">
        <v>609</v>
      </c>
      <c r="B77" s="74">
        <f>RE_OHF</f>
        <v>0.78965296249796169</v>
      </c>
      <c r="C77" s="74" t="s">
        <v>570</v>
      </c>
      <c r="D77" s="75" t="s">
        <v>621</v>
      </c>
      <c r="E77" s="74"/>
    </row>
    <row r="78" spans="1:13" x14ac:dyDescent="0.25">
      <c r="A78" s="76" t="s">
        <v>479</v>
      </c>
      <c r="B78" s="74">
        <v>0.97</v>
      </c>
      <c r="C78" s="74" t="s">
        <v>477</v>
      </c>
      <c r="D78" s="75" t="s">
        <v>478</v>
      </c>
      <c r="E78" s="74"/>
      <c r="L78" t="s">
        <v>477</v>
      </c>
      <c r="M78" s="54" t="s">
        <v>478</v>
      </c>
    </row>
    <row r="79" spans="1:13" x14ac:dyDescent="0.25">
      <c r="A79" s="76" t="s">
        <v>481</v>
      </c>
      <c r="B79" s="74">
        <v>1.35</v>
      </c>
      <c r="C79" s="74" t="s">
        <v>482</v>
      </c>
      <c r="D79" s="75" t="s">
        <v>478</v>
      </c>
      <c r="E79" s="74"/>
    </row>
    <row r="80" spans="1:13" x14ac:dyDescent="0.25">
      <c r="A80" s="76" t="s">
        <v>483</v>
      </c>
      <c r="B80" s="74">
        <f>heating_value_coal*coke_per_ce</f>
        <v>30.457999999999998</v>
      </c>
      <c r="C80" s="74" t="s">
        <v>480</v>
      </c>
      <c r="D80" s="75" t="s">
        <v>566</v>
      </c>
      <c r="E80" s="74"/>
    </row>
    <row r="81" spans="1:5" x14ac:dyDescent="0.25">
      <c r="A81" s="76" t="s">
        <v>484</v>
      </c>
      <c r="B81" s="74">
        <f>AVERAGE(29.3,33.5)</f>
        <v>31.4</v>
      </c>
      <c r="C81" s="74" t="s">
        <v>480</v>
      </c>
      <c r="D81" s="75" t="s">
        <v>478</v>
      </c>
      <c r="E81" s="74"/>
    </row>
    <row r="82" spans="1:5" x14ac:dyDescent="0.25">
      <c r="A82" s="76" t="s">
        <v>485</v>
      </c>
      <c r="B82" s="74">
        <f>heating_value_coal*natural_gas_per_ce</f>
        <v>42.39</v>
      </c>
      <c r="C82" s="74" t="s">
        <v>486</v>
      </c>
      <c r="D82" s="75" t="s">
        <v>566</v>
      </c>
      <c r="E82" s="74"/>
    </row>
    <row r="83" spans="1:5" x14ac:dyDescent="0.25">
      <c r="B83" s="8"/>
      <c r="C83" s="8"/>
      <c r="D83" s="8"/>
    </row>
  </sheetData>
  <hyperlinks>
    <hyperlink ref="M78" r:id="rId1"/>
  </hyperlinks>
  <pageMargins left="0.7" right="0.7" top="0.75" bottom="0.75" header="0.3" footer="0.3"/>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theme="9" tint="0.59999389629810485"/>
  </sheetPr>
  <dimension ref="A4:S79"/>
  <sheetViews>
    <sheetView topLeftCell="A13" zoomScale="85" zoomScaleNormal="85" workbookViewId="0">
      <selection activeCell="C35" sqref="C35"/>
    </sheetView>
  </sheetViews>
  <sheetFormatPr defaultRowHeight="15" x14ac:dyDescent="0.25"/>
  <cols>
    <col min="1" max="1" width="83" customWidth="1"/>
    <col min="2" max="2" width="12" bestFit="1" customWidth="1"/>
    <col min="5" max="5" width="18" bestFit="1" customWidth="1"/>
    <col min="6" max="7" width="12" bestFit="1" customWidth="1"/>
    <col min="9" max="9" width="12" customWidth="1"/>
    <col min="10" max="10" width="23.85546875" customWidth="1"/>
    <col min="11" max="11" width="9.140625" customWidth="1"/>
  </cols>
  <sheetData>
    <row r="4" spans="1:10" x14ac:dyDescent="0.25">
      <c r="A4" s="2" t="s">
        <v>29</v>
      </c>
      <c r="B4" s="2"/>
      <c r="C4" s="2"/>
      <c r="D4" s="2"/>
      <c r="E4" s="2"/>
      <c r="F4" s="1"/>
      <c r="G4" s="1"/>
      <c r="H4" s="1"/>
      <c r="I4" s="1"/>
      <c r="J4" s="1"/>
    </row>
    <row r="5" spans="1:10" x14ac:dyDescent="0.25">
      <c r="A5" s="1" t="s">
        <v>10</v>
      </c>
      <c r="B5" s="1" t="s">
        <v>2</v>
      </c>
      <c r="C5" s="1" t="s">
        <v>0</v>
      </c>
      <c r="D5" s="1"/>
      <c r="E5" s="1" t="s">
        <v>3</v>
      </c>
      <c r="F5" s="1" t="s">
        <v>4</v>
      </c>
      <c r="G5" s="1" t="s">
        <v>5</v>
      </c>
      <c r="H5" s="1" t="s">
        <v>6</v>
      </c>
      <c r="I5" s="1" t="s">
        <v>7</v>
      </c>
      <c r="J5" s="1" t="s">
        <v>8</v>
      </c>
    </row>
    <row r="6" spans="1:10" x14ac:dyDescent="0.25">
      <c r="A6" t="s">
        <v>29</v>
      </c>
      <c r="B6">
        <v>1</v>
      </c>
      <c r="C6" t="s">
        <v>9</v>
      </c>
    </row>
    <row r="7" spans="1:10" x14ac:dyDescent="0.25">
      <c r="A7" s="1" t="s">
        <v>1</v>
      </c>
      <c r="B7" s="1" t="s">
        <v>2</v>
      </c>
      <c r="C7" s="1" t="s">
        <v>0</v>
      </c>
      <c r="D7" s="1"/>
      <c r="E7" s="1" t="s">
        <v>3</v>
      </c>
      <c r="F7" s="1" t="s">
        <v>4</v>
      </c>
      <c r="G7" s="1" t="s">
        <v>5</v>
      </c>
      <c r="H7" s="1" t="s">
        <v>6</v>
      </c>
      <c r="I7" s="1" t="s">
        <v>7</v>
      </c>
      <c r="J7" s="1" t="s">
        <v>8</v>
      </c>
    </row>
    <row r="8" spans="1:10" x14ac:dyDescent="0.25">
      <c r="A8" s="3" t="str">
        <f>A13</f>
        <v>Iron ore, beneficiated, 65% Fe {GLO}| market for | Alloc Rec, U_mr_Scope 3</v>
      </c>
      <c r="B8" s="13">
        <v>1</v>
      </c>
      <c r="C8" t="s">
        <v>9</v>
      </c>
    </row>
    <row r="11" spans="1:10" x14ac:dyDescent="0.25">
      <c r="A11" s="2" t="s">
        <v>30</v>
      </c>
      <c r="B11" s="2"/>
      <c r="C11" s="2"/>
      <c r="D11" s="2"/>
      <c r="E11" s="2"/>
      <c r="F11" s="1"/>
      <c r="G11" s="1"/>
      <c r="H11" s="1"/>
      <c r="I11" s="1"/>
      <c r="J11" s="1"/>
    </row>
    <row r="12" spans="1:10" x14ac:dyDescent="0.25">
      <c r="A12" s="1" t="s">
        <v>10</v>
      </c>
      <c r="B12" s="1" t="s">
        <v>2</v>
      </c>
      <c r="C12" s="1" t="s">
        <v>0</v>
      </c>
      <c r="D12" s="1"/>
      <c r="E12" s="1" t="s">
        <v>3</v>
      </c>
      <c r="F12" s="1" t="s">
        <v>4</v>
      </c>
      <c r="G12" s="1" t="s">
        <v>5</v>
      </c>
      <c r="H12" s="1" t="s">
        <v>6</v>
      </c>
      <c r="I12" s="1" t="s">
        <v>7</v>
      </c>
      <c r="J12" s="1" t="s">
        <v>8</v>
      </c>
    </row>
    <row r="13" spans="1:10" x14ac:dyDescent="0.25">
      <c r="A13" t="s">
        <v>460</v>
      </c>
      <c r="B13">
        <f>1/RE_mining</f>
        <v>1.1676923074533798</v>
      </c>
      <c r="C13" t="s">
        <v>9</v>
      </c>
      <c r="J13" s="8" t="s">
        <v>587</v>
      </c>
    </row>
    <row r="14" spans="1:10" x14ac:dyDescent="0.25">
      <c r="A14" s="1" t="s">
        <v>1</v>
      </c>
      <c r="B14" s="1" t="s">
        <v>2</v>
      </c>
      <c r="C14" s="1" t="s">
        <v>0</v>
      </c>
      <c r="D14" s="1"/>
      <c r="E14" s="1" t="s">
        <v>3</v>
      </c>
      <c r="F14" s="1" t="s">
        <v>4</v>
      </c>
      <c r="G14" s="1" t="s">
        <v>5</v>
      </c>
      <c r="H14" s="1" t="s">
        <v>6</v>
      </c>
      <c r="I14" s="1" t="s">
        <v>7</v>
      </c>
      <c r="J14" s="1" t="s">
        <v>8</v>
      </c>
    </row>
    <row r="15" spans="1:10" x14ac:dyDescent="0.25">
      <c r="A15" s="8" t="s">
        <v>31</v>
      </c>
      <c r="B15">
        <v>0.16220000000000001</v>
      </c>
      <c r="C15" s="8" t="s">
        <v>11</v>
      </c>
      <c r="J15" s="8" t="s">
        <v>587</v>
      </c>
    </row>
    <row r="16" spans="1:10" x14ac:dyDescent="0.25">
      <c r="A16" s="8" t="s">
        <v>32</v>
      </c>
      <c r="B16" s="5">
        <v>5.6891999999999996</v>
      </c>
      <c r="C16" s="8" t="s">
        <v>11</v>
      </c>
      <c r="J16" s="8" t="s">
        <v>587</v>
      </c>
    </row>
    <row r="17" spans="1:19" x14ac:dyDescent="0.25">
      <c r="A17" s="8" t="s">
        <v>33</v>
      </c>
      <c r="B17" s="6">
        <v>8.6199999999999999E-2</v>
      </c>
      <c r="C17" s="8" t="s">
        <v>11</v>
      </c>
      <c r="J17" s="8" t="s">
        <v>587</v>
      </c>
    </row>
    <row r="18" spans="1:19" s="8" customFormat="1" x14ac:dyDescent="0.25">
      <c r="A18" s="3" t="str">
        <f>A27</f>
        <v>Iron ore, beneficiated, 65% Fe {GLO}| iron ore beneficiation to 65% Fe | Alloc Rec, U_mr_Scope 1</v>
      </c>
      <c r="B18" s="6">
        <v>1</v>
      </c>
      <c r="C18" s="8" t="s">
        <v>9</v>
      </c>
      <c r="J18" s="8" t="s">
        <v>587</v>
      </c>
    </row>
    <row r="19" spans="1:19" s="8" customFormat="1" x14ac:dyDescent="0.25">
      <c r="A19" s="8" t="s">
        <v>35</v>
      </c>
      <c r="B19" s="6">
        <v>1.24751077417558E-2</v>
      </c>
      <c r="C19" s="8" t="s">
        <v>11</v>
      </c>
      <c r="J19" s="8" t="s">
        <v>587</v>
      </c>
    </row>
    <row r="20" spans="1:19" s="8" customFormat="1" x14ac:dyDescent="0.25">
      <c r="A20" s="8" t="s">
        <v>36</v>
      </c>
      <c r="B20" s="6">
        <v>4.2219448787755097E-2</v>
      </c>
      <c r="C20" s="8" t="s">
        <v>11</v>
      </c>
      <c r="J20" s="8" t="s">
        <v>587</v>
      </c>
    </row>
    <row r="21" spans="1:19" x14ac:dyDescent="0.25">
      <c r="A21" t="s">
        <v>37</v>
      </c>
      <c r="B21" s="6">
        <v>2.4865522564349301E-4</v>
      </c>
      <c r="C21" s="8" t="s">
        <v>11</v>
      </c>
      <c r="J21" s="8" t="s">
        <v>587</v>
      </c>
    </row>
    <row r="22" spans="1:19" s="8" customFormat="1" x14ac:dyDescent="0.25">
      <c r="A22" s="8" t="s">
        <v>38</v>
      </c>
      <c r="B22" s="6">
        <v>5.9305231538074397E-2</v>
      </c>
      <c r="C22" s="8" t="s">
        <v>11</v>
      </c>
      <c r="J22" s="8" t="s">
        <v>587</v>
      </c>
    </row>
    <row r="23" spans="1:19" s="8" customFormat="1" x14ac:dyDescent="0.25">
      <c r="A23" s="8" t="s">
        <v>39</v>
      </c>
      <c r="B23" s="6">
        <v>7.7151556706771096E-2</v>
      </c>
      <c r="C23" s="8" t="s">
        <v>11</v>
      </c>
      <c r="J23" s="8" t="s">
        <v>587</v>
      </c>
    </row>
    <row r="24" spans="1:19" x14ac:dyDescent="0.25">
      <c r="B24" s="6"/>
    </row>
    <row r="25" spans="1:19" x14ac:dyDescent="0.25">
      <c r="A25" s="2" t="s">
        <v>34</v>
      </c>
      <c r="B25" s="6"/>
    </row>
    <row r="26" spans="1:19" x14ac:dyDescent="0.25">
      <c r="A26" s="1" t="s">
        <v>10</v>
      </c>
      <c r="B26" s="1" t="s">
        <v>2</v>
      </c>
      <c r="C26" s="1" t="s">
        <v>0</v>
      </c>
      <c r="D26" s="1"/>
      <c r="E26" s="1" t="s">
        <v>3</v>
      </c>
      <c r="F26" s="1" t="s">
        <v>4</v>
      </c>
      <c r="G26" s="1" t="s">
        <v>5</v>
      </c>
      <c r="H26" s="1" t="s">
        <v>6</v>
      </c>
      <c r="I26" s="1" t="s">
        <v>7</v>
      </c>
      <c r="J26" s="1" t="s">
        <v>8</v>
      </c>
      <c r="M26" s="1"/>
    </row>
    <row r="27" spans="1:19" x14ac:dyDescent="0.25">
      <c r="A27" t="s">
        <v>461</v>
      </c>
      <c r="B27">
        <v>1</v>
      </c>
      <c r="C27" t="s">
        <v>9</v>
      </c>
      <c r="J27" s="8" t="s">
        <v>587</v>
      </c>
    </row>
    <row r="28" spans="1:19" x14ac:dyDescent="0.25">
      <c r="A28" s="1" t="s">
        <v>1</v>
      </c>
      <c r="B28" s="1" t="s">
        <v>2</v>
      </c>
      <c r="C28" s="1" t="s">
        <v>0</v>
      </c>
      <c r="D28" s="1"/>
      <c r="E28" s="1" t="s">
        <v>3</v>
      </c>
      <c r="F28" s="1" t="s">
        <v>4</v>
      </c>
      <c r="G28" s="1" t="s">
        <v>5</v>
      </c>
      <c r="H28" s="1" t="s">
        <v>6</v>
      </c>
      <c r="I28" s="1" t="s">
        <v>7</v>
      </c>
      <c r="J28" s="1" t="s">
        <v>8</v>
      </c>
      <c r="S28" s="8"/>
    </row>
    <row r="29" spans="1:19" x14ac:dyDescent="0.25">
      <c r="A29" t="s">
        <v>40</v>
      </c>
      <c r="B29" s="9">
        <v>1.519E-3</v>
      </c>
      <c r="C29" t="s">
        <v>41</v>
      </c>
      <c r="J29" t="s">
        <v>587</v>
      </c>
      <c r="M29" s="1"/>
      <c r="S29" s="8"/>
    </row>
    <row r="30" spans="1:19" x14ac:dyDescent="0.25">
      <c r="A30" s="3" t="str">
        <f>A54</f>
        <v>Iron ore, crude ore, 46% Fe {GLO}| market for | Alloc Rec, U_mr_Scope 3</v>
      </c>
      <c r="B30" s="49">
        <f>(0.65/mining_eff)/crude_iron_ore_grade</f>
        <v>1.6993464052287583</v>
      </c>
      <c r="C30" t="s">
        <v>9</v>
      </c>
      <c r="I30" s="8"/>
      <c r="J30" s="8" t="s">
        <v>606</v>
      </c>
      <c r="L30" s="8"/>
      <c r="M30" s="1"/>
      <c r="O30" s="8"/>
      <c r="S30" s="8"/>
    </row>
    <row r="31" spans="1:19" x14ac:dyDescent="0.25">
      <c r="A31" s="3" t="str">
        <f>'Electricity generation'!A32</f>
        <v>Electricity, global mix, medium voltage_mr_Scope 2</v>
      </c>
      <c r="B31" s="49">
        <f>1.05*2.117*EXP(-5.111*crude_iron_ore_grade)*0.1</f>
        <v>2.228715140663529E-2</v>
      </c>
      <c r="C31" t="s">
        <v>14</v>
      </c>
      <c r="H31" s="7"/>
      <c r="I31" s="8"/>
      <c r="J31" s="8" t="s">
        <v>607</v>
      </c>
      <c r="M31" s="8"/>
      <c r="O31" s="8"/>
      <c r="S31" s="8"/>
    </row>
    <row r="32" spans="1:19" s="8" customFormat="1" x14ac:dyDescent="0.25">
      <c r="A32" s="8" t="s">
        <v>237</v>
      </c>
      <c r="B32" s="49">
        <f>1.05*2.117*EXP(-5.111*crude_iron_ore_grade)*0.9</f>
        <v>0.2005843626597176</v>
      </c>
      <c r="C32" s="8" t="s">
        <v>14</v>
      </c>
      <c r="H32" s="9"/>
      <c r="J32" s="8" t="s">
        <v>608</v>
      </c>
    </row>
    <row r="33" spans="1:19" s="8" customFormat="1" x14ac:dyDescent="0.25">
      <c r="A33" s="1" t="s">
        <v>43</v>
      </c>
      <c r="B33" s="6"/>
      <c r="H33" s="9"/>
    </row>
    <row r="34" spans="1:19" x14ac:dyDescent="0.25">
      <c r="A34" t="s">
        <v>44</v>
      </c>
      <c r="B34" s="9">
        <v>1.4430500000000001E-4</v>
      </c>
      <c r="C34" t="s">
        <v>41</v>
      </c>
      <c r="J34" s="8" t="s">
        <v>587</v>
      </c>
      <c r="O34" s="8"/>
      <c r="S34" s="8"/>
    </row>
    <row r="35" spans="1:19" s="8" customFormat="1" x14ac:dyDescent="0.25">
      <c r="A35" s="8" t="s">
        <v>26</v>
      </c>
      <c r="B35" s="9">
        <v>1.1582E-6</v>
      </c>
      <c r="C35" s="8" t="s">
        <v>9</v>
      </c>
      <c r="J35" s="8" t="s">
        <v>587</v>
      </c>
    </row>
    <row r="36" spans="1:19" s="8" customFormat="1" x14ac:dyDescent="0.25">
      <c r="A36" s="8" t="s">
        <v>45</v>
      </c>
      <c r="B36" s="9">
        <v>2.8956000000000001E-7</v>
      </c>
      <c r="C36" s="8" t="s">
        <v>9</v>
      </c>
      <c r="J36" s="8" t="s">
        <v>587</v>
      </c>
    </row>
    <row r="37" spans="1:19" s="8" customFormat="1" x14ac:dyDescent="0.25">
      <c r="A37" s="8" t="s">
        <v>21</v>
      </c>
      <c r="B37" s="9">
        <v>3.1360000000000001E-6</v>
      </c>
      <c r="C37" s="8" t="s">
        <v>9</v>
      </c>
      <c r="J37" s="8" t="s">
        <v>587</v>
      </c>
    </row>
    <row r="38" spans="1:19" s="8" customFormat="1" x14ac:dyDescent="0.25">
      <c r="A38" s="8" t="s">
        <v>46</v>
      </c>
      <c r="B38" s="9">
        <v>2.8956000000000001E-7</v>
      </c>
      <c r="C38" s="8" t="s">
        <v>9</v>
      </c>
      <c r="J38" s="8" t="s">
        <v>587</v>
      </c>
    </row>
    <row r="39" spans="1:19" s="8" customFormat="1" x14ac:dyDescent="0.25">
      <c r="A39" s="8" t="s">
        <v>47</v>
      </c>
      <c r="B39" s="9">
        <v>5.7911000000000002E-8</v>
      </c>
      <c r="C39" s="8" t="s">
        <v>9</v>
      </c>
      <c r="J39" s="8" t="s">
        <v>587</v>
      </c>
    </row>
    <row r="40" spans="1:19" s="8" customFormat="1" x14ac:dyDescent="0.25">
      <c r="A40" s="8" t="s">
        <v>48</v>
      </c>
      <c r="B40" s="9">
        <v>5.7911000000000002E-8</v>
      </c>
      <c r="C40" s="8" t="s">
        <v>9</v>
      </c>
      <c r="J40" s="8" t="s">
        <v>587</v>
      </c>
    </row>
    <row r="41" spans="1:19" s="8" customFormat="1" x14ac:dyDescent="0.25">
      <c r="A41" s="8" t="s">
        <v>49</v>
      </c>
      <c r="B41" s="9">
        <v>1.1582E-7</v>
      </c>
      <c r="C41" s="8" t="s">
        <v>9</v>
      </c>
      <c r="J41" s="8" t="s">
        <v>587</v>
      </c>
    </row>
    <row r="42" spans="1:19" x14ac:dyDescent="0.25">
      <c r="A42" t="s">
        <v>24</v>
      </c>
      <c r="B42" s="9">
        <v>8.6866999999999993E-5</v>
      </c>
      <c r="C42" s="8" t="s">
        <v>9</v>
      </c>
      <c r="J42" s="8" t="s">
        <v>587</v>
      </c>
    </row>
    <row r="43" spans="1:19" x14ac:dyDescent="0.25">
      <c r="A43" t="s">
        <v>22</v>
      </c>
      <c r="B43" s="9">
        <v>3.1360000000000001E-6</v>
      </c>
      <c r="C43" s="8" t="s">
        <v>9</v>
      </c>
      <c r="H43" s="7"/>
      <c r="J43" s="8" t="s">
        <v>587</v>
      </c>
    </row>
    <row r="44" spans="1:19" s="8" customFormat="1" x14ac:dyDescent="0.25">
      <c r="A44" s="8" t="s">
        <v>50</v>
      </c>
      <c r="B44" s="9">
        <v>5.7910999999999995E-7</v>
      </c>
      <c r="C44" s="8" t="s">
        <v>9</v>
      </c>
      <c r="H44" s="9"/>
      <c r="J44" s="8" t="s">
        <v>587</v>
      </c>
    </row>
    <row r="45" spans="1:19" s="8" customFormat="1" x14ac:dyDescent="0.25">
      <c r="A45" s="8" t="s">
        <v>27</v>
      </c>
      <c r="B45" s="9">
        <v>2.0269E-6</v>
      </c>
      <c r="C45" s="8" t="s">
        <v>9</v>
      </c>
      <c r="H45" s="9"/>
      <c r="J45" s="8" t="s">
        <v>587</v>
      </c>
    </row>
    <row r="46" spans="1:19" s="8" customFormat="1" x14ac:dyDescent="0.25">
      <c r="A46" s="8" t="s">
        <v>51</v>
      </c>
      <c r="B46" s="9">
        <v>5.7911E-9</v>
      </c>
      <c r="C46" s="8" t="s">
        <v>9</v>
      </c>
      <c r="H46" s="9"/>
      <c r="J46" s="8" t="s">
        <v>587</v>
      </c>
    </row>
    <row r="47" spans="1:19" s="8" customFormat="1" x14ac:dyDescent="0.25">
      <c r="A47" s="8" t="s">
        <v>52</v>
      </c>
      <c r="B47" s="9">
        <v>5.7911000000000002E-8</v>
      </c>
      <c r="C47" s="8" t="s">
        <v>9</v>
      </c>
      <c r="H47" s="9"/>
      <c r="J47" s="8" t="s">
        <v>587</v>
      </c>
    </row>
    <row r="48" spans="1:19" s="8" customFormat="1" x14ac:dyDescent="0.25">
      <c r="A48" s="8" t="s">
        <v>53</v>
      </c>
      <c r="B48" s="9">
        <v>5.7911000000000003E-6</v>
      </c>
      <c r="C48" s="8" t="s">
        <v>9</v>
      </c>
      <c r="H48" s="9"/>
      <c r="J48" s="8" t="s">
        <v>587</v>
      </c>
    </row>
    <row r="49" spans="1:10" s="8" customFormat="1" x14ac:dyDescent="0.25">
      <c r="A49" s="8" t="s">
        <v>54</v>
      </c>
      <c r="B49" s="9">
        <v>1.374695E-3</v>
      </c>
      <c r="C49" s="8" t="s">
        <v>41</v>
      </c>
      <c r="H49" s="9"/>
      <c r="J49" s="8" t="s">
        <v>587</v>
      </c>
    </row>
    <row r="50" spans="1:10" s="8" customFormat="1" x14ac:dyDescent="0.25">
      <c r="A50" s="8" t="s">
        <v>23</v>
      </c>
      <c r="B50" s="9">
        <v>8.6866999999999993E-5</v>
      </c>
      <c r="C50" s="8" t="s">
        <v>9</v>
      </c>
      <c r="H50" s="9"/>
      <c r="J50" s="8" t="s">
        <v>587</v>
      </c>
    </row>
    <row r="51" spans="1:10" s="8" customFormat="1" x14ac:dyDescent="0.25">
      <c r="B51" s="6"/>
      <c r="H51" s="9"/>
    </row>
    <row r="52" spans="1:10" x14ac:dyDescent="0.25">
      <c r="A52" s="2" t="s">
        <v>42</v>
      </c>
      <c r="B52" s="6"/>
      <c r="C52" s="8"/>
      <c r="D52" s="8"/>
      <c r="E52" s="8"/>
      <c r="F52" s="8"/>
      <c r="G52" s="8"/>
      <c r="H52" s="8"/>
      <c r="I52" s="8"/>
      <c r="J52" s="8"/>
    </row>
    <row r="53" spans="1:10" x14ac:dyDescent="0.25">
      <c r="A53" s="1" t="s">
        <v>10</v>
      </c>
      <c r="B53" s="1" t="s">
        <v>2</v>
      </c>
      <c r="C53" s="1" t="s">
        <v>0</v>
      </c>
      <c r="D53" s="1"/>
      <c r="E53" s="1" t="s">
        <v>3</v>
      </c>
      <c r="F53" s="1" t="s">
        <v>4</v>
      </c>
      <c r="G53" s="1" t="s">
        <v>5</v>
      </c>
      <c r="H53" s="1" t="s">
        <v>6</v>
      </c>
      <c r="I53" s="1" t="s">
        <v>7</v>
      </c>
      <c r="J53" s="1" t="s">
        <v>8</v>
      </c>
    </row>
    <row r="54" spans="1:10" x14ac:dyDescent="0.25">
      <c r="A54" s="8" t="s">
        <v>462</v>
      </c>
      <c r="B54" s="8">
        <v>1</v>
      </c>
      <c r="C54" s="8" t="s">
        <v>9</v>
      </c>
      <c r="D54" s="8"/>
      <c r="E54" s="8"/>
      <c r="F54" s="8"/>
      <c r="G54" s="8"/>
      <c r="H54" s="8"/>
      <c r="I54" s="8"/>
      <c r="J54" s="8" t="s">
        <v>587</v>
      </c>
    </row>
    <row r="55" spans="1:10" x14ac:dyDescent="0.25">
      <c r="A55" s="1" t="s">
        <v>1</v>
      </c>
      <c r="B55" s="1" t="s">
        <v>2</v>
      </c>
      <c r="C55" s="1" t="s">
        <v>0</v>
      </c>
      <c r="D55" s="1"/>
      <c r="E55" s="1" t="s">
        <v>3</v>
      </c>
      <c r="F55" s="1" t="s">
        <v>4</v>
      </c>
      <c r="G55" s="1" t="s">
        <v>5</v>
      </c>
      <c r="H55" s="1" t="s">
        <v>6</v>
      </c>
      <c r="I55" s="1" t="s">
        <v>7</v>
      </c>
      <c r="J55" s="1" t="s">
        <v>8</v>
      </c>
    </row>
    <row r="56" spans="1:10" x14ac:dyDescent="0.25">
      <c r="A56" s="8" t="s">
        <v>31</v>
      </c>
      <c r="B56" s="8">
        <v>1.6219999999999998E-2</v>
      </c>
      <c r="C56" s="8" t="s">
        <v>11</v>
      </c>
      <c r="D56" s="8"/>
      <c r="E56" s="8"/>
      <c r="F56" s="8"/>
      <c r="G56" s="8"/>
      <c r="H56" s="8"/>
      <c r="I56" s="8"/>
      <c r="J56" s="8" t="s">
        <v>587</v>
      </c>
    </row>
    <row r="57" spans="1:10" x14ac:dyDescent="0.25">
      <c r="A57" s="8" t="s">
        <v>33</v>
      </c>
      <c r="B57" s="5">
        <v>8.6199999999999992E-3</v>
      </c>
      <c r="C57" s="8" t="s">
        <v>11</v>
      </c>
      <c r="D57" s="8"/>
      <c r="E57" s="8"/>
      <c r="F57" s="8"/>
      <c r="G57" s="8"/>
      <c r="H57" s="8"/>
      <c r="I57" s="8"/>
      <c r="J57" s="8" t="s">
        <v>587</v>
      </c>
    </row>
    <row r="58" spans="1:10" x14ac:dyDescent="0.25">
      <c r="A58" s="3" t="str">
        <f>A67</f>
        <v>iron mine operation, crude ore, 46% Fe GLO_mr</v>
      </c>
      <c r="B58" s="6">
        <v>1</v>
      </c>
      <c r="C58" s="8" t="s">
        <v>9</v>
      </c>
      <c r="D58" s="8"/>
      <c r="E58" s="8"/>
      <c r="F58" s="8"/>
      <c r="G58" s="8"/>
      <c r="H58" s="8"/>
      <c r="I58" s="8"/>
      <c r="J58" s="8" t="s">
        <v>587</v>
      </c>
    </row>
    <row r="59" spans="1:10" x14ac:dyDescent="0.25">
      <c r="A59" s="8" t="s">
        <v>35</v>
      </c>
      <c r="B59" s="5">
        <v>1.24751077417558E-3</v>
      </c>
      <c r="C59" s="8" t="s">
        <v>11</v>
      </c>
      <c r="D59" s="8"/>
      <c r="E59" s="8"/>
      <c r="F59" s="8"/>
      <c r="G59" s="8"/>
      <c r="H59" s="8"/>
      <c r="I59" s="8"/>
      <c r="J59" s="8" t="s">
        <v>587</v>
      </c>
    </row>
    <row r="60" spans="1:10" x14ac:dyDescent="0.25">
      <c r="A60" s="8" t="s">
        <v>36</v>
      </c>
      <c r="B60" s="5">
        <v>4.2219448787755099E-3</v>
      </c>
      <c r="C60" s="8" t="s">
        <v>11</v>
      </c>
      <c r="D60" s="8"/>
      <c r="E60" s="8"/>
      <c r="F60" s="8"/>
      <c r="G60" s="8"/>
      <c r="H60" s="8"/>
      <c r="I60" s="8"/>
      <c r="J60" s="8" t="s">
        <v>587</v>
      </c>
    </row>
    <row r="61" spans="1:10" x14ac:dyDescent="0.25">
      <c r="A61" s="8" t="s">
        <v>37</v>
      </c>
      <c r="B61" s="46">
        <v>2.4865522564349299E-5</v>
      </c>
      <c r="C61" s="8" t="s">
        <v>11</v>
      </c>
      <c r="D61" s="8"/>
      <c r="E61" s="8"/>
      <c r="F61" s="8"/>
      <c r="G61" s="8"/>
      <c r="H61" s="8"/>
      <c r="I61" s="8"/>
      <c r="J61" s="8" t="s">
        <v>587</v>
      </c>
    </row>
    <row r="62" spans="1:10" x14ac:dyDescent="0.25">
      <c r="A62" s="8" t="s">
        <v>38</v>
      </c>
      <c r="B62" s="5">
        <v>5.9305231538074503E-3</v>
      </c>
      <c r="C62" s="8" t="s">
        <v>11</v>
      </c>
      <c r="D62" s="8"/>
      <c r="E62" s="8"/>
      <c r="F62" s="8"/>
      <c r="G62" s="8"/>
      <c r="H62" s="8"/>
      <c r="I62" s="8"/>
      <c r="J62" s="8" t="s">
        <v>587</v>
      </c>
    </row>
    <row r="63" spans="1:10" x14ac:dyDescent="0.25">
      <c r="A63" s="8" t="s">
        <v>39</v>
      </c>
      <c r="B63" s="5">
        <v>7.7151556706771098E-3</v>
      </c>
      <c r="C63" s="8" t="s">
        <v>11</v>
      </c>
      <c r="D63" s="8"/>
      <c r="E63" s="8"/>
      <c r="F63" s="8"/>
      <c r="G63" s="8"/>
      <c r="H63" s="8"/>
      <c r="I63" s="8"/>
      <c r="J63" s="8" t="s">
        <v>587</v>
      </c>
    </row>
    <row r="64" spans="1:10" x14ac:dyDescent="0.25">
      <c r="A64" s="8"/>
      <c r="B64" s="6"/>
      <c r="C64" s="8"/>
      <c r="D64" s="8"/>
      <c r="E64" s="8"/>
      <c r="F64" s="8"/>
      <c r="G64" s="8"/>
      <c r="H64" s="8"/>
      <c r="I64" s="8"/>
      <c r="J64" s="8"/>
    </row>
    <row r="65" spans="1:10" x14ac:dyDescent="0.25">
      <c r="A65" s="2" t="s">
        <v>449</v>
      </c>
      <c r="B65" s="6"/>
      <c r="C65" s="8"/>
      <c r="D65" s="8"/>
      <c r="E65" s="8"/>
      <c r="F65" s="8"/>
      <c r="G65" s="8"/>
      <c r="H65" s="8"/>
      <c r="I65" s="8"/>
      <c r="J65" s="8"/>
    </row>
    <row r="66" spans="1:10" x14ac:dyDescent="0.25">
      <c r="A66" s="1" t="s">
        <v>10</v>
      </c>
      <c r="B66" s="1" t="s">
        <v>2</v>
      </c>
      <c r="C66" s="1" t="s">
        <v>0</v>
      </c>
      <c r="D66" s="1"/>
      <c r="E66" s="1" t="s">
        <v>3</v>
      </c>
      <c r="F66" s="1" t="s">
        <v>4</v>
      </c>
      <c r="G66" s="1" t="s">
        <v>5</v>
      </c>
      <c r="H66" s="1" t="s">
        <v>6</v>
      </c>
      <c r="I66" s="1" t="s">
        <v>7</v>
      </c>
      <c r="J66" s="1" t="s">
        <v>8</v>
      </c>
    </row>
    <row r="67" spans="1:10" x14ac:dyDescent="0.25">
      <c r="A67" s="8" t="s">
        <v>449</v>
      </c>
      <c r="B67" s="5">
        <v>1</v>
      </c>
      <c r="C67" s="8" t="s">
        <v>9</v>
      </c>
      <c r="D67" s="8"/>
      <c r="E67" s="8"/>
      <c r="F67" s="8"/>
      <c r="G67" s="8"/>
      <c r="H67" s="8"/>
      <c r="J67" s="8" t="s">
        <v>587</v>
      </c>
    </row>
    <row r="68" spans="1:10" x14ac:dyDescent="0.25">
      <c r="A68" s="1" t="s">
        <v>1</v>
      </c>
      <c r="B68" s="1" t="s">
        <v>2</v>
      </c>
      <c r="C68" s="1" t="s">
        <v>0</v>
      </c>
      <c r="D68" s="1"/>
      <c r="E68" s="1" t="s">
        <v>3</v>
      </c>
      <c r="F68" s="1" t="s">
        <v>4</v>
      </c>
      <c r="G68" s="1" t="s">
        <v>5</v>
      </c>
      <c r="H68" s="1" t="s">
        <v>6</v>
      </c>
      <c r="I68" s="1" t="s">
        <v>7</v>
      </c>
      <c r="J68" s="1" t="s">
        <v>8</v>
      </c>
    </row>
    <row r="69" spans="1:10" x14ac:dyDescent="0.25">
      <c r="A69" s="8" t="s">
        <v>414</v>
      </c>
      <c r="B69" s="8">
        <v>2.1258E-6</v>
      </c>
      <c r="C69" s="8" t="s">
        <v>415</v>
      </c>
      <c r="D69" s="8"/>
      <c r="E69" s="8"/>
      <c r="F69" s="8"/>
      <c r="G69" s="8"/>
      <c r="H69" s="8"/>
      <c r="I69" s="8"/>
      <c r="J69" s="8" t="s">
        <v>587</v>
      </c>
    </row>
    <row r="70" spans="1:10" x14ac:dyDescent="0.25">
      <c r="A70" s="8" t="s">
        <v>27</v>
      </c>
      <c r="B70" s="8">
        <v>0.46189999999999998</v>
      </c>
      <c r="C70" s="8" t="s">
        <v>9</v>
      </c>
      <c r="D70" s="8"/>
      <c r="E70" s="8"/>
      <c r="F70" s="8"/>
      <c r="G70" s="8"/>
      <c r="H70" s="8"/>
      <c r="I70" s="8"/>
      <c r="J70" s="8" t="s">
        <v>587</v>
      </c>
    </row>
    <row r="71" spans="1:10" x14ac:dyDescent="0.25">
      <c r="A71" s="8" t="s">
        <v>416</v>
      </c>
      <c r="B71" s="8">
        <v>1.2E-4</v>
      </c>
      <c r="C71" s="8" t="s">
        <v>417</v>
      </c>
      <c r="D71" s="8"/>
      <c r="E71" s="8"/>
      <c r="F71" s="8"/>
      <c r="G71" s="8"/>
      <c r="H71" s="8"/>
      <c r="I71" s="8"/>
      <c r="J71" s="8" t="s">
        <v>587</v>
      </c>
    </row>
    <row r="72" spans="1:10" x14ac:dyDescent="0.25">
      <c r="A72" s="8" t="s">
        <v>418</v>
      </c>
      <c r="B72" s="8">
        <v>2.1258E-6</v>
      </c>
      <c r="C72" s="8" t="s">
        <v>415</v>
      </c>
      <c r="D72" s="8"/>
      <c r="E72" s="8"/>
      <c r="F72" s="8"/>
      <c r="G72" s="8"/>
      <c r="H72" s="8"/>
      <c r="I72" s="8"/>
      <c r="J72" s="8" t="s">
        <v>587</v>
      </c>
    </row>
    <row r="73" spans="1:10" x14ac:dyDescent="0.25">
      <c r="A73" s="8" t="s">
        <v>450</v>
      </c>
      <c r="B73" s="8">
        <v>1.7006000000000001E-6</v>
      </c>
      <c r="C73" s="8" t="s">
        <v>415</v>
      </c>
      <c r="D73" s="8"/>
      <c r="E73" s="8"/>
      <c r="F73" s="8"/>
      <c r="G73" s="8"/>
      <c r="H73" s="8"/>
      <c r="I73" s="8"/>
      <c r="J73" s="8" t="s">
        <v>587</v>
      </c>
    </row>
    <row r="74" spans="1:10" x14ac:dyDescent="0.25">
      <c r="A74" s="8" t="s">
        <v>451</v>
      </c>
      <c r="B74" s="8">
        <v>8.3333000000000004E-13</v>
      </c>
      <c r="C74" s="8" t="s">
        <v>12</v>
      </c>
      <c r="J74" s="8" t="s">
        <v>587</v>
      </c>
    </row>
    <row r="75" spans="1:10" x14ac:dyDescent="0.25">
      <c r="A75" s="8" t="s">
        <v>421</v>
      </c>
      <c r="B75" s="8">
        <v>2.7098999999999998E-4</v>
      </c>
      <c r="C75" s="8" t="s">
        <v>9</v>
      </c>
      <c r="J75" s="8" t="s">
        <v>587</v>
      </c>
    </row>
    <row r="76" spans="1:10" x14ac:dyDescent="0.25">
      <c r="A76" s="1" t="s">
        <v>43</v>
      </c>
      <c r="J76" s="8"/>
    </row>
    <row r="77" spans="1:10" x14ac:dyDescent="0.25">
      <c r="A77" s="8" t="s">
        <v>17</v>
      </c>
      <c r="B77" s="8">
        <v>1.4415000000000001E-3</v>
      </c>
      <c r="C77" s="8" t="s">
        <v>9</v>
      </c>
      <c r="J77" s="8" t="s">
        <v>587</v>
      </c>
    </row>
    <row r="78" spans="1:10" x14ac:dyDescent="0.25">
      <c r="A78" s="8" t="s">
        <v>89</v>
      </c>
      <c r="B78" s="8">
        <v>1.2972999999999999E-3</v>
      </c>
      <c r="C78" s="8" t="s">
        <v>9</v>
      </c>
      <c r="J78" s="8" t="s">
        <v>587</v>
      </c>
    </row>
    <row r="79" spans="1:10" x14ac:dyDescent="0.25">
      <c r="A79" s="8" t="s">
        <v>71</v>
      </c>
      <c r="B79" s="8">
        <v>1.4415000000000001E-4</v>
      </c>
      <c r="C79" s="8" t="s">
        <v>9</v>
      </c>
      <c r="J79" s="8" t="s">
        <v>587</v>
      </c>
    </row>
  </sheetData>
  <pageMargins left="0.7" right="0.7" top="0.75" bottom="0.75" header="0.3" footer="0.3"/>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theme="9" tint="0.59999389629810485"/>
  </sheetPr>
  <dimension ref="A4:J78"/>
  <sheetViews>
    <sheetView topLeftCell="A6" zoomScaleNormal="100" workbookViewId="0">
      <selection activeCell="C35" sqref="C35"/>
    </sheetView>
  </sheetViews>
  <sheetFormatPr defaultColWidth="9.140625" defaultRowHeight="15" x14ac:dyDescent="0.25"/>
  <cols>
    <col min="1" max="1" width="93.5703125" style="8" customWidth="1"/>
    <col min="2" max="2" width="12" style="8" bestFit="1" customWidth="1"/>
    <col min="3" max="4" width="9.140625" style="8"/>
    <col min="5" max="5" width="18" style="8" bestFit="1" customWidth="1"/>
    <col min="6" max="7" width="12" style="8" bestFit="1" customWidth="1"/>
    <col min="8" max="8" width="9.140625" style="8"/>
    <col min="9" max="9" width="12" style="8" customWidth="1"/>
    <col min="10" max="10" width="23.85546875" style="8" customWidth="1"/>
    <col min="11" max="11" width="9.140625" style="8" customWidth="1"/>
    <col min="12" max="16384" width="9.140625" style="8"/>
  </cols>
  <sheetData>
    <row r="4" spans="1:10" x14ac:dyDescent="0.25">
      <c r="A4" s="2" t="s">
        <v>55</v>
      </c>
      <c r="B4" s="2"/>
      <c r="C4" s="2"/>
      <c r="D4" s="2"/>
      <c r="E4" s="2"/>
      <c r="F4" s="1"/>
      <c r="G4" s="1"/>
      <c r="H4" s="1"/>
      <c r="I4" s="1"/>
      <c r="J4" s="1"/>
    </row>
    <row r="5" spans="1:10" x14ac:dyDescent="0.25">
      <c r="A5" s="1" t="s">
        <v>10</v>
      </c>
      <c r="B5" s="1" t="s">
        <v>2</v>
      </c>
      <c r="C5" s="1" t="s">
        <v>0</v>
      </c>
      <c r="D5" s="1"/>
      <c r="E5" s="1" t="s">
        <v>3</v>
      </c>
      <c r="F5" s="1" t="s">
        <v>4</v>
      </c>
      <c r="G5" s="1" t="s">
        <v>5</v>
      </c>
      <c r="H5" s="1" t="s">
        <v>6</v>
      </c>
      <c r="I5" s="1" t="s">
        <v>7</v>
      </c>
      <c r="J5" s="1" t="s">
        <v>8</v>
      </c>
    </row>
    <row r="6" spans="1:10" x14ac:dyDescent="0.25">
      <c r="A6" s="8" t="s">
        <v>55</v>
      </c>
      <c r="B6" s="8">
        <v>1</v>
      </c>
      <c r="C6" s="8" t="s">
        <v>9</v>
      </c>
    </row>
    <row r="7" spans="1:10" x14ac:dyDescent="0.25">
      <c r="A7" s="1" t="s">
        <v>1</v>
      </c>
      <c r="B7" s="1" t="s">
        <v>2</v>
      </c>
      <c r="C7" s="1" t="s">
        <v>0</v>
      </c>
      <c r="D7" s="1"/>
      <c r="E7" s="1" t="s">
        <v>3</v>
      </c>
      <c r="F7" s="1" t="s">
        <v>4</v>
      </c>
      <c r="G7" s="1" t="s">
        <v>5</v>
      </c>
      <c r="H7" s="1" t="s">
        <v>6</v>
      </c>
      <c r="I7" s="1" t="s">
        <v>7</v>
      </c>
      <c r="J7" s="1" t="s">
        <v>8</v>
      </c>
    </row>
    <row r="8" spans="1:10" x14ac:dyDescent="0.25">
      <c r="A8" s="3" t="str">
        <f>A12</f>
        <v>Sinter, iron {GLO}| market for | Alloc Rec, U_mr_Scope 3</v>
      </c>
      <c r="B8" s="6">
        <v>1</v>
      </c>
      <c r="C8" s="8" t="s">
        <v>9</v>
      </c>
    </row>
    <row r="10" spans="1:10" x14ac:dyDescent="0.25">
      <c r="A10" s="2" t="s">
        <v>56</v>
      </c>
      <c r="B10" s="2"/>
      <c r="C10" s="2"/>
      <c r="D10" s="2"/>
      <c r="E10" s="2"/>
      <c r="F10" s="1"/>
      <c r="G10" s="1"/>
      <c r="H10" s="1"/>
      <c r="I10" s="1"/>
      <c r="J10" s="1"/>
    </row>
    <row r="11" spans="1:10" x14ac:dyDescent="0.25">
      <c r="A11" s="1" t="s">
        <v>10</v>
      </c>
      <c r="B11" s="1" t="s">
        <v>2</v>
      </c>
      <c r="C11" s="1" t="s">
        <v>0</v>
      </c>
      <c r="D11" s="1"/>
      <c r="E11" s="1" t="s">
        <v>3</v>
      </c>
      <c r="F11" s="1" t="s">
        <v>4</v>
      </c>
      <c r="G11" s="1" t="s">
        <v>5</v>
      </c>
      <c r="H11" s="1" t="s">
        <v>6</v>
      </c>
      <c r="I11" s="1" t="s">
        <v>7</v>
      </c>
      <c r="J11" s="1" t="s">
        <v>8</v>
      </c>
    </row>
    <row r="12" spans="1:10" x14ac:dyDescent="0.25">
      <c r="A12" s="8" t="s">
        <v>469</v>
      </c>
      <c r="B12" s="8">
        <v>1</v>
      </c>
      <c r="C12" s="8" t="s">
        <v>9</v>
      </c>
      <c r="I12" s="8" t="s">
        <v>590</v>
      </c>
    </row>
    <row r="13" spans="1:10" x14ac:dyDescent="0.25">
      <c r="A13" s="1" t="s">
        <v>1</v>
      </c>
      <c r="B13" s="1" t="s">
        <v>2</v>
      </c>
      <c r="C13" s="1" t="s">
        <v>0</v>
      </c>
      <c r="D13" s="1"/>
      <c r="E13" s="1" t="s">
        <v>3</v>
      </c>
      <c r="F13" s="1" t="s">
        <v>4</v>
      </c>
      <c r="G13" s="1" t="s">
        <v>5</v>
      </c>
      <c r="H13" s="1" t="s">
        <v>6</v>
      </c>
      <c r="I13" s="1" t="s">
        <v>7</v>
      </c>
      <c r="J13" s="1" t="s">
        <v>8</v>
      </c>
    </row>
    <row r="14" spans="1:10" x14ac:dyDescent="0.25">
      <c r="A14" s="3" t="str">
        <f>A18</f>
        <v>Sinter, iron {GLO}| production | Alloc Rec, U_mr_Scope 1</v>
      </c>
      <c r="B14" s="8">
        <v>1</v>
      </c>
      <c r="C14" s="8" t="s">
        <v>9</v>
      </c>
      <c r="I14" s="8" t="s">
        <v>590</v>
      </c>
    </row>
    <row r="16" spans="1:10" x14ac:dyDescent="0.25">
      <c r="A16" s="2" t="s">
        <v>57</v>
      </c>
      <c r="B16" s="2"/>
      <c r="C16" s="2"/>
      <c r="D16" s="2"/>
      <c r="E16" s="2"/>
      <c r="F16" s="1"/>
      <c r="G16" s="1"/>
      <c r="H16" s="1"/>
      <c r="I16" s="1"/>
      <c r="J16" s="1"/>
    </row>
    <row r="17" spans="1:10" x14ac:dyDescent="0.25">
      <c r="A17" s="1" t="s">
        <v>10</v>
      </c>
      <c r="B17" s="1" t="s">
        <v>2</v>
      </c>
      <c r="C17" s="1" t="s">
        <v>0</v>
      </c>
      <c r="D17" s="1"/>
      <c r="E17" s="1" t="s">
        <v>3</v>
      </c>
      <c r="F17" s="1" t="s">
        <v>4</v>
      </c>
      <c r="G17" s="1" t="s">
        <v>5</v>
      </c>
      <c r="H17" s="1" t="s">
        <v>6</v>
      </c>
      <c r="I17" s="1" t="s">
        <v>7</v>
      </c>
      <c r="J17" s="1" t="s">
        <v>8</v>
      </c>
    </row>
    <row r="18" spans="1:10" x14ac:dyDescent="0.25">
      <c r="A18" s="8" t="s">
        <v>470</v>
      </c>
      <c r="B18" s="64">
        <f>1.05*(sintering_eff/RE_Sintering)</f>
        <v>1.0473750004189499</v>
      </c>
      <c r="C18" s="8" t="s">
        <v>9</v>
      </c>
      <c r="I18" s="8" t="s">
        <v>58</v>
      </c>
      <c r="J18" s="4"/>
    </row>
    <row r="19" spans="1:10" x14ac:dyDescent="0.25">
      <c r="A19" s="1" t="s">
        <v>1</v>
      </c>
      <c r="B19" s="1" t="s">
        <v>2</v>
      </c>
      <c r="C19" s="1" t="s">
        <v>0</v>
      </c>
      <c r="D19" s="1"/>
      <c r="E19" s="1" t="s">
        <v>3</v>
      </c>
      <c r="F19" s="1" t="s">
        <v>4</v>
      </c>
      <c r="G19" s="1" t="s">
        <v>5</v>
      </c>
      <c r="H19" s="1" t="s">
        <v>6</v>
      </c>
      <c r="I19" s="1" t="s">
        <v>7</v>
      </c>
      <c r="J19" s="1" t="s">
        <v>8</v>
      </c>
    </row>
    <row r="20" spans="1:10" x14ac:dyDescent="0.25">
      <c r="A20" s="8" t="s">
        <v>40</v>
      </c>
      <c r="B20" s="8">
        <v>1.00154355016538E-3</v>
      </c>
      <c r="C20" s="8" t="s">
        <v>41</v>
      </c>
      <c r="I20" s="8" t="s">
        <v>591</v>
      </c>
    </row>
    <row r="21" spans="1:10" x14ac:dyDescent="0.25">
      <c r="A21" s="3" t="str">
        <f>'Other processes'!A176</f>
        <v>Quicklime, in pieces, loose {GLO}| market for | Alloc Rec, U_mr_Scope 3</v>
      </c>
      <c r="B21" s="5">
        <v>0.05</v>
      </c>
      <c r="C21" s="8" t="s">
        <v>9</v>
      </c>
      <c r="I21" s="8" t="s">
        <v>591</v>
      </c>
    </row>
    <row r="22" spans="1:10" x14ac:dyDescent="0.25">
      <c r="A22" s="8" t="s">
        <v>59</v>
      </c>
      <c r="B22" s="9">
        <v>2.5000000000000001E-11</v>
      </c>
      <c r="C22" s="8" t="s">
        <v>61</v>
      </c>
      <c r="I22" s="8" t="s">
        <v>591</v>
      </c>
    </row>
    <row r="23" spans="1:10" x14ac:dyDescent="0.25">
      <c r="A23" s="8" t="s">
        <v>60</v>
      </c>
      <c r="B23" s="6">
        <v>0.14799999999999999</v>
      </c>
      <c r="C23" s="8" t="s">
        <v>9</v>
      </c>
      <c r="I23" s="8" t="s">
        <v>591</v>
      </c>
    </row>
    <row r="24" spans="1:10" x14ac:dyDescent="0.25">
      <c r="A24" s="3" t="str">
        <f>Mining!A13</f>
        <v>Iron ore, beneficiated, 65% Fe {GLO}| market for | Alloc Rec, U_mr_Scope 3</v>
      </c>
      <c r="B24" s="51">
        <f>IF(subprocess_MFA=1,0,11.05)</f>
        <v>0</v>
      </c>
      <c r="C24" s="8" t="s">
        <v>9</v>
      </c>
      <c r="I24" s="8" t="s">
        <v>591</v>
      </c>
      <c r="J24" s="8" t="s">
        <v>471</v>
      </c>
    </row>
    <row r="25" spans="1:10" x14ac:dyDescent="0.25">
      <c r="A25" s="3" t="str">
        <f>A55</f>
        <v>Sinter, iron {GLO}| Natural Gas use | Alloc Rec, U_mr_Scope 2</v>
      </c>
      <c r="B25" s="53">
        <f>(Sintering_natural_gas/heating_value_NatGas)/RE_Sintering</f>
        <v>2.4769992932767164E-3</v>
      </c>
      <c r="C25" s="8" t="s">
        <v>41</v>
      </c>
      <c r="D25" s="9"/>
      <c r="I25" s="8" t="s">
        <v>591</v>
      </c>
    </row>
    <row r="26" spans="1:10" x14ac:dyDescent="0.25">
      <c r="A26" s="3" t="str">
        <f>'Other processes'!A5</f>
        <v>Coke {GLO}| market for | Alloc Rec, U_mr_Scope 2</v>
      </c>
      <c r="B26" s="53">
        <f>Sintering_coke/RE_Sintering</f>
        <v>1.4280000005712001</v>
      </c>
      <c r="C26" s="8" t="s">
        <v>14</v>
      </c>
      <c r="D26" s="9"/>
      <c r="E26" s="9"/>
      <c r="I26" s="8" t="s">
        <v>73</v>
      </c>
      <c r="J26" s="4"/>
    </row>
    <row r="27" spans="1:10" x14ac:dyDescent="0.25">
      <c r="A27" s="3" t="str">
        <f>'Electricity generation'!A32</f>
        <v>Electricity, global mix, medium voltage_mr_Scope 2</v>
      </c>
      <c r="B27" s="50">
        <f>Sintering_electricity/RE_Sintering</f>
        <v>8.4000000033600003E-2</v>
      </c>
      <c r="C27" s="8" t="s">
        <v>14</v>
      </c>
      <c r="D27" s="9"/>
      <c r="I27" s="8" t="s">
        <v>73</v>
      </c>
      <c r="J27" s="4"/>
    </row>
    <row r="28" spans="1:10" x14ac:dyDescent="0.25">
      <c r="A28" s="1" t="s">
        <v>43</v>
      </c>
    </row>
    <row r="29" spans="1:10" x14ac:dyDescent="0.25">
      <c r="A29" s="8" t="s">
        <v>62</v>
      </c>
      <c r="B29" s="9">
        <v>4.7230000000000001E-7</v>
      </c>
      <c r="C29" s="8" t="s">
        <v>9</v>
      </c>
      <c r="I29" s="8" t="s">
        <v>591</v>
      </c>
    </row>
    <row r="30" spans="1:10" x14ac:dyDescent="0.25">
      <c r="A30" s="8" t="s">
        <v>18</v>
      </c>
      <c r="B30" s="8">
        <v>2.5679E-2</v>
      </c>
      <c r="C30" s="8" t="s">
        <v>9</v>
      </c>
      <c r="I30" s="8" t="s">
        <v>591</v>
      </c>
    </row>
    <row r="31" spans="1:10" x14ac:dyDescent="0.25">
      <c r="A31" s="8" t="s">
        <v>63</v>
      </c>
      <c r="B31" s="8">
        <v>0.20405000000000001</v>
      </c>
      <c r="C31" s="8" t="s">
        <v>9</v>
      </c>
      <c r="I31" s="8" t="s">
        <v>591</v>
      </c>
    </row>
    <row r="32" spans="1:10" x14ac:dyDescent="0.25">
      <c r="A32" s="8" t="s">
        <v>64</v>
      </c>
      <c r="B32" s="9">
        <v>6.4197000000000001E-9</v>
      </c>
      <c r="C32" s="8" t="s">
        <v>9</v>
      </c>
      <c r="I32" s="8" t="s">
        <v>591</v>
      </c>
    </row>
    <row r="33" spans="1:9" x14ac:dyDescent="0.25">
      <c r="A33" s="8" t="s">
        <v>65</v>
      </c>
      <c r="B33" s="9">
        <v>2.2469E-6</v>
      </c>
      <c r="C33" s="8" t="s">
        <v>9</v>
      </c>
      <c r="I33" s="8" t="s">
        <v>591</v>
      </c>
    </row>
    <row r="34" spans="1:9" x14ac:dyDescent="0.25">
      <c r="A34" s="8" t="s">
        <v>66</v>
      </c>
      <c r="B34" s="8">
        <v>1.3756E-4</v>
      </c>
      <c r="C34" s="8" t="s">
        <v>9</v>
      </c>
      <c r="I34" s="8" t="s">
        <v>591</v>
      </c>
    </row>
    <row r="35" spans="1:9" x14ac:dyDescent="0.25">
      <c r="A35" s="8" t="s">
        <v>19</v>
      </c>
      <c r="B35" s="8">
        <v>1.261E-3</v>
      </c>
      <c r="C35" s="8" t="s">
        <v>9</v>
      </c>
      <c r="I35" s="8" t="s">
        <v>591</v>
      </c>
    </row>
    <row r="36" spans="1:9" x14ac:dyDescent="0.25">
      <c r="A36" s="8" t="s">
        <v>67</v>
      </c>
      <c r="B36" s="9">
        <v>1.9259000000000001E-7</v>
      </c>
      <c r="C36" s="8" t="s">
        <v>9</v>
      </c>
      <c r="I36" s="8" t="s">
        <v>591</v>
      </c>
    </row>
    <row r="37" spans="1:9" x14ac:dyDescent="0.25">
      <c r="A37" s="8" t="s">
        <v>68</v>
      </c>
      <c r="B37" s="9">
        <v>1.6049E-8</v>
      </c>
      <c r="C37" s="8" t="s">
        <v>9</v>
      </c>
      <c r="I37" s="8" t="s">
        <v>591</v>
      </c>
    </row>
    <row r="38" spans="1:9" x14ac:dyDescent="0.25">
      <c r="A38" s="8" t="s">
        <v>69</v>
      </c>
      <c r="B38" s="9">
        <v>3.7601000000000001E-5</v>
      </c>
      <c r="C38" s="8" t="s">
        <v>9</v>
      </c>
      <c r="I38" s="8" t="s">
        <v>591</v>
      </c>
    </row>
    <row r="39" spans="1:9" x14ac:dyDescent="0.25">
      <c r="A39" s="8" t="s">
        <v>46</v>
      </c>
      <c r="B39" s="9">
        <v>7.6576999999999998E-8</v>
      </c>
      <c r="C39" s="8" t="s">
        <v>9</v>
      </c>
      <c r="I39" s="8" t="s">
        <v>591</v>
      </c>
    </row>
    <row r="40" spans="1:9" x14ac:dyDescent="0.25">
      <c r="A40" s="8" t="s">
        <v>26</v>
      </c>
      <c r="B40" s="9">
        <v>8.2630000000000003E-7</v>
      </c>
      <c r="C40" s="8" t="s">
        <v>9</v>
      </c>
      <c r="I40" s="8" t="s">
        <v>591</v>
      </c>
    </row>
    <row r="41" spans="1:9" x14ac:dyDescent="0.25">
      <c r="A41" s="8" t="s">
        <v>51</v>
      </c>
      <c r="B41" s="9">
        <v>7.5660000000000004E-8</v>
      </c>
      <c r="C41" s="8" t="s">
        <v>9</v>
      </c>
      <c r="I41" s="8" t="s">
        <v>591</v>
      </c>
    </row>
    <row r="42" spans="1:9" x14ac:dyDescent="0.25">
      <c r="A42" s="8" t="s">
        <v>52</v>
      </c>
      <c r="B42" s="9">
        <v>1.9259000000000001E-8</v>
      </c>
      <c r="C42" s="8" t="s">
        <v>9</v>
      </c>
      <c r="I42" s="8" t="s">
        <v>591</v>
      </c>
    </row>
    <row r="43" spans="1:9" x14ac:dyDescent="0.25">
      <c r="A43" s="8" t="s">
        <v>70</v>
      </c>
      <c r="B43" s="9">
        <v>1.1463999999999999E-8</v>
      </c>
      <c r="C43" s="8" t="s">
        <v>9</v>
      </c>
      <c r="I43" s="8" t="s">
        <v>591</v>
      </c>
    </row>
    <row r="44" spans="1:9" x14ac:dyDescent="0.25">
      <c r="A44" s="8" t="s">
        <v>15</v>
      </c>
      <c r="B44" s="8">
        <v>5.2733000000000001E-4</v>
      </c>
      <c r="C44" s="8" t="s">
        <v>9</v>
      </c>
      <c r="I44" s="8" t="s">
        <v>591</v>
      </c>
    </row>
    <row r="45" spans="1:9" x14ac:dyDescent="0.25">
      <c r="A45" s="8" t="s">
        <v>49</v>
      </c>
      <c r="B45" s="9">
        <v>3.2281999999999999E-6</v>
      </c>
      <c r="C45" s="8" t="s">
        <v>9</v>
      </c>
      <c r="I45" s="8" t="s">
        <v>591</v>
      </c>
    </row>
    <row r="46" spans="1:9" x14ac:dyDescent="0.25">
      <c r="A46" s="8" t="s">
        <v>45</v>
      </c>
      <c r="B46" s="9">
        <v>1.9259000000000001E-8</v>
      </c>
      <c r="C46" s="8" t="s">
        <v>9</v>
      </c>
      <c r="I46" s="8" t="s">
        <v>591</v>
      </c>
    </row>
    <row r="47" spans="1:9" x14ac:dyDescent="0.25">
      <c r="A47" s="8" t="s">
        <v>25</v>
      </c>
      <c r="B47" s="9">
        <v>2.522E-8</v>
      </c>
      <c r="C47" s="8" t="s">
        <v>9</v>
      </c>
      <c r="I47" s="8" t="s">
        <v>591</v>
      </c>
    </row>
    <row r="48" spans="1:9" x14ac:dyDescent="0.25">
      <c r="A48" s="8" t="s">
        <v>71</v>
      </c>
      <c r="B48" s="8">
        <v>2.0635E-4</v>
      </c>
      <c r="C48" s="8" t="s">
        <v>9</v>
      </c>
      <c r="I48" s="8" t="s">
        <v>591</v>
      </c>
    </row>
    <row r="49" spans="1:10" x14ac:dyDescent="0.25">
      <c r="A49" s="8" t="s">
        <v>44</v>
      </c>
      <c r="B49" s="8">
        <v>4.1730981256890901E-4</v>
      </c>
      <c r="C49" s="8" t="s">
        <v>41</v>
      </c>
      <c r="I49" s="8" t="s">
        <v>591</v>
      </c>
    </row>
    <row r="50" spans="1:10" x14ac:dyDescent="0.25">
      <c r="A50" s="8" t="s">
        <v>72</v>
      </c>
      <c r="B50" s="9">
        <v>7.0000000000000001E-12</v>
      </c>
      <c r="C50" s="8" t="s">
        <v>9</v>
      </c>
      <c r="I50" s="8" t="s">
        <v>591</v>
      </c>
    </row>
    <row r="51" spans="1:10" x14ac:dyDescent="0.25">
      <c r="A51" s="8" t="s">
        <v>54</v>
      </c>
      <c r="B51" s="8">
        <v>5.8423373759647096E-4</v>
      </c>
      <c r="C51" s="8" t="s">
        <v>41</v>
      </c>
      <c r="I51" s="8" t="s">
        <v>591</v>
      </c>
    </row>
    <row r="53" spans="1:10" x14ac:dyDescent="0.25">
      <c r="A53" s="2" t="s">
        <v>472</v>
      </c>
      <c r="B53" s="2"/>
      <c r="C53" s="2"/>
      <c r="D53" s="2"/>
      <c r="E53" s="2"/>
      <c r="F53" s="1"/>
      <c r="G53" s="1"/>
      <c r="H53" s="1"/>
      <c r="I53" s="1"/>
      <c r="J53" s="1"/>
    </row>
    <row r="54" spans="1:10" x14ac:dyDescent="0.25">
      <c r="A54" s="1" t="s">
        <v>10</v>
      </c>
      <c r="B54" s="1" t="s">
        <v>2</v>
      </c>
      <c r="C54" s="1" t="s">
        <v>0</v>
      </c>
      <c r="D54" s="1"/>
      <c r="E54" s="1" t="s">
        <v>3</v>
      </c>
      <c r="F54" s="1" t="s">
        <v>4</v>
      </c>
      <c r="G54" s="1" t="s">
        <v>5</v>
      </c>
      <c r="H54" s="1" t="s">
        <v>6</v>
      </c>
      <c r="I54" s="1" t="s">
        <v>7</v>
      </c>
      <c r="J54" s="1" t="s">
        <v>8</v>
      </c>
    </row>
    <row r="55" spans="1:10" x14ac:dyDescent="0.25">
      <c r="A55" s="8" t="s">
        <v>503</v>
      </c>
      <c r="B55" s="8">
        <v>1</v>
      </c>
      <c r="C55" s="8" t="s">
        <v>41</v>
      </c>
      <c r="I55" s="8" t="s">
        <v>591</v>
      </c>
    </row>
    <row r="56" spans="1:10" x14ac:dyDescent="0.25">
      <c r="A56" s="1" t="s">
        <v>1</v>
      </c>
      <c r="B56" s="1" t="s">
        <v>2</v>
      </c>
      <c r="C56" s="1" t="s">
        <v>0</v>
      </c>
      <c r="D56" s="1"/>
      <c r="E56" s="1" t="s">
        <v>3</v>
      </c>
      <c r="F56" s="1" t="s">
        <v>4</v>
      </c>
      <c r="G56" s="1" t="s">
        <v>5</v>
      </c>
      <c r="H56" s="1" t="s">
        <v>6</v>
      </c>
      <c r="I56" s="1" t="s">
        <v>7</v>
      </c>
      <c r="J56" s="1" t="s">
        <v>8</v>
      </c>
    </row>
    <row r="57" spans="1:10" x14ac:dyDescent="0.25">
      <c r="A57" s="8" t="s">
        <v>176</v>
      </c>
      <c r="B57" s="8">
        <v>1.86418E-3</v>
      </c>
      <c r="C57" s="8" t="s">
        <v>41</v>
      </c>
      <c r="D57" s="1"/>
      <c r="E57" s="1"/>
      <c r="F57" s="1"/>
      <c r="G57" s="1"/>
      <c r="H57" s="1"/>
      <c r="I57" s="8" t="s">
        <v>591</v>
      </c>
    </row>
    <row r="58" spans="1:10" x14ac:dyDescent="0.25">
      <c r="A58" s="8" t="s">
        <v>177</v>
      </c>
      <c r="B58" s="8">
        <v>6.1352780000000005E-4</v>
      </c>
      <c r="C58" s="8" t="s">
        <v>41</v>
      </c>
      <c r="D58" s="1"/>
      <c r="E58" s="1"/>
      <c r="F58" s="1"/>
      <c r="G58" s="1"/>
      <c r="H58" s="1"/>
      <c r="I58" s="8" t="s">
        <v>591</v>
      </c>
    </row>
    <row r="59" spans="1:10" x14ac:dyDescent="0.25">
      <c r="A59" s="8" t="s">
        <v>178</v>
      </c>
      <c r="B59" s="8">
        <v>1.3969550000000001E-3</v>
      </c>
      <c r="C59" s="8" t="s">
        <v>41</v>
      </c>
      <c r="I59" s="8" t="s">
        <v>591</v>
      </c>
    </row>
    <row r="60" spans="1:10" x14ac:dyDescent="0.25">
      <c r="A60" s="8" t="s">
        <v>179</v>
      </c>
      <c r="B60" s="8">
        <v>2.1248610000000001E-2</v>
      </c>
      <c r="C60" s="8" t="s">
        <v>41</v>
      </c>
      <c r="I60" s="8" t="s">
        <v>591</v>
      </c>
    </row>
    <row r="61" spans="1:10" x14ac:dyDescent="0.25">
      <c r="A61" s="8" t="s">
        <v>180</v>
      </c>
      <c r="B61" s="8">
        <v>2.595694E-4</v>
      </c>
      <c r="C61" s="8" t="s">
        <v>41</v>
      </c>
      <c r="I61" s="8" t="s">
        <v>591</v>
      </c>
    </row>
    <row r="62" spans="1:10" x14ac:dyDescent="0.25">
      <c r="A62" s="8" t="s">
        <v>181</v>
      </c>
      <c r="B62" s="8">
        <v>2.9826890000000002E-3</v>
      </c>
      <c r="C62" s="8" t="s">
        <v>41</v>
      </c>
      <c r="I62" s="8" t="s">
        <v>591</v>
      </c>
    </row>
    <row r="63" spans="1:10" x14ac:dyDescent="0.25">
      <c r="A63" s="8" t="s">
        <v>182</v>
      </c>
      <c r="B63" s="8">
        <v>1.0031180000000001E-2</v>
      </c>
      <c r="C63" s="8" t="s">
        <v>41</v>
      </c>
      <c r="I63" s="8" t="s">
        <v>591</v>
      </c>
    </row>
    <row r="64" spans="1:10" x14ac:dyDescent="0.25">
      <c r="A64" s="8" t="s">
        <v>183</v>
      </c>
      <c r="B64" s="8">
        <v>2.173304E-3</v>
      </c>
      <c r="C64" s="8" t="s">
        <v>41</v>
      </c>
      <c r="I64" s="8" t="s">
        <v>591</v>
      </c>
    </row>
    <row r="65" spans="1:9" x14ac:dyDescent="0.25">
      <c r="A65" s="8" t="s">
        <v>184</v>
      </c>
      <c r="B65" s="8">
        <v>1.0146809999999999E-3</v>
      </c>
      <c r="C65" s="8" t="s">
        <v>41</v>
      </c>
      <c r="I65" s="8" t="s">
        <v>591</v>
      </c>
    </row>
    <row r="66" spans="1:9" x14ac:dyDescent="0.25">
      <c r="A66" s="8" t="s">
        <v>185</v>
      </c>
      <c r="B66" s="8">
        <v>1.840583E-3</v>
      </c>
      <c r="C66" s="8" t="s">
        <v>41</v>
      </c>
      <c r="I66" s="8" t="s">
        <v>591</v>
      </c>
    </row>
    <row r="67" spans="1:9" x14ac:dyDescent="0.25">
      <c r="A67" s="8" t="s">
        <v>186</v>
      </c>
      <c r="B67" s="8">
        <v>1.304926E-2</v>
      </c>
      <c r="C67" s="8" t="s">
        <v>41</v>
      </c>
      <c r="I67" s="8" t="s">
        <v>591</v>
      </c>
    </row>
    <row r="68" spans="1:9" x14ac:dyDescent="0.25">
      <c r="A68" s="8" t="s">
        <v>187</v>
      </c>
      <c r="B68" s="8">
        <v>2.7349179999999998E-3</v>
      </c>
      <c r="C68" s="8" t="s">
        <v>41</v>
      </c>
      <c r="I68" s="8" t="s">
        <v>591</v>
      </c>
    </row>
    <row r="69" spans="1:9" x14ac:dyDescent="0.25">
      <c r="A69" s="8" t="s">
        <v>188</v>
      </c>
      <c r="B69" s="8">
        <v>1.9082600000000002E-2</v>
      </c>
      <c r="C69" s="8" t="s">
        <v>41</v>
      </c>
      <c r="I69" s="8" t="s">
        <v>591</v>
      </c>
    </row>
    <row r="70" spans="1:9" x14ac:dyDescent="0.25">
      <c r="A70" s="8" t="s">
        <v>189</v>
      </c>
      <c r="B70" s="8">
        <v>6.8502730000000005E-4</v>
      </c>
      <c r="C70" s="8" t="s">
        <v>41</v>
      </c>
      <c r="I70" s="8" t="s">
        <v>591</v>
      </c>
    </row>
    <row r="71" spans="1:9" x14ac:dyDescent="0.25">
      <c r="A71" s="8" t="s">
        <v>190</v>
      </c>
      <c r="B71" s="8">
        <v>2.010483E-3</v>
      </c>
      <c r="C71" s="8" t="s">
        <v>41</v>
      </c>
      <c r="I71" s="8" t="s">
        <v>591</v>
      </c>
    </row>
    <row r="72" spans="1:9" x14ac:dyDescent="0.25">
      <c r="A72" s="8" t="s">
        <v>191</v>
      </c>
      <c r="B72" s="8">
        <v>6.6213799999999996E-3</v>
      </c>
      <c r="C72" s="8" t="s">
        <v>41</v>
      </c>
      <c r="I72" s="8" t="s">
        <v>591</v>
      </c>
    </row>
    <row r="73" spans="1:9" x14ac:dyDescent="0.25">
      <c r="A73" s="8" t="s">
        <v>192</v>
      </c>
      <c r="B73" s="8">
        <v>1.394596E-2</v>
      </c>
      <c r="C73" s="8" t="s">
        <v>41</v>
      </c>
      <c r="I73" s="8" t="s">
        <v>591</v>
      </c>
    </row>
    <row r="74" spans="1:9" x14ac:dyDescent="0.25">
      <c r="A74" s="8" t="s">
        <v>193</v>
      </c>
      <c r="B74" s="8">
        <v>1.1562639999999999E-3</v>
      </c>
      <c r="C74" s="8" t="s">
        <v>41</v>
      </c>
      <c r="I74" s="8" t="s">
        <v>591</v>
      </c>
    </row>
    <row r="75" spans="1:9" x14ac:dyDescent="0.25">
      <c r="A75" s="8" t="s">
        <v>194</v>
      </c>
      <c r="B75" s="8">
        <v>0.14237669999999999</v>
      </c>
      <c r="C75" s="8" t="s">
        <v>41</v>
      </c>
      <c r="I75" s="8" t="s">
        <v>591</v>
      </c>
    </row>
    <row r="76" spans="1:9" x14ac:dyDescent="0.25">
      <c r="A76" s="8" t="s">
        <v>195</v>
      </c>
      <c r="B76" s="8">
        <v>1.31807E-3</v>
      </c>
      <c r="C76" s="8" t="s">
        <v>41</v>
      </c>
      <c r="I76" s="8" t="s">
        <v>591</v>
      </c>
    </row>
    <row r="77" spans="1:9" x14ac:dyDescent="0.25">
      <c r="A77" s="8" t="s">
        <v>196</v>
      </c>
      <c r="B77" s="8">
        <v>0.71939929999999996</v>
      </c>
      <c r="C77" s="8" t="s">
        <v>41</v>
      </c>
      <c r="I77" s="8" t="s">
        <v>591</v>
      </c>
    </row>
    <row r="78" spans="1:9" x14ac:dyDescent="0.25">
      <c r="A78" s="8" t="s">
        <v>197</v>
      </c>
      <c r="B78" s="8">
        <v>3.419473E-2</v>
      </c>
      <c r="C78" s="8" t="s">
        <v>41</v>
      </c>
      <c r="I78" s="8" t="s">
        <v>591</v>
      </c>
    </row>
  </sheetData>
  <pageMargins left="0.7" right="0.7" top="0.75" bottom="0.75" header="0.3" footer="0.3"/>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theme="9" tint="0.59999389629810485"/>
  </sheetPr>
  <dimension ref="A4:J81"/>
  <sheetViews>
    <sheetView topLeftCell="A16" workbookViewId="0">
      <selection activeCell="B60" sqref="B60"/>
    </sheetView>
  </sheetViews>
  <sheetFormatPr defaultColWidth="9.140625" defaultRowHeight="15" x14ac:dyDescent="0.25"/>
  <cols>
    <col min="1" max="1" width="82.5703125" style="8" customWidth="1"/>
    <col min="2" max="2" width="12" style="8" bestFit="1" customWidth="1"/>
    <col min="3" max="4" width="9.140625" style="8"/>
    <col min="5" max="5" width="18" style="8" bestFit="1" customWidth="1"/>
    <col min="6" max="7" width="12" style="8" bestFit="1" customWidth="1"/>
    <col min="8" max="8" width="9.140625" style="8"/>
    <col min="9" max="9" width="12" style="8" customWidth="1"/>
    <col min="10" max="10" width="23.85546875" style="8" customWidth="1"/>
    <col min="11" max="11" width="9.140625" style="8" customWidth="1"/>
    <col min="12" max="16384" width="9.140625" style="8"/>
  </cols>
  <sheetData>
    <row r="4" spans="1:10" x14ac:dyDescent="0.25">
      <c r="A4" s="2" t="s">
        <v>74</v>
      </c>
      <c r="B4" s="2"/>
      <c r="C4" s="2"/>
      <c r="D4" s="2"/>
      <c r="E4" s="2"/>
      <c r="F4" s="1"/>
      <c r="G4" s="1"/>
      <c r="H4" s="1"/>
      <c r="I4" s="1"/>
      <c r="J4" s="1"/>
    </row>
    <row r="5" spans="1:10" x14ac:dyDescent="0.25">
      <c r="A5" s="1" t="s">
        <v>10</v>
      </c>
      <c r="B5" s="1" t="s">
        <v>2</v>
      </c>
      <c r="C5" s="1" t="s">
        <v>0</v>
      </c>
      <c r="D5" s="1"/>
      <c r="E5" s="1" t="s">
        <v>3</v>
      </c>
      <c r="F5" s="1" t="s">
        <v>4</v>
      </c>
      <c r="G5" s="1" t="s">
        <v>5</v>
      </c>
      <c r="H5" s="1" t="s">
        <v>6</v>
      </c>
      <c r="I5" s="1" t="s">
        <v>7</v>
      </c>
      <c r="J5" s="1" t="s">
        <v>8</v>
      </c>
    </row>
    <row r="6" spans="1:10" x14ac:dyDescent="0.25">
      <c r="A6" s="8" t="s">
        <v>74</v>
      </c>
      <c r="B6" s="8">
        <v>1</v>
      </c>
      <c r="C6" s="8" t="s">
        <v>9</v>
      </c>
    </row>
    <row r="7" spans="1:10" x14ac:dyDescent="0.25">
      <c r="A7" s="1" t="s">
        <v>1</v>
      </c>
      <c r="B7" s="1" t="s">
        <v>2</v>
      </c>
      <c r="C7" s="1" t="s">
        <v>0</v>
      </c>
      <c r="D7" s="1"/>
      <c r="E7" s="1" t="s">
        <v>3</v>
      </c>
      <c r="F7" s="1" t="s">
        <v>4</v>
      </c>
      <c r="G7" s="1" t="s">
        <v>5</v>
      </c>
      <c r="H7" s="1" t="s">
        <v>6</v>
      </c>
      <c r="I7" s="1" t="s">
        <v>7</v>
      </c>
      <c r="J7" s="1" t="s">
        <v>8</v>
      </c>
    </row>
    <row r="8" spans="1:10" x14ac:dyDescent="0.25">
      <c r="A8" s="3" t="str">
        <f>A12</f>
        <v>Iron pellet {GLO}| market for | Alloc Rec, U_mr_Scope 3</v>
      </c>
      <c r="B8" s="6">
        <v>1</v>
      </c>
      <c r="C8" s="8" t="s">
        <v>9</v>
      </c>
    </row>
    <row r="10" spans="1:10" x14ac:dyDescent="0.25">
      <c r="A10" s="2" t="s">
        <v>475</v>
      </c>
      <c r="B10" s="2"/>
      <c r="C10" s="2"/>
      <c r="D10" s="2"/>
      <c r="E10" s="2"/>
      <c r="F10" s="1"/>
      <c r="G10" s="1"/>
      <c r="H10" s="1"/>
      <c r="I10" s="1"/>
      <c r="J10" s="1"/>
    </row>
    <row r="11" spans="1:10" x14ac:dyDescent="0.25">
      <c r="A11" s="1" t="s">
        <v>10</v>
      </c>
      <c r="B11" s="1" t="s">
        <v>2</v>
      </c>
      <c r="C11" s="1" t="s">
        <v>0</v>
      </c>
      <c r="D11" s="1"/>
      <c r="E11" s="1" t="s">
        <v>3</v>
      </c>
      <c r="F11" s="1" t="s">
        <v>4</v>
      </c>
      <c r="G11" s="1" t="s">
        <v>5</v>
      </c>
      <c r="H11" s="1" t="s">
        <v>6</v>
      </c>
      <c r="I11" s="1" t="s">
        <v>7</v>
      </c>
      <c r="J11" s="1" t="s">
        <v>8</v>
      </c>
    </row>
    <row r="12" spans="1:10" x14ac:dyDescent="0.25">
      <c r="A12" s="8" t="s">
        <v>475</v>
      </c>
      <c r="B12" s="8">
        <v>1</v>
      </c>
      <c r="C12" s="8" t="s">
        <v>9</v>
      </c>
      <c r="I12" s="8" t="s">
        <v>592</v>
      </c>
    </row>
    <row r="13" spans="1:10" x14ac:dyDescent="0.25">
      <c r="A13" s="1" t="s">
        <v>1</v>
      </c>
      <c r="B13" s="1" t="s">
        <v>2</v>
      </c>
      <c r="C13" s="1" t="s">
        <v>0</v>
      </c>
      <c r="D13" s="1"/>
      <c r="E13" s="1" t="s">
        <v>3</v>
      </c>
      <c r="F13" s="1" t="s">
        <v>4</v>
      </c>
      <c r="G13" s="1" t="s">
        <v>5</v>
      </c>
      <c r="H13" s="1" t="s">
        <v>6</v>
      </c>
      <c r="I13" s="1" t="s">
        <v>7</v>
      </c>
      <c r="J13" s="1" t="s">
        <v>8</v>
      </c>
    </row>
    <row r="14" spans="1:10" x14ac:dyDescent="0.25">
      <c r="A14" s="3" t="str">
        <f>A18</f>
        <v>Iron pellet {RoW}| production | Alloc Rec, U_modified_mr_Scope 1</v>
      </c>
      <c r="B14" s="8">
        <v>1</v>
      </c>
      <c r="C14" s="8" t="s">
        <v>9</v>
      </c>
      <c r="I14" s="8" t="s">
        <v>592</v>
      </c>
    </row>
    <row r="16" spans="1:10" x14ac:dyDescent="0.25">
      <c r="A16" s="2" t="s">
        <v>476</v>
      </c>
      <c r="B16" s="2"/>
      <c r="C16" s="2"/>
      <c r="D16" s="2"/>
      <c r="E16" s="2"/>
      <c r="F16" s="1"/>
      <c r="G16" s="1"/>
      <c r="H16" s="1"/>
      <c r="I16" s="1"/>
      <c r="J16" s="1"/>
    </row>
    <row r="17" spans="1:10" x14ac:dyDescent="0.25">
      <c r="A17" s="1" t="s">
        <v>10</v>
      </c>
      <c r="B17" s="1" t="s">
        <v>2</v>
      </c>
      <c r="C17" s="1" t="s">
        <v>0</v>
      </c>
      <c r="D17" s="1"/>
      <c r="E17" s="1" t="s">
        <v>3</v>
      </c>
      <c r="F17" s="1" t="s">
        <v>4</v>
      </c>
      <c r="G17" s="1" t="s">
        <v>5</v>
      </c>
      <c r="H17" s="1" t="s">
        <v>6</v>
      </c>
      <c r="I17" s="1" t="s">
        <v>7</v>
      </c>
      <c r="J17" s="1" t="s">
        <v>8</v>
      </c>
    </row>
    <row r="18" spans="1:10" x14ac:dyDescent="0.25">
      <c r="A18" s="8" t="s">
        <v>476</v>
      </c>
      <c r="B18" s="50">
        <f>1/RE_pelletizing</f>
        <v>1.085399593887322</v>
      </c>
      <c r="C18" s="8" t="s">
        <v>9</v>
      </c>
      <c r="I18" s="8" t="s">
        <v>58</v>
      </c>
      <c r="J18" s="4"/>
    </row>
    <row r="19" spans="1:10" x14ac:dyDescent="0.25">
      <c r="A19" s="1" t="s">
        <v>1</v>
      </c>
      <c r="B19" s="1" t="s">
        <v>2</v>
      </c>
      <c r="C19" s="1" t="s">
        <v>0</v>
      </c>
      <c r="D19" s="1"/>
      <c r="E19" s="1" t="s">
        <v>3</v>
      </c>
      <c r="F19" s="1" t="s">
        <v>4</v>
      </c>
      <c r="G19" s="1" t="s">
        <v>5</v>
      </c>
      <c r="H19" s="1" t="s">
        <v>6</v>
      </c>
      <c r="I19" s="1" t="s">
        <v>7</v>
      </c>
      <c r="J19" s="1" t="s">
        <v>8</v>
      </c>
    </row>
    <row r="20" spans="1:10" x14ac:dyDescent="0.25">
      <c r="A20" s="8" t="s">
        <v>75</v>
      </c>
      <c r="B20" s="9">
        <v>9.3034250928977199E-5</v>
      </c>
      <c r="C20" s="8" t="s">
        <v>41</v>
      </c>
      <c r="I20" s="8" t="s">
        <v>593</v>
      </c>
    </row>
    <row r="21" spans="1:10" x14ac:dyDescent="0.25">
      <c r="A21" s="8" t="s">
        <v>76</v>
      </c>
      <c r="B21" s="9">
        <v>7.7100293301284696E-8</v>
      </c>
      <c r="C21" s="8" t="s">
        <v>11</v>
      </c>
      <c r="I21" s="8" t="s">
        <v>593</v>
      </c>
    </row>
    <row r="22" spans="1:10" x14ac:dyDescent="0.25">
      <c r="A22" s="8" t="s">
        <v>77</v>
      </c>
      <c r="B22" s="9">
        <v>2.1447034107400702E-8</v>
      </c>
      <c r="C22" s="8" t="s">
        <v>9</v>
      </c>
      <c r="I22" s="8" t="s">
        <v>593</v>
      </c>
    </row>
    <row r="23" spans="1:10" x14ac:dyDescent="0.25">
      <c r="A23" s="8" t="s">
        <v>78</v>
      </c>
      <c r="B23" s="9">
        <v>9.9573481068713293E-9</v>
      </c>
      <c r="C23" s="8" t="s">
        <v>9</v>
      </c>
      <c r="I23" s="8" t="s">
        <v>593</v>
      </c>
    </row>
    <row r="24" spans="1:10" x14ac:dyDescent="0.25">
      <c r="A24" s="8" t="s">
        <v>79</v>
      </c>
      <c r="B24" s="9">
        <v>5.7505394245799298E-11</v>
      </c>
      <c r="C24" s="8" t="s">
        <v>9</v>
      </c>
      <c r="I24" s="8" t="s">
        <v>593</v>
      </c>
    </row>
    <row r="25" spans="1:10" x14ac:dyDescent="0.25">
      <c r="A25" s="8" t="s">
        <v>80</v>
      </c>
      <c r="B25" s="9">
        <v>4.13485559684343E-2</v>
      </c>
      <c r="C25" s="8" t="s">
        <v>9</v>
      </c>
      <c r="I25" s="8" t="s">
        <v>593</v>
      </c>
    </row>
    <row r="26" spans="1:10" x14ac:dyDescent="0.25">
      <c r="A26" s="8" t="s">
        <v>81</v>
      </c>
      <c r="B26" s="9">
        <v>1.0424454825286901E-10</v>
      </c>
      <c r="C26" s="8" t="s">
        <v>9</v>
      </c>
      <c r="I26" s="8" t="s">
        <v>593</v>
      </c>
    </row>
    <row r="27" spans="1:10" x14ac:dyDescent="0.25">
      <c r="A27" s="3" t="str">
        <f>Mining!A13</f>
        <v>Iron ore, beneficiated, 65% Fe {GLO}| market for | Alloc Rec, U_mr_Scope 3</v>
      </c>
      <c r="B27" s="53">
        <f>IF(subprocess_MFA=1,0,1.0853995941714)</f>
        <v>0</v>
      </c>
      <c r="C27" s="8" t="s">
        <v>9</v>
      </c>
      <c r="I27" s="8" t="s">
        <v>593</v>
      </c>
      <c r="J27" s="8" t="s">
        <v>471</v>
      </c>
    </row>
    <row r="28" spans="1:10" x14ac:dyDescent="0.25">
      <c r="A28" s="8" t="s">
        <v>59</v>
      </c>
      <c r="B28" s="9">
        <v>2.5000000000000001E-11</v>
      </c>
      <c r="C28" s="8" t="s">
        <v>61</v>
      </c>
      <c r="I28" s="8" t="s">
        <v>593</v>
      </c>
    </row>
    <row r="29" spans="1:10" x14ac:dyDescent="0.25">
      <c r="A29" s="8" t="s">
        <v>82</v>
      </c>
      <c r="B29" s="9">
        <v>5.9071910683316898E-10</v>
      </c>
      <c r="C29" s="8" t="s">
        <v>9</v>
      </c>
      <c r="I29" s="8" t="s">
        <v>593</v>
      </c>
    </row>
    <row r="30" spans="1:10" x14ac:dyDescent="0.25">
      <c r="A30" s="8" t="s">
        <v>83</v>
      </c>
      <c r="B30" s="9">
        <v>2.5303512757082801E-9</v>
      </c>
      <c r="C30" s="8" t="s">
        <v>9</v>
      </c>
      <c r="I30" s="8" t="s">
        <v>593</v>
      </c>
    </row>
    <row r="31" spans="1:10" x14ac:dyDescent="0.25">
      <c r="A31" s="8" t="s">
        <v>84</v>
      </c>
      <c r="B31" s="9">
        <v>3.1475675643076699E-10</v>
      </c>
      <c r="C31" s="8" t="s">
        <v>9</v>
      </c>
      <c r="I31" s="8" t="s">
        <v>593</v>
      </c>
    </row>
    <row r="32" spans="1:10" x14ac:dyDescent="0.25">
      <c r="A32" s="8" t="s">
        <v>85</v>
      </c>
      <c r="B32" s="9">
        <v>1.5050157380955001E-7</v>
      </c>
      <c r="C32" s="8" t="s">
        <v>9</v>
      </c>
      <c r="I32" s="8" t="s">
        <v>593</v>
      </c>
    </row>
    <row r="33" spans="1:10" x14ac:dyDescent="0.25">
      <c r="A33" s="8" t="s">
        <v>86</v>
      </c>
      <c r="B33" s="9">
        <v>2.2560332787987901E-7</v>
      </c>
      <c r="C33" s="8" t="s">
        <v>9</v>
      </c>
      <c r="I33" s="8" t="s">
        <v>593</v>
      </c>
    </row>
    <row r="34" spans="1:10" x14ac:dyDescent="0.25">
      <c r="A34" s="3" t="str">
        <f>'Electricity generation'!A32</f>
        <v>Electricity, global mix, medium voltage_mr_Scope 2</v>
      </c>
      <c r="B34" s="51">
        <f>Pellet_electricity/RE_pelletizing</f>
        <v>1.085399593887322E-2</v>
      </c>
      <c r="C34" s="8" t="s">
        <v>14</v>
      </c>
      <c r="I34" s="8" t="s">
        <v>87</v>
      </c>
      <c r="J34" s="4"/>
    </row>
    <row r="35" spans="1:10" x14ac:dyDescent="0.25">
      <c r="A35" s="3" t="str">
        <f>'Other processes'!A5</f>
        <v>Coke {GLO}| market for | Alloc Rec, U_mr_Scope 2</v>
      </c>
      <c r="B35" s="51">
        <f>Pellet_coke/RE_pelletizing</f>
        <v>0.39074385379943594</v>
      </c>
      <c r="C35" s="8" t="s">
        <v>14</v>
      </c>
      <c r="I35" s="8" t="s">
        <v>87</v>
      </c>
      <c r="J35" s="4"/>
    </row>
    <row r="36" spans="1:10" x14ac:dyDescent="0.25">
      <c r="A36" s="8" t="s">
        <v>497</v>
      </c>
      <c r="B36" s="51">
        <f>Pellet_NatGas/RE_pelletizing</f>
        <v>0.10853995938873222</v>
      </c>
      <c r="C36" s="8" t="s">
        <v>14</v>
      </c>
      <c r="I36" s="8" t="s">
        <v>87</v>
      </c>
      <c r="J36" s="4"/>
    </row>
    <row r="37" spans="1:10" x14ac:dyDescent="0.25">
      <c r="A37" s="8" t="s">
        <v>492</v>
      </c>
      <c r="B37" s="51">
        <f>Pellet_BF_gas/RE_pelletizing</f>
        <v>0.37988985786056267</v>
      </c>
      <c r="C37" s="8" t="s">
        <v>14</v>
      </c>
      <c r="I37" s="8" t="s">
        <v>87</v>
      </c>
      <c r="J37" s="4"/>
    </row>
    <row r="38" spans="1:10" x14ac:dyDescent="0.25">
      <c r="A38" s="1" t="s">
        <v>16</v>
      </c>
    </row>
    <row r="39" spans="1:10" x14ac:dyDescent="0.25">
      <c r="A39" s="8" t="s">
        <v>25</v>
      </c>
      <c r="B39" s="8">
        <v>2.79102752786932E-9</v>
      </c>
      <c r="C39" s="8" t="s">
        <v>9</v>
      </c>
      <c r="I39" s="8" t="s">
        <v>593</v>
      </c>
    </row>
    <row r="40" spans="1:10" x14ac:dyDescent="0.25">
      <c r="A40" s="8" t="s">
        <v>49</v>
      </c>
      <c r="B40" s="8">
        <v>6.8741974297522102E-8</v>
      </c>
      <c r="C40" s="8" t="s">
        <v>9</v>
      </c>
      <c r="I40" s="8" t="s">
        <v>593</v>
      </c>
    </row>
    <row r="41" spans="1:10" x14ac:dyDescent="0.25">
      <c r="A41" s="8" t="s">
        <v>51</v>
      </c>
      <c r="B41" s="8">
        <v>1.72601629085373E-15</v>
      </c>
      <c r="C41" s="8" t="s">
        <v>9</v>
      </c>
      <c r="I41" s="8" t="s">
        <v>593</v>
      </c>
    </row>
    <row r="42" spans="1:10" x14ac:dyDescent="0.25">
      <c r="A42" s="8" t="s">
        <v>52</v>
      </c>
      <c r="B42" s="8">
        <v>2.1707991883428E-10</v>
      </c>
      <c r="C42" s="8" t="s">
        <v>9</v>
      </c>
      <c r="I42" s="8" t="s">
        <v>593</v>
      </c>
    </row>
    <row r="43" spans="1:10" x14ac:dyDescent="0.25">
      <c r="A43" s="8" t="s">
        <v>66</v>
      </c>
      <c r="B43" s="8">
        <v>2.32585627322443E-5</v>
      </c>
      <c r="C43" s="8" t="s">
        <v>9</v>
      </c>
      <c r="I43" s="8" t="s">
        <v>593</v>
      </c>
    </row>
    <row r="44" spans="1:10" x14ac:dyDescent="0.25">
      <c r="A44" s="8" t="s">
        <v>69</v>
      </c>
      <c r="B44" s="8">
        <v>2.5842847480271501E-5</v>
      </c>
      <c r="C44" s="8" t="s">
        <v>9</v>
      </c>
      <c r="I44" s="8" t="s">
        <v>593</v>
      </c>
    </row>
    <row r="45" spans="1:10" x14ac:dyDescent="0.25">
      <c r="A45" s="8" t="s">
        <v>62</v>
      </c>
      <c r="B45" s="8">
        <v>1.96405640850063E-10</v>
      </c>
      <c r="C45" s="8" t="s">
        <v>9</v>
      </c>
      <c r="I45" s="8" t="s">
        <v>593</v>
      </c>
    </row>
    <row r="46" spans="1:10" x14ac:dyDescent="0.25">
      <c r="A46" s="8" t="s">
        <v>46</v>
      </c>
      <c r="B46" s="8">
        <v>4.75508393636995E-9</v>
      </c>
      <c r="C46" s="8" t="s">
        <v>9</v>
      </c>
      <c r="I46" s="8" t="s">
        <v>593</v>
      </c>
    </row>
    <row r="47" spans="1:10" x14ac:dyDescent="0.25">
      <c r="A47" s="8" t="s">
        <v>44</v>
      </c>
      <c r="B47" s="8">
        <v>1.40116005881187E-8</v>
      </c>
      <c r="C47" s="8" t="s">
        <v>41</v>
      </c>
      <c r="I47" s="8" t="s">
        <v>593</v>
      </c>
    </row>
    <row r="48" spans="1:10" x14ac:dyDescent="0.25">
      <c r="A48" s="8" t="s">
        <v>67</v>
      </c>
      <c r="B48" s="8">
        <v>2.3775419681849701E-8</v>
      </c>
      <c r="C48" s="8" t="s">
        <v>9</v>
      </c>
      <c r="I48" s="8" t="s">
        <v>593</v>
      </c>
    </row>
    <row r="49" spans="1:9" x14ac:dyDescent="0.25">
      <c r="A49" s="8" t="s">
        <v>65</v>
      </c>
      <c r="B49" s="8">
        <v>2.05709065942961E-5</v>
      </c>
      <c r="C49" s="8" t="s">
        <v>9</v>
      </c>
      <c r="I49" s="8" t="s">
        <v>593</v>
      </c>
    </row>
    <row r="50" spans="1:9" x14ac:dyDescent="0.25">
      <c r="A50" s="8" t="s">
        <v>63</v>
      </c>
      <c r="B50" s="8">
        <v>2.4499019411297299E-2</v>
      </c>
      <c r="C50" s="8" t="s">
        <v>9</v>
      </c>
      <c r="I50" s="8" t="s">
        <v>593</v>
      </c>
    </row>
    <row r="51" spans="1:9" x14ac:dyDescent="0.25">
      <c r="A51" s="8" t="s">
        <v>51</v>
      </c>
      <c r="B51" s="8">
        <v>2.5842847480271498E-10</v>
      </c>
      <c r="C51" s="8" t="s">
        <v>9</v>
      </c>
      <c r="I51" s="8" t="s">
        <v>593</v>
      </c>
    </row>
    <row r="52" spans="1:9" x14ac:dyDescent="0.25">
      <c r="A52" s="8" t="s">
        <v>70</v>
      </c>
      <c r="B52" s="8">
        <v>8.83825383825284E-8</v>
      </c>
      <c r="C52" s="8" t="s">
        <v>9</v>
      </c>
      <c r="I52" s="8" t="s">
        <v>593</v>
      </c>
    </row>
    <row r="53" spans="1:9" x14ac:dyDescent="0.25">
      <c r="A53" s="8" t="s">
        <v>71</v>
      </c>
      <c r="B53" s="8">
        <v>7.7528542440814401E-5</v>
      </c>
      <c r="C53" s="8" t="s">
        <v>9</v>
      </c>
      <c r="I53" s="8" t="s">
        <v>593</v>
      </c>
    </row>
    <row r="54" spans="1:9" x14ac:dyDescent="0.25">
      <c r="A54" s="8" t="s">
        <v>63</v>
      </c>
      <c r="B54" s="8">
        <v>1.32441844099919E-8</v>
      </c>
      <c r="C54" s="8" t="s">
        <v>9</v>
      </c>
      <c r="I54" s="8" t="s">
        <v>593</v>
      </c>
    </row>
    <row r="55" spans="1:9" x14ac:dyDescent="0.25">
      <c r="A55" s="8" t="s">
        <v>18</v>
      </c>
      <c r="B55" s="8">
        <v>2.1707991883428E-4</v>
      </c>
      <c r="C55" s="8" t="s">
        <v>9</v>
      </c>
      <c r="I55" s="8" t="s">
        <v>593</v>
      </c>
    </row>
    <row r="56" spans="1:9" x14ac:dyDescent="0.25">
      <c r="A56" s="8" t="s">
        <v>18</v>
      </c>
      <c r="B56" s="8">
        <v>3.649128831041E-13</v>
      </c>
      <c r="C56" s="8" t="s">
        <v>9</v>
      </c>
      <c r="I56" s="8" t="s">
        <v>593</v>
      </c>
    </row>
    <row r="57" spans="1:9" x14ac:dyDescent="0.25">
      <c r="A57" s="8" t="s">
        <v>88</v>
      </c>
      <c r="B57" s="8">
        <v>2.6157976265350601E-14</v>
      </c>
      <c r="C57" s="8" t="s">
        <v>9</v>
      </c>
      <c r="I57" s="8" t="s">
        <v>593</v>
      </c>
    </row>
    <row r="58" spans="1:9" x14ac:dyDescent="0.25">
      <c r="A58" s="8" t="s">
        <v>72</v>
      </c>
      <c r="B58" s="8">
        <v>5.8921692255018897E-15</v>
      </c>
      <c r="C58" s="8" t="s">
        <v>9</v>
      </c>
      <c r="I58" s="8" t="s">
        <v>593</v>
      </c>
    </row>
    <row r="59" spans="1:9" x14ac:dyDescent="0.25">
      <c r="A59" s="8" t="s">
        <v>15</v>
      </c>
      <c r="B59" s="8">
        <v>3.4303861725710901E-12</v>
      </c>
      <c r="C59" s="8" t="s">
        <v>9</v>
      </c>
      <c r="I59" s="8" t="s">
        <v>593</v>
      </c>
    </row>
    <row r="60" spans="1:9" x14ac:dyDescent="0.25">
      <c r="A60" s="8" t="s">
        <v>71</v>
      </c>
      <c r="B60" s="8">
        <v>5.9185839146066402E-12</v>
      </c>
      <c r="C60" s="8" t="s">
        <v>9</v>
      </c>
      <c r="I60" s="8" t="s">
        <v>593</v>
      </c>
    </row>
    <row r="61" spans="1:9" x14ac:dyDescent="0.25">
      <c r="A61" s="8" t="s">
        <v>26</v>
      </c>
      <c r="B61" s="8">
        <v>5.8094721135650201E-8</v>
      </c>
      <c r="C61" s="8" t="s">
        <v>9</v>
      </c>
      <c r="I61" s="8" t="s">
        <v>593</v>
      </c>
    </row>
    <row r="62" spans="1:9" x14ac:dyDescent="0.25">
      <c r="A62" s="8" t="s">
        <v>19</v>
      </c>
      <c r="B62" s="8">
        <v>1.6411395821199501E-11</v>
      </c>
      <c r="C62" s="8" t="s">
        <v>9</v>
      </c>
      <c r="I62" s="8" t="s">
        <v>593</v>
      </c>
    </row>
    <row r="63" spans="1:9" x14ac:dyDescent="0.25">
      <c r="A63" s="8" t="s">
        <v>19</v>
      </c>
      <c r="B63" s="8">
        <v>1.3851766249425499E-4</v>
      </c>
      <c r="C63" s="8" t="s">
        <v>9</v>
      </c>
      <c r="I63" s="8" t="s">
        <v>593</v>
      </c>
    </row>
    <row r="64" spans="1:9" x14ac:dyDescent="0.25">
      <c r="A64" s="8" t="s">
        <v>17</v>
      </c>
      <c r="B64" s="8">
        <v>1.02307764299177E-11</v>
      </c>
      <c r="C64" s="8" t="s">
        <v>9</v>
      </c>
      <c r="I64" s="8" t="s">
        <v>593</v>
      </c>
    </row>
    <row r="65" spans="1:9" x14ac:dyDescent="0.25">
      <c r="A65" s="8" t="s">
        <v>45</v>
      </c>
      <c r="B65" s="8">
        <v>1.5505708488162901E-8</v>
      </c>
      <c r="C65" s="8" t="s">
        <v>9</v>
      </c>
      <c r="I65" s="8" t="s">
        <v>593</v>
      </c>
    </row>
    <row r="66" spans="1:9" x14ac:dyDescent="0.25">
      <c r="A66" s="8" t="s">
        <v>89</v>
      </c>
      <c r="B66" s="8">
        <v>7.0122972080123597E-12</v>
      </c>
      <c r="C66" s="8" t="s">
        <v>9</v>
      </c>
      <c r="I66" s="8" t="s">
        <v>593</v>
      </c>
    </row>
    <row r="67" spans="1:9" x14ac:dyDescent="0.25">
      <c r="A67" s="8" t="s">
        <v>90</v>
      </c>
      <c r="B67" s="8">
        <v>1.0652311762017299E-15</v>
      </c>
      <c r="C67" s="8" t="s">
        <v>9</v>
      </c>
      <c r="I67" s="8" t="s">
        <v>593</v>
      </c>
    </row>
    <row r="68" spans="1:9" x14ac:dyDescent="0.25">
      <c r="A68" s="8" t="s">
        <v>65</v>
      </c>
      <c r="B68" s="8">
        <v>8.0889212308355602E-12</v>
      </c>
      <c r="C68" s="8" t="s">
        <v>9</v>
      </c>
      <c r="I68" s="8" t="s">
        <v>593</v>
      </c>
    </row>
    <row r="69" spans="1:9" x14ac:dyDescent="0.25">
      <c r="A69" s="8" t="s">
        <v>15</v>
      </c>
      <c r="B69" s="8">
        <v>3.2561987825142002E-4</v>
      </c>
      <c r="C69" s="8" t="s">
        <v>9</v>
      </c>
      <c r="I69" s="8" t="s">
        <v>593</v>
      </c>
    </row>
    <row r="70" spans="1:9" x14ac:dyDescent="0.25">
      <c r="A70" s="8" t="s">
        <v>69</v>
      </c>
      <c r="B70" s="8">
        <v>3.4577290048758301E-12</v>
      </c>
      <c r="C70" s="8" t="s">
        <v>9</v>
      </c>
      <c r="I70" s="8" t="s">
        <v>593</v>
      </c>
    </row>
    <row r="71" spans="1:9" x14ac:dyDescent="0.25">
      <c r="A71" s="1" t="s">
        <v>20</v>
      </c>
    </row>
    <row r="72" spans="1:9" x14ac:dyDescent="0.25">
      <c r="A72" s="8" t="s">
        <v>27</v>
      </c>
      <c r="B72" s="8">
        <v>2.0598267022479199E-13</v>
      </c>
      <c r="C72" s="8" t="s">
        <v>9</v>
      </c>
      <c r="I72" s="8" t="s">
        <v>593</v>
      </c>
    </row>
    <row r="73" spans="1:9" x14ac:dyDescent="0.25">
      <c r="A73" s="8" t="s">
        <v>67</v>
      </c>
      <c r="B73" s="8">
        <v>3.2498095504731499E-14</v>
      </c>
      <c r="C73" s="8" t="s">
        <v>9</v>
      </c>
      <c r="I73" s="8" t="s">
        <v>593</v>
      </c>
    </row>
    <row r="74" spans="1:9" x14ac:dyDescent="0.25">
      <c r="A74" s="8" t="s">
        <v>91</v>
      </c>
      <c r="B74" s="8">
        <v>1.99317854791703E-13</v>
      </c>
      <c r="C74" s="8" t="s">
        <v>9</v>
      </c>
      <c r="I74" s="8" t="s">
        <v>593</v>
      </c>
    </row>
    <row r="75" spans="1:9" x14ac:dyDescent="0.25">
      <c r="A75" s="8" t="s">
        <v>92</v>
      </c>
      <c r="B75" s="8">
        <v>1.2999238202917801E-14</v>
      </c>
      <c r="C75" s="8" t="s">
        <v>9</v>
      </c>
      <c r="I75" s="8" t="s">
        <v>593</v>
      </c>
    </row>
    <row r="76" spans="1:9" x14ac:dyDescent="0.25">
      <c r="A76" s="8" t="s">
        <v>28</v>
      </c>
      <c r="B76" s="8">
        <v>6.9382437035683102E-13</v>
      </c>
      <c r="C76" s="8" t="s">
        <v>9</v>
      </c>
      <c r="I76" s="8" t="s">
        <v>593</v>
      </c>
    </row>
    <row r="77" spans="1:9" x14ac:dyDescent="0.25">
      <c r="A77" s="8" t="s">
        <v>93</v>
      </c>
      <c r="B77" s="8">
        <v>7.9399069999264998E-8</v>
      </c>
      <c r="C77" s="8" t="s">
        <v>41</v>
      </c>
      <c r="I77" s="8" t="s">
        <v>593</v>
      </c>
    </row>
    <row r="78" spans="1:9" x14ac:dyDescent="0.25">
      <c r="A78" s="1" t="s">
        <v>94</v>
      </c>
    </row>
    <row r="79" spans="1:9" x14ac:dyDescent="0.25">
      <c r="A79" s="8" t="s">
        <v>95</v>
      </c>
      <c r="B79" s="9">
        <v>5.6941448330210198E-11</v>
      </c>
      <c r="C79" s="8" t="s">
        <v>9</v>
      </c>
      <c r="I79" s="8" t="s">
        <v>593</v>
      </c>
    </row>
    <row r="80" spans="1:9" x14ac:dyDescent="0.25">
      <c r="A80" s="8" t="s">
        <v>96</v>
      </c>
      <c r="B80" s="9">
        <v>1.5129700555610599E-12</v>
      </c>
      <c r="C80" s="8" t="s">
        <v>9</v>
      </c>
      <c r="I80" s="8" t="s">
        <v>593</v>
      </c>
    </row>
    <row r="81" spans="1:9" x14ac:dyDescent="0.25">
      <c r="A81" s="8" t="s">
        <v>97</v>
      </c>
      <c r="B81" s="9">
        <v>2.1407159145281199E-12</v>
      </c>
      <c r="C81" s="8" t="s">
        <v>9</v>
      </c>
      <c r="I81" s="8" t="s">
        <v>593</v>
      </c>
    </row>
  </sheetData>
  <pageMargins left="0.7" right="0.7" top="0.75" bottom="0.75" header="0.3" footer="0.3"/>
  <pageSetup paperSize="9"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theme="9" tint="0.59999389629810485"/>
  </sheetPr>
  <dimension ref="A4:J96"/>
  <sheetViews>
    <sheetView topLeftCell="A57" workbookViewId="0">
      <selection activeCell="C35" sqref="C35"/>
    </sheetView>
  </sheetViews>
  <sheetFormatPr defaultColWidth="9.140625" defaultRowHeight="15" x14ac:dyDescent="0.25"/>
  <cols>
    <col min="1" max="1" width="82.5703125" style="8" customWidth="1"/>
    <col min="2" max="2" width="12" style="8" bestFit="1" customWidth="1"/>
    <col min="3" max="4" width="9.140625" style="8"/>
    <col min="5" max="5" width="18" style="8" bestFit="1" customWidth="1"/>
    <col min="6" max="7" width="12" style="8" bestFit="1" customWidth="1"/>
    <col min="8" max="8" width="9.140625" style="8"/>
    <col min="9" max="9" width="12" style="8" customWidth="1"/>
    <col min="10" max="10" width="23.85546875" style="8" customWidth="1"/>
    <col min="11" max="11" width="9.140625" style="8" customWidth="1"/>
    <col min="12" max="16384" width="9.140625" style="8"/>
  </cols>
  <sheetData>
    <row r="4" spans="1:10" x14ac:dyDescent="0.25">
      <c r="A4" s="2" t="s">
        <v>167</v>
      </c>
      <c r="B4" s="2"/>
      <c r="C4" s="2"/>
      <c r="D4" s="2"/>
      <c r="E4" s="2"/>
      <c r="F4" s="1"/>
      <c r="G4" s="1"/>
      <c r="H4" s="1"/>
      <c r="I4" s="1"/>
      <c r="J4" s="1"/>
    </row>
    <row r="5" spans="1:10" x14ac:dyDescent="0.25">
      <c r="A5" s="1" t="s">
        <v>10</v>
      </c>
      <c r="B5" s="1" t="s">
        <v>2</v>
      </c>
      <c r="C5" s="1" t="s">
        <v>0</v>
      </c>
      <c r="D5" s="1"/>
      <c r="E5" s="1" t="s">
        <v>3</v>
      </c>
      <c r="F5" s="1" t="s">
        <v>4</v>
      </c>
      <c r="G5" s="1" t="s">
        <v>5</v>
      </c>
      <c r="H5" s="1" t="s">
        <v>6</v>
      </c>
      <c r="I5" s="1" t="s">
        <v>7</v>
      </c>
      <c r="J5" s="1" t="s">
        <v>8</v>
      </c>
    </row>
    <row r="6" spans="1:10" x14ac:dyDescent="0.25">
      <c r="A6" s="8" t="s">
        <v>168</v>
      </c>
      <c r="B6" s="8">
        <v>1</v>
      </c>
      <c r="C6" s="8" t="s">
        <v>9</v>
      </c>
    </row>
    <row r="7" spans="1:10" x14ac:dyDescent="0.25">
      <c r="A7" s="1" t="s">
        <v>1</v>
      </c>
      <c r="B7" s="1" t="s">
        <v>2</v>
      </c>
      <c r="C7" s="1" t="s">
        <v>0</v>
      </c>
      <c r="D7" s="1"/>
      <c r="E7" s="1" t="s">
        <v>3</v>
      </c>
      <c r="F7" s="1" t="s">
        <v>4</v>
      </c>
      <c r="G7" s="1" t="s">
        <v>5</v>
      </c>
      <c r="H7" s="1" t="s">
        <v>6</v>
      </c>
      <c r="I7" s="1" t="s">
        <v>7</v>
      </c>
      <c r="J7" s="1" t="s">
        <v>8</v>
      </c>
    </row>
    <row r="8" spans="1:10" x14ac:dyDescent="0.25">
      <c r="A8" s="3" t="str">
        <f>A12</f>
        <v>Pig iron {GLO}| market for | Alloc Rec, U_mr</v>
      </c>
      <c r="B8" s="6">
        <v>1</v>
      </c>
      <c r="C8" s="8" t="s">
        <v>9</v>
      </c>
    </row>
    <row r="10" spans="1:10" x14ac:dyDescent="0.25">
      <c r="A10" s="2" t="s">
        <v>169</v>
      </c>
      <c r="B10" s="2"/>
      <c r="C10" s="2"/>
      <c r="D10" s="2"/>
      <c r="E10" s="2"/>
      <c r="F10" s="1"/>
      <c r="G10" s="1"/>
      <c r="H10" s="1"/>
      <c r="I10" s="1"/>
      <c r="J10" s="1"/>
    </row>
    <row r="11" spans="1:10" x14ac:dyDescent="0.25">
      <c r="A11" s="1" t="s">
        <v>10</v>
      </c>
      <c r="B11" s="1" t="s">
        <v>2</v>
      </c>
      <c r="C11" s="1" t="s">
        <v>0</v>
      </c>
      <c r="D11" s="1"/>
      <c r="E11" s="1" t="s">
        <v>3</v>
      </c>
      <c r="F11" s="1" t="s">
        <v>4</v>
      </c>
      <c r="G11" s="1" t="s">
        <v>5</v>
      </c>
      <c r="H11" s="1" t="s">
        <v>6</v>
      </c>
      <c r="I11" s="1" t="s">
        <v>7</v>
      </c>
      <c r="J11" s="1" t="s">
        <v>8</v>
      </c>
    </row>
    <row r="12" spans="1:10" x14ac:dyDescent="0.25">
      <c r="A12" s="8" t="s">
        <v>169</v>
      </c>
      <c r="B12" s="8">
        <v>1</v>
      </c>
      <c r="C12" s="8" t="s">
        <v>9</v>
      </c>
      <c r="I12" s="8" t="s">
        <v>594</v>
      </c>
    </row>
    <row r="13" spans="1:10" x14ac:dyDescent="0.25">
      <c r="A13" s="1" t="s">
        <v>1</v>
      </c>
      <c r="B13" s="1" t="s">
        <v>2</v>
      </c>
      <c r="C13" s="1" t="s">
        <v>0</v>
      </c>
      <c r="D13" s="1"/>
      <c r="E13" s="1" t="s">
        <v>3</v>
      </c>
      <c r="F13" s="1" t="s">
        <v>4</v>
      </c>
      <c r="G13" s="1" t="s">
        <v>5</v>
      </c>
      <c r="H13" s="1" t="s">
        <v>6</v>
      </c>
      <c r="I13" s="1" t="s">
        <v>7</v>
      </c>
      <c r="J13" s="1" t="s">
        <v>8</v>
      </c>
    </row>
    <row r="14" spans="1:10" x14ac:dyDescent="0.25">
      <c r="A14" s="4" t="s">
        <v>31</v>
      </c>
      <c r="B14" s="4">
        <v>2.01E-2</v>
      </c>
      <c r="C14" s="4" t="s">
        <v>11</v>
      </c>
      <c r="D14" s="1"/>
      <c r="E14" s="1"/>
      <c r="F14" s="1"/>
      <c r="G14" s="1"/>
      <c r="H14" s="1"/>
      <c r="I14" s="8" t="s">
        <v>594</v>
      </c>
    </row>
    <row r="15" spans="1:10" x14ac:dyDescent="0.25">
      <c r="A15" s="4" t="s">
        <v>33</v>
      </c>
      <c r="B15" s="4">
        <v>0.20649999999999999</v>
      </c>
      <c r="C15" s="4" t="s">
        <v>11</v>
      </c>
      <c r="D15" s="1"/>
      <c r="E15" s="1"/>
      <c r="F15" s="1"/>
      <c r="G15" s="1"/>
      <c r="H15" s="1"/>
      <c r="I15" s="8" t="s">
        <v>594</v>
      </c>
    </row>
    <row r="16" spans="1:10" x14ac:dyDescent="0.25">
      <c r="A16" s="4" t="s">
        <v>32</v>
      </c>
      <c r="B16" s="4">
        <v>0.44090000000000001</v>
      </c>
      <c r="C16" s="4" t="s">
        <v>11</v>
      </c>
      <c r="D16" s="1"/>
      <c r="E16" s="1"/>
      <c r="F16" s="1"/>
      <c r="G16" s="1"/>
      <c r="H16" s="1"/>
      <c r="I16" s="8" t="s">
        <v>594</v>
      </c>
    </row>
    <row r="17" spans="1:10" x14ac:dyDescent="0.25">
      <c r="A17" s="3" t="str">
        <f>A26</f>
        <v>Pig iron {GLO}| production | Alloc Rec, U_mr</v>
      </c>
      <c r="B17" s="4">
        <v>1</v>
      </c>
      <c r="C17" s="4" t="s">
        <v>9</v>
      </c>
      <c r="D17" s="1"/>
      <c r="E17" s="1"/>
      <c r="F17" s="1"/>
      <c r="G17" s="1"/>
      <c r="H17" s="1"/>
      <c r="I17" s="8" t="s">
        <v>594</v>
      </c>
    </row>
    <row r="18" spans="1:10" x14ac:dyDescent="0.25">
      <c r="A18" s="4" t="s">
        <v>35</v>
      </c>
      <c r="B18" s="4">
        <v>1.24034117202515E-2</v>
      </c>
      <c r="C18" s="4" t="s">
        <v>11</v>
      </c>
      <c r="D18" s="1"/>
      <c r="E18" s="1"/>
      <c r="F18" s="1"/>
      <c r="G18" s="1"/>
      <c r="H18" s="1"/>
      <c r="I18" s="8" t="s">
        <v>594</v>
      </c>
    </row>
    <row r="19" spans="1:10" x14ac:dyDescent="0.25">
      <c r="A19" s="4" t="s">
        <v>36</v>
      </c>
      <c r="B19" s="4">
        <v>4.1976808277480702E-2</v>
      </c>
      <c r="C19" s="4" t="s">
        <v>11</v>
      </c>
      <c r="D19" s="1"/>
      <c r="E19" s="1"/>
      <c r="F19" s="1"/>
      <c r="G19" s="1"/>
      <c r="H19" s="1"/>
      <c r="I19" s="8" t="s">
        <v>594</v>
      </c>
    </row>
    <row r="20" spans="1:10" x14ac:dyDescent="0.25">
      <c r="A20" s="4" t="s">
        <v>37</v>
      </c>
      <c r="B20" s="4">
        <v>2.4722617262255299E-4</v>
      </c>
      <c r="C20" s="4" t="s">
        <v>11</v>
      </c>
      <c r="D20" s="1"/>
      <c r="E20" s="1"/>
      <c r="F20" s="1"/>
      <c r="G20" s="1"/>
      <c r="H20" s="1"/>
      <c r="I20" s="8" t="s">
        <v>594</v>
      </c>
    </row>
    <row r="21" spans="1:10" x14ac:dyDescent="0.25">
      <c r="A21" s="4" t="s">
        <v>38</v>
      </c>
      <c r="B21" s="4">
        <v>5.8964396874062498E-2</v>
      </c>
      <c r="C21" s="4" t="s">
        <v>11</v>
      </c>
      <c r="D21" s="1"/>
      <c r="E21" s="1"/>
      <c r="F21" s="1"/>
      <c r="G21" s="1"/>
      <c r="H21" s="1"/>
      <c r="I21" s="8" t="s">
        <v>594</v>
      </c>
    </row>
    <row r="22" spans="1:10" x14ac:dyDescent="0.25">
      <c r="A22" s="4" t="s">
        <v>39</v>
      </c>
      <c r="B22" s="4">
        <v>7.6708156955582696E-2</v>
      </c>
      <c r="C22" s="4" t="s">
        <v>11</v>
      </c>
      <c r="D22" s="1"/>
      <c r="E22" s="1"/>
      <c r="F22" s="1"/>
      <c r="G22" s="1"/>
      <c r="H22" s="1"/>
      <c r="I22" s="8" t="s">
        <v>594</v>
      </c>
    </row>
    <row r="24" spans="1:10" x14ac:dyDescent="0.25">
      <c r="A24" s="2" t="s">
        <v>170</v>
      </c>
      <c r="B24" s="2"/>
      <c r="C24" s="2"/>
      <c r="D24" s="2"/>
      <c r="E24" s="2"/>
      <c r="F24" s="1"/>
      <c r="G24" s="1"/>
      <c r="H24" s="1"/>
      <c r="I24" s="1"/>
      <c r="J24" s="1"/>
    </row>
    <row r="25" spans="1:10" x14ac:dyDescent="0.25">
      <c r="A25" s="1" t="s">
        <v>10</v>
      </c>
      <c r="B25" s="1" t="s">
        <v>2</v>
      </c>
      <c r="C25" s="1" t="s">
        <v>0</v>
      </c>
      <c r="D25" s="1"/>
      <c r="E25" s="1" t="s">
        <v>3</v>
      </c>
      <c r="F25" s="1" t="s">
        <v>4</v>
      </c>
      <c r="G25" s="1" t="s">
        <v>5</v>
      </c>
      <c r="H25" s="1" t="s">
        <v>6</v>
      </c>
      <c r="I25" s="1" t="s">
        <v>7</v>
      </c>
      <c r="J25" s="1" t="s">
        <v>8</v>
      </c>
    </row>
    <row r="26" spans="1:10" x14ac:dyDescent="0.25">
      <c r="A26" s="8" t="s">
        <v>170</v>
      </c>
      <c r="B26" s="50">
        <f>((0.4*FEcontent_IronPellet+1.05*FEcontent_SinterIron+0.15*FEcontent_IronOreBeneficiated))/RE_BF</f>
        <v>1.094836956902552</v>
      </c>
      <c r="C26" s="8" t="s">
        <v>9</v>
      </c>
      <c r="I26" s="8" t="s">
        <v>569</v>
      </c>
    </row>
    <row r="27" spans="1:10" x14ac:dyDescent="0.25">
      <c r="A27" s="1" t="s">
        <v>1</v>
      </c>
      <c r="B27" s="1" t="s">
        <v>2</v>
      </c>
      <c r="C27" s="1" t="s">
        <v>0</v>
      </c>
      <c r="D27" s="1"/>
      <c r="E27" s="1" t="s">
        <v>3</v>
      </c>
      <c r="F27" s="1" t="s">
        <v>4</v>
      </c>
      <c r="G27" s="1" t="s">
        <v>5</v>
      </c>
      <c r="H27" s="1" t="s">
        <v>6</v>
      </c>
      <c r="I27" s="1" t="s">
        <v>7</v>
      </c>
      <c r="J27" s="1" t="s">
        <v>8</v>
      </c>
    </row>
    <row r="28" spans="1:10" x14ac:dyDescent="0.25">
      <c r="A28" s="8" t="s">
        <v>172</v>
      </c>
      <c r="B28" s="8">
        <v>1.05697540284266E-3</v>
      </c>
      <c r="C28" s="8" t="s">
        <v>41</v>
      </c>
      <c r="I28" s="8" t="s">
        <v>595</v>
      </c>
    </row>
    <row r="29" spans="1:10" x14ac:dyDescent="0.25">
      <c r="A29" s="8" t="s">
        <v>40</v>
      </c>
      <c r="B29" s="8">
        <v>4.03572426539923E-4</v>
      </c>
      <c r="C29" s="8" t="s">
        <v>41</v>
      </c>
      <c r="I29" s="8" t="s">
        <v>595</v>
      </c>
    </row>
    <row r="30" spans="1:10" x14ac:dyDescent="0.25">
      <c r="A30" s="8" t="s">
        <v>173</v>
      </c>
      <c r="B30" s="8">
        <v>1.3333000000000001E-11</v>
      </c>
      <c r="C30" s="8" t="s">
        <v>61</v>
      </c>
      <c r="I30" s="8" t="s">
        <v>595</v>
      </c>
    </row>
    <row r="31" spans="1:10" x14ac:dyDescent="0.25">
      <c r="A31" s="3" t="str">
        <f>Pelleting!A12</f>
        <v>Iron pellet {GLO}| market for | Alloc Rec, U_mr_Scope 3</v>
      </c>
      <c r="B31" s="50">
        <f>IF(subprocess_MFA=1,0,0.4)</f>
        <v>0</v>
      </c>
      <c r="C31" s="8" t="s">
        <v>9</v>
      </c>
      <c r="I31" s="8" t="s">
        <v>595</v>
      </c>
      <c r="J31" s="8" t="s">
        <v>471</v>
      </c>
    </row>
    <row r="32" spans="1:10" x14ac:dyDescent="0.25">
      <c r="A32" s="8" t="s">
        <v>174</v>
      </c>
      <c r="B32" s="8">
        <v>2E-3</v>
      </c>
      <c r="C32" s="8" t="s">
        <v>9</v>
      </c>
      <c r="I32" s="8" t="s">
        <v>595</v>
      </c>
    </row>
    <row r="33" spans="1:10" x14ac:dyDescent="0.25">
      <c r="A33" s="8" t="s">
        <v>175</v>
      </c>
      <c r="B33" s="8">
        <v>-2.1</v>
      </c>
      <c r="C33" s="8" t="s">
        <v>14</v>
      </c>
      <c r="I33" s="8" t="s">
        <v>595</v>
      </c>
    </row>
    <row r="34" spans="1:10" x14ac:dyDescent="0.25">
      <c r="A34" s="8" t="s">
        <v>60</v>
      </c>
      <c r="B34" s="8">
        <v>0.01</v>
      </c>
      <c r="C34" s="8" t="s">
        <v>9</v>
      </c>
      <c r="I34" s="8" t="s">
        <v>595</v>
      </c>
    </row>
    <row r="35" spans="1:10" x14ac:dyDescent="0.25">
      <c r="A35" s="8" t="s">
        <v>56</v>
      </c>
      <c r="B35" s="50">
        <f>IF(subprocess_MFA=1,0,1.05)</f>
        <v>0</v>
      </c>
      <c r="C35" s="8" t="s">
        <v>9</v>
      </c>
      <c r="I35" s="8" t="s">
        <v>595</v>
      </c>
      <c r="J35" s="8" t="s">
        <v>471</v>
      </c>
    </row>
    <row r="36" spans="1:10" x14ac:dyDescent="0.25">
      <c r="A36" s="3" t="str">
        <f>Mining!A13</f>
        <v>Iron ore, beneficiated, 65% Fe {GLO}| market for | Alloc Rec, U_mr_Scope 3</v>
      </c>
      <c r="B36" s="8">
        <v>0.15</v>
      </c>
      <c r="C36" s="8" t="s">
        <v>9</v>
      </c>
      <c r="I36" s="8" t="s">
        <v>595</v>
      </c>
    </row>
    <row r="37" spans="1:10" x14ac:dyDescent="0.25">
      <c r="A37" s="3" t="str">
        <f>A85</f>
        <v>Pig iron {GLO}| production | Alloc Rec, U_mr_Scope 3_coal</v>
      </c>
      <c r="B37" s="50">
        <f>BF_coal/RE_BF</f>
        <v>4.4347826102381855</v>
      </c>
      <c r="C37" s="8" t="s">
        <v>14</v>
      </c>
      <c r="I37" s="8" t="s">
        <v>595</v>
      </c>
    </row>
    <row r="38" spans="1:10" x14ac:dyDescent="0.25">
      <c r="A38" s="8" t="s">
        <v>176</v>
      </c>
      <c r="B38" s="8">
        <v>5.7359399294531397E-6</v>
      </c>
      <c r="C38" s="8" t="s">
        <v>41</v>
      </c>
      <c r="I38" s="8" t="s">
        <v>595</v>
      </c>
    </row>
    <row r="39" spans="1:10" x14ac:dyDescent="0.25">
      <c r="A39" s="8" t="s">
        <v>177</v>
      </c>
      <c r="B39" s="8">
        <v>1.8877776983010299E-6</v>
      </c>
      <c r="C39" s="8" t="s">
        <v>41</v>
      </c>
      <c r="I39" s="8" t="s">
        <v>595</v>
      </c>
    </row>
    <row r="40" spans="1:10" x14ac:dyDescent="0.25">
      <c r="A40" s="8" t="s">
        <v>178</v>
      </c>
      <c r="B40" s="8">
        <v>4.2983246053623601E-6</v>
      </c>
      <c r="C40" s="8" t="s">
        <v>41</v>
      </c>
      <c r="I40" s="8" t="s">
        <v>595</v>
      </c>
    </row>
    <row r="41" spans="1:10" x14ac:dyDescent="0.25">
      <c r="A41" s="8" t="s">
        <v>179</v>
      </c>
      <c r="B41" s="8">
        <v>6.5380335938739297E-5</v>
      </c>
      <c r="C41" s="8" t="s">
        <v>41</v>
      </c>
      <c r="I41" s="8" t="s">
        <v>595</v>
      </c>
    </row>
    <row r="42" spans="1:10" x14ac:dyDescent="0.25">
      <c r="A42" s="8" t="s">
        <v>180</v>
      </c>
      <c r="B42" s="8">
        <v>7.9867518005043799E-7</v>
      </c>
      <c r="C42" s="8" t="s">
        <v>41</v>
      </c>
      <c r="I42" s="8" t="s">
        <v>595</v>
      </c>
    </row>
    <row r="43" spans="1:10" x14ac:dyDescent="0.25">
      <c r="A43" s="8" t="s">
        <v>181</v>
      </c>
      <c r="B43" s="8">
        <v>9.1775038871250306E-6</v>
      </c>
      <c r="C43" s="8" t="s">
        <v>41</v>
      </c>
      <c r="I43" s="8" t="s">
        <v>595</v>
      </c>
    </row>
    <row r="44" spans="1:10" x14ac:dyDescent="0.25">
      <c r="A44" s="8" t="s">
        <v>182</v>
      </c>
      <c r="B44" s="8">
        <v>3.08651653672219E-5</v>
      </c>
      <c r="C44" s="8" t="s">
        <v>41</v>
      </c>
      <c r="I44" s="8" t="s">
        <v>595</v>
      </c>
    </row>
    <row r="45" spans="1:10" x14ac:dyDescent="0.25">
      <c r="A45" s="8" t="s">
        <v>183</v>
      </c>
      <c r="B45" s="8">
        <v>6.6870894620586697E-6</v>
      </c>
      <c r="C45" s="8" t="s">
        <v>41</v>
      </c>
      <c r="I45" s="8" t="s">
        <v>595</v>
      </c>
    </row>
    <row r="46" spans="1:10" x14ac:dyDescent="0.25">
      <c r="A46" s="8" t="s">
        <v>184</v>
      </c>
      <c r="B46" s="8">
        <v>3.12209388565171E-6</v>
      </c>
      <c r="C46" s="8" t="s">
        <v>41</v>
      </c>
      <c r="I46" s="8" t="s">
        <v>595</v>
      </c>
    </row>
    <row r="47" spans="1:10" x14ac:dyDescent="0.25">
      <c r="A47" s="8" t="s">
        <v>185</v>
      </c>
      <c r="B47" s="8">
        <v>5.6633330949031002E-6</v>
      </c>
      <c r="C47" s="8" t="s">
        <v>41</v>
      </c>
      <c r="I47" s="8" t="s">
        <v>595</v>
      </c>
    </row>
    <row r="48" spans="1:10" x14ac:dyDescent="0.25">
      <c r="A48" s="8" t="s">
        <v>186</v>
      </c>
      <c r="B48" s="8">
        <v>4.0151579506172001E-5</v>
      </c>
      <c r="C48" s="8" t="s">
        <v>41</v>
      </c>
      <c r="I48" s="8" t="s">
        <v>595</v>
      </c>
    </row>
    <row r="49" spans="1:9" x14ac:dyDescent="0.25">
      <c r="A49" s="8" t="s">
        <v>187</v>
      </c>
      <c r="B49" s="8">
        <v>8.4151321243496096E-6</v>
      </c>
      <c r="C49" s="8" t="s">
        <v>41</v>
      </c>
      <c r="I49" s="8" t="s">
        <v>595</v>
      </c>
    </row>
    <row r="50" spans="1:9" x14ac:dyDescent="0.25">
      <c r="A50" s="8" t="s">
        <v>188</v>
      </c>
      <c r="B50" s="8">
        <v>5.8715694963926199E-5</v>
      </c>
      <c r="C50" s="8" t="s">
        <v>41</v>
      </c>
      <c r="I50" s="8" t="s">
        <v>595</v>
      </c>
    </row>
    <row r="51" spans="1:9" x14ac:dyDescent="0.25">
      <c r="A51" s="8" t="s">
        <v>189</v>
      </c>
      <c r="B51" s="8">
        <v>2.10777640698766E-6</v>
      </c>
      <c r="C51" s="8" t="s">
        <v>41</v>
      </c>
      <c r="I51" s="8" t="s">
        <v>595</v>
      </c>
    </row>
    <row r="52" spans="1:9" x14ac:dyDescent="0.25">
      <c r="A52" s="8" t="s">
        <v>190</v>
      </c>
      <c r="B52" s="8">
        <v>6.1861023036633898E-6</v>
      </c>
      <c r="C52" s="8" t="s">
        <v>41</v>
      </c>
      <c r="I52" s="8" t="s">
        <v>595</v>
      </c>
    </row>
    <row r="53" spans="1:9" x14ac:dyDescent="0.25">
      <c r="A53" s="8" t="s">
        <v>191</v>
      </c>
      <c r="B53" s="8">
        <v>2.03734777747412E-5</v>
      </c>
      <c r="C53" s="8" t="s">
        <v>41</v>
      </c>
      <c r="I53" s="8" t="s">
        <v>595</v>
      </c>
    </row>
    <row r="54" spans="1:9" x14ac:dyDescent="0.25">
      <c r="A54" s="8" t="s">
        <v>192</v>
      </c>
      <c r="B54" s="8">
        <v>4.29106392190735E-5</v>
      </c>
      <c r="C54" s="8" t="s">
        <v>41</v>
      </c>
      <c r="I54" s="8" t="s">
        <v>595</v>
      </c>
    </row>
    <row r="55" spans="1:9" x14ac:dyDescent="0.25">
      <c r="A55" s="8" t="s">
        <v>193</v>
      </c>
      <c r="B55" s="8">
        <v>3.55773489295195E-6</v>
      </c>
      <c r="C55" s="8" t="s">
        <v>41</v>
      </c>
      <c r="I55" s="8" t="s">
        <v>595</v>
      </c>
    </row>
    <row r="56" spans="1:9" x14ac:dyDescent="0.25">
      <c r="A56" s="8" t="s">
        <v>194</v>
      </c>
      <c r="B56" s="8">
        <v>4.3808228851682503E-4</v>
      </c>
      <c r="C56" s="8" t="s">
        <v>41</v>
      </c>
      <c r="I56" s="8" t="s">
        <v>595</v>
      </c>
    </row>
    <row r="57" spans="1:9" x14ac:dyDescent="0.25">
      <c r="A57" s="8" t="s">
        <v>195</v>
      </c>
      <c r="B57" s="8">
        <v>4.0555999574615698E-6</v>
      </c>
      <c r="C57" s="8" t="s">
        <v>41</v>
      </c>
      <c r="I57" s="8" t="s">
        <v>595</v>
      </c>
    </row>
    <row r="58" spans="1:9" x14ac:dyDescent="0.25">
      <c r="A58" s="8" t="s">
        <v>196</v>
      </c>
      <c r="B58" s="8">
        <v>2.21353624826159E-3</v>
      </c>
      <c r="C58" s="8" t="s">
        <v>41</v>
      </c>
      <c r="I58" s="8" t="s">
        <v>595</v>
      </c>
    </row>
    <row r="59" spans="1:9" x14ac:dyDescent="0.25">
      <c r="A59" s="8" t="s">
        <v>197</v>
      </c>
      <c r="B59" s="8">
        <v>1.05214563946463E-4</v>
      </c>
      <c r="C59" s="8" t="s">
        <v>41</v>
      </c>
      <c r="I59" s="8" t="s">
        <v>595</v>
      </c>
    </row>
    <row r="60" spans="1:9" x14ac:dyDescent="0.25">
      <c r="A60" s="3" t="str">
        <f>'Other processes'!A5</f>
        <v>Coke {GLO}| market for | Alloc Rec, U_mr_Scope 2</v>
      </c>
      <c r="B60" s="50">
        <f>BF_coke/RE_BF</f>
        <v>13.204565221984197</v>
      </c>
      <c r="C60" s="8" t="s">
        <v>14</v>
      </c>
      <c r="D60" s="65"/>
      <c r="I60" s="8" t="s">
        <v>171</v>
      </c>
    </row>
    <row r="61" spans="1:9" x14ac:dyDescent="0.25">
      <c r="A61" s="1" t="s">
        <v>16</v>
      </c>
    </row>
    <row r="62" spans="1:9" x14ac:dyDescent="0.25">
      <c r="A62" s="8" t="s">
        <v>19</v>
      </c>
      <c r="B62" s="8">
        <v>1.3297999999999999E-4</v>
      </c>
      <c r="C62" s="8" t="s">
        <v>9</v>
      </c>
      <c r="I62" s="8" t="s">
        <v>595</v>
      </c>
    </row>
    <row r="63" spans="1:9" x14ac:dyDescent="0.25">
      <c r="A63" s="8" t="s">
        <v>67</v>
      </c>
      <c r="B63" s="8">
        <v>7.4468000000000002E-8</v>
      </c>
      <c r="C63" s="8" t="s">
        <v>9</v>
      </c>
      <c r="I63" s="8" t="s">
        <v>595</v>
      </c>
    </row>
    <row r="64" spans="1:9" x14ac:dyDescent="0.25">
      <c r="A64" s="8" t="s">
        <v>18</v>
      </c>
      <c r="B64" s="8">
        <v>1.3404000000000001E-3</v>
      </c>
      <c r="C64" s="8" t="s">
        <v>9</v>
      </c>
      <c r="I64" s="8" t="s">
        <v>595</v>
      </c>
    </row>
    <row r="65" spans="1:9" x14ac:dyDescent="0.25">
      <c r="A65" s="8" t="s">
        <v>71</v>
      </c>
      <c r="B65" s="8">
        <v>2.8722999999999999E-5</v>
      </c>
      <c r="C65" s="8" t="s">
        <v>9</v>
      </c>
      <c r="I65" s="8" t="s">
        <v>595</v>
      </c>
    </row>
    <row r="66" spans="1:9" x14ac:dyDescent="0.25">
      <c r="A66" s="8" t="s">
        <v>17</v>
      </c>
      <c r="B66" s="8">
        <v>1.5957E-6</v>
      </c>
      <c r="C66" s="8" t="s">
        <v>9</v>
      </c>
      <c r="I66" s="8" t="s">
        <v>595</v>
      </c>
    </row>
    <row r="67" spans="1:9" x14ac:dyDescent="0.25">
      <c r="A67" s="8" t="s">
        <v>63</v>
      </c>
      <c r="B67" s="8">
        <v>0.84907999999999995</v>
      </c>
      <c r="C67" s="8" t="s">
        <v>9</v>
      </c>
      <c r="I67" s="8" t="s">
        <v>595</v>
      </c>
    </row>
    <row r="68" spans="1:9" x14ac:dyDescent="0.25">
      <c r="A68" s="8" t="s">
        <v>15</v>
      </c>
      <c r="B68" s="8">
        <v>7.9787E-5</v>
      </c>
      <c r="C68" s="8" t="s">
        <v>9</v>
      </c>
      <c r="I68" s="8" t="s">
        <v>595</v>
      </c>
    </row>
    <row r="69" spans="1:9" x14ac:dyDescent="0.25">
      <c r="A69" s="8" t="s">
        <v>49</v>
      </c>
      <c r="B69" s="8">
        <v>6.9149000000000006E-8</v>
      </c>
      <c r="C69" s="8" t="s">
        <v>9</v>
      </c>
      <c r="I69" s="8" t="s">
        <v>595</v>
      </c>
    </row>
    <row r="70" spans="1:9" x14ac:dyDescent="0.25">
      <c r="A70" s="8" t="s">
        <v>89</v>
      </c>
      <c r="B70" s="8">
        <v>1.5957E-6</v>
      </c>
      <c r="C70" s="8" t="s">
        <v>9</v>
      </c>
      <c r="I70" s="8" t="s">
        <v>595</v>
      </c>
    </row>
    <row r="71" spans="1:9" x14ac:dyDescent="0.25">
      <c r="A71" s="8" t="s">
        <v>127</v>
      </c>
      <c r="B71" s="8">
        <v>1.0745E-5</v>
      </c>
      <c r="C71" s="8" t="s">
        <v>9</v>
      </c>
      <c r="I71" s="8" t="s">
        <v>595</v>
      </c>
    </row>
    <row r="72" spans="1:9" x14ac:dyDescent="0.25">
      <c r="A72" s="8" t="s">
        <v>44</v>
      </c>
      <c r="B72" s="8">
        <v>4.9029245390951504E-4</v>
      </c>
      <c r="C72" s="8" t="s">
        <v>41</v>
      </c>
      <c r="I72" s="8" t="s">
        <v>595</v>
      </c>
    </row>
    <row r="73" spans="1:9" x14ac:dyDescent="0.25">
      <c r="A73" s="8" t="s">
        <v>72</v>
      </c>
      <c r="B73" s="8">
        <v>2.6596000000000001E-15</v>
      </c>
      <c r="C73" s="8" t="s">
        <v>9</v>
      </c>
      <c r="I73" s="8" t="s">
        <v>595</v>
      </c>
    </row>
    <row r="74" spans="1:9" x14ac:dyDescent="0.25">
      <c r="A74" s="8" t="s">
        <v>45</v>
      </c>
      <c r="B74" s="8">
        <v>1.5956999999999999E-8</v>
      </c>
      <c r="C74" s="8" t="s">
        <v>9</v>
      </c>
      <c r="I74" s="8" t="s">
        <v>595</v>
      </c>
    </row>
    <row r="75" spans="1:9" x14ac:dyDescent="0.25">
      <c r="A75" s="1" t="s">
        <v>20</v>
      </c>
    </row>
    <row r="76" spans="1:9" x14ac:dyDescent="0.25">
      <c r="A76" s="8" t="s">
        <v>54</v>
      </c>
      <c r="B76" s="8">
        <v>9.7025537547306795E-4</v>
      </c>
      <c r="C76" s="8" t="s">
        <v>41</v>
      </c>
      <c r="I76" s="8" t="s">
        <v>595</v>
      </c>
    </row>
    <row r="77" spans="1:9" x14ac:dyDescent="0.25">
      <c r="A77" s="1" t="s">
        <v>94</v>
      </c>
    </row>
    <row r="78" spans="1:9" x14ac:dyDescent="0.25">
      <c r="A78" s="8" t="s">
        <v>198</v>
      </c>
      <c r="B78" s="8">
        <v>1.21643455566242E-4</v>
      </c>
      <c r="C78" s="8" t="s">
        <v>41</v>
      </c>
      <c r="I78" s="8" t="s">
        <v>595</v>
      </c>
    </row>
    <row r="79" spans="1:9" x14ac:dyDescent="0.25">
      <c r="A79" s="8" t="s">
        <v>199</v>
      </c>
      <c r="B79" s="8">
        <v>4.2553000000000001E-3</v>
      </c>
      <c r="C79" s="8" t="s">
        <v>9</v>
      </c>
      <c r="I79" s="8" t="s">
        <v>595</v>
      </c>
    </row>
    <row r="80" spans="1:9" x14ac:dyDescent="0.25">
      <c r="A80" s="8" t="s">
        <v>200</v>
      </c>
      <c r="B80" s="8">
        <v>0.26100000000000001</v>
      </c>
      <c r="C80" s="8" t="s">
        <v>9</v>
      </c>
      <c r="I80" s="8" t="s">
        <v>595</v>
      </c>
    </row>
    <row r="81" spans="1:10" x14ac:dyDescent="0.25">
      <c r="A81" s="8" t="s">
        <v>201</v>
      </c>
      <c r="B81" s="8">
        <v>2.0745E-2</v>
      </c>
      <c r="C81" s="8" t="s">
        <v>9</v>
      </c>
      <c r="I81" s="8" t="s">
        <v>595</v>
      </c>
    </row>
    <row r="83" spans="1:10" x14ac:dyDescent="0.25">
      <c r="A83" s="2" t="s">
        <v>170</v>
      </c>
      <c r="B83" s="2"/>
      <c r="C83" s="2"/>
      <c r="D83" s="2"/>
      <c r="E83" s="2"/>
      <c r="F83" s="1"/>
      <c r="G83" s="1"/>
      <c r="H83" s="1"/>
      <c r="I83" s="1"/>
      <c r="J83" s="1"/>
    </row>
    <row r="84" spans="1:10" x14ac:dyDescent="0.25">
      <c r="A84" s="1" t="s">
        <v>10</v>
      </c>
      <c r="B84" s="1" t="s">
        <v>2</v>
      </c>
      <c r="C84" s="1" t="s">
        <v>0</v>
      </c>
      <c r="D84" s="1"/>
      <c r="E84" s="1" t="s">
        <v>3</v>
      </c>
      <c r="F84" s="1" t="s">
        <v>4</v>
      </c>
      <c r="G84" s="1" t="s">
        <v>5</v>
      </c>
      <c r="H84" s="1" t="s">
        <v>6</v>
      </c>
      <c r="I84" s="1" t="s">
        <v>7</v>
      </c>
      <c r="J84" s="1" t="s">
        <v>8</v>
      </c>
    </row>
    <row r="85" spans="1:10" x14ac:dyDescent="0.25">
      <c r="A85" s="8" t="s">
        <v>489</v>
      </c>
      <c r="B85" s="8">
        <f>0.15*heating_value_coal</f>
        <v>4.71</v>
      </c>
      <c r="C85" s="8" t="s">
        <v>14</v>
      </c>
      <c r="I85" s="8" t="s">
        <v>171</v>
      </c>
    </row>
    <row r="86" spans="1:10" x14ac:dyDescent="0.25">
      <c r="A86" s="1" t="s">
        <v>1</v>
      </c>
      <c r="B86" s="1" t="s">
        <v>2</v>
      </c>
      <c r="C86" s="1" t="s">
        <v>0</v>
      </c>
      <c r="D86" s="1"/>
      <c r="E86" s="1" t="s">
        <v>3</v>
      </c>
      <c r="F86" s="1" t="s">
        <v>4</v>
      </c>
      <c r="G86" s="1" t="s">
        <v>5</v>
      </c>
      <c r="H86" s="1" t="s">
        <v>6</v>
      </c>
      <c r="I86" s="1" t="s">
        <v>7</v>
      </c>
      <c r="J86" s="1" t="s">
        <v>8</v>
      </c>
    </row>
    <row r="87" spans="1:10" x14ac:dyDescent="0.25">
      <c r="A87" s="8" t="s">
        <v>153</v>
      </c>
      <c r="B87" s="8">
        <v>1.69375534644996E-3</v>
      </c>
      <c r="C87" s="8" t="s">
        <v>9</v>
      </c>
      <c r="I87" s="8" t="s">
        <v>595</v>
      </c>
    </row>
    <row r="88" spans="1:10" x14ac:dyDescent="0.25">
      <c r="A88" s="8" t="s">
        <v>154</v>
      </c>
      <c r="B88" s="8">
        <v>2.4405474764756199E-2</v>
      </c>
      <c r="C88" s="8" t="s">
        <v>9</v>
      </c>
      <c r="I88" s="8" t="s">
        <v>595</v>
      </c>
    </row>
    <row r="89" spans="1:10" x14ac:dyDescent="0.25">
      <c r="A89" s="8" t="s">
        <v>152</v>
      </c>
      <c r="B89" s="8">
        <v>7.5320786997433702E-3</v>
      </c>
      <c r="C89" s="8" t="s">
        <v>9</v>
      </c>
      <c r="I89" s="8" t="s">
        <v>595</v>
      </c>
    </row>
    <row r="90" spans="1:10" x14ac:dyDescent="0.25">
      <c r="A90" s="8" t="s">
        <v>150</v>
      </c>
      <c r="B90" s="8">
        <v>5.7125748502993998E-2</v>
      </c>
      <c r="C90" s="8" t="s">
        <v>9</v>
      </c>
      <c r="I90" s="8" t="s">
        <v>595</v>
      </c>
    </row>
    <row r="91" spans="1:10" x14ac:dyDescent="0.25">
      <c r="A91" s="8" t="s">
        <v>156</v>
      </c>
      <c r="B91" s="8">
        <v>6.1591103507271198E-3</v>
      </c>
      <c r="C91" s="8" t="s">
        <v>9</v>
      </c>
      <c r="I91" s="8" t="s">
        <v>595</v>
      </c>
    </row>
    <row r="92" spans="1:10" x14ac:dyDescent="0.25">
      <c r="A92" s="8" t="s">
        <v>149</v>
      </c>
      <c r="B92" s="8">
        <v>7.7245508982035898E-3</v>
      </c>
      <c r="C92" s="8" t="s">
        <v>9</v>
      </c>
      <c r="I92" s="8" t="s">
        <v>595</v>
      </c>
    </row>
    <row r="93" spans="1:10" x14ac:dyDescent="0.25">
      <c r="A93" s="8" t="s">
        <v>151</v>
      </c>
      <c r="B93" s="8">
        <v>6.8312489307100098E-3</v>
      </c>
      <c r="C93" s="8" t="s">
        <v>9</v>
      </c>
      <c r="I93" s="8" t="s">
        <v>595</v>
      </c>
    </row>
    <row r="94" spans="1:10" x14ac:dyDescent="0.25">
      <c r="A94" s="8" t="s">
        <v>155</v>
      </c>
      <c r="B94" s="8">
        <v>5.6971770744225804E-3</v>
      </c>
      <c r="C94" s="8" t="s">
        <v>9</v>
      </c>
      <c r="I94" s="8" t="s">
        <v>595</v>
      </c>
    </row>
    <row r="95" spans="1:10" x14ac:dyDescent="0.25">
      <c r="A95" s="8" t="s">
        <v>157</v>
      </c>
      <c r="B95" s="8">
        <v>3.1429657827202702E-2</v>
      </c>
      <c r="C95" s="8" t="s">
        <v>9</v>
      </c>
      <c r="I95" s="8" t="s">
        <v>595</v>
      </c>
    </row>
    <row r="96" spans="1:10" x14ac:dyDescent="0.25">
      <c r="A96" s="8" t="s">
        <v>106</v>
      </c>
      <c r="B96" s="8">
        <v>1.4011976047904201E-3</v>
      </c>
      <c r="C96" s="8" t="s">
        <v>9</v>
      </c>
      <c r="I96" s="8" t="s">
        <v>595</v>
      </c>
    </row>
  </sheetData>
  <pageMargins left="0.7" right="0.7" top="0.75" bottom="0.75" header="0.3" footer="0.3"/>
  <pageSetup paperSize="9"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theme="9" tint="0.59999389629810485"/>
  </sheetPr>
  <dimension ref="A4:J120"/>
  <sheetViews>
    <sheetView topLeftCell="A25" workbookViewId="0">
      <selection activeCell="E65" sqref="E65"/>
    </sheetView>
  </sheetViews>
  <sheetFormatPr defaultColWidth="9.140625" defaultRowHeight="15" x14ac:dyDescent="0.25"/>
  <cols>
    <col min="1" max="1" width="82.5703125" style="8" customWidth="1"/>
    <col min="2" max="2" width="12" style="8" bestFit="1" customWidth="1"/>
    <col min="3" max="4" width="9.140625" style="8"/>
    <col min="5" max="5" width="18" style="8" bestFit="1" customWidth="1"/>
    <col min="6" max="7" width="12" style="8" bestFit="1" customWidth="1"/>
    <col min="8" max="8" width="9.140625" style="8"/>
    <col min="9" max="9" width="12" style="8" customWidth="1"/>
    <col min="10" max="10" width="23.85546875" style="8" customWidth="1"/>
    <col min="11" max="11" width="9.140625" style="8" customWidth="1"/>
    <col min="12" max="16384" width="9.140625" style="8"/>
  </cols>
  <sheetData>
    <row r="4" spans="1:10" x14ac:dyDescent="0.25">
      <c r="A4" s="2" t="s">
        <v>204</v>
      </c>
      <c r="B4" s="2"/>
      <c r="C4" s="2"/>
      <c r="D4" s="2"/>
      <c r="E4" s="2"/>
      <c r="F4" s="1"/>
      <c r="G4" s="1"/>
      <c r="H4" s="1"/>
      <c r="I4" s="1"/>
      <c r="J4" s="1"/>
    </row>
    <row r="5" spans="1:10" x14ac:dyDescent="0.25">
      <c r="A5" s="1" t="s">
        <v>10</v>
      </c>
      <c r="B5" s="1" t="s">
        <v>2</v>
      </c>
      <c r="C5" s="1" t="s">
        <v>0</v>
      </c>
      <c r="D5" s="1"/>
      <c r="E5" s="1" t="s">
        <v>3</v>
      </c>
      <c r="F5" s="1" t="s">
        <v>4</v>
      </c>
      <c r="G5" s="1" t="s">
        <v>5</v>
      </c>
      <c r="H5" s="1" t="s">
        <v>6</v>
      </c>
      <c r="I5" s="1" t="s">
        <v>7</v>
      </c>
      <c r="J5" s="1" t="s">
        <v>8</v>
      </c>
    </row>
    <row r="6" spans="1:10" x14ac:dyDescent="0.25">
      <c r="A6" s="8" t="s">
        <v>204</v>
      </c>
      <c r="B6" s="8">
        <v>1</v>
      </c>
      <c r="C6" s="8" t="s">
        <v>9</v>
      </c>
    </row>
    <row r="7" spans="1:10" x14ac:dyDescent="0.25">
      <c r="A7" s="1" t="s">
        <v>1</v>
      </c>
      <c r="B7" s="1" t="s">
        <v>2</v>
      </c>
      <c r="C7" s="1" t="s">
        <v>0</v>
      </c>
      <c r="D7" s="1"/>
      <c r="E7" s="1" t="s">
        <v>3</v>
      </c>
      <c r="F7" s="1" t="s">
        <v>4</v>
      </c>
      <c r="G7" s="1" t="s">
        <v>5</v>
      </c>
      <c r="H7" s="1" t="s">
        <v>6</v>
      </c>
      <c r="I7" s="1" t="s">
        <v>7</v>
      </c>
      <c r="J7" s="1" t="s">
        <v>8</v>
      </c>
    </row>
    <row r="8" spans="1:10" x14ac:dyDescent="0.25">
      <c r="A8" s="3" t="str">
        <f>A12</f>
        <v>Direct reduced iron (DRI)| | market for | Alloc Rec, U_mr</v>
      </c>
      <c r="B8" s="6">
        <v>1</v>
      </c>
      <c r="C8" s="8" t="s">
        <v>9</v>
      </c>
    </row>
    <row r="10" spans="1:10" x14ac:dyDescent="0.25">
      <c r="A10" s="2" t="s">
        <v>205</v>
      </c>
      <c r="B10" s="2"/>
      <c r="C10" s="2"/>
      <c r="D10" s="2"/>
      <c r="E10" s="2"/>
      <c r="F10" s="1"/>
      <c r="G10" s="1"/>
      <c r="H10" s="1"/>
      <c r="I10" s="1"/>
      <c r="J10" s="1"/>
    </row>
    <row r="11" spans="1:10" x14ac:dyDescent="0.25">
      <c r="A11" s="1" t="s">
        <v>10</v>
      </c>
      <c r="B11" s="1" t="s">
        <v>2</v>
      </c>
      <c r="C11" s="1" t="s">
        <v>0</v>
      </c>
      <c r="D11" s="1"/>
      <c r="E11" s="1" t="s">
        <v>3</v>
      </c>
      <c r="F11" s="1" t="s">
        <v>4</v>
      </c>
      <c r="G11" s="1" t="s">
        <v>5</v>
      </c>
      <c r="H11" s="1" t="s">
        <v>6</v>
      </c>
      <c r="I11" s="1" t="s">
        <v>7</v>
      </c>
      <c r="J11" s="1" t="s">
        <v>8</v>
      </c>
    </row>
    <row r="12" spans="1:10" x14ac:dyDescent="0.25">
      <c r="A12" s="8" t="s">
        <v>205</v>
      </c>
      <c r="B12" s="8">
        <v>1</v>
      </c>
      <c r="C12" s="8" t="s">
        <v>9</v>
      </c>
      <c r="I12" s="8" t="s">
        <v>596</v>
      </c>
    </row>
    <row r="13" spans="1:10" x14ac:dyDescent="0.25">
      <c r="A13" s="1" t="s">
        <v>1</v>
      </c>
      <c r="B13" s="1" t="s">
        <v>2</v>
      </c>
      <c r="C13" s="1" t="s">
        <v>0</v>
      </c>
      <c r="D13" s="1"/>
      <c r="E13" s="1" t="s">
        <v>3</v>
      </c>
      <c r="F13" s="1" t="s">
        <v>4</v>
      </c>
      <c r="G13" s="1" t="s">
        <v>5</v>
      </c>
      <c r="H13" s="1" t="s">
        <v>6</v>
      </c>
      <c r="I13" s="1" t="s">
        <v>7</v>
      </c>
      <c r="J13" s="1" t="s">
        <v>8</v>
      </c>
    </row>
    <row r="14" spans="1:10" x14ac:dyDescent="0.25">
      <c r="A14" s="4" t="s">
        <v>31</v>
      </c>
      <c r="B14" s="4">
        <v>2.01E-2</v>
      </c>
      <c r="C14" s="4" t="s">
        <v>11</v>
      </c>
      <c r="D14" s="1"/>
      <c r="E14" s="1"/>
      <c r="F14" s="1"/>
      <c r="G14" s="1"/>
      <c r="H14" s="1"/>
      <c r="I14" s="8" t="s">
        <v>596</v>
      </c>
    </row>
    <row r="15" spans="1:10" x14ac:dyDescent="0.25">
      <c r="A15" s="4" t="s">
        <v>33</v>
      </c>
      <c r="B15" s="4">
        <v>0.20649999999999999</v>
      </c>
      <c r="C15" s="4" t="s">
        <v>11</v>
      </c>
      <c r="D15" s="1"/>
      <c r="E15" s="1"/>
      <c r="F15" s="1"/>
      <c r="G15" s="1"/>
      <c r="H15" s="1"/>
      <c r="I15" s="8" t="s">
        <v>596</v>
      </c>
    </row>
    <row r="16" spans="1:10" x14ac:dyDescent="0.25">
      <c r="A16" s="4" t="s">
        <v>32</v>
      </c>
      <c r="B16" s="4">
        <v>0.44090000000000001</v>
      </c>
      <c r="C16" s="4" t="s">
        <v>11</v>
      </c>
      <c r="D16" s="1"/>
      <c r="E16" s="1"/>
      <c r="F16" s="1"/>
      <c r="G16" s="1"/>
      <c r="H16" s="1"/>
      <c r="I16" s="8" t="s">
        <v>596</v>
      </c>
    </row>
    <row r="17" spans="1:10" x14ac:dyDescent="0.25">
      <c r="A17" s="3" t="str">
        <f>A28</f>
        <v>Direct reduced iron (DRI)| MIDREX, coal based inventory partly based on ITmk3 production | Alloc Rec, U_mr</v>
      </c>
      <c r="B17" s="55">
        <f>frDRI_midrex</f>
        <v>0.6</v>
      </c>
      <c r="C17" s="4" t="s">
        <v>9</v>
      </c>
      <c r="D17" s="1"/>
      <c r="E17" s="1"/>
      <c r="F17" s="1"/>
      <c r="G17" s="1"/>
      <c r="H17" s="1"/>
      <c r="I17" s="8" t="s">
        <v>212</v>
      </c>
    </row>
    <row r="18" spans="1:10" x14ac:dyDescent="0.25">
      <c r="A18" s="3" t="str">
        <f>A60</f>
        <v>Direct reduced iron (DRI)| Energiron, NatGas based inventory partly based on ITmk3 production | Alloc Rec, U_mr</v>
      </c>
      <c r="B18" s="56">
        <f>frDRI_energiron</f>
        <v>0.14000000000000001</v>
      </c>
      <c r="C18" s="4" t="s">
        <v>9</v>
      </c>
      <c r="D18" s="1"/>
      <c r="E18" s="1"/>
      <c r="F18" s="1"/>
      <c r="G18" s="1"/>
      <c r="H18" s="1"/>
      <c r="I18" s="8" t="s">
        <v>212</v>
      </c>
    </row>
    <row r="19" spans="1:10" x14ac:dyDescent="0.25">
      <c r="A19" s="3" t="str">
        <f>A92</f>
        <v>Direct reduced iron (DRI)| Rotary Kiln, coal based inventory partly based on ITmk3 production | Alloc Rec, U_mr</v>
      </c>
      <c r="B19" s="56">
        <f>frDRI_RotaryKiln</f>
        <v>0.26</v>
      </c>
      <c r="C19" s="4" t="s">
        <v>9</v>
      </c>
      <c r="D19" s="1"/>
      <c r="E19" s="1"/>
      <c r="F19" s="1"/>
      <c r="G19" s="1"/>
      <c r="H19" s="1"/>
      <c r="I19" s="8" t="s">
        <v>212</v>
      </c>
    </row>
    <row r="20" spans="1:10" x14ac:dyDescent="0.25">
      <c r="A20" s="4" t="s">
        <v>35</v>
      </c>
      <c r="B20" s="4">
        <v>1.24034117202515E-2</v>
      </c>
      <c r="C20" s="4" t="s">
        <v>11</v>
      </c>
      <c r="D20" s="1"/>
      <c r="E20" s="1"/>
      <c r="F20" s="1"/>
      <c r="G20" s="1"/>
      <c r="H20" s="1"/>
      <c r="I20" s="8" t="s">
        <v>596</v>
      </c>
    </row>
    <row r="21" spans="1:10" x14ac:dyDescent="0.25">
      <c r="A21" s="4" t="s">
        <v>36</v>
      </c>
      <c r="B21" s="4">
        <v>4.1976808277480702E-2</v>
      </c>
      <c r="C21" s="4" t="s">
        <v>11</v>
      </c>
      <c r="D21" s="1"/>
      <c r="E21" s="1"/>
      <c r="F21" s="1"/>
      <c r="G21" s="1"/>
      <c r="H21" s="1"/>
      <c r="I21" s="8" t="s">
        <v>596</v>
      </c>
    </row>
    <row r="22" spans="1:10" x14ac:dyDescent="0.25">
      <c r="A22" s="4" t="s">
        <v>37</v>
      </c>
      <c r="B22" s="4">
        <v>2.4722617262255299E-4</v>
      </c>
      <c r="C22" s="4" t="s">
        <v>11</v>
      </c>
      <c r="D22" s="1"/>
      <c r="E22" s="1"/>
      <c r="F22" s="1"/>
      <c r="G22" s="1"/>
      <c r="H22" s="1"/>
      <c r="I22" s="8" t="s">
        <v>596</v>
      </c>
    </row>
    <row r="23" spans="1:10" x14ac:dyDescent="0.25">
      <c r="A23" s="4" t="s">
        <v>38</v>
      </c>
      <c r="B23" s="4">
        <v>5.8964396874062498E-2</v>
      </c>
      <c r="C23" s="4" t="s">
        <v>11</v>
      </c>
      <c r="D23" s="1"/>
      <c r="E23" s="1"/>
      <c r="F23" s="1"/>
      <c r="G23" s="1"/>
      <c r="H23" s="1"/>
      <c r="I23" s="8" t="s">
        <v>596</v>
      </c>
    </row>
    <row r="24" spans="1:10" x14ac:dyDescent="0.25">
      <c r="A24" s="4" t="s">
        <v>39</v>
      </c>
      <c r="B24" s="4">
        <v>7.6708156955582696E-2</v>
      </c>
      <c r="C24" s="4" t="s">
        <v>11</v>
      </c>
      <c r="D24" s="1"/>
      <c r="E24" s="1"/>
      <c r="F24" s="1"/>
      <c r="G24" s="1"/>
      <c r="H24" s="1"/>
      <c r="I24" s="8" t="s">
        <v>596</v>
      </c>
    </row>
    <row r="26" spans="1:10" x14ac:dyDescent="0.25">
      <c r="A26" s="2" t="s">
        <v>206</v>
      </c>
      <c r="B26" s="2"/>
      <c r="C26" s="2"/>
      <c r="D26" s="2"/>
      <c r="E26" s="2"/>
      <c r="F26" s="1"/>
      <c r="G26" s="1"/>
      <c r="H26" s="1"/>
      <c r="I26" s="1"/>
      <c r="J26" s="1"/>
    </row>
    <row r="27" spans="1:10" x14ac:dyDescent="0.25">
      <c r="A27" s="1" t="s">
        <v>10</v>
      </c>
      <c r="B27" s="1" t="s">
        <v>2</v>
      </c>
      <c r="C27" s="1" t="s">
        <v>0</v>
      </c>
      <c r="D27" s="1"/>
      <c r="E27" s="1" t="s">
        <v>3</v>
      </c>
      <c r="F27" s="1" t="s">
        <v>4</v>
      </c>
      <c r="G27" s="1" t="s">
        <v>5</v>
      </c>
      <c r="H27" s="1" t="s">
        <v>6</v>
      </c>
      <c r="I27" s="1" t="s">
        <v>7</v>
      </c>
      <c r="J27" s="1" t="s">
        <v>8</v>
      </c>
    </row>
    <row r="28" spans="1:10" x14ac:dyDescent="0.25">
      <c r="A28" s="8" t="s">
        <v>206</v>
      </c>
      <c r="B28" s="50">
        <f>1/RE_DRI_midrex</f>
        <v>1.0899999995967</v>
      </c>
      <c r="C28" s="8" t="s">
        <v>9</v>
      </c>
    </row>
    <row r="29" spans="1:10" x14ac:dyDescent="0.25">
      <c r="A29" s="1" t="s">
        <v>1</v>
      </c>
      <c r="B29" s="1" t="s">
        <v>2</v>
      </c>
      <c r="C29" s="1" t="s">
        <v>0</v>
      </c>
      <c r="D29" s="1"/>
      <c r="E29" s="1" t="s">
        <v>3</v>
      </c>
      <c r="F29" s="1" t="s">
        <v>4</v>
      </c>
      <c r="G29" s="1" t="s">
        <v>5</v>
      </c>
      <c r="H29" s="1" t="s">
        <v>6</v>
      </c>
      <c r="I29" s="1" t="s">
        <v>7</v>
      </c>
      <c r="J29" s="1" t="s">
        <v>8</v>
      </c>
    </row>
    <row r="30" spans="1:10" x14ac:dyDescent="0.25">
      <c r="A30" s="8" t="s">
        <v>173</v>
      </c>
      <c r="B30" s="9">
        <v>1.3333000000000001E-11</v>
      </c>
      <c r="C30" s="8" t="s">
        <v>61</v>
      </c>
      <c r="I30" s="8" t="s">
        <v>596</v>
      </c>
    </row>
    <row r="31" spans="1:10" x14ac:dyDescent="0.25">
      <c r="A31" s="8" t="s">
        <v>60</v>
      </c>
      <c r="B31" s="8">
        <v>7.0000000000000001E-3</v>
      </c>
      <c r="C31" s="8" t="s">
        <v>9</v>
      </c>
      <c r="I31" s="8" t="s">
        <v>212</v>
      </c>
    </row>
    <row r="32" spans="1:10" x14ac:dyDescent="0.25">
      <c r="A32" s="3" t="str">
        <f>Sintering!A12</f>
        <v>Sinter, iron {GLO}| market for | Alloc Rec, U_mr_Scope 3</v>
      </c>
      <c r="B32" s="50">
        <f>IF(subprocess_MFA=1,0,1/Parameters!B17)</f>
        <v>0</v>
      </c>
      <c r="C32" s="8" t="s">
        <v>9</v>
      </c>
      <c r="I32" s="8" t="s">
        <v>596</v>
      </c>
      <c r="J32" s="8" t="s">
        <v>471</v>
      </c>
    </row>
    <row r="33" spans="1:9" x14ac:dyDescent="0.25">
      <c r="A33" s="8" t="s">
        <v>150</v>
      </c>
      <c r="B33" s="50">
        <f>16.7/heating_value_coal/RE_DRI_midrex</f>
        <v>0.57971337558168445</v>
      </c>
      <c r="C33" s="8" t="s">
        <v>9</v>
      </c>
      <c r="I33" s="8" t="s">
        <v>212</v>
      </c>
    </row>
    <row r="34" spans="1:9" x14ac:dyDescent="0.25">
      <c r="A34" s="3" t="str">
        <f>'Electricity generation'!A5</f>
        <v>Electricity, global mix, high voltage_mr</v>
      </c>
      <c r="B34" s="67">
        <f>1.2492/RE_DRI_midrex</f>
        <v>1.3616279994961977</v>
      </c>
      <c r="C34" s="8" t="s">
        <v>14</v>
      </c>
      <c r="I34" s="8" t="s">
        <v>213</v>
      </c>
    </row>
    <row r="35" spans="1:9" x14ac:dyDescent="0.25">
      <c r="A35" s="3" t="str">
        <f>'Electricity generation'!A5</f>
        <v>Electricity, global mix, high voltage_mr</v>
      </c>
      <c r="B35" s="50">
        <f>-0.25/RE_DRI_midrex</f>
        <v>-0.272499999899175</v>
      </c>
      <c r="C35" s="8" t="s">
        <v>13</v>
      </c>
      <c r="I35" s="8" t="s">
        <v>213</v>
      </c>
    </row>
    <row r="36" spans="1:9" x14ac:dyDescent="0.25">
      <c r="A36" s="1" t="s">
        <v>16</v>
      </c>
    </row>
    <row r="37" spans="1:9" x14ac:dyDescent="0.25">
      <c r="A37" s="8" t="s">
        <v>19</v>
      </c>
      <c r="B37" s="8">
        <v>1.3297999999999999E-4</v>
      </c>
      <c r="C37" s="8" t="s">
        <v>9</v>
      </c>
      <c r="I37" s="8" t="s">
        <v>596</v>
      </c>
    </row>
    <row r="38" spans="1:9" x14ac:dyDescent="0.25">
      <c r="A38" s="8" t="s">
        <v>67</v>
      </c>
      <c r="B38" s="8">
        <v>7.4468000000000002E-8</v>
      </c>
      <c r="C38" s="8" t="s">
        <v>9</v>
      </c>
      <c r="I38" s="8" t="s">
        <v>596</v>
      </c>
    </row>
    <row r="39" spans="1:9" x14ac:dyDescent="0.25">
      <c r="A39" s="8" t="s">
        <v>18</v>
      </c>
      <c r="B39" s="8">
        <v>1.3404000000000001E-3</v>
      </c>
      <c r="C39" s="8" t="s">
        <v>9</v>
      </c>
      <c r="I39" s="8" t="s">
        <v>596</v>
      </c>
    </row>
    <row r="40" spans="1:9" x14ac:dyDescent="0.25">
      <c r="A40" s="8" t="s">
        <v>71</v>
      </c>
      <c r="B40" s="8">
        <v>2.8722999999999999E-5</v>
      </c>
      <c r="C40" s="8" t="s">
        <v>9</v>
      </c>
      <c r="I40" s="8" t="s">
        <v>596</v>
      </c>
    </row>
    <row r="41" spans="1:9" x14ac:dyDescent="0.25">
      <c r="A41" s="8" t="s">
        <v>17</v>
      </c>
      <c r="B41" s="8">
        <v>1.5957E-6</v>
      </c>
      <c r="C41" s="8" t="s">
        <v>9</v>
      </c>
      <c r="I41" s="8" t="s">
        <v>596</v>
      </c>
    </row>
    <row r="42" spans="1:9" x14ac:dyDescent="0.25">
      <c r="A42" s="8" t="s">
        <v>63</v>
      </c>
      <c r="B42" s="8">
        <v>0.84907999999999995</v>
      </c>
      <c r="C42" s="8" t="s">
        <v>9</v>
      </c>
      <c r="I42" s="8" t="s">
        <v>596</v>
      </c>
    </row>
    <row r="43" spans="1:9" x14ac:dyDescent="0.25">
      <c r="A43" s="8" t="s">
        <v>15</v>
      </c>
      <c r="B43" s="8">
        <v>7.9787E-5</v>
      </c>
      <c r="C43" s="8" t="s">
        <v>9</v>
      </c>
      <c r="I43" s="8" t="s">
        <v>596</v>
      </c>
    </row>
    <row r="44" spans="1:9" x14ac:dyDescent="0.25">
      <c r="A44" s="8" t="s">
        <v>49</v>
      </c>
      <c r="B44" s="8">
        <v>6.9149000000000006E-8</v>
      </c>
      <c r="C44" s="8" t="s">
        <v>9</v>
      </c>
      <c r="I44" s="8" t="s">
        <v>596</v>
      </c>
    </row>
    <row r="45" spans="1:9" x14ac:dyDescent="0.25">
      <c r="A45" s="8" t="s">
        <v>89</v>
      </c>
      <c r="B45" s="8">
        <v>1.5957E-6</v>
      </c>
      <c r="C45" s="8" t="s">
        <v>9</v>
      </c>
      <c r="I45" s="8" t="s">
        <v>596</v>
      </c>
    </row>
    <row r="46" spans="1:9" x14ac:dyDescent="0.25">
      <c r="A46" s="8" t="s">
        <v>127</v>
      </c>
      <c r="B46" s="8">
        <v>1.0745E-5</v>
      </c>
      <c r="C46" s="8" t="s">
        <v>9</v>
      </c>
      <c r="I46" s="8" t="s">
        <v>596</v>
      </c>
    </row>
    <row r="47" spans="1:9" x14ac:dyDescent="0.25">
      <c r="A47" s="8" t="s">
        <v>44</v>
      </c>
      <c r="B47" s="8">
        <v>4.9029245390951504E-4</v>
      </c>
      <c r="C47" s="8" t="s">
        <v>41</v>
      </c>
      <c r="I47" s="8" t="s">
        <v>596</v>
      </c>
    </row>
    <row r="48" spans="1:9" x14ac:dyDescent="0.25">
      <c r="A48" s="8" t="s">
        <v>72</v>
      </c>
      <c r="B48" s="8">
        <v>2.6596000000000001E-15</v>
      </c>
      <c r="C48" s="8" t="s">
        <v>9</v>
      </c>
      <c r="I48" s="8" t="s">
        <v>596</v>
      </c>
    </row>
    <row r="49" spans="1:10" x14ac:dyDescent="0.25">
      <c r="A49" s="8" t="s">
        <v>45</v>
      </c>
      <c r="B49" s="8">
        <v>1.5956999999999999E-8</v>
      </c>
      <c r="C49" s="8" t="s">
        <v>9</v>
      </c>
      <c r="I49" s="8" t="s">
        <v>596</v>
      </c>
    </row>
    <row r="50" spans="1:10" x14ac:dyDescent="0.25">
      <c r="A50" s="1" t="s">
        <v>20</v>
      </c>
    </row>
    <row r="51" spans="1:10" x14ac:dyDescent="0.25">
      <c r="A51" s="8" t="s">
        <v>54</v>
      </c>
      <c r="B51" s="8">
        <v>9.7025537547306795E-4</v>
      </c>
      <c r="C51" s="8" t="s">
        <v>41</v>
      </c>
      <c r="I51" s="8" t="s">
        <v>596</v>
      </c>
    </row>
    <row r="52" spans="1:10" x14ac:dyDescent="0.25">
      <c r="A52" s="1" t="s">
        <v>94</v>
      </c>
    </row>
    <row r="53" spans="1:10" x14ac:dyDescent="0.25">
      <c r="A53" s="8" t="s">
        <v>198</v>
      </c>
      <c r="B53" s="8">
        <v>1.21643455566242E-4</v>
      </c>
      <c r="C53" s="8" t="s">
        <v>41</v>
      </c>
      <c r="I53" s="8" t="s">
        <v>596</v>
      </c>
    </row>
    <row r="54" spans="1:10" x14ac:dyDescent="0.25">
      <c r="A54" s="8" t="s">
        <v>199</v>
      </c>
      <c r="B54" s="8">
        <v>4.2553000000000001E-3</v>
      </c>
      <c r="C54" s="8" t="s">
        <v>9</v>
      </c>
      <c r="I54" s="8" t="s">
        <v>596</v>
      </c>
    </row>
    <row r="55" spans="1:10" x14ac:dyDescent="0.25">
      <c r="A55" s="8" t="s">
        <v>200</v>
      </c>
      <c r="B55" s="8">
        <v>0.26100000000000001</v>
      </c>
      <c r="C55" s="8" t="s">
        <v>9</v>
      </c>
      <c r="I55" s="8" t="s">
        <v>596</v>
      </c>
    </row>
    <row r="56" spans="1:10" x14ac:dyDescent="0.25">
      <c r="A56" s="8" t="s">
        <v>201</v>
      </c>
      <c r="B56" s="8">
        <v>2.0745E-2</v>
      </c>
      <c r="C56" s="8" t="s">
        <v>9</v>
      </c>
      <c r="I56" s="8" t="s">
        <v>596</v>
      </c>
    </row>
    <row r="58" spans="1:10" x14ac:dyDescent="0.25">
      <c r="A58" s="2" t="s">
        <v>207</v>
      </c>
      <c r="B58" s="2"/>
      <c r="C58" s="2"/>
      <c r="D58" s="2"/>
      <c r="E58" s="2"/>
      <c r="F58" s="1"/>
      <c r="G58" s="1"/>
      <c r="H58" s="1"/>
      <c r="I58" s="1"/>
      <c r="J58" s="1"/>
    </row>
    <row r="59" spans="1:10" x14ac:dyDescent="0.25">
      <c r="A59" s="1" t="s">
        <v>10</v>
      </c>
      <c r="B59" s="1" t="s">
        <v>2</v>
      </c>
      <c r="C59" s="1" t="s">
        <v>0</v>
      </c>
      <c r="D59" s="1"/>
      <c r="E59" s="1" t="s">
        <v>3</v>
      </c>
      <c r="F59" s="1" t="s">
        <v>4</v>
      </c>
      <c r="G59" s="1" t="s">
        <v>5</v>
      </c>
      <c r="H59" s="1" t="s">
        <v>6</v>
      </c>
      <c r="I59" s="1" t="s">
        <v>7</v>
      </c>
      <c r="J59" s="1" t="s">
        <v>8</v>
      </c>
    </row>
    <row r="60" spans="1:10" x14ac:dyDescent="0.25">
      <c r="A60" s="8" t="s">
        <v>207</v>
      </c>
      <c r="B60" s="50">
        <f>1/RE_DRI_energiron</f>
        <v>1.1025358324145533</v>
      </c>
      <c r="C60" s="8" t="s">
        <v>9</v>
      </c>
      <c r="I60" s="8" t="s">
        <v>212</v>
      </c>
    </row>
    <row r="61" spans="1:10" x14ac:dyDescent="0.25">
      <c r="A61" s="1" t="s">
        <v>1</v>
      </c>
      <c r="B61" s="1" t="s">
        <v>2</v>
      </c>
      <c r="C61" s="1" t="s">
        <v>0</v>
      </c>
      <c r="D61" s="1"/>
      <c r="E61" s="1" t="s">
        <v>3</v>
      </c>
      <c r="F61" s="1" t="s">
        <v>4</v>
      </c>
      <c r="G61" s="1" t="s">
        <v>5</v>
      </c>
      <c r="H61" s="1" t="s">
        <v>6</v>
      </c>
      <c r="I61" s="1" t="s">
        <v>7</v>
      </c>
      <c r="J61" s="1" t="s">
        <v>8</v>
      </c>
    </row>
    <row r="62" spans="1:10" x14ac:dyDescent="0.25">
      <c r="A62" s="8" t="s">
        <v>173</v>
      </c>
      <c r="B62" s="9">
        <v>1.3333000000000001E-11</v>
      </c>
      <c r="C62" s="8" t="s">
        <v>61</v>
      </c>
      <c r="I62" s="8" t="s">
        <v>596</v>
      </c>
    </row>
    <row r="63" spans="1:10" x14ac:dyDescent="0.25">
      <c r="A63" s="8" t="s">
        <v>60</v>
      </c>
      <c r="B63" s="8">
        <v>7.0000000000000001E-3</v>
      </c>
      <c r="C63" s="8" t="s">
        <v>9</v>
      </c>
      <c r="I63" s="8" t="s">
        <v>212</v>
      </c>
    </row>
    <row r="64" spans="1:10" x14ac:dyDescent="0.25">
      <c r="A64" s="3" t="str">
        <f>Sintering!A12</f>
        <v>Sinter, iron {GLO}| market for | Alloc Rec, U_mr_Scope 3</v>
      </c>
      <c r="B64" s="50">
        <f>IF(subprocess_MFA=1,0,1/Parameters!B18)</f>
        <v>0</v>
      </c>
      <c r="C64" s="8" t="s">
        <v>9</v>
      </c>
      <c r="I64" s="8" t="s">
        <v>596</v>
      </c>
      <c r="J64" s="8" t="s">
        <v>471</v>
      </c>
    </row>
    <row r="65" spans="1:9" x14ac:dyDescent="0.25">
      <c r="A65" s="8" t="s">
        <v>196</v>
      </c>
      <c r="B65" s="50">
        <f>13.01224/heating_value_NatGas/RE_DRI_energiron</f>
        <v>0.33843974663783793</v>
      </c>
      <c r="C65" s="8" t="s">
        <v>41</v>
      </c>
      <c r="D65" s="36"/>
      <c r="I65" s="8" t="s">
        <v>212</v>
      </c>
    </row>
    <row r="66" spans="1:9" x14ac:dyDescent="0.25">
      <c r="A66" s="3" t="str">
        <f>'Electricity generation'!A5</f>
        <v>Electricity, global mix, high voltage_mr</v>
      </c>
      <c r="B66" s="50">
        <f>3.6648/RE_DRI_energiron</f>
        <v>4.0405733186328554</v>
      </c>
      <c r="C66" s="8" t="s">
        <v>14</v>
      </c>
      <c r="I66" s="8" t="s">
        <v>213</v>
      </c>
    </row>
    <row r="67" spans="1:9" x14ac:dyDescent="0.25">
      <c r="A67" s="3" t="str">
        <f>'Electricity generation'!A5</f>
        <v>Electricity, global mix, high voltage_mr</v>
      </c>
      <c r="B67" s="50">
        <f>-0.25/RE_DRI_energiron</f>
        <v>-0.27563395810363833</v>
      </c>
      <c r="C67" s="8" t="s">
        <v>13</v>
      </c>
      <c r="I67" s="8" t="s">
        <v>213</v>
      </c>
    </row>
    <row r="68" spans="1:9" x14ac:dyDescent="0.25">
      <c r="A68" s="1" t="s">
        <v>16</v>
      </c>
    </row>
    <row r="69" spans="1:9" x14ac:dyDescent="0.25">
      <c r="A69" s="8" t="s">
        <v>19</v>
      </c>
      <c r="B69" s="8">
        <v>1.3297999999999999E-4</v>
      </c>
      <c r="C69" s="8" t="s">
        <v>9</v>
      </c>
      <c r="I69" s="8" t="s">
        <v>596</v>
      </c>
    </row>
    <row r="70" spans="1:9" x14ac:dyDescent="0.25">
      <c r="A70" s="8" t="s">
        <v>67</v>
      </c>
      <c r="B70" s="8">
        <v>7.4468000000000002E-8</v>
      </c>
      <c r="C70" s="8" t="s">
        <v>9</v>
      </c>
      <c r="I70" s="8" t="s">
        <v>596</v>
      </c>
    </row>
    <row r="71" spans="1:9" x14ac:dyDescent="0.25">
      <c r="A71" s="8" t="s">
        <v>18</v>
      </c>
      <c r="B71" s="8">
        <v>1.3404000000000001E-3</v>
      </c>
      <c r="C71" s="8" t="s">
        <v>9</v>
      </c>
      <c r="I71" s="8" t="s">
        <v>596</v>
      </c>
    </row>
    <row r="72" spans="1:9" x14ac:dyDescent="0.25">
      <c r="A72" s="8" t="s">
        <v>71</v>
      </c>
      <c r="B72" s="8">
        <v>2.8722999999999999E-5</v>
      </c>
      <c r="C72" s="8" t="s">
        <v>9</v>
      </c>
      <c r="I72" s="8" t="s">
        <v>596</v>
      </c>
    </row>
    <row r="73" spans="1:9" x14ac:dyDescent="0.25">
      <c r="A73" s="8" t="s">
        <v>17</v>
      </c>
      <c r="B73" s="8">
        <v>1.5957E-6</v>
      </c>
      <c r="C73" s="8" t="s">
        <v>9</v>
      </c>
      <c r="I73" s="8" t="s">
        <v>596</v>
      </c>
    </row>
    <row r="74" spans="1:9" x14ac:dyDescent="0.25">
      <c r="A74" s="8" t="s">
        <v>63</v>
      </c>
      <c r="B74" s="8">
        <v>0.84907999999999995</v>
      </c>
      <c r="C74" s="8" t="s">
        <v>9</v>
      </c>
      <c r="I74" s="8" t="s">
        <v>596</v>
      </c>
    </row>
    <row r="75" spans="1:9" x14ac:dyDescent="0.25">
      <c r="A75" s="8" t="s">
        <v>15</v>
      </c>
      <c r="B75" s="8">
        <v>7.9787E-5</v>
      </c>
      <c r="C75" s="8" t="s">
        <v>9</v>
      </c>
      <c r="I75" s="8" t="s">
        <v>596</v>
      </c>
    </row>
    <row r="76" spans="1:9" x14ac:dyDescent="0.25">
      <c r="A76" s="8" t="s">
        <v>49</v>
      </c>
      <c r="B76" s="8">
        <v>6.9149000000000006E-8</v>
      </c>
      <c r="C76" s="8" t="s">
        <v>9</v>
      </c>
      <c r="I76" s="8" t="s">
        <v>596</v>
      </c>
    </row>
    <row r="77" spans="1:9" x14ac:dyDescent="0.25">
      <c r="A77" s="8" t="s">
        <v>89</v>
      </c>
      <c r="B77" s="8">
        <v>1.5957E-6</v>
      </c>
      <c r="C77" s="8" t="s">
        <v>9</v>
      </c>
      <c r="I77" s="8" t="s">
        <v>596</v>
      </c>
    </row>
    <row r="78" spans="1:9" x14ac:dyDescent="0.25">
      <c r="A78" s="8" t="s">
        <v>127</v>
      </c>
      <c r="B78" s="8">
        <v>1.0745E-5</v>
      </c>
      <c r="C78" s="8" t="s">
        <v>9</v>
      </c>
      <c r="I78" s="8" t="s">
        <v>596</v>
      </c>
    </row>
    <row r="79" spans="1:9" x14ac:dyDescent="0.25">
      <c r="A79" s="8" t="s">
        <v>44</v>
      </c>
      <c r="B79" s="8">
        <v>4.9029245390951504E-4</v>
      </c>
      <c r="C79" s="8" t="s">
        <v>41</v>
      </c>
      <c r="I79" s="8" t="s">
        <v>596</v>
      </c>
    </row>
    <row r="80" spans="1:9" x14ac:dyDescent="0.25">
      <c r="A80" s="8" t="s">
        <v>72</v>
      </c>
      <c r="B80" s="8">
        <v>2.6596000000000001E-15</v>
      </c>
      <c r="C80" s="8" t="s">
        <v>9</v>
      </c>
      <c r="I80" s="8" t="s">
        <v>596</v>
      </c>
    </row>
    <row r="81" spans="1:10" x14ac:dyDescent="0.25">
      <c r="A81" s="8" t="s">
        <v>45</v>
      </c>
      <c r="B81" s="8">
        <v>1.5956999999999999E-8</v>
      </c>
      <c r="C81" s="8" t="s">
        <v>9</v>
      </c>
      <c r="I81" s="8" t="s">
        <v>596</v>
      </c>
    </row>
    <row r="82" spans="1:10" x14ac:dyDescent="0.25">
      <c r="A82" s="1" t="s">
        <v>20</v>
      </c>
    </row>
    <row r="83" spans="1:10" x14ac:dyDescent="0.25">
      <c r="A83" s="8" t="s">
        <v>54</v>
      </c>
      <c r="B83" s="8">
        <v>9.7025537547306795E-4</v>
      </c>
      <c r="C83" s="8" t="s">
        <v>41</v>
      </c>
      <c r="I83" s="8" t="s">
        <v>596</v>
      </c>
    </row>
    <row r="84" spans="1:10" x14ac:dyDescent="0.25">
      <c r="A84" s="1" t="s">
        <v>94</v>
      </c>
    </row>
    <row r="85" spans="1:10" x14ac:dyDescent="0.25">
      <c r="A85" s="8" t="s">
        <v>198</v>
      </c>
      <c r="B85" s="8">
        <v>1.21643455566242E-4</v>
      </c>
      <c r="C85" s="8" t="s">
        <v>41</v>
      </c>
      <c r="I85" s="8" t="s">
        <v>596</v>
      </c>
    </row>
    <row r="86" spans="1:10" x14ac:dyDescent="0.25">
      <c r="A86" s="8" t="s">
        <v>199</v>
      </c>
      <c r="B86" s="8">
        <v>4.2553000000000001E-3</v>
      </c>
      <c r="C86" s="8" t="s">
        <v>9</v>
      </c>
      <c r="I86" s="8" t="s">
        <v>596</v>
      </c>
    </row>
    <row r="87" spans="1:10" x14ac:dyDescent="0.25">
      <c r="A87" s="8" t="s">
        <v>200</v>
      </c>
      <c r="B87" s="8">
        <v>0.26100000000000001</v>
      </c>
      <c r="C87" s="8" t="s">
        <v>9</v>
      </c>
      <c r="I87" s="8" t="s">
        <v>596</v>
      </c>
    </row>
    <row r="88" spans="1:10" x14ac:dyDescent="0.25">
      <c r="A88" s="8" t="s">
        <v>201</v>
      </c>
      <c r="B88" s="8">
        <v>2.0745E-2</v>
      </c>
      <c r="C88" s="8" t="s">
        <v>9</v>
      </c>
      <c r="I88" s="8" t="s">
        <v>596</v>
      </c>
    </row>
    <row r="90" spans="1:10" x14ac:dyDescent="0.25">
      <c r="A90" s="2" t="s">
        <v>208</v>
      </c>
      <c r="B90" s="2"/>
      <c r="C90" s="2"/>
      <c r="D90" s="2"/>
      <c r="E90" s="2"/>
      <c r="F90" s="1"/>
      <c r="G90" s="1"/>
      <c r="H90" s="1"/>
      <c r="I90" s="1"/>
      <c r="J90" s="1"/>
    </row>
    <row r="91" spans="1:10" x14ac:dyDescent="0.25">
      <c r="A91" s="1" t="s">
        <v>10</v>
      </c>
      <c r="B91" s="1" t="s">
        <v>2</v>
      </c>
      <c r="C91" s="1" t="s">
        <v>0</v>
      </c>
      <c r="D91" s="1"/>
      <c r="E91" s="1" t="s">
        <v>3</v>
      </c>
      <c r="F91" s="1" t="s">
        <v>4</v>
      </c>
      <c r="G91" s="1" t="s">
        <v>5</v>
      </c>
      <c r="H91" s="1" t="s">
        <v>6</v>
      </c>
      <c r="I91" s="1" t="s">
        <v>7</v>
      </c>
      <c r="J91" s="1" t="s">
        <v>8</v>
      </c>
    </row>
    <row r="92" spans="1:10" x14ac:dyDescent="0.25">
      <c r="A92" s="8" t="s">
        <v>208</v>
      </c>
      <c r="B92" s="50">
        <f>1/RE_DRI_RotaryKiln</f>
        <v>1.0166000004107063</v>
      </c>
      <c r="C92" s="8" t="s">
        <v>9</v>
      </c>
      <c r="I92" s="8" t="s">
        <v>212</v>
      </c>
    </row>
    <row r="93" spans="1:10" x14ac:dyDescent="0.25">
      <c r="A93" s="1" t="s">
        <v>1</v>
      </c>
      <c r="B93" s="1" t="s">
        <v>2</v>
      </c>
      <c r="C93" s="1" t="s">
        <v>0</v>
      </c>
      <c r="D93" s="1"/>
      <c r="E93" s="1" t="s">
        <v>3</v>
      </c>
      <c r="F93" s="1" t="s">
        <v>4</v>
      </c>
      <c r="G93" s="1" t="s">
        <v>5</v>
      </c>
      <c r="H93" s="1" t="s">
        <v>6</v>
      </c>
      <c r="I93" s="1" t="s">
        <v>7</v>
      </c>
      <c r="J93" s="1" t="s">
        <v>8</v>
      </c>
    </row>
    <row r="94" spans="1:10" x14ac:dyDescent="0.25">
      <c r="A94" s="8" t="s">
        <v>173</v>
      </c>
      <c r="B94" s="9">
        <v>1.3333000000000001E-11</v>
      </c>
      <c r="C94" s="8" t="s">
        <v>61</v>
      </c>
      <c r="I94" s="8" t="s">
        <v>596</v>
      </c>
    </row>
    <row r="95" spans="1:10" x14ac:dyDescent="0.25">
      <c r="A95" s="8" t="s">
        <v>60</v>
      </c>
      <c r="B95" s="8">
        <v>7.0000000000000001E-3</v>
      </c>
      <c r="C95" s="8" t="s">
        <v>9</v>
      </c>
      <c r="I95" s="8" t="s">
        <v>212</v>
      </c>
    </row>
    <row r="96" spans="1:10" x14ac:dyDescent="0.25">
      <c r="A96" s="3" t="str">
        <f>Sintering!A12</f>
        <v>Sinter, iron {GLO}| market for | Alloc Rec, U_mr_Scope 3</v>
      </c>
      <c r="B96" s="50">
        <f>IF(subprocess_MFA=1,0,1/Parameters!B19)</f>
        <v>0</v>
      </c>
      <c r="C96" s="8" t="s">
        <v>9</v>
      </c>
      <c r="I96" s="8" t="s">
        <v>596</v>
      </c>
      <c r="J96" s="8" t="s">
        <v>471</v>
      </c>
    </row>
    <row r="97" spans="1:9" x14ac:dyDescent="0.25">
      <c r="A97" s="8" t="s">
        <v>150</v>
      </c>
      <c r="B97" s="50">
        <f>12.6/heating_value_coal/RE_DRI_RotaryKiln</f>
        <v>0.40793503201193954</v>
      </c>
      <c r="C97" s="8" t="s">
        <v>9</v>
      </c>
      <c r="I97" s="8" t="s">
        <v>212</v>
      </c>
    </row>
    <row r="98" spans="1:9" x14ac:dyDescent="0.25">
      <c r="A98" s="3" t="str">
        <f>'Electricity generation'!A5</f>
        <v>Electricity, global mix, high voltage_mr</v>
      </c>
      <c r="B98" s="50">
        <f>0.252/RE_DRI_RotaryKiln</f>
        <v>0.25618320010349799</v>
      </c>
      <c r="C98" s="8" t="s">
        <v>14</v>
      </c>
    </row>
    <row r="99" spans="1:9" x14ac:dyDescent="0.25">
      <c r="A99" s="3" t="str">
        <f>'Electricity generation'!A5</f>
        <v>Electricity, global mix, high voltage_mr</v>
      </c>
      <c r="B99" s="50">
        <f>-0.25/RE_DRI_RotaryKiln</f>
        <v>-0.25415000010267658</v>
      </c>
      <c r="C99" s="8" t="s">
        <v>13</v>
      </c>
      <c r="I99" s="8" t="s">
        <v>213</v>
      </c>
    </row>
    <row r="100" spans="1:9" x14ac:dyDescent="0.25">
      <c r="A100" s="1" t="s">
        <v>16</v>
      </c>
    </row>
    <row r="101" spans="1:9" x14ac:dyDescent="0.25">
      <c r="A101" s="8" t="s">
        <v>19</v>
      </c>
      <c r="B101" s="8">
        <v>1.3297999999999999E-4</v>
      </c>
      <c r="C101" s="8" t="s">
        <v>9</v>
      </c>
      <c r="I101" s="8" t="s">
        <v>596</v>
      </c>
    </row>
    <row r="102" spans="1:9" x14ac:dyDescent="0.25">
      <c r="A102" s="8" t="s">
        <v>67</v>
      </c>
      <c r="B102" s="8">
        <v>7.4468000000000002E-8</v>
      </c>
      <c r="C102" s="8" t="s">
        <v>9</v>
      </c>
      <c r="I102" s="8" t="s">
        <v>596</v>
      </c>
    </row>
    <row r="103" spans="1:9" x14ac:dyDescent="0.25">
      <c r="A103" s="8" t="s">
        <v>18</v>
      </c>
      <c r="B103" s="8">
        <v>1.3404000000000001E-3</v>
      </c>
      <c r="C103" s="8" t="s">
        <v>9</v>
      </c>
      <c r="I103" s="8" t="s">
        <v>596</v>
      </c>
    </row>
    <row r="104" spans="1:9" x14ac:dyDescent="0.25">
      <c r="A104" s="8" t="s">
        <v>71</v>
      </c>
      <c r="B104" s="8">
        <v>2.8722999999999999E-5</v>
      </c>
      <c r="C104" s="8" t="s">
        <v>9</v>
      </c>
      <c r="I104" s="8" t="s">
        <v>596</v>
      </c>
    </row>
    <row r="105" spans="1:9" x14ac:dyDescent="0.25">
      <c r="A105" s="8" t="s">
        <v>17</v>
      </c>
      <c r="B105" s="8">
        <v>1.5957E-6</v>
      </c>
      <c r="C105" s="8" t="s">
        <v>9</v>
      </c>
      <c r="I105" s="8" t="s">
        <v>596</v>
      </c>
    </row>
    <row r="106" spans="1:9" x14ac:dyDescent="0.25">
      <c r="A106" s="8" t="s">
        <v>63</v>
      </c>
      <c r="B106" s="8">
        <v>0.84907999999999995</v>
      </c>
      <c r="C106" s="8" t="s">
        <v>9</v>
      </c>
      <c r="I106" s="8" t="s">
        <v>596</v>
      </c>
    </row>
    <row r="107" spans="1:9" x14ac:dyDescent="0.25">
      <c r="A107" s="8" t="s">
        <v>15</v>
      </c>
      <c r="B107" s="8">
        <v>7.9787E-5</v>
      </c>
      <c r="C107" s="8" t="s">
        <v>9</v>
      </c>
      <c r="I107" s="8" t="s">
        <v>596</v>
      </c>
    </row>
    <row r="108" spans="1:9" x14ac:dyDescent="0.25">
      <c r="A108" s="8" t="s">
        <v>49</v>
      </c>
      <c r="B108" s="8">
        <v>6.9149000000000006E-8</v>
      </c>
      <c r="C108" s="8" t="s">
        <v>9</v>
      </c>
      <c r="I108" s="8" t="s">
        <v>596</v>
      </c>
    </row>
    <row r="109" spans="1:9" x14ac:dyDescent="0.25">
      <c r="A109" s="8" t="s">
        <v>89</v>
      </c>
      <c r="B109" s="8">
        <v>1.5957E-6</v>
      </c>
      <c r="C109" s="8" t="s">
        <v>9</v>
      </c>
      <c r="I109" s="8" t="s">
        <v>596</v>
      </c>
    </row>
    <row r="110" spans="1:9" x14ac:dyDescent="0.25">
      <c r="A110" s="8" t="s">
        <v>127</v>
      </c>
      <c r="B110" s="8">
        <v>1.0745E-5</v>
      </c>
      <c r="C110" s="8" t="s">
        <v>9</v>
      </c>
      <c r="I110" s="8" t="s">
        <v>596</v>
      </c>
    </row>
    <row r="111" spans="1:9" x14ac:dyDescent="0.25">
      <c r="A111" s="8" t="s">
        <v>44</v>
      </c>
      <c r="B111" s="8">
        <v>4.9029245390951504E-4</v>
      </c>
      <c r="C111" s="8" t="s">
        <v>41</v>
      </c>
      <c r="I111" s="8" t="s">
        <v>596</v>
      </c>
    </row>
    <row r="112" spans="1:9" x14ac:dyDescent="0.25">
      <c r="A112" s="8" t="s">
        <v>72</v>
      </c>
      <c r="B112" s="8">
        <v>2.6596000000000001E-15</v>
      </c>
      <c r="C112" s="8" t="s">
        <v>9</v>
      </c>
      <c r="I112" s="8" t="s">
        <v>596</v>
      </c>
    </row>
    <row r="113" spans="1:9" x14ac:dyDescent="0.25">
      <c r="A113" s="8" t="s">
        <v>45</v>
      </c>
      <c r="B113" s="8">
        <v>1.5956999999999999E-8</v>
      </c>
      <c r="C113" s="8" t="s">
        <v>9</v>
      </c>
      <c r="I113" s="8" t="s">
        <v>596</v>
      </c>
    </row>
    <row r="114" spans="1:9" x14ac:dyDescent="0.25">
      <c r="A114" s="1" t="s">
        <v>20</v>
      </c>
    </row>
    <row r="115" spans="1:9" x14ac:dyDescent="0.25">
      <c r="A115" s="8" t="s">
        <v>54</v>
      </c>
      <c r="B115" s="8">
        <v>9.7025537547306795E-4</v>
      </c>
      <c r="C115" s="8" t="s">
        <v>41</v>
      </c>
      <c r="I115" s="8" t="s">
        <v>596</v>
      </c>
    </row>
    <row r="116" spans="1:9" x14ac:dyDescent="0.25">
      <c r="A116" s="1" t="s">
        <v>94</v>
      </c>
    </row>
    <row r="117" spans="1:9" x14ac:dyDescent="0.25">
      <c r="A117" s="8" t="s">
        <v>198</v>
      </c>
      <c r="B117" s="8">
        <v>1.21643455566242E-4</v>
      </c>
      <c r="C117" s="8" t="s">
        <v>41</v>
      </c>
      <c r="I117" s="8" t="s">
        <v>596</v>
      </c>
    </row>
    <row r="118" spans="1:9" x14ac:dyDescent="0.25">
      <c r="A118" s="8" t="s">
        <v>199</v>
      </c>
      <c r="B118" s="8">
        <v>4.2553000000000001E-3</v>
      </c>
      <c r="C118" s="8" t="s">
        <v>9</v>
      </c>
      <c r="I118" s="8" t="s">
        <v>596</v>
      </c>
    </row>
    <row r="119" spans="1:9" x14ac:dyDescent="0.25">
      <c r="A119" s="8" t="s">
        <v>200</v>
      </c>
      <c r="B119" s="8">
        <v>0.26100000000000001</v>
      </c>
      <c r="C119" s="8" t="s">
        <v>9</v>
      </c>
      <c r="I119" s="8" t="s">
        <v>596</v>
      </c>
    </row>
    <row r="120" spans="1:9" x14ac:dyDescent="0.25">
      <c r="A120" s="8" t="s">
        <v>201</v>
      </c>
      <c r="B120" s="8">
        <v>2.0745E-2</v>
      </c>
      <c r="C120" s="8" t="s">
        <v>9</v>
      </c>
      <c r="I120" s="8" t="s">
        <v>596</v>
      </c>
    </row>
  </sheetData>
  <pageMargins left="0.7" right="0.7" top="0.75" bottom="0.75" header="0.3" footer="0.3"/>
  <pageSetup paperSize="9"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theme="9" tint="0.59999389629810485"/>
  </sheetPr>
  <dimension ref="A4:J34"/>
  <sheetViews>
    <sheetView topLeftCell="A7" workbookViewId="0">
      <selection activeCell="C35" sqref="C35"/>
    </sheetView>
  </sheetViews>
  <sheetFormatPr defaultColWidth="9.140625" defaultRowHeight="15" x14ac:dyDescent="0.25"/>
  <cols>
    <col min="1" max="1" width="76.85546875" style="8" customWidth="1"/>
    <col min="2" max="2" width="12" style="8" bestFit="1" customWidth="1"/>
    <col min="3" max="4" width="9.140625" style="8"/>
    <col min="5" max="5" width="18" style="8" bestFit="1" customWidth="1"/>
    <col min="6" max="7" width="12" style="8" bestFit="1" customWidth="1"/>
    <col min="8" max="8" width="9.140625" style="8"/>
    <col min="9" max="9" width="12" style="8" customWidth="1"/>
    <col min="10" max="10" width="23.85546875" style="8" customWidth="1"/>
    <col min="11" max="11" width="9.140625" style="8" customWidth="1"/>
    <col min="12" max="16384" width="9.140625" style="8"/>
  </cols>
  <sheetData>
    <row r="4" spans="1:10" x14ac:dyDescent="0.25">
      <c r="A4" s="2" t="s">
        <v>215</v>
      </c>
      <c r="B4" s="2"/>
      <c r="C4" s="2"/>
      <c r="D4" s="2"/>
      <c r="E4" s="2"/>
      <c r="F4" s="1"/>
      <c r="G4" s="1"/>
      <c r="H4" s="1"/>
      <c r="I4" s="1"/>
      <c r="J4" s="1"/>
    </row>
    <row r="5" spans="1:10" x14ac:dyDescent="0.25">
      <c r="A5" s="1" t="s">
        <v>10</v>
      </c>
      <c r="B5" s="1" t="s">
        <v>2</v>
      </c>
      <c r="C5" s="1" t="s">
        <v>0</v>
      </c>
      <c r="D5" s="1"/>
      <c r="E5" s="1" t="s">
        <v>3</v>
      </c>
      <c r="F5" s="1" t="s">
        <v>4</v>
      </c>
      <c r="G5" s="1" t="s">
        <v>5</v>
      </c>
      <c r="H5" s="1" t="s">
        <v>6</v>
      </c>
      <c r="I5" s="1" t="s">
        <v>7</v>
      </c>
      <c r="J5" s="1" t="s">
        <v>8</v>
      </c>
    </row>
    <row r="6" spans="1:10" x14ac:dyDescent="0.25">
      <c r="A6" s="8" t="s">
        <v>215</v>
      </c>
      <c r="B6" s="8">
        <v>1</v>
      </c>
      <c r="C6" s="8" t="s">
        <v>9</v>
      </c>
    </row>
    <row r="7" spans="1:10" x14ac:dyDescent="0.25">
      <c r="A7" s="1" t="s">
        <v>1</v>
      </c>
      <c r="B7" s="1" t="s">
        <v>2</v>
      </c>
      <c r="C7" s="1" t="s">
        <v>0</v>
      </c>
      <c r="D7" s="1"/>
      <c r="E7" s="1" t="s">
        <v>3</v>
      </c>
      <c r="F7" s="1" t="s">
        <v>4</v>
      </c>
      <c r="G7" s="1" t="s">
        <v>5</v>
      </c>
      <c r="H7" s="1" t="s">
        <v>6</v>
      </c>
      <c r="I7" s="1" t="s">
        <v>7</v>
      </c>
      <c r="J7" s="1" t="s">
        <v>8</v>
      </c>
    </row>
    <row r="8" spans="1:10" x14ac:dyDescent="0.25">
      <c r="A8" s="3" t="str">
        <f>A12</f>
        <v>Iron Foundry, production_mr</v>
      </c>
      <c r="B8" s="6">
        <v>1</v>
      </c>
      <c r="C8" s="8" t="s">
        <v>9</v>
      </c>
    </row>
    <row r="10" spans="1:10" x14ac:dyDescent="0.25">
      <c r="A10" s="2" t="s">
        <v>216</v>
      </c>
      <c r="B10" s="2"/>
      <c r="C10" s="2"/>
      <c r="D10" s="2"/>
      <c r="E10" s="2"/>
      <c r="F10" s="1"/>
      <c r="G10" s="1"/>
      <c r="H10" s="1"/>
      <c r="I10" s="1"/>
      <c r="J10" s="1"/>
    </row>
    <row r="11" spans="1:10" x14ac:dyDescent="0.25">
      <c r="A11" s="1" t="s">
        <v>10</v>
      </c>
      <c r="B11" s="1" t="s">
        <v>2</v>
      </c>
      <c r="C11" s="1" t="s">
        <v>0</v>
      </c>
      <c r="D11" s="1"/>
      <c r="E11" s="1" t="s">
        <v>3</v>
      </c>
      <c r="F11" s="1" t="s">
        <v>4</v>
      </c>
      <c r="G11" s="1" t="s">
        <v>5</v>
      </c>
      <c r="H11" s="1" t="s">
        <v>6</v>
      </c>
      <c r="I11" s="1" t="s">
        <v>7</v>
      </c>
      <c r="J11" s="1" t="s">
        <v>8</v>
      </c>
    </row>
    <row r="12" spans="1:10" x14ac:dyDescent="0.25">
      <c r="A12" s="8" t="s">
        <v>216</v>
      </c>
      <c r="B12" s="51">
        <f>1/RE_IronFoundry</f>
        <v>1.2345679012345678</v>
      </c>
      <c r="C12" s="8" t="s">
        <v>9</v>
      </c>
      <c r="I12" s="8" t="s">
        <v>212</v>
      </c>
    </row>
    <row r="13" spans="1:10" x14ac:dyDescent="0.25">
      <c r="A13" s="1" t="s">
        <v>1</v>
      </c>
      <c r="B13" s="1" t="s">
        <v>2</v>
      </c>
      <c r="C13" s="1" t="s">
        <v>0</v>
      </c>
      <c r="D13" s="1"/>
      <c r="E13" s="1" t="s">
        <v>3</v>
      </c>
      <c r="F13" s="1" t="s">
        <v>4</v>
      </c>
      <c r="G13" s="1" t="s">
        <v>5</v>
      </c>
      <c r="H13" s="1" t="s">
        <v>6</v>
      </c>
      <c r="I13" s="1" t="s">
        <v>7</v>
      </c>
      <c r="J13" s="1" t="s">
        <v>8</v>
      </c>
    </row>
    <row r="14" spans="1:10" x14ac:dyDescent="0.25">
      <c r="A14" s="3" t="str">
        <f>'Blast furnace'!A12</f>
        <v>Pig iron {GLO}| market for | Alloc Rec, U_mr</v>
      </c>
      <c r="B14" s="56">
        <f>IF(subprocess_MFA=1,0,1.23)</f>
        <v>0</v>
      </c>
      <c r="C14" s="4" t="s">
        <v>9</v>
      </c>
      <c r="D14" s="1"/>
      <c r="E14" s="1"/>
      <c r="F14" s="1"/>
      <c r="G14" s="1"/>
      <c r="H14" s="1"/>
      <c r="I14" s="8" t="s">
        <v>212</v>
      </c>
      <c r="J14" s="8" t="s">
        <v>471</v>
      </c>
    </row>
    <row r="15" spans="1:10" x14ac:dyDescent="0.25">
      <c r="A15" s="3" t="str">
        <f>Sintering!A55</f>
        <v>Sinter, iron {GLO}| Natural Gas use | Alloc Rec, U_mr_Scope 2</v>
      </c>
      <c r="B15" s="66">
        <f>(IF_NatGas/heating_value_NatGas)/RE_IronFoundry</f>
        <v>8.7372109075340952E-3</v>
      </c>
      <c r="C15" s="4" t="s">
        <v>41</v>
      </c>
      <c r="D15" s="1"/>
      <c r="E15" s="1"/>
      <c r="F15" s="1"/>
      <c r="G15" s="1"/>
      <c r="H15" s="1"/>
      <c r="I15" s="8" t="s">
        <v>212</v>
      </c>
    </row>
    <row r="16" spans="1:10" x14ac:dyDescent="0.25">
      <c r="A16" s="11" t="str">
        <f>'Electricity generation'!A32</f>
        <v>Electricity, global mix, medium voltage_mr_Scope 2</v>
      </c>
      <c r="B16" s="66">
        <f>IF_electricity/RE_IronFoundry</f>
        <v>9.2592592592592595</v>
      </c>
      <c r="C16" s="4" t="s">
        <v>14</v>
      </c>
      <c r="D16" s="1"/>
      <c r="E16" s="1"/>
      <c r="F16" s="1"/>
      <c r="G16" s="1"/>
      <c r="H16" s="1"/>
      <c r="I16" s="8" t="s">
        <v>212</v>
      </c>
    </row>
    <row r="17" spans="1:9" x14ac:dyDescent="0.25">
      <c r="A17" s="3" t="s">
        <v>557</v>
      </c>
      <c r="B17" s="66">
        <f>IF_heat_steam/RE_IronFoundry</f>
        <v>0.93827160493827155</v>
      </c>
      <c r="C17" s="4" t="s">
        <v>14</v>
      </c>
      <c r="D17" s="1"/>
      <c r="E17" s="1"/>
      <c r="F17" s="1"/>
      <c r="G17" s="1"/>
      <c r="H17" s="1"/>
      <c r="I17" s="8" t="s">
        <v>212</v>
      </c>
    </row>
    <row r="18" spans="1:9" x14ac:dyDescent="0.25">
      <c r="A18" s="8" t="s">
        <v>539</v>
      </c>
      <c r="B18" s="66">
        <f>IF_oil/RE_IronFoundry</f>
        <v>0.7407407407407407</v>
      </c>
      <c r="C18" s="4" t="s">
        <v>14</v>
      </c>
      <c r="D18" s="1"/>
      <c r="E18" s="1"/>
      <c r="F18" s="1"/>
      <c r="G18" s="1"/>
      <c r="H18" s="1"/>
      <c r="I18" s="8" t="s">
        <v>212</v>
      </c>
    </row>
    <row r="19" spans="1:9" x14ac:dyDescent="0.25">
      <c r="A19" s="8" t="s">
        <v>173</v>
      </c>
      <c r="B19" s="9">
        <v>1.3333000000000001E-11</v>
      </c>
      <c r="C19" s="8" t="s">
        <v>61</v>
      </c>
      <c r="I19" s="8" t="s">
        <v>596</v>
      </c>
    </row>
    <row r="20" spans="1:9" x14ac:dyDescent="0.25">
      <c r="A20" s="1" t="s">
        <v>16</v>
      </c>
      <c r="B20" s="63"/>
      <c r="C20" s="4"/>
      <c r="D20" s="1"/>
      <c r="E20" s="1"/>
      <c r="F20" s="1"/>
      <c r="G20" s="1"/>
      <c r="H20" s="1"/>
      <c r="I20" s="1"/>
    </row>
    <row r="21" spans="1:9" x14ac:dyDescent="0.25">
      <c r="A21" s="4" t="s">
        <v>63</v>
      </c>
      <c r="B21" s="4">
        <v>7.5600000000000001E-2</v>
      </c>
      <c r="C21" s="4" t="s">
        <v>9</v>
      </c>
      <c r="D21" s="1"/>
      <c r="E21" s="1"/>
      <c r="F21" s="1"/>
      <c r="G21" s="1"/>
      <c r="H21" s="1"/>
      <c r="I21" s="8" t="s">
        <v>597</v>
      </c>
    </row>
    <row r="22" spans="1:9" x14ac:dyDescent="0.25">
      <c r="A22" s="4" t="s">
        <v>71</v>
      </c>
      <c r="B22" s="10">
        <v>4.7500000000000003E-5</v>
      </c>
      <c r="C22" s="4" t="s">
        <v>9</v>
      </c>
      <c r="D22" s="1"/>
      <c r="E22" s="1"/>
      <c r="F22" s="1"/>
      <c r="G22" s="1"/>
      <c r="H22" s="1"/>
      <c r="I22" s="8" t="s">
        <v>597</v>
      </c>
    </row>
    <row r="23" spans="1:9" x14ac:dyDescent="0.25">
      <c r="A23" s="4" t="s">
        <v>62</v>
      </c>
      <c r="B23" s="10">
        <v>1.2E-10</v>
      </c>
      <c r="C23" s="4" t="s">
        <v>9</v>
      </c>
      <c r="D23" s="1"/>
      <c r="E23" s="1"/>
      <c r="F23" s="1"/>
      <c r="G23" s="1"/>
      <c r="H23" s="1"/>
      <c r="I23" s="8" t="s">
        <v>597</v>
      </c>
    </row>
    <row r="24" spans="1:9" x14ac:dyDescent="0.25">
      <c r="A24" s="4" t="s">
        <v>72</v>
      </c>
      <c r="B24" s="10">
        <v>3.0500000000000003E-14</v>
      </c>
      <c r="C24" s="4" t="s">
        <v>9</v>
      </c>
      <c r="D24" s="1"/>
      <c r="E24" s="1"/>
      <c r="F24" s="1"/>
      <c r="G24" s="1"/>
      <c r="H24" s="1"/>
      <c r="I24" s="8" t="s">
        <v>597</v>
      </c>
    </row>
    <row r="25" spans="1:9" x14ac:dyDescent="0.25">
      <c r="A25" s="4" t="s">
        <v>18</v>
      </c>
      <c r="B25" s="4">
        <v>4.7299999999999998E-3</v>
      </c>
      <c r="C25" s="4" t="s">
        <v>9</v>
      </c>
      <c r="D25" s="1"/>
      <c r="E25" s="1"/>
      <c r="F25" s="1"/>
      <c r="G25" s="1"/>
      <c r="H25" s="1"/>
      <c r="I25" s="8" t="s">
        <v>597</v>
      </c>
    </row>
    <row r="26" spans="1:9" x14ac:dyDescent="0.25">
      <c r="A26" s="4" t="s">
        <v>15</v>
      </c>
      <c r="B26" s="10">
        <v>1.2500000000000001E-5</v>
      </c>
      <c r="C26" s="4" t="s">
        <v>9</v>
      </c>
      <c r="D26" s="1"/>
      <c r="E26" s="1"/>
      <c r="F26" s="1"/>
      <c r="G26" s="1"/>
      <c r="H26" s="1"/>
      <c r="I26" s="8" t="s">
        <v>597</v>
      </c>
    </row>
    <row r="27" spans="1:9" x14ac:dyDescent="0.25">
      <c r="A27" s="4" t="s">
        <v>25</v>
      </c>
      <c r="B27" s="10">
        <v>1.85E-7</v>
      </c>
      <c r="C27" s="4" t="s">
        <v>9</v>
      </c>
      <c r="D27" s="1"/>
      <c r="E27" s="1"/>
      <c r="F27" s="1"/>
      <c r="G27" s="1"/>
      <c r="H27" s="1"/>
      <c r="I27" s="8" t="s">
        <v>597</v>
      </c>
    </row>
    <row r="28" spans="1:9" x14ac:dyDescent="0.25">
      <c r="A28" s="4" t="s">
        <v>44</v>
      </c>
      <c r="B28" s="4">
        <v>6.1184085870649701E-3</v>
      </c>
      <c r="C28" s="4" t="s">
        <v>41</v>
      </c>
      <c r="D28" s="1"/>
      <c r="E28" s="1"/>
      <c r="F28" s="1"/>
      <c r="G28" s="1"/>
      <c r="H28" s="1"/>
      <c r="I28" s="8" t="s">
        <v>597</v>
      </c>
    </row>
    <row r="29" spans="1:9" x14ac:dyDescent="0.25">
      <c r="A29" s="4" t="s">
        <v>46</v>
      </c>
      <c r="B29" s="10">
        <v>2.4999999999999999E-8</v>
      </c>
      <c r="C29" s="4" t="s">
        <v>9</v>
      </c>
      <c r="D29" s="1"/>
      <c r="E29" s="1"/>
      <c r="F29" s="1"/>
      <c r="G29" s="1"/>
      <c r="H29" s="1"/>
      <c r="I29" s="8" t="s">
        <v>597</v>
      </c>
    </row>
    <row r="30" spans="1:9" x14ac:dyDescent="0.25">
      <c r="A30" s="4" t="s">
        <v>67</v>
      </c>
      <c r="B30" s="10">
        <v>6.0500000000000003E-7</v>
      </c>
      <c r="C30" s="4" t="s">
        <v>9</v>
      </c>
      <c r="D30" s="1"/>
      <c r="E30" s="1"/>
      <c r="F30" s="1"/>
      <c r="G30" s="1"/>
      <c r="H30" s="1"/>
      <c r="I30" s="8" t="s">
        <v>597</v>
      </c>
    </row>
    <row r="31" spans="1:9" x14ac:dyDescent="0.25">
      <c r="A31" s="4" t="s">
        <v>49</v>
      </c>
      <c r="B31" s="10">
        <v>5.1500000000000005E-7</v>
      </c>
      <c r="C31" s="4" t="s">
        <v>9</v>
      </c>
      <c r="D31" s="1"/>
      <c r="E31" s="1"/>
      <c r="F31" s="1"/>
      <c r="G31" s="1"/>
      <c r="H31" s="1"/>
      <c r="I31" s="8" t="s">
        <v>597</v>
      </c>
    </row>
    <row r="32" spans="1:9" x14ac:dyDescent="0.25">
      <c r="A32" s="1" t="s">
        <v>94</v>
      </c>
    </row>
    <row r="33" spans="1:9" x14ac:dyDescent="0.25">
      <c r="A33" s="8" t="s">
        <v>200</v>
      </c>
      <c r="B33" s="8">
        <f>0.11/0.648</f>
        <v>0.16975308641975309</v>
      </c>
      <c r="C33" s="8" t="s">
        <v>9</v>
      </c>
      <c r="I33" s="8" t="s">
        <v>597</v>
      </c>
    </row>
    <row r="34" spans="1:9" x14ac:dyDescent="0.25">
      <c r="A34" s="8" t="s">
        <v>217</v>
      </c>
      <c r="B34" s="8">
        <f>0.051/0.648</f>
        <v>7.8703703703703692E-2</v>
      </c>
      <c r="C34" s="8" t="s">
        <v>9</v>
      </c>
      <c r="I34" s="8" t="s">
        <v>597</v>
      </c>
    </row>
  </sheetData>
  <pageMargins left="0.7" right="0.7" top="0.75" bottom="0.75" header="0.3" footer="0.3"/>
  <pageSetup paperSize="9"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A r g o G u i d   x m l n s : x s i = " h t t p : / / w w w . w 3 . o r g / 2 0 0 1 / X M L S c h e m a - i n s t a n c e "   x m l n s : x s d = " h t t p : / / w w w . w 3 . o r g / 2 0 0 1 / X M L S c h e m a "   x m l n s = " h t t p : / / w w w . b o o z a l l e n . c o m / a r g o / g u i d " > c 0 2 8 7 d 9 5 - 5 0 2 c - 4 3 0 a - a 3 1 3 - 0 9 d 5 b 2 9 3 6 a 1 3 < / A r g o G u i d > 
</file>

<file path=customXml/itemProps1.xml><?xml version="1.0" encoding="utf-8"?>
<ds:datastoreItem xmlns:ds="http://schemas.openxmlformats.org/officeDocument/2006/customXml" ds:itemID="{32F66087-D0BF-4956-AA27-F1138765B1A1}">
  <ds:schemaRefs>
    <ds:schemaRef ds:uri="http://www.w3.org/2001/XMLSchema"/>
    <ds:schemaRef ds:uri="http://www.boozallen.com/argo/gui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79</vt:i4>
      </vt:variant>
    </vt:vector>
  </HeadingPairs>
  <TitlesOfParts>
    <vt:vector size="105" baseType="lpstr">
      <vt:lpstr>Front Page</vt:lpstr>
      <vt:lpstr>References</vt:lpstr>
      <vt:lpstr>Parameters</vt:lpstr>
      <vt:lpstr>Mining</vt:lpstr>
      <vt:lpstr>Sintering</vt:lpstr>
      <vt:lpstr>Pelleting</vt:lpstr>
      <vt:lpstr>Blast furnace</vt:lpstr>
      <vt:lpstr>Direct Reduction</vt:lpstr>
      <vt:lpstr>Iron Foundry</vt:lpstr>
      <vt:lpstr>SM1 Puddling</vt:lpstr>
      <vt:lpstr>SM2 OHF</vt:lpstr>
      <vt:lpstr>SM3 B-T</vt:lpstr>
      <vt:lpstr>SM4 BOF</vt:lpstr>
      <vt:lpstr>SM5 Crucible</vt:lpstr>
      <vt:lpstr>SM6 EAF</vt:lpstr>
      <vt:lpstr>Continuous casting</vt:lpstr>
      <vt:lpstr>Ingot casting</vt:lpstr>
      <vt:lpstr>Rod bar mill</vt:lpstr>
      <vt:lpstr>Plate mill</vt:lpstr>
      <vt:lpstr>Section mill</vt:lpstr>
      <vt:lpstr>Strip mill</vt:lpstr>
      <vt:lpstr>Cold rolling</vt:lpstr>
      <vt:lpstr>Electricity generation</vt:lpstr>
      <vt:lpstr>Other processes</vt:lpstr>
      <vt:lpstr>Energy mix</vt:lpstr>
      <vt:lpstr>MFA output</vt:lpstr>
      <vt:lpstr>'Front Page'!_Hlk37933567</vt:lpstr>
      <vt:lpstr>BF_coal</vt:lpstr>
      <vt:lpstr>BF_coke</vt:lpstr>
      <vt:lpstr>BOF_BF_gas</vt:lpstr>
      <vt:lpstr>BOF_electricity</vt:lpstr>
      <vt:lpstr>BOF_heat_steam</vt:lpstr>
      <vt:lpstr>BOF_oil</vt:lpstr>
      <vt:lpstr>CC_efficiency</vt:lpstr>
      <vt:lpstr>coke_per_ce</vt:lpstr>
      <vt:lpstr>CR_electricity</vt:lpstr>
      <vt:lpstr>CR_NatGas</vt:lpstr>
      <vt:lpstr>CR_Steam</vt:lpstr>
      <vt:lpstr>crude_iron_ore_grade</vt:lpstr>
      <vt:lpstr>EAF_anode</vt:lpstr>
      <vt:lpstr>EAF_eff</vt:lpstr>
      <vt:lpstr>EAF_electricity</vt:lpstr>
      <vt:lpstr>EAF_naturalgas</vt:lpstr>
      <vt:lpstr>electricity_mix</vt:lpstr>
      <vt:lpstr>FEcontent_IronOreBeneficiated</vt:lpstr>
      <vt:lpstr>FEcontent_IronPellet</vt:lpstr>
      <vt:lpstr>FEcontent_SinterIron</vt:lpstr>
      <vt:lpstr>frDRI_energiron</vt:lpstr>
      <vt:lpstr>frDRI_midrex</vt:lpstr>
      <vt:lpstr>frDRI_RotaryKiln</vt:lpstr>
      <vt:lpstr>heating_value_coal</vt:lpstr>
      <vt:lpstr>heating_value_coke</vt:lpstr>
      <vt:lpstr>heating_value_NatGas</vt:lpstr>
      <vt:lpstr>IC_efficiency</vt:lpstr>
      <vt:lpstr>IF_electricity</vt:lpstr>
      <vt:lpstr>IF_heat_steam</vt:lpstr>
      <vt:lpstr>IF_NatGas</vt:lpstr>
      <vt:lpstr>IF_oil</vt:lpstr>
      <vt:lpstr>mining_eff</vt:lpstr>
      <vt:lpstr>mining_RE</vt:lpstr>
      <vt:lpstr>natural_gas_per_ce</vt:lpstr>
      <vt:lpstr>OHF_coke_oven_gas</vt:lpstr>
      <vt:lpstr>OHF_electricity</vt:lpstr>
      <vt:lpstr>OHF_heat_steam</vt:lpstr>
      <vt:lpstr>OHF_oil</vt:lpstr>
      <vt:lpstr>Pellet_BF_gas</vt:lpstr>
      <vt:lpstr>Pellet_coke</vt:lpstr>
      <vt:lpstr>Pellet_electricity</vt:lpstr>
      <vt:lpstr>Pellet_NatGas</vt:lpstr>
      <vt:lpstr>PtM_CokeGas</vt:lpstr>
      <vt:lpstr>PtM_electricity</vt:lpstr>
      <vt:lpstr>PtM_NatGas</vt:lpstr>
      <vt:lpstr>RbM_CokeGas</vt:lpstr>
      <vt:lpstr>RbM_electricity</vt:lpstr>
      <vt:lpstr>RbM_NatGas</vt:lpstr>
      <vt:lpstr>RE_BF</vt:lpstr>
      <vt:lpstr>RE_BOF</vt:lpstr>
      <vt:lpstr>RE_BTC</vt:lpstr>
      <vt:lpstr>RE_CC</vt:lpstr>
      <vt:lpstr>RE_CR</vt:lpstr>
      <vt:lpstr>RE_Crucible</vt:lpstr>
      <vt:lpstr>RE_DRI_energiron</vt:lpstr>
      <vt:lpstr>RE_DRI_midrex</vt:lpstr>
      <vt:lpstr>RE_DRI_RotaryKiln</vt:lpstr>
      <vt:lpstr>RE_EAF</vt:lpstr>
      <vt:lpstr>RE_IC</vt:lpstr>
      <vt:lpstr>RE_IronFoundry</vt:lpstr>
      <vt:lpstr>RE_mill</vt:lpstr>
      <vt:lpstr>RE_mining</vt:lpstr>
      <vt:lpstr>RE_OHF</vt:lpstr>
      <vt:lpstr>RE_pelletizing</vt:lpstr>
      <vt:lpstr>RE_Sintering</vt:lpstr>
      <vt:lpstr>RE_SM1_Puddling</vt:lpstr>
      <vt:lpstr>SeM_CokeGas</vt:lpstr>
      <vt:lpstr>SeM_electricity</vt:lpstr>
      <vt:lpstr>SeM_NatGas</vt:lpstr>
      <vt:lpstr>Sintering_coke</vt:lpstr>
      <vt:lpstr>sintering_eff</vt:lpstr>
      <vt:lpstr>Sintering_electricity</vt:lpstr>
      <vt:lpstr>Sintering_natural_gas</vt:lpstr>
      <vt:lpstr>StM_CokeGas</vt:lpstr>
      <vt:lpstr>StM_electricity</vt:lpstr>
      <vt:lpstr>StM_NatGas</vt:lpstr>
      <vt:lpstr>subprocess_MFA</vt:lpstr>
      <vt:lpstr>year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Clavreul, Julie</dc:creator>
  <cp:lastModifiedBy>Morten Ryberg</cp:lastModifiedBy>
  <dcterms:created xsi:type="dcterms:W3CDTF">2016-03-22T13:30:48Z</dcterms:created>
  <dcterms:modified xsi:type="dcterms:W3CDTF">2021-02-19T08:24:14Z</dcterms:modified>
</cp:coreProperties>
</file>