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Naoki(HP-Win8)\CoH-Culture\NatureCommun\Re-Revise\"/>
    </mc:Choice>
  </mc:AlternateContent>
  <bookViews>
    <workbookView xWindow="75" yWindow="105" windowWidth="17250" windowHeight="7005" firstSheet="8" activeTab="12"/>
  </bookViews>
  <sheets>
    <sheet name="Connection (Fig1andSupFig3)" sheetId="2" r:id="rId1"/>
    <sheet name="ALBsecretion(Fig3A)" sheetId="10" r:id="rId2"/>
    <sheet name="CYP (Fig3B)" sheetId="6" r:id="rId3"/>
    <sheet name="ALB secretion (Fig3C)" sheetId="5" r:id="rId4"/>
    <sheet name="Connection-ECAD(-)(+)(Fig5)" sheetId="3" r:id="rId5"/>
    <sheet name="qPCR(Fig5)" sheetId="4" r:id="rId6"/>
    <sheet name="HybridHBTO (Fig6andSupFig17)" sheetId="9" r:id="rId7"/>
    <sheet name="CYP3A(SupFig10)" sheetId="11" r:id="rId8"/>
    <sheet name="qPCR(SupFig11)" sheetId="12" r:id="rId9"/>
    <sheet name="qPCR(SupFig13)" sheetId="13" r:id="rId10"/>
    <sheet name="qPCR(SupFig15)" sheetId="14" r:id="rId11"/>
    <sheet name="ALP(SupFig18)" sheetId="16" r:id="rId12"/>
    <sheet name="1W4WConnection(SupFig19)" sheetId="17" r:id="rId13"/>
  </sheets>
  <calcPr calcId="152511"/>
</workbook>
</file>

<file path=xl/calcChain.xml><?xml version="1.0" encoding="utf-8"?>
<calcChain xmlns="http://schemas.openxmlformats.org/spreadsheetml/2006/main">
  <c r="D77" i="2" l="1"/>
  <c r="D76" i="2"/>
  <c r="D75" i="2"/>
  <c r="D74" i="2"/>
  <c r="D73" i="2"/>
  <c r="D72" i="2"/>
  <c r="D71" i="2"/>
  <c r="D70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37" i="2"/>
  <c r="D36" i="2"/>
  <c r="D35" i="2"/>
  <c r="D34" i="2"/>
  <c r="D33" i="2"/>
  <c r="D32" i="2"/>
  <c r="D31" i="2"/>
  <c r="D30" i="2"/>
  <c r="D24" i="2"/>
  <c r="D23" i="2"/>
  <c r="B22" i="2"/>
  <c r="D22" i="2" s="1"/>
  <c r="D21" i="2"/>
  <c r="D20" i="2"/>
  <c r="D19" i="2"/>
  <c r="D18" i="2"/>
  <c r="D17" i="2"/>
  <c r="D11" i="2"/>
  <c r="D10" i="2"/>
  <c r="D9" i="2"/>
  <c r="D8" i="2"/>
  <c r="D7" i="2"/>
  <c r="D6" i="2"/>
  <c r="D5" i="2"/>
  <c r="D4" i="2"/>
  <c r="D3" i="2"/>
  <c r="I6" i="3"/>
  <c r="I16" i="3"/>
  <c r="I24" i="3"/>
  <c r="D24" i="3"/>
  <c r="D16" i="3"/>
  <c r="D7" i="3"/>
  <c r="D66" i="2" l="1"/>
  <c r="D78" i="2"/>
  <c r="D38" i="2"/>
  <c r="D25" i="2"/>
  <c r="D12" i="2"/>
  <c r="G10" i="5" l="1"/>
  <c r="H10" i="5"/>
  <c r="C10" i="5"/>
  <c r="D10" i="5"/>
  <c r="E10" i="5"/>
  <c r="F10" i="5"/>
  <c r="C11" i="5"/>
  <c r="D11" i="5"/>
  <c r="E11" i="5"/>
  <c r="F11" i="5"/>
  <c r="B11" i="5"/>
  <c r="B10" i="5"/>
  <c r="C22" i="5"/>
  <c r="D22" i="5"/>
  <c r="E22" i="5"/>
  <c r="F22" i="5"/>
  <c r="C21" i="5"/>
  <c r="D21" i="5"/>
  <c r="E21" i="5"/>
  <c r="F21" i="5"/>
  <c r="G21" i="5"/>
  <c r="H21" i="5"/>
  <c r="B22" i="5"/>
  <c r="B21" i="5"/>
  <c r="J5" i="10" l="1"/>
  <c r="I5" i="10"/>
  <c r="J3" i="10"/>
  <c r="I3" i="10"/>
  <c r="L5" i="10"/>
  <c r="P26" i="17"/>
  <c r="M26" i="17"/>
  <c r="G26" i="17"/>
  <c r="D26" i="17"/>
  <c r="P25" i="17"/>
  <c r="M25" i="17"/>
  <c r="G25" i="17"/>
  <c r="D25" i="17"/>
  <c r="P24" i="17"/>
  <c r="M24" i="17"/>
  <c r="G24" i="17"/>
  <c r="D24" i="17"/>
  <c r="P23" i="17"/>
  <c r="M23" i="17"/>
  <c r="G23" i="17"/>
  <c r="D23" i="17"/>
  <c r="P22" i="17"/>
  <c r="M22" i="17"/>
  <c r="G22" i="17"/>
  <c r="D22" i="17"/>
  <c r="P21" i="17"/>
  <c r="P27" i="17" s="1"/>
  <c r="M21" i="17"/>
  <c r="M27" i="17" s="1"/>
  <c r="G21" i="17"/>
  <c r="G27" i="17" s="1"/>
  <c r="D21" i="17"/>
  <c r="D27" i="17" s="1"/>
  <c r="G17" i="17"/>
  <c r="D17" i="17"/>
  <c r="G16" i="17"/>
  <c r="D16" i="17"/>
  <c r="P15" i="17"/>
  <c r="M15" i="17"/>
  <c r="G15" i="17"/>
  <c r="D15" i="17"/>
  <c r="P14" i="17"/>
  <c r="M14" i="17"/>
  <c r="G14" i="17"/>
  <c r="D14" i="17"/>
  <c r="P13" i="17"/>
  <c r="M13" i="17"/>
  <c r="G13" i="17"/>
  <c r="G18" i="17" s="1"/>
  <c r="D13" i="17"/>
  <c r="P12" i="17"/>
  <c r="P16" i="17" s="1"/>
  <c r="M12" i="17"/>
  <c r="M16" i="17" s="1"/>
  <c r="G12" i="17"/>
  <c r="D12" i="17"/>
  <c r="D18" i="17" s="1"/>
  <c r="P7" i="17"/>
  <c r="M7" i="17"/>
  <c r="G7" i="17"/>
  <c r="D7" i="17"/>
  <c r="P6" i="17"/>
  <c r="M6" i="17"/>
  <c r="G6" i="17"/>
  <c r="D6" i="17"/>
  <c r="P5" i="17"/>
  <c r="M5" i="17"/>
  <c r="G5" i="17"/>
  <c r="D5" i="17"/>
  <c r="P4" i="17"/>
  <c r="M4" i="17"/>
  <c r="G4" i="17"/>
  <c r="G8" i="17" s="1"/>
  <c r="D4" i="17"/>
  <c r="D8" i="17" s="1"/>
  <c r="P3" i="17"/>
  <c r="P8" i="17" s="1"/>
  <c r="M3" i="17"/>
  <c r="M8" i="17" s="1"/>
  <c r="G3" i="17"/>
  <c r="D3" i="17"/>
  <c r="G5" i="16"/>
  <c r="G4" i="16"/>
  <c r="L72" i="14"/>
  <c r="M70" i="14"/>
  <c r="L70" i="14"/>
  <c r="K70" i="14"/>
  <c r="J70" i="14"/>
  <c r="M69" i="14"/>
  <c r="L69" i="14"/>
  <c r="K69" i="14"/>
  <c r="J69" i="14"/>
  <c r="M68" i="14"/>
  <c r="M72" i="14" s="1"/>
  <c r="L68" i="14"/>
  <c r="K68" i="14"/>
  <c r="K72" i="14" s="1"/>
  <c r="J68" i="14"/>
  <c r="J72" i="14" s="1"/>
  <c r="M67" i="14"/>
  <c r="M71" i="14" s="1"/>
  <c r="L67" i="14"/>
  <c r="L71" i="14" s="1"/>
  <c r="K67" i="14"/>
  <c r="K71" i="14" s="1"/>
  <c r="J67" i="14"/>
  <c r="J71" i="14" s="1"/>
  <c r="M64" i="14"/>
  <c r="J63" i="14"/>
  <c r="M62" i="14"/>
  <c r="L62" i="14"/>
  <c r="K62" i="14"/>
  <c r="J62" i="14"/>
  <c r="M61" i="14"/>
  <c r="L61" i="14"/>
  <c r="K61" i="14"/>
  <c r="J61" i="14"/>
  <c r="M60" i="14"/>
  <c r="L60" i="14"/>
  <c r="L64" i="14" s="1"/>
  <c r="K60" i="14"/>
  <c r="K64" i="14" s="1"/>
  <c r="J60" i="14"/>
  <c r="J64" i="14" s="1"/>
  <c r="M59" i="14"/>
  <c r="M63" i="14" s="1"/>
  <c r="L59" i="14"/>
  <c r="L63" i="14" s="1"/>
  <c r="K59" i="14"/>
  <c r="K63" i="14" s="1"/>
  <c r="J59" i="14"/>
  <c r="L56" i="14"/>
  <c r="M54" i="14"/>
  <c r="L54" i="14"/>
  <c r="K54" i="14"/>
  <c r="J54" i="14"/>
  <c r="M53" i="14"/>
  <c r="L53" i="14"/>
  <c r="K53" i="14"/>
  <c r="J53" i="14"/>
  <c r="M52" i="14"/>
  <c r="M56" i="14" s="1"/>
  <c r="L52" i="14"/>
  <c r="K52" i="14"/>
  <c r="K56" i="14" s="1"/>
  <c r="J52" i="14"/>
  <c r="J56" i="14" s="1"/>
  <c r="M51" i="14"/>
  <c r="M55" i="14" s="1"/>
  <c r="L51" i="14"/>
  <c r="L55" i="14" s="1"/>
  <c r="K51" i="14"/>
  <c r="K55" i="14" s="1"/>
  <c r="J51" i="14"/>
  <c r="J55" i="14" s="1"/>
  <c r="M48" i="14"/>
  <c r="M46" i="14"/>
  <c r="L46" i="14"/>
  <c r="K46" i="14"/>
  <c r="J46" i="14"/>
  <c r="M45" i="14"/>
  <c r="L45" i="14"/>
  <c r="K45" i="14"/>
  <c r="J45" i="14"/>
  <c r="M44" i="14"/>
  <c r="L44" i="14"/>
  <c r="L48" i="14" s="1"/>
  <c r="K44" i="14"/>
  <c r="K48" i="14" s="1"/>
  <c r="J44" i="14"/>
  <c r="J48" i="14" s="1"/>
  <c r="M43" i="14"/>
  <c r="M47" i="14" s="1"/>
  <c r="L43" i="14"/>
  <c r="L47" i="14" s="1"/>
  <c r="K43" i="14"/>
  <c r="K47" i="14" s="1"/>
  <c r="J43" i="14"/>
  <c r="J47" i="14" s="1"/>
  <c r="L40" i="14"/>
  <c r="M38" i="14"/>
  <c r="L38" i="14"/>
  <c r="K38" i="14"/>
  <c r="J38" i="14"/>
  <c r="M37" i="14"/>
  <c r="L37" i="14"/>
  <c r="K37" i="14"/>
  <c r="J37" i="14"/>
  <c r="M36" i="14"/>
  <c r="M40" i="14" s="1"/>
  <c r="L36" i="14"/>
  <c r="K36" i="14"/>
  <c r="K40" i="14" s="1"/>
  <c r="J36" i="14"/>
  <c r="J40" i="14" s="1"/>
  <c r="M35" i="14"/>
  <c r="M39" i="14" s="1"/>
  <c r="L35" i="14"/>
  <c r="L39" i="14" s="1"/>
  <c r="K35" i="14"/>
  <c r="K39" i="14" s="1"/>
  <c r="J35" i="14"/>
  <c r="J39" i="14" s="1"/>
  <c r="M32" i="14"/>
  <c r="K31" i="14"/>
  <c r="M30" i="14"/>
  <c r="L30" i="14"/>
  <c r="K30" i="14"/>
  <c r="J30" i="14"/>
  <c r="M29" i="14"/>
  <c r="L29" i="14"/>
  <c r="K29" i="14"/>
  <c r="J29" i="14"/>
  <c r="M28" i="14"/>
  <c r="L28" i="14"/>
  <c r="L32" i="14" s="1"/>
  <c r="K28" i="14"/>
  <c r="K32" i="14" s="1"/>
  <c r="J28" i="14"/>
  <c r="J32" i="14" s="1"/>
  <c r="M27" i="14"/>
  <c r="M31" i="14" s="1"/>
  <c r="L27" i="14"/>
  <c r="L31" i="14" s="1"/>
  <c r="K27" i="14"/>
  <c r="J27" i="14"/>
  <c r="J31" i="14" s="1"/>
  <c r="L24" i="14"/>
  <c r="M22" i="14"/>
  <c r="L22" i="14"/>
  <c r="K22" i="14"/>
  <c r="J22" i="14"/>
  <c r="M21" i="14"/>
  <c r="L21" i="14"/>
  <c r="K21" i="14"/>
  <c r="J21" i="14"/>
  <c r="M20" i="14"/>
  <c r="M24" i="14" s="1"/>
  <c r="L20" i="14"/>
  <c r="K20" i="14"/>
  <c r="K24" i="14" s="1"/>
  <c r="J20" i="14"/>
  <c r="J24" i="14" s="1"/>
  <c r="M19" i="14"/>
  <c r="M23" i="14" s="1"/>
  <c r="L19" i="14"/>
  <c r="L23" i="14" s="1"/>
  <c r="K19" i="14"/>
  <c r="K23" i="14" s="1"/>
  <c r="J19" i="14"/>
  <c r="J23" i="14" s="1"/>
  <c r="M16" i="14"/>
  <c r="M14" i="14"/>
  <c r="L14" i="14"/>
  <c r="K14" i="14"/>
  <c r="J14" i="14"/>
  <c r="M13" i="14"/>
  <c r="L13" i="14"/>
  <c r="K13" i="14"/>
  <c r="J13" i="14"/>
  <c r="M12" i="14"/>
  <c r="L12" i="14"/>
  <c r="L16" i="14" s="1"/>
  <c r="K12" i="14"/>
  <c r="K16" i="14" s="1"/>
  <c r="J12" i="14"/>
  <c r="J16" i="14" s="1"/>
  <c r="M11" i="14"/>
  <c r="M15" i="14" s="1"/>
  <c r="L11" i="14"/>
  <c r="L15" i="14" s="1"/>
  <c r="K11" i="14"/>
  <c r="K15" i="14" s="1"/>
  <c r="J11" i="14"/>
  <c r="J15" i="14" s="1"/>
  <c r="L8" i="14"/>
  <c r="M6" i="14"/>
  <c r="L6" i="14"/>
  <c r="K6" i="14"/>
  <c r="J6" i="14"/>
  <c r="M5" i="14"/>
  <c r="L5" i="14"/>
  <c r="K5" i="14"/>
  <c r="J5" i="14"/>
  <c r="M4" i="14"/>
  <c r="M8" i="14" s="1"/>
  <c r="L4" i="14"/>
  <c r="K4" i="14"/>
  <c r="K8" i="14" s="1"/>
  <c r="J4" i="14"/>
  <c r="J8" i="14" s="1"/>
  <c r="M3" i="14"/>
  <c r="M7" i="14" s="1"/>
  <c r="L3" i="14"/>
  <c r="L7" i="14" s="1"/>
  <c r="K3" i="14"/>
  <c r="K7" i="14" s="1"/>
  <c r="J3" i="14"/>
  <c r="J7" i="14" s="1"/>
  <c r="I20" i="13"/>
  <c r="H20" i="13"/>
  <c r="I19" i="13"/>
  <c r="H19" i="13"/>
  <c r="I16" i="13"/>
  <c r="H16" i="13"/>
  <c r="I15" i="13"/>
  <c r="H15" i="13"/>
  <c r="I12" i="13"/>
  <c r="H12" i="13"/>
  <c r="I11" i="13"/>
  <c r="H11" i="13"/>
  <c r="I8" i="13"/>
  <c r="H8" i="13"/>
  <c r="I7" i="13"/>
  <c r="H7" i="13"/>
  <c r="I4" i="13"/>
  <c r="H4" i="13"/>
  <c r="I3" i="13"/>
  <c r="H3" i="13"/>
  <c r="G7" i="11"/>
  <c r="G6" i="11"/>
  <c r="G5" i="11"/>
  <c r="G4" i="11"/>
  <c r="G3" i="11"/>
  <c r="D34" i="9"/>
  <c r="D33" i="9"/>
  <c r="D32" i="9"/>
  <c r="D31" i="9"/>
  <c r="D30" i="9"/>
  <c r="D29" i="9"/>
  <c r="D35" i="9" s="1"/>
  <c r="D24" i="9"/>
  <c r="D23" i="9"/>
  <c r="D22" i="9"/>
  <c r="D21" i="9"/>
  <c r="D25" i="9" s="1"/>
  <c r="D16" i="9"/>
  <c r="D15" i="9"/>
  <c r="D14" i="9"/>
  <c r="D13" i="9"/>
  <c r="D12" i="9"/>
  <c r="D17" i="9" s="1"/>
  <c r="D7" i="9"/>
  <c r="D6" i="9"/>
  <c r="D5" i="9"/>
  <c r="D4" i="9"/>
  <c r="D3" i="9"/>
  <c r="D8" i="9" s="1"/>
  <c r="O31" i="14" l="1"/>
  <c r="Q32" i="14"/>
  <c r="P56" i="14"/>
  <c r="O56" i="14"/>
  <c r="P8" i="14"/>
  <c r="O8" i="14"/>
  <c r="P64" i="14"/>
  <c r="O64" i="14"/>
  <c r="P16" i="14"/>
  <c r="O16" i="14"/>
  <c r="Q40" i="14"/>
  <c r="O39" i="14"/>
  <c r="Q48" i="14"/>
  <c r="O47" i="14"/>
  <c r="P72" i="14"/>
  <c r="O72" i="14"/>
  <c r="P32" i="14"/>
  <c r="O32" i="14"/>
  <c r="Q56" i="14"/>
  <c r="O55" i="14"/>
  <c r="Q64" i="14"/>
  <c r="P24" i="14"/>
  <c r="O24" i="14"/>
  <c r="Q8" i="14"/>
  <c r="O7" i="14"/>
  <c r="Q16" i="14"/>
  <c r="O15" i="14"/>
  <c r="P40" i="14"/>
  <c r="O40" i="14"/>
  <c r="Q24" i="14"/>
  <c r="O23" i="14"/>
  <c r="P48" i="14"/>
  <c r="O48" i="14"/>
  <c r="Q72" i="14"/>
  <c r="O71" i="14"/>
  <c r="O63" i="14"/>
  <c r="I23" i="3"/>
  <c r="D23" i="3"/>
  <c r="I22" i="3"/>
  <c r="D22" i="3"/>
  <c r="I21" i="3"/>
  <c r="D21" i="3"/>
  <c r="I20" i="3"/>
  <c r="D20" i="3"/>
  <c r="I15" i="3"/>
  <c r="D15" i="3"/>
  <c r="I14" i="3"/>
  <c r="D14" i="3"/>
  <c r="I13" i="3"/>
  <c r="D13" i="3"/>
  <c r="I12" i="3"/>
  <c r="D12" i="3"/>
  <c r="I5" i="3"/>
  <c r="I4" i="3"/>
  <c r="I3" i="3"/>
  <c r="E15" i="6" l="1"/>
  <c r="E14" i="6"/>
  <c r="D14" i="6"/>
  <c r="D15" i="6" s="1"/>
  <c r="C14" i="6"/>
  <c r="C15" i="6" s="1"/>
  <c r="E9" i="6"/>
  <c r="E10" i="6" s="1"/>
  <c r="D9" i="6"/>
  <c r="D10" i="6" s="1"/>
  <c r="C9" i="6"/>
  <c r="C10" i="6" s="1"/>
  <c r="E27" i="6"/>
  <c r="E28" i="6" s="1"/>
  <c r="D27" i="6"/>
  <c r="D28" i="6" s="1"/>
  <c r="C27" i="6"/>
  <c r="C28" i="6" s="1"/>
  <c r="E22" i="6"/>
  <c r="E23" i="6" s="1"/>
  <c r="D22" i="6"/>
  <c r="D23" i="6" s="1"/>
  <c r="C22" i="6"/>
  <c r="C23" i="6" s="1"/>
  <c r="G23" i="6" s="1"/>
  <c r="H10" i="6" l="1"/>
  <c r="G10" i="6"/>
  <c r="G15" i="6"/>
  <c r="G28" i="6"/>
  <c r="H23" i="6"/>
  <c r="H28" i="6"/>
  <c r="H15" i="6"/>
  <c r="E25" i="5" l="1"/>
  <c r="F25" i="5"/>
  <c r="D25" i="5"/>
  <c r="T16" i="4" l="1"/>
  <c r="S16" i="4"/>
  <c r="R16" i="4"/>
  <c r="Q16" i="4"/>
  <c r="P16" i="4"/>
  <c r="O16" i="4"/>
  <c r="N16" i="4"/>
  <c r="M16" i="4"/>
  <c r="T15" i="4"/>
  <c r="S15" i="4"/>
  <c r="R15" i="4"/>
  <c r="Q15" i="4"/>
  <c r="P15" i="4"/>
  <c r="O15" i="4"/>
  <c r="N15" i="4"/>
  <c r="M15" i="4"/>
  <c r="T14" i="4"/>
  <c r="T19" i="4" s="1"/>
  <c r="S14" i="4"/>
  <c r="S19" i="4" s="1"/>
  <c r="R14" i="4"/>
  <c r="R19" i="4" s="1"/>
  <c r="Q14" i="4"/>
  <c r="Q19" i="4" s="1"/>
  <c r="P14" i="4"/>
  <c r="P19" i="4" s="1"/>
  <c r="O14" i="4"/>
  <c r="O19" i="4" s="1"/>
  <c r="N14" i="4"/>
  <c r="N19" i="4" s="1"/>
  <c r="M14" i="4"/>
  <c r="M19" i="4" s="1"/>
  <c r="T13" i="4"/>
  <c r="T18" i="4" s="1"/>
  <c r="S13" i="4"/>
  <c r="S18" i="4" s="1"/>
  <c r="R13" i="4"/>
  <c r="R18" i="4" s="1"/>
  <c r="Q13" i="4"/>
  <c r="Q18" i="4" s="1"/>
  <c r="P13" i="4"/>
  <c r="P18" i="4" s="1"/>
  <c r="O13" i="4"/>
  <c r="O18" i="4" s="1"/>
  <c r="N13" i="4"/>
  <c r="N18" i="4" s="1"/>
  <c r="M13" i="4"/>
  <c r="M18" i="4" s="1"/>
  <c r="T6" i="4"/>
  <c r="S6" i="4"/>
  <c r="R6" i="4"/>
  <c r="Q6" i="4"/>
  <c r="P6" i="4"/>
  <c r="O6" i="4"/>
  <c r="N6" i="4"/>
  <c r="M6" i="4"/>
  <c r="T5" i="4"/>
  <c r="S5" i="4"/>
  <c r="R5" i="4"/>
  <c r="Q5" i="4"/>
  <c r="P5" i="4"/>
  <c r="O5" i="4"/>
  <c r="N5" i="4"/>
  <c r="M5" i="4"/>
  <c r="T4" i="4"/>
  <c r="T9" i="4" s="1"/>
  <c r="S4" i="4"/>
  <c r="S9" i="4" s="1"/>
  <c r="R4" i="4"/>
  <c r="R9" i="4" s="1"/>
  <c r="Q4" i="4"/>
  <c r="Q9" i="4" s="1"/>
  <c r="P4" i="4"/>
  <c r="P9" i="4" s="1"/>
  <c r="O4" i="4"/>
  <c r="O9" i="4" s="1"/>
  <c r="N4" i="4"/>
  <c r="N9" i="4" s="1"/>
  <c r="M4" i="4"/>
  <c r="M9" i="4" s="1"/>
  <c r="T3" i="4"/>
  <c r="T8" i="4" s="1"/>
  <c r="S3" i="4"/>
  <c r="S8" i="4" s="1"/>
  <c r="R3" i="4"/>
  <c r="R8" i="4" s="1"/>
  <c r="Q3" i="4"/>
  <c r="Q8" i="4" s="1"/>
  <c r="P3" i="4"/>
  <c r="P8" i="4" s="1"/>
  <c r="O3" i="4"/>
  <c r="O8" i="4" s="1"/>
  <c r="N3" i="4"/>
  <c r="N8" i="4" s="1"/>
  <c r="M3" i="4"/>
  <c r="M8" i="4" s="1"/>
  <c r="V19" i="4" l="1"/>
  <c r="U9" i="4"/>
  <c r="V9" i="4"/>
  <c r="U18" i="4"/>
  <c r="W19" i="4"/>
  <c r="U8" i="4"/>
  <c r="W8" i="4"/>
  <c r="U19" i="4"/>
</calcChain>
</file>

<file path=xl/sharedStrings.xml><?xml version="1.0" encoding="utf-8"?>
<sst xmlns="http://schemas.openxmlformats.org/spreadsheetml/2006/main" count="578" uniqueCount="228">
  <si>
    <t>Boundary (micrometer)</t>
  </si>
  <si>
    <t>ECAD(+)-2</t>
    <phoneticPr fontId="1"/>
  </si>
  <si>
    <t>10W</t>
    <phoneticPr fontId="1"/>
  </si>
  <si>
    <t>MH</t>
    <phoneticPr fontId="1"/>
  </si>
  <si>
    <t>Cdh1</t>
    <phoneticPr fontId="1"/>
  </si>
  <si>
    <t>20W</t>
    <phoneticPr fontId="1"/>
  </si>
  <si>
    <t>8W</t>
    <phoneticPr fontId="1"/>
  </si>
  <si>
    <t>8W</t>
    <phoneticPr fontId="1"/>
  </si>
  <si>
    <t>SH</t>
    <phoneticPr fontId="1"/>
  </si>
  <si>
    <t>20W</t>
    <phoneticPr fontId="1"/>
  </si>
  <si>
    <t>MH</t>
    <phoneticPr fontId="1"/>
  </si>
  <si>
    <t>SH</t>
    <phoneticPr fontId="1"/>
  </si>
  <si>
    <t>8W</t>
    <phoneticPr fontId="1"/>
  </si>
  <si>
    <t>10W</t>
    <phoneticPr fontId="1"/>
  </si>
  <si>
    <t>20W</t>
    <phoneticPr fontId="1"/>
  </si>
  <si>
    <t>Cldn2</t>
    <phoneticPr fontId="1"/>
  </si>
  <si>
    <t>MH</t>
    <phoneticPr fontId="1"/>
  </si>
  <si>
    <t>Cdh1</t>
    <phoneticPr fontId="1"/>
  </si>
  <si>
    <t>2~(Ct(Gapdh)-Ct(Cdh1))</t>
    <phoneticPr fontId="1"/>
  </si>
  <si>
    <t>2~(Ct(Gapdh)-Ct(Cldn2))</t>
    <phoneticPr fontId="1"/>
  </si>
  <si>
    <t>Normalized to expression level in MHs</t>
    <phoneticPr fontId="1"/>
  </si>
  <si>
    <t>Replicate 1</t>
    <phoneticPr fontId="1"/>
  </si>
  <si>
    <t>Replicate 2</t>
    <phoneticPr fontId="1"/>
  </si>
  <si>
    <t>Average</t>
    <phoneticPr fontId="1"/>
  </si>
  <si>
    <t>Average</t>
    <phoneticPr fontId="1"/>
  </si>
  <si>
    <t>Cdln2</t>
    <phoneticPr fontId="1"/>
  </si>
  <si>
    <t>P-value</t>
    <phoneticPr fontId="1"/>
  </si>
  <si>
    <t>SE</t>
    <phoneticPr fontId="1"/>
  </si>
  <si>
    <t>SE</t>
    <phoneticPr fontId="1"/>
  </si>
  <si>
    <t>MG-Col overlay (weeks)</t>
    <phoneticPr fontId="1"/>
  </si>
  <si>
    <t>n.d.: not determined</t>
    <phoneticPr fontId="1"/>
  </si>
  <si>
    <t>Mean</t>
    <phoneticPr fontId="1"/>
  </si>
  <si>
    <t>HBTO-1 (ALB (ug/ml/h))</t>
    <phoneticPr fontId="1"/>
  </si>
  <si>
    <t>HBTO-2 (ALB (ug/ml/h))</t>
  </si>
  <si>
    <t>HBTO-3 (ALB (ug/ml/h))</t>
  </si>
  <si>
    <t>HBTO-4 (ALB (ug/ml/h))</t>
  </si>
  <si>
    <t>HBTO-5 (ALB (ug/ml/h))</t>
  </si>
  <si>
    <t>Mean</t>
    <phoneticPr fontId="1"/>
  </si>
  <si>
    <t>SE</t>
    <phoneticPr fontId="1"/>
  </si>
  <si>
    <t>P-value</t>
    <phoneticPr fontId="1"/>
  </si>
  <si>
    <t>Hep</t>
    <phoneticPr fontId="1"/>
  </si>
  <si>
    <t>Replicate 2</t>
    <phoneticPr fontId="1"/>
  </si>
  <si>
    <t>Area No.</t>
    <phoneticPr fontId="1"/>
  </si>
  <si>
    <t>nd</t>
    <phoneticPr fontId="1"/>
  </si>
  <si>
    <t>nd</t>
    <phoneticPr fontId="1"/>
  </si>
  <si>
    <t>P-values (Unpaired two-tails t-test)</t>
    <phoneticPr fontId="1"/>
  </si>
  <si>
    <t>Replicate 1</t>
    <phoneticPr fontId="1"/>
  </si>
  <si>
    <t>Replicate 2</t>
    <phoneticPr fontId="1"/>
  </si>
  <si>
    <t>Well 1</t>
    <phoneticPr fontId="1"/>
  </si>
  <si>
    <t>Well 2</t>
    <phoneticPr fontId="1"/>
  </si>
  <si>
    <t>Well 3</t>
    <phoneticPr fontId="1"/>
  </si>
  <si>
    <t>Hepatocyte gDNA (ng)</t>
    <phoneticPr fontId="1"/>
  </si>
  <si>
    <t>Hep</t>
    <phoneticPr fontId="1"/>
  </si>
  <si>
    <t>HBTO</t>
    <phoneticPr fontId="1"/>
  </si>
  <si>
    <t>CYP3A4</t>
    <phoneticPr fontId="1"/>
  </si>
  <si>
    <t>CYP1A1</t>
    <phoneticPr fontId="1"/>
  </si>
  <si>
    <t>Replicate 1</t>
    <phoneticPr fontId="1"/>
  </si>
  <si>
    <t>Replicate 2</t>
    <phoneticPr fontId="1"/>
  </si>
  <si>
    <t>average</t>
    <phoneticPr fontId="1"/>
  </si>
  <si>
    <t>HBTO</t>
    <phoneticPr fontId="1"/>
  </si>
  <si>
    <t>average</t>
    <phoneticPr fontId="1"/>
  </si>
  <si>
    <t>Mean</t>
    <phoneticPr fontId="1"/>
  </si>
  <si>
    <t>SE</t>
    <phoneticPr fontId="1"/>
  </si>
  <si>
    <t>SE</t>
    <phoneticPr fontId="1"/>
  </si>
  <si>
    <t>Mean</t>
    <phoneticPr fontId="1"/>
  </si>
  <si>
    <t>CYP1A1 activity/0.1ug DNA</t>
    <phoneticPr fontId="1"/>
  </si>
  <si>
    <t>CYP1A1 activity/0.1ug DNA</t>
    <phoneticPr fontId="1"/>
  </si>
  <si>
    <t>CYP3A4 activity/0.1ug DNA</t>
    <phoneticPr fontId="1"/>
  </si>
  <si>
    <t>Number of Connection</t>
    <phoneticPr fontId="1"/>
  </si>
  <si>
    <t>Connection/mm</t>
    <phoneticPr fontId="1"/>
  </si>
  <si>
    <t>Boundary (micrometer)</t>
    <phoneticPr fontId="1"/>
  </si>
  <si>
    <t>Hybrid HBTO-3</t>
    <phoneticPr fontId="1"/>
  </si>
  <si>
    <t>Hybrid HBTO-4</t>
    <phoneticPr fontId="1"/>
  </si>
  <si>
    <t>ALB (ug/ml/h)</t>
  </si>
  <si>
    <t>Mean</t>
    <phoneticPr fontId="1"/>
  </si>
  <si>
    <t>Hep-1 (ALB (ug/ml/h))</t>
    <phoneticPr fontId="1"/>
  </si>
  <si>
    <t>Hep-2 (ALB (ug/ml/h))</t>
    <phoneticPr fontId="1"/>
  </si>
  <si>
    <t>Hep-3 (ALB (ug/ml/h))</t>
    <phoneticPr fontId="1"/>
  </si>
  <si>
    <t>Hep-4 (ALB (ug/ml/h))</t>
    <phoneticPr fontId="1"/>
  </si>
  <si>
    <t>Hep-5 (ALB (ug/ml/h))</t>
    <phoneticPr fontId="1"/>
  </si>
  <si>
    <t>Hep-1</t>
    <phoneticPr fontId="1"/>
  </si>
  <si>
    <t>Hep-2</t>
    <phoneticPr fontId="1"/>
  </si>
  <si>
    <t>Hep-3</t>
  </si>
  <si>
    <t>Hep-4</t>
  </si>
  <si>
    <t>Hep-5</t>
  </si>
  <si>
    <t>Hep-6</t>
  </si>
  <si>
    <t>HBTO-1</t>
    <phoneticPr fontId="1"/>
  </si>
  <si>
    <t>HBTO-2</t>
  </si>
  <si>
    <t>HBTO-3</t>
  </si>
  <si>
    <t>HBTO-4</t>
  </si>
  <si>
    <t>HBTO-5</t>
  </si>
  <si>
    <t>HBTO-6</t>
  </si>
  <si>
    <t>ECAD(-)-1</t>
    <phoneticPr fontId="1"/>
  </si>
  <si>
    <t>ECAD(+)-1</t>
    <phoneticPr fontId="1"/>
  </si>
  <si>
    <t>Area No.</t>
    <phoneticPr fontId="1"/>
  </si>
  <si>
    <t>Number of Connection</t>
    <phoneticPr fontId="1"/>
  </si>
  <si>
    <t>Connection/mm</t>
    <phoneticPr fontId="1"/>
  </si>
  <si>
    <t>Number of Connection</t>
    <phoneticPr fontId="1"/>
  </si>
  <si>
    <t>ECAD(-)-2</t>
    <phoneticPr fontId="1"/>
  </si>
  <si>
    <t>Number of Connection</t>
    <phoneticPr fontId="1"/>
  </si>
  <si>
    <t>Connection/mm</t>
    <phoneticPr fontId="1"/>
  </si>
  <si>
    <t>ECAD(-)-3</t>
    <phoneticPr fontId="1"/>
  </si>
  <si>
    <t>ECAD(+)-3</t>
    <phoneticPr fontId="1"/>
  </si>
  <si>
    <t>Number of Connection</t>
    <phoneticPr fontId="1"/>
  </si>
  <si>
    <t>Hybrid HBTO-1</t>
    <phoneticPr fontId="1"/>
  </si>
  <si>
    <t>Connection/mm</t>
    <phoneticPr fontId="1"/>
  </si>
  <si>
    <t>Average</t>
    <phoneticPr fontId="1"/>
  </si>
  <si>
    <t>Average</t>
    <phoneticPr fontId="1"/>
  </si>
  <si>
    <t>Hybrid HBTO-2</t>
    <phoneticPr fontId="1"/>
  </si>
  <si>
    <t>Number of Connection</t>
    <phoneticPr fontId="1"/>
  </si>
  <si>
    <t>Area No.</t>
    <phoneticPr fontId="1"/>
  </si>
  <si>
    <t>Cyp3A4-activity</t>
    <phoneticPr fontId="1"/>
  </si>
  <si>
    <t>Average</t>
    <phoneticPr fontId="1"/>
  </si>
  <si>
    <t>1 day</t>
  </si>
  <si>
    <t>MH</t>
    <phoneticPr fontId="1"/>
  </si>
  <si>
    <t>5 day</t>
  </si>
  <si>
    <t>2W</t>
  </si>
  <si>
    <t>HBTO</t>
    <phoneticPr fontId="1"/>
  </si>
  <si>
    <t>4W</t>
  </si>
  <si>
    <t>6W</t>
  </si>
  <si>
    <t>average</t>
    <phoneticPr fontId="1"/>
  </si>
  <si>
    <t>Hnf4a</t>
  </si>
  <si>
    <t>EpCAM(-)</t>
  </si>
  <si>
    <t>EpCAM(+)</t>
  </si>
  <si>
    <t>Cyp1a2</t>
  </si>
  <si>
    <t>Cyp2e1</t>
  </si>
  <si>
    <t>Cyp3a11</t>
  </si>
  <si>
    <t>Cyp7a1</t>
  </si>
  <si>
    <t>SE</t>
    <phoneticPr fontId="1"/>
  </si>
  <si>
    <t>Ae2</t>
  </si>
  <si>
    <t>Cho</t>
  </si>
  <si>
    <t>Cho+Hep</t>
  </si>
  <si>
    <t>Cftr</t>
  </si>
  <si>
    <t>Ck7</t>
    <phoneticPr fontId="1"/>
  </si>
  <si>
    <t>Cho</t>
    <phoneticPr fontId="1"/>
  </si>
  <si>
    <t>Cho+Hep</t>
    <phoneticPr fontId="1"/>
  </si>
  <si>
    <t>Cho+Hep</t>
    <phoneticPr fontId="1"/>
  </si>
  <si>
    <t>Ck19</t>
    <phoneticPr fontId="1"/>
  </si>
  <si>
    <t>Cldn4</t>
    <phoneticPr fontId="1"/>
  </si>
  <si>
    <t>Cho+Hep</t>
    <phoneticPr fontId="1"/>
  </si>
  <si>
    <t>Means</t>
    <phoneticPr fontId="1"/>
  </si>
  <si>
    <t>8W</t>
    <phoneticPr fontId="1"/>
  </si>
  <si>
    <t>10W</t>
    <phoneticPr fontId="1"/>
  </si>
  <si>
    <t>10W</t>
    <phoneticPr fontId="1"/>
  </si>
  <si>
    <t>20W</t>
    <phoneticPr fontId="1"/>
  </si>
  <si>
    <t>Replicate 1</t>
    <phoneticPr fontId="1"/>
  </si>
  <si>
    <t>MH</t>
    <phoneticPr fontId="1"/>
  </si>
  <si>
    <t>SH</t>
    <phoneticPr fontId="1"/>
  </si>
  <si>
    <t>Replicate 2</t>
    <phoneticPr fontId="1"/>
  </si>
  <si>
    <t>Average</t>
    <phoneticPr fontId="1"/>
  </si>
  <si>
    <t>8W</t>
  </si>
  <si>
    <t>10W</t>
  </si>
  <si>
    <t>20W</t>
  </si>
  <si>
    <t>2^(Ct(Hprt)-Ct(Cps1))</t>
    <phoneticPr fontId="1"/>
  </si>
  <si>
    <t>SE</t>
    <phoneticPr fontId="1"/>
  </si>
  <si>
    <t>P-values</t>
    <phoneticPr fontId="1"/>
  </si>
  <si>
    <t>8W</t>
    <phoneticPr fontId="1"/>
  </si>
  <si>
    <t>20W</t>
    <phoneticPr fontId="1"/>
  </si>
  <si>
    <t>10W</t>
    <phoneticPr fontId="1"/>
  </si>
  <si>
    <t>Replicate 1</t>
    <phoneticPr fontId="1"/>
  </si>
  <si>
    <t>MH</t>
    <phoneticPr fontId="1"/>
  </si>
  <si>
    <t>SH</t>
    <phoneticPr fontId="1"/>
  </si>
  <si>
    <t>Replicate 2</t>
    <phoneticPr fontId="1"/>
  </si>
  <si>
    <t>Cps1</t>
    <phoneticPr fontId="1"/>
  </si>
  <si>
    <t>Average</t>
    <phoneticPr fontId="1"/>
  </si>
  <si>
    <t>2^(Ct(Hprt)-Ct(Hnf4a))</t>
    <phoneticPr fontId="1"/>
  </si>
  <si>
    <t>Hnf4a</t>
    <phoneticPr fontId="1"/>
  </si>
  <si>
    <t>Average</t>
    <phoneticPr fontId="1"/>
  </si>
  <si>
    <t>2^(Ct(Gapdh)-Ct(Tdo2))</t>
    <phoneticPr fontId="1"/>
  </si>
  <si>
    <t>Tdo2</t>
    <phoneticPr fontId="1"/>
  </si>
  <si>
    <t>2^(Ct(Gapdh)-Ct(Cyp3a11))</t>
    <phoneticPr fontId="1"/>
  </si>
  <si>
    <t>8W</t>
    <phoneticPr fontId="1"/>
  </si>
  <si>
    <t>20W</t>
    <phoneticPr fontId="1"/>
  </si>
  <si>
    <t>MH</t>
  </si>
  <si>
    <t>SH</t>
  </si>
  <si>
    <t>Cyp3a11</t>
    <phoneticPr fontId="1"/>
  </si>
  <si>
    <t>2^(Ct(Gapdh)-Ct(Cyp2e1))</t>
    <phoneticPr fontId="1"/>
  </si>
  <si>
    <t>Cyp2e1</t>
    <phoneticPr fontId="1"/>
  </si>
  <si>
    <t>2^(Ct(Gapdh)-Ct(Cyp1a2))</t>
    <phoneticPr fontId="1"/>
  </si>
  <si>
    <t>8W</t>
    <phoneticPr fontId="1"/>
  </si>
  <si>
    <t>10W</t>
    <phoneticPr fontId="1"/>
  </si>
  <si>
    <t>20W</t>
    <phoneticPr fontId="1"/>
  </si>
  <si>
    <t>SH</t>
    <phoneticPr fontId="1"/>
  </si>
  <si>
    <t>MH</t>
    <phoneticPr fontId="1"/>
  </si>
  <si>
    <t>Cyp1a2</t>
    <phoneticPr fontId="1"/>
  </si>
  <si>
    <t>2^(Ct(Gapdh)-Ct(Glu1))</t>
    <phoneticPr fontId="1"/>
  </si>
  <si>
    <t>SH</t>
    <phoneticPr fontId="1"/>
  </si>
  <si>
    <t>Gs</t>
    <phoneticPr fontId="1"/>
  </si>
  <si>
    <t>2^(Ct(Gapdh)-Ct(Lgr5))</t>
    <phoneticPr fontId="1"/>
  </si>
  <si>
    <t>SH</t>
    <phoneticPr fontId="1"/>
  </si>
  <si>
    <t>Lgr5</t>
    <phoneticPr fontId="1"/>
  </si>
  <si>
    <t>2^(Ct(Gapdh)-Ct(Axin2))</t>
    <phoneticPr fontId="1"/>
  </si>
  <si>
    <t>Replicate 1</t>
    <phoneticPr fontId="1"/>
  </si>
  <si>
    <t>SH</t>
    <phoneticPr fontId="1"/>
  </si>
  <si>
    <t>Axin2</t>
    <phoneticPr fontId="1"/>
  </si>
  <si>
    <t>ALP (mU/ml)</t>
    <phoneticPr fontId="1"/>
  </si>
  <si>
    <t>Control</t>
    <phoneticPr fontId="1"/>
  </si>
  <si>
    <t>Troglitazone</t>
    <phoneticPr fontId="1"/>
  </si>
  <si>
    <t>4W-sample 1</t>
    <phoneticPr fontId="1"/>
  </si>
  <si>
    <t>1W-sample 1</t>
    <phoneticPr fontId="1"/>
  </si>
  <si>
    <t>Area No.</t>
    <phoneticPr fontId="1"/>
  </si>
  <si>
    <t>Connection/mm</t>
    <phoneticPr fontId="1"/>
  </si>
  <si>
    <t>Hepatocyte Cluster (um2)</t>
    <phoneticPr fontId="1"/>
  </si>
  <si>
    <t>BC (micrometer)</t>
    <phoneticPr fontId="1"/>
  </si>
  <si>
    <t>BC (micrometer)</t>
    <phoneticPr fontId="1"/>
  </si>
  <si>
    <t>BC (mm/mm2)</t>
    <phoneticPr fontId="1"/>
  </si>
  <si>
    <t>BC (mm/mm2)</t>
    <phoneticPr fontId="1"/>
  </si>
  <si>
    <t>Number of Connection</t>
    <phoneticPr fontId="1"/>
  </si>
  <si>
    <t>Hepatocyte Cluster (um2)</t>
    <phoneticPr fontId="1"/>
  </si>
  <si>
    <t>4W-sample 2</t>
    <phoneticPr fontId="1"/>
  </si>
  <si>
    <t>1W-sample 2</t>
    <phoneticPr fontId="1"/>
  </si>
  <si>
    <t>4W-sample 3</t>
    <phoneticPr fontId="1"/>
  </si>
  <si>
    <t>1W-sample 3</t>
    <phoneticPr fontId="1"/>
  </si>
  <si>
    <t>Average</t>
    <phoneticPr fontId="1"/>
  </si>
  <si>
    <t>SH-1</t>
    <phoneticPr fontId="1"/>
  </si>
  <si>
    <t>Area No.</t>
    <phoneticPr fontId="1"/>
  </si>
  <si>
    <t>Number of Connection</t>
    <phoneticPr fontId="1"/>
  </si>
  <si>
    <t>Connection/mm</t>
    <phoneticPr fontId="1"/>
  </si>
  <si>
    <t>SH-2</t>
    <phoneticPr fontId="1"/>
  </si>
  <si>
    <t>Boundary (micrometer)</t>
    <phoneticPr fontId="1"/>
  </si>
  <si>
    <t>SH-3</t>
    <phoneticPr fontId="1"/>
  </si>
  <si>
    <t>Boundary (micrometer)</t>
    <phoneticPr fontId="1"/>
  </si>
  <si>
    <t>Average</t>
    <phoneticPr fontId="1"/>
  </si>
  <si>
    <t>Area No.</t>
    <phoneticPr fontId="1"/>
  </si>
  <si>
    <t>Boundary (micrometer)</t>
    <phoneticPr fontId="1"/>
  </si>
  <si>
    <t>Average</t>
    <phoneticPr fontId="1"/>
  </si>
  <si>
    <t>SH-5</t>
    <phoneticPr fontId="1"/>
  </si>
  <si>
    <t>SH-4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</si>
</sst>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>
      <alignment vertical="center"/>
    </xf>
    <xf numFmtId="0" fontId="0" fillId="0" borderId="0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workbookViewId="0">
      <selection activeCell="E32" sqref="E32"/>
    </sheetView>
  </sheetViews>
  <sheetFormatPr defaultRowHeight="13.5" x14ac:dyDescent="0.15"/>
  <cols>
    <col min="1" max="1" width="7.5" customWidth="1"/>
    <col min="2" max="3" width="20.125" customWidth="1"/>
    <col min="4" max="4" width="15.125" customWidth="1"/>
    <col min="7" max="7" width="20.25" customWidth="1"/>
    <col min="8" max="8" width="19.5" customWidth="1"/>
    <col min="9" max="9" width="14.875" customWidth="1"/>
  </cols>
  <sheetData>
    <row r="1" spans="1:4" x14ac:dyDescent="0.15">
      <c r="A1" t="s">
        <v>214</v>
      </c>
    </row>
    <row r="2" spans="1:4" x14ac:dyDescent="0.15">
      <c r="A2" t="s">
        <v>215</v>
      </c>
      <c r="B2" t="s">
        <v>70</v>
      </c>
      <c r="C2" t="s">
        <v>216</v>
      </c>
      <c r="D2" t="s">
        <v>217</v>
      </c>
    </row>
    <row r="3" spans="1:4" x14ac:dyDescent="0.15">
      <c r="A3" s="2">
        <v>1</v>
      </c>
      <c r="B3" s="2">
        <v>873</v>
      </c>
      <c r="C3" s="2">
        <v>2</v>
      </c>
      <c r="D3" s="2">
        <f>C3*(1000/B3)</f>
        <v>2.2909507445589918</v>
      </c>
    </row>
    <row r="4" spans="1:4" x14ac:dyDescent="0.15">
      <c r="A4" s="2">
        <v>2</v>
      </c>
      <c r="B4" s="2">
        <v>490</v>
      </c>
      <c r="C4" s="2">
        <v>2</v>
      </c>
      <c r="D4" s="2">
        <f t="shared" ref="D4:D11" si="0">C4*(1000/B4)</f>
        <v>4.0816326530612246</v>
      </c>
    </row>
    <row r="5" spans="1:4" x14ac:dyDescent="0.15">
      <c r="A5" s="2">
        <v>3</v>
      </c>
      <c r="B5" s="2">
        <v>762</v>
      </c>
      <c r="C5" s="2">
        <v>1</v>
      </c>
      <c r="D5" s="2">
        <f t="shared" si="0"/>
        <v>1.3123359580052494</v>
      </c>
    </row>
    <row r="6" spans="1:4" x14ac:dyDescent="0.15">
      <c r="A6" s="2">
        <v>4</v>
      </c>
      <c r="B6" s="2">
        <v>426</v>
      </c>
      <c r="C6" s="2">
        <v>2</v>
      </c>
      <c r="D6" s="2">
        <f t="shared" si="0"/>
        <v>4.694835680751174</v>
      </c>
    </row>
    <row r="7" spans="1:4" x14ac:dyDescent="0.15">
      <c r="A7" s="2">
        <v>5</v>
      </c>
      <c r="B7" s="2">
        <v>1272</v>
      </c>
      <c r="C7" s="2">
        <v>2</v>
      </c>
      <c r="D7" s="2">
        <f t="shared" si="0"/>
        <v>1.5723270440251573</v>
      </c>
    </row>
    <row r="8" spans="1:4" x14ac:dyDescent="0.15">
      <c r="A8" s="2">
        <v>6</v>
      </c>
      <c r="B8" s="2">
        <v>420</v>
      </c>
      <c r="C8" s="2">
        <v>1</v>
      </c>
      <c r="D8" s="2">
        <f t="shared" si="0"/>
        <v>2.3809523809523809</v>
      </c>
    </row>
    <row r="9" spans="1:4" x14ac:dyDescent="0.15">
      <c r="A9" s="2">
        <v>7</v>
      </c>
      <c r="B9" s="2">
        <v>912</v>
      </c>
      <c r="C9" s="2">
        <v>1</v>
      </c>
      <c r="D9" s="2">
        <f t="shared" si="0"/>
        <v>1.0964912280701755</v>
      </c>
    </row>
    <row r="10" spans="1:4" x14ac:dyDescent="0.15">
      <c r="A10" s="2">
        <v>8</v>
      </c>
      <c r="B10" s="2">
        <v>535</v>
      </c>
      <c r="C10" s="2">
        <v>3</v>
      </c>
      <c r="D10" s="2">
        <f t="shared" si="0"/>
        <v>5.6074766355140184</v>
      </c>
    </row>
    <row r="11" spans="1:4" x14ac:dyDescent="0.15">
      <c r="A11" s="2">
        <v>9</v>
      </c>
      <c r="B11" s="2">
        <v>522</v>
      </c>
      <c r="C11" s="2">
        <v>1</v>
      </c>
      <c r="D11" s="2">
        <f t="shared" si="0"/>
        <v>1.9157088122605364</v>
      </c>
    </row>
    <row r="12" spans="1:4" x14ac:dyDescent="0.15">
      <c r="A12" s="2" t="s">
        <v>23</v>
      </c>
      <c r="D12" s="2">
        <f>AVERAGE(D3:D11)</f>
        <v>2.7725234596887676</v>
      </c>
    </row>
    <row r="15" spans="1:4" x14ac:dyDescent="0.15">
      <c r="A15" t="s">
        <v>218</v>
      </c>
    </row>
    <row r="16" spans="1:4" x14ac:dyDescent="0.15">
      <c r="A16" t="s">
        <v>42</v>
      </c>
      <c r="B16" t="s">
        <v>219</v>
      </c>
      <c r="C16" t="s">
        <v>68</v>
      </c>
      <c r="D16" t="s">
        <v>69</v>
      </c>
    </row>
    <row r="17" spans="1:4" x14ac:dyDescent="0.15">
      <c r="A17" s="2">
        <v>1</v>
      </c>
      <c r="B17" s="2">
        <v>324</v>
      </c>
      <c r="C17" s="2">
        <v>2</v>
      </c>
      <c r="D17" s="2">
        <f>C17*(1000/B17)</f>
        <v>6.1728395061728394</v>
      </c>
    </row>
    <row r="18" spans="1:4" x14ac:dyDescent="0.15">
      <c r="A18" s="2">
        <v>2</v>
      </c>
      <c r="B18" s="2">
        <v>748</v>
      </c>
      <c r="C18" s="2">
        <v>1</v>
      </c>
      <c r="D18" s="2">
        <f t="shared" ref="D18:D24" si="1">C18*(1000/B18)</f>
        <v>1.3368983957219251</v>
      </c>
    </row>
    <row r="19" spans="1:4" x14ac:dyDescent="0.15">
      <c r="A19" s="2">
        <v>3</v>
      </c>
      <c r="B19" s="2">
        <v>660</v>
      </c>
      <c r="C19" s="2">
        <v>2</v>
      </c>
      <c r="D19" s="2">
        <f t="shared" si="1"/>
        <v>3.0303030303030303</v>
      </c>
    </row>
    <row r="20" spans="1:4" x14ac:dyDescent="0.15">
      <c r="A20" s="2">
        <v>4</v>
      </c>
      <c r="B20" s="2">
        <v>900</v>
      </c>
      <c r="C20" s="2">
        <v>2</v>
      </c>
      <c r="D20" s="2">
        <f t="shared" si="1"/>
        <v>2.2222222222222223</v>
      </c>
    </row>
    <row r="21" spans="1:4" x14ac:dyDescent="0.15">
      <c r="A21" s="2">
        <v>5</v>
      </c>
      <c r="B21" s="2">
        <v>310</v>
      </c>
      <c r="C21" s="2">
        <v>0</v>
      </c>
      <c r="D21" s="2">
        <f t="shared" si="1"/>
        <v>0</v>
      </c>
    </row>
    <row r="22" spans="1:4" x14ac:dyDescent="0.15">
      <c r="A22" s="2">
        <v>6</v>
      </c>
      <c r="B22" s="2">
        <f>521+434+74</f>
        <v>1029</v>
      </c>
      <c r="C22" s="2">
        <v>4</v>
      </c>
      <c r="D22" s="2">
        <f t="shared" si="1"/>
        <v>3.8872691933916426</v>
      </c>
    </row>
    <row r="23" spans="1:4" x14ac:dyDescent="0.15">
      <c r="A23" s="2">
        <v>7</v>
      </c>
      <c r="B23" s="2">
        <v>1297</v>
      </c>
      <c r="C23" s="2">
        <v>1</v>
      </c>
      <c r="D23" s="2">
        <f t="shared" si="1"/>
        <v>0.77101002313030065</v>
      </c>
    </row>
    <row r="24" spans="1:4" x14ac:dyDescent="0.15">
      <c r="A24" s="2">
        <v>8</v>
      </c>
      <c r="B24" s="2">
        <v>1320</v>
      </c>
      <c r="C24" s="2">
        <v>3</v>
      </c>
      <c r="D24" s="2">
        <f t="shared" si="1"/>
        <v>2.2727272727272725</v>
      </c>
    </row>
    <row r="25" spans="1:4" x14ac:dyDescent="0.15">
      <c r="A25" s="2" t="s">
        <v>23</v>
      </c>
      <c r="D25" s="2">
        <f>AVERAGE(D17:D24)</f>
        <v>2.4616587054586541</v>
      </c>
    </row>
    <row r="28" spans="1:4" x14ac:dyDescent="0.15">
      <c r="A28" t="s">
        <v>220</v>
      </c>
    </row>
    <row r="29" spans="1:4" x14ac:dyDescent="0.15">
      <c r="A29" t="s">
        <v>215</v>
      </c>
      <c r="B29" t="s">
        <v>221</v>
      </c>
      <c r="C29" t="s">
        <v>216</v>
      </c>
      <c r="D29" t="s">
        <v>69</v>
      </c>
    </row>
    <row r="30" spans="1:4" x14ac:dyDescent="0.15">
      <c r="A30" s="2">
        <v>1</v>
      </c>
      <c r="B30" s="2">
        <v>798</v>
      </c>
      <c r="C30" s="2">
        <v>3</v>
      </c>
      <c r="D30" s="2">
        <f>C30*(1000/B30)</f>
        <v>3.7593984962406015</v>
      </c>
    </row>
    <row r="31" spans="1:4" x14ac:dyDescent="0.15">
      <c r="A31" s="2">
        <v>2</v>
      </c>
      <c r="B31" s="2">
        <v>645</v>
      </c>
      <c r="C31" s="2">
        <v>2</v>
      </c>
      <c r="D31" s="2">
        <f t="shared" ref="D31:D37" si="2">C31*(1000/B31)</f>
        <v>3.1007751937984498</v>
      </c>
    </row>
    <row r="32" spans="1:4" x14ac:dyDescent="0.15">
      <c r="A32" s="2">
        <v>3</v>
      </c>
      <c r="B32" s="2">
        <v>446</v>
      </c>
      <c r="C32" s="2">
        <v>1</v>
      </c>
      <c r="D32" s="2">
        <f t="shared" si="2"/>
        <v>2.2421524663677128</v>
      </c>
    </row>
    <row r="33" spans="1:4" x14ac:dyDescent="0.15">
      <c r="A33" s="2">
        <v>4</v>
      </c>
      <c r="B33" s="2">
        <v>559</v>
      </c>
      <c r="C33" s="2">
        <v>1</v>
      </c>
      <c r="D33" s="2">
        <f t="shared" si="2"/>
        <v>1.7889087656529516</v>
      </c>
    </row>
    <row r="34" spans="1:4" x14ac:dyDescent="0.15">
      <c r="A34" s="2">
        <v>5</v>
      </c>
      <c r="B34" s="2">
        <v>960</v>
      </c>
      <c r="C34" s="2">
        <v>3</v>
      </c>
      <c r="D34" s="2">
        <f t="shared" si="2"/>
        <v>3.125</v>
      </c>
    </row>
    <row r="35" spans="1:4" x14ac:dyDescent="0.15">
      <c r="A35" s="2">
        <v>6</v>
      </c>
      <c r="B35" s="2">
        <v>455</v>
      </c>
      <c r="C35" s="2">
        <v>0</v>
      </c>
      <c r="D35" s="2">
        <f t="shared" si="2"/>
        <v>0</v>
      </c>
    </row>
    <row r="36" spans="1:4" x14ac:dyDescent="0.15">
      <c r="A36" s="2">
        <v>7</v>
      </c>
      <c r="B36" s="2">
        <v>310</v>
      </c>
      <c r="C36" s="2">
        <v>1</v>
      </c>
      <c r="D36" s="2">
        <f t="shared" si="2"/>
        <v>3.225806451612903</v>
      </c>
    </row>
    <row r="37" spans="1:4" x14ac:dyDescent="0.15">
      <c r="A37" s="2">
        <v>8</v>
      </c>
      <c r="B37" s="2">
        <v>1535</v>
      </c>
      <c r="C37" s="2">
        <v>5</v>
      </c>
      <c r="D37" s="2">
        <f t="shared" si="2"/>
        <v>3.2573289902280127</v>
      </c>
    </row>
    <row r="38" spans="1:4" x14ac:dyDescent="0.15">
      <c r="A38" s="2" t="s">
        <v>23</v>
      </c>
      <c r="D38" s="2">
        <f>AVERAGE(D30:D37)</f>
        <v>2.5624212954875789</v>
      </c>
    </row>
    <row r="40" spans="1:4" x14ac:dyDescent="0.15">
      <c r="A40" t="s">
        <v>227</v>
      </c>
    </row>
    <row r="41" spans="1:4" x14ac:dyDescent="0.15">
      <c r="A41" t="s">
        <v>215</v>
      </c>
      <c r="B41" t="s">
        <v>219</v>
      </c>
      <c r="C41" t="s">
        <v>68</v>
      </c>
      <c r="D41" t="s">
        <v>69</v>
      </c>
    </row>
    <row r="42" spans="1:4" x14ac:dyDescent="0.15">
      <c r="A42" s="2">
        <v>1</v>
      </c>
      <c r="B42" s="2">
        <v>498</v>
      </c>
      <c r="C42" s="2">
        <v>1</v>
      </c>
      <c r="D42" s="2">
        <f>C42*(1000/B42)</f>
        <v>2.0080321285140563</v>
      </c>
    </row>
    <row r="43" spans="1:4" x14ac:dyDescent="0.15">
      <c r="A43" s="2">
        <v>2</v>
      </c>
      <c r="B43" s="2">
        <v>145</v>
      </c>
      <c r="C43" s="2">
        <v>1</v>
      </c>
      <c r="D43" s="2">
        <f t="shared" ref="D43" si="3">C43*(1000/B43)</f>
        <v>6.8965517241379306</v>
      </c>
    </row>
    <row r="44" spans="1:4" x14ac:dyDescent="0.15">
      <c r="A44" s="2">
        <v>3</v>
      </c>
      <c r="B44" s="2">
        <v>221</v>
      </c>
      <c r="C44" s="2">
        <v>1</v>
      </c>
      <c r="D44" s="2">
        <f t="shared" ref="D44:D65" si="4">C44*(1000/B44)</f>
        <v>4.5248868778280542</v>
      </c>
    </row>
    <row r="45" spans="1:4" x14ac:dyDescent="0.15">
      <c r="A45" s="2">
        <v>4</v>
      </c>
      <c r="B45" s="2">
        <v>184</v>
      </c>
      <c r="C45" s="2">
        <v>2</v>
      </c>
      <c r="D45" s="2">
        <f t="shared" si="4"/>
        <v>10.869565217391305</v>
      </c>
    </row>
    <row r="46" spans="1:4" x14ac:dyDescent="0.15">
      <c r="A46" s="2">
        <v>5</v>
      </c>
      <c r="B46" s="2">
        <v>144</v>
      </c>
      <c r="C46" s="2">
        <v>0</v>
      </c>
      <c r="D46" s="2">
        <f t="shared" si="4"/>
        <v>0</v>
      </c>
    </row>
    <row r="47" spans="1:4" x14ac:dyDescent="0.15">
      <c r="A47" s="2">
        <v>6</v>
      </c>
      <c r="B47" s="2">
        <v>491</v>
      </c>
      <c r="C47" s="2">
        <v>3</v>
      </c>
      <c r="D47" s="2">
        <f t="shared" si="4"/>
        <v>6.1099796334012222</v>
      </c>
    </row>
    <row r="48" spans="1:4" x14ac:dyDescent="0.15">
      <c r="A48" s="2">
        <v>7</v>
      </c>
      <c r="B48" s="2">
        <v>496</v>
      </c>
      <c r="C48" s="2">
        <v>2</v>
      </c>
      <c r="D48" s="2">
        <f t="shared" si="4"/>
        <v>4.032258064516129</v>
      </c>
    </row>
    <row r="49" spans="1:4" x14ac:dyDescent="0.15">
      <c r="A49" s="2">
        <v>8</v>
      </c>
      <c r="B49" s="2">
        <v>155</v>
      </c>
      <c r="C49" s="2">
        <v>0</v>
      </c>
      <c r="D49" s="2">
        <f t="shared" si="4"/>
        <v>0</v>
      </c>
    </row>
    <row r="50" spans="1:4" x14ac:dyDescent="0.15">
      <c r="A50" s="2">
        <v>9</v>
      </c>
      <c r="B50" s="2">
        <v>263</v>
      </c>
      <c r="C50" s="2">
        <v>1</v>
      </c>
      <c r="D50" s="2">
        <f t="shared" si="4"/>
        <v>3.8022813688212929</v>
      </c>
    </row>
    <row r="51" spans="1:4" x14ac:dyDescent="0.15">
      <c r="A51" s="2">
        <v>10</v>
      </c>
      <c r="B51" s="2">
        <v>229</v>
      </c>
      <c r="C51" s="2">
        <v>1</v>
      </c>
      <c r="D51" s="2">
        <f t="shared" si="4"/>
        <v>4.3668122270742362</v>
      </c>
    </row>
    <row r="52" spans="1:4" x14ac:dyDescent="0.15">
      <c r="A52" s="2">
        <v>11</v>
      </c>
      <c r="B52" s="2">
        <v>137</v>
      </c>
      <c r="C52" s="2">
        <v>1</v>
      </c>
      <c r="D52" s="2">
        <f t="shared" si="4"/>
        <v>7.2992700729927007</v>
      </c>
    </row>
    <row r="53" spans="1:4" x14ac:dyDescent="0.15">
      <c r="A53" s="2">
        <v>12</v>
      </c>
      <c r="B53" s="2">
        <v>268</v>
      </c>
      <c r="C53" s="2">
        <v>1</v>
      </c>
      <c r="D53" s="2">
        <f t="shared" si="4"/>
        <v>3.7313432835820897</v>
      </c>
    </row>
    <row r="54" spans="1:4" x14ac:dyDescent="0.15">
      <c r="A54" s="2">
        <v>13</v>
      </c>
      <c r="B54" s="2">
        <v>135</v>
      </c>
      <c r="C54" s="2">
        <v>2</v>
      </c>
      <c r="D54" s="2">
        <f t="shared" si="4"/>
        <v>14.814814814814815</v>
      </c>
    </row>
    <row r="55" spans="1:4" x14ac:dyDescent="0.15">
      <c r="A55" s="2">
        <v>14</v>
      </c>
      <c r="B55" s="2">
        <v>90</v>
      </c>
      <c r="C55" s="2">
        <v>0</v>
      </c>
      <c r="D55" s="2">
        <f t="shared" si="4"/>
        <v>0</v>
      </c>
    </row>
    <row r="56" spans="1:4" x14ac:dyDescent="0.15">
      <c r="A56" s="2">
        <v>15</v>
      </c>
      <c r="B56" s="2">
        <v>142</v>
      </c>
      <c r="C56" s="2">
        <v>0</v>
      </c>
      <c r="D56" s="2">
        <f t="shared" si="4"/>
        <v>0</v>
      </c>
    </row>
    <row r="57" spans="1:4" x14ac:dyDescent="0.15">
      <c r="A57" s="2">
        <v>16</v>
      </c>
      <c r="B57" s="2">
        <v>165</v>
      </c>
      <c r="C57" s="2">
        <v>1</v>
      </c>
      <c r="D57" s="2">
        <f t="shared" si="4"/>
        <v>6.0606060606060606</v>
      </c>
    </row>
    <row r="58" spans="1:4" x14ac:dyDescent="0.15">
      <c r="A58" s="2">
        <v>17</v>
      </c>
      <c r="B58" s="2">
        <v>143</v>
      </c>
      <c r="C58" s="2">
        <v>0</v>
      </c>
      <c r="D58" s="2">
        <f t="shared" si="4"/>
        <v>0</v>
      </c>
    </row>
    <row r="59" spans="1:4" x14ac:dyDescent="0.15">
      <c r="A59" s="2">
        <v>18</v>
      </c>
      <c r="B59" s="2">
        <v>522</v>
      </c>
      <c r="C59" s="2">
        <v>2</v>
      </c>
      <c r="D59" s="2">
        <f t="shared" si="4"/>
        <v>3.8314176245210727</v>
      </c>
    </row>
    <row r="60" spans="1:4" x14ac:dyDescent="0.15">
      <c r="A60" s="2">
        <v>19</v>
      </c>
      <c r="B60" s="2">
        <v>100</v>
      </c>
      <c r="C60" s="2">
        <v>1</v>
      </c>
      <c r="D60" s="2">
        <f t="shared" si="4"/>
        <v>10</v>
      </c>
    </row>
    <row r="61" spans="1:4" x14ac:dyDescent="0.15">
      <c r="A61" s="2">
        <v>20</v>
      </c>
      <c r="B61" s="2">
        <v>572</v>
      </c>
      <c r="C61" s="2">
        <v>2</v>
      </c>
      <c r="D61" s="2">
        <f t="shared" si="4"/>
        <v>3.4965034965034967</v>
      </c>
    </row>
    <row r="62" spans="1:4" x14ac:dyDescent="0.15">
      <c r="A62" s="2">
        <v>21</v>
      </c>
      <c r="B62" s="2">
        <v>251</v>
      </c>
      <c r="C62" s="2">
        <v>2</v>
      </c>
      <c r="D62" s="2">
        <f t="shared" si="4"/>
        <v>7.9681274900398407</v>
      </c>
    </row>
    <row r="63" spans="1:4" x14ac:dyDescent="0.15">
      <c r="A63" s="2">
        <v>22</v>
      </c>
      <c r="B63" s="2">
        <v>217</v>
      </c>
      <c r="C63" s="2">
        <v>1</v>
      </c>
      <c r="D63" s="2">
        <f t="shared" si="4"/>
        <v>4.6082949308755756</v>
      </c>
    </row>
    <row r="64" spans="1:4" x14ac:dyDescent="0.15">
      <c r="A64" s="2">
        <v>23</v>
      </c>
      <c r="B64" s="2">
        <v>314</v>
      </c>
      <c r="C64" s="2">
        <v>2</v>
      </c>
      <c r="D64" s="2">
        <f t="shared" si="4"/>
        <v>6.369426751592357</v>
      </c>
    </row>
    <row r="65" spans="1:4" x14ac:dyDescent="0.15">
      <c r="A65" s="2">
        <v>24</v>
      </c>
      <c r="B65" s="2">
        <v>320</v>
      </c>
      <c r="C65" s="2">
        <v>2</v>
      </c>
      <c r="D65" s="2">
        <f t="shared" si="4"/>
        <v>6.25</v>
      </c>
    </row>
    <row r="66" spans="1:4" x14ac:dyDescent="0.15">
      <c r="A66" s="5" t="s">
        <v>222</v>
      </c>
      <c r="D66" s="5">
        <f>AVERAGE(D42:D65)</f>
        <v>4.8766738236338423</v>
      </c>
    </row>
    <row r="68" spans="1:4" x14ac:dyDescent="0.15">
      <c r="A68" t="s">
        <v>226</v>
      </c>
    </row>
    <row r="69" spans="1:4" x14ac:dyDescent="0.15">
      <c r="A69" t="s">
        <v>223</v>
      </c>
      <c r="B69" t="s">
        <v>224</v>
      </c>
      <c r="C69" t="s">
        <v>207</v>
      </c>
      <c r="D69" t="s">
        <v>217</v>
      </c>
    </row>
    <row r="70" spans="1:4" x14ac:dyDescent="0.15">
      <c r="A70" s="2">
        <v>1</v>
      </c>
      <c r="B70" s="2">
        <v>738</v>
      </c>
      <c r="C70" s="2">
        <v>4</v>
      </c>
      <c r="D70" s="2">
        <f>C70*(1000/B70)</f>
        <v>5.4200542005420056</v>
      </c>
    </row>
    <row r="71" spans="1:4" x14ac:dyDescent="0.15">
      <c r="A71" s="2">
        <v>2</v>
      </c>
      <c r="B71" s="2">
        <v>200</v>
      </c>
      <c r="C71" s="2">
        <v>1</v>
      </c>
      <c r="D71" s="2">
        <f t="shared" ref="D71:D77" si="5">C71*(1000/B71)</f>
        <v>5</v>
      </c>
    </row>
    <row r="72" spans="1:4" x14ac:dyDescent="0.15">
      <c r="A72" s="2">
        <v>3</v>
      </c>
      <c r="B72" s="2">
        <v>340</v>
      </c>
      <c r="C72" s="2">
        <v>1</v>
      </c>
      <c r="D72" s="2">
        <f t="shared" si="5"/>
        <v>2.9411764705882355</v>
      </c>
    </row>
    <row r="73" spans="1:4" x14ac:dyDescent="0.15">
      <c r="A73" s="2">
        <v>4</v>
      </c>
      <c r="B73" s="2">
        <v>307</v>
      </c>
      <c r="C73" s="2">
        <v>3</v>
      </c>
      <c r="D73" s="2">
        <f t="shared" si="5"/>
        <v>9.7719869706840399</v>
      </c>
    </row>
    <row r="74" spans="1:4" x14ac:dyDescent="0.15">
      <c r="A74" s="2">
        <v>5</v>
      </c>
      <c r="B74" s="2">
        <v>314</v>
      </c>
      <c r="C74" s="2">
        <v>1</v>
      </c>
      <c r="D74" s="2">
        <f t="shared" si="5"/>
        <v>3.1847133757961785</v>
      </c>
    </row>
    <row r="75" spans="1:4" x14ac:dyDescent="0.15">
      <c r="A75" s="2">
        <v>6</v>
      </c>
      <c r="B75" s="2">
        <v>298</v>
      </c>
      <c r="C75" s="2">
        <v>1</v>
      </c>
      <c r="D75" s="2">
        <f t="shared" si="5"/>
        <v>3.3557046979865772</v>
      </c>
    </row>
    <row r="76" spans="1:4" x14ac:dyDescent="0.15">
      <c r="A76" s="2">
        <v>7</v>
      </c>
      <c r="B76" s="2">
        <v>120</v>
      </c>
      <c r="C76" s="2">
        <v>0</v>
      </c>
      <c r="D76" s="2">
        <f t="shared" si="5"/>
        <v>0</v>
      </c>
    </row>
    <row r="77" spans="1:4" x14ac:dyDescent="0.15">
      <c r="A77" s="2">
        <v>8</v>
      </c>
      <c r="B77" s="2">
        <v>722</v>
      </c>
      <c r="C77" s="2">
        <v>2</v>
      </c>
      <c r="D77" s="2">
        <f t="shared" si="5"/>
        <v>2.770083102493075</v>
      </c>
    </row>
    <row r="78" spans="1:4" x14ac:dyDescent="0.15">
      <c r="A78" s="5" t="s">
        <v>167</v>
      </c>
      <c r="D78" s="5">
        <f>AVERAGE(D70:D77)</f>
        <v>4.055464852261264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I8" sqref="I8"/>
    </sheetView>
  </sheetViews>
  <sheetFormatPr defaultRowHeight="13.5" x14ac:dyDescent="0.15"/>
  <cols>
    <col min="9" max="9" width="14" customWidth="1"/>
  </cols>
  <sheetData>
    <row r="1" spans="1:12" x14ac:dyDescent="0.15">
      <c r="I1" t="s">
        <v>74</v>
      </c>
      <c r="J1" t="s">
        <v>27</v>
      </c>
      <c r="L1" t="s">
        <v>26</v>
      </c>
    </row>
    <row r="2" spans="1:12" x14ac:dyDescent="0.1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I2" t="s">
        <v>73</v>
      </c>
    </row>
    <row r="3" spans="1:12" x14ac:dyDescent="0.15">
      <c r="A3" s="2" t="s">
        <v>40</v>
      </c>
      <c r="B3" s="2">
        <v>5.2945825000000006</v>
      </c>
      <c r="C3" s="2">
        <v>8.5668463999999993</v>
      </c>
      <c r="D3" s="2">
        <v>0.78205499999999972</v>
      </c>
      <c r="E3" s="2">
        <v>8.8740424000000004</v>
      </c>
      <c r="F3" s="2">
        <v>12.371833311790839</v>
      </c>
      <c r="G3" s="2">
        <v>0</v>
      </c>
      <c r="H3" s="2"/>
      <c r="I3" s="2">
        <f>AVERAGE(B3:G3)</f>
        <v>5.9815599352984732</v>
      </c>
      <c r="J3" s="2">
        <f>STDEVP(B3:G3)/SQRT(COUNT(B3:G3))</f>
        <v>1.8194291196222043</v>
      </c>
    </row>
    <row r="4" spans="1:12" x14ac:dyDescent="0.15">
      <c r="B4" t="s">
        <v>86</v>
      </c>
      <c r="C4" t="s">
        <v>87</v>
      </c>
      <c r="D4" t="s">
        <v>88</v>
      </c>
      <c r="E4" t="s">
        <v>89</v>
      </c>
      <c r="F4" t="s">
        <v>90</v>
      </c>
      <c r="G4" t="s">
        <v>91</v>
      </c>
    </row>
    <row r="5" spans="1:12" x14ac:dyDescent="0.15">
      <c r="A5" s="2" t="s">
        <v>53</v>
      </c>
      <c r="B5" s="2">
        <v>25.381487849999999</v>
      </c>
      <c r="C5" s="2">
        <v>18.2747186</v>
      </c>
      <c r="D5" s="2">
        <v>6.6370799999999992</v>
      </c>
      <c r="E5" s="2">
        <v>36.806620400000007</v>
      </c>
      <c r="F5" s="2">
        <v>20.071721075936296</v>
      </c>
      <c r="G5" s="2">
        <v>4.7223750000000013</v>
      </c>
      <c r="H5" s="2"/>
      <c r="I5" s="2">
        <f>AVERAGE(B5:G5)</f>
        <v>18.64900048765605</v>
      </c>
      <c r="J5" s="2">
        <f>STDEVP(B5:G5)/SQRT(COUNT(B5:G5))</f>
        <v>4.4579108804343477</v>
      </c>
      <c r="L5">
        <f>TTEST(B3:G3,B5:G5,2,2)</f>
        <v>3.7210242645296869E-2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C34" sqref="C34"/>
    </sheetView>
  </sheetViews>
  <sheetFormatPr defaultRowHeight="13.5" x14ac:dyDescent="0.15"/>
  <cols>
    <col min="1" max="1" width="19.125" customWidth="1"/>
    <col min="2" max="2" width="24.75" customWidth="1"/>
    <col min="10" max="10" width="10.125" customWidth="1"/>
    <col min="11" max="11" width="24.5" customWidth="1"/>
  </cols>
  <sheetData>
    <row r="1" spans="1:9" x14ac:dyDescent="0.15">
      <c r="C1" t="s">
        <v>48</v>
      </c>
      <c r="D1" t="s">
        <v>49</v>
      </c>
      <c r="E1" t="s">
        <v>50</v>
      </c>
    </row>
    <row r="2" spans="1:9" x14ac:dyDescent="0.15">
      <c r="A2" t="s">
        <v>51</v>
      </c>
      <c r="B2" s="2" t="s">
        <v>52</v>
      </c>
      <c r="C2" s="2">
        <v>190.92883115650065</v>
      </c>
      <c r="D2" s="2">
        <v>139.86735662278659</v>
      </c>
      <c r="E2" s="2">
        <v>154.98561625478914</v>
      </c>
    </row>
    <row r="3" spans="1:9" x14ac:dyDescent="0.15">
      <c r="B3" s="2" t="s">
        <v>53</v>
      </c>
      <c r="C3" s="2">
        <v>97.617353102641275</v>
      </c>
      <c r="D3" s="2">
        <v>95.372810882522003</v>
      </c>
      <c r="E3" s="2">
        <v>102.86046351434896</v>
      </c>
    </row>
    <row r="5" spans="1:9" x14ac:dyDescent="0.15">
      <c r="A5" t="s">
        <v>55</v>
      </c>
      <c r="C5" t="s">
        <v>48</v>
      </c>
      <c r="D5" t="s">
        <v>49</v>
      </c>
      <c r="E5" t="s">
        <v>50</v>
      </c>
    </row>
    <row r="6" spans="1:9" x14ac:dyDescent="0.15">
      <c r="B6" s="3" t="s">
        <v>40</v>
      </c>
    </row>
    <row r="7" spans="1:9" x14ac:dyDescent="0.15">
      <c r="B7" s="2" t="s">
        <v>56</v>
      </c>
      <c r="C7" s="2">
        <v>110</v>
      </c>
      <c r="D7" s="2">
        <v>106</v>
      </c>
      <c r="E7" s="2">
        <v>117</v>
      </c>
    </row>
    <row r="8" spans="1:9" x14ac:dyDescent="0.15">
      <c r="A8" s="3"/>
      <c r="B8" s="2" t="s">
        <v>57</v>
      </c>
      <c r="C8" s="2">
        <v>87</v>
      </c>
      <c r="D8" s="2">
        <v>80</v>
      </c>
      <c r="E8" s="2">
        <v>97</v>
      </c>
    </row>
    <row r="9" spans="1:9" x14ac:dyDescent="0.15">
      <c r="A9" s="3"/>
      <c r="B9" s="2" t="s">
        <v>58</v>
      </c>
      <c r="C9" s="2">
        <f>AVERAGE(C7:C8)</f>
        <v>98.5</v>
      </c>
      <c r="D9" s="2">
        <f t="shared" ref="D9:E9" si="0">AVERAGE(D7:D8)</f>
        <v>93</v>
      </c>
      <c r="E9" s="2">
        <f t="shared" si="0"/>
        <v>107</v>
      </c>
      <c r="G9" t="s">
        <v>61</v>
      </c>
      <c r="H9" t="s">
        <v>62</v>
      </c>
    </row>
    <row r="10" spans="1:9" x14ac:dyDescent="0.15">
      <c r="B10" s="2" t="s">
        <v>65</v>
      </c>
      <c r="C10" s="2">
        <f>C9/C2*100</f>
        <v>51.589903632344281</v>
      </c>
      <c r="D10" s="2">
        <f t="shared" ref="D10:E10" si="1">D9/D2*100</f>
        <v>66.491569044816586</v>
      </c>
      <c r="E10" s="2">
        <f t="shared" si="1"/>
        <v>69.038664739118104</v>
      </c>
      <c r="G10" s="2">
        <f>AVERAGE(C10:E10)</f>
        <v>62.373379138759653</v>
      </c>
      <c r="H10" s="2">
        <f>STDEVP(C10:E10)/SQRT(COUNT(C10:E10))</f>
        <v>4.4430828165707519</v>
      </c>
      <c r="I10" s="3"/>
    </row>
    <row r="11" spans="1:9" x14ac:dyDescent="0.15">
      <c r="B11" t="s">
        <v>59</v>
      </c>
    </row>
    <row r="12" spans="1:9" x14ac:dyDescent="0.15">
      <c r="B12" s="2" t="s">
        <v>56</v>
      </c>
      <c r="C12" s="2">
        <v>200</v>
      </c>
      <c r="D12" s="2">
        <v>158</v>
      </c>
      <c r="E12" s="2">
        <v>197</v>
      </c>
    </row>
    <row r="13" spans="1:9" x14ac:dyDescent="0.15">
      <c r="B13" s="2" t="s">
        <v>41</v>
      </c>
      <c r="C13" s="2">
        <v>211</v>
      </c>
      <c r="D13" s="2">
        <v>135</v>
      </c>
      <c r="E13" s="2">
        <v>174</v>
      </c>
    </row>
    <row r="14" spans="1:9" x14ac:dyDescent="0.15">
      <c r="B14" s="2" t="s">
        <v>60</v>
      </c>
      <c r="C14" s="2">
        <f>AVERAGE(C12:C13)</f>
        <v>205.5</v>
      </c>
      <c r="D14" s="2">
        <f t="shared" ref="D14:E14" si="2">AVERAGE(D12:D13)</f>
        <v>146.5</v>
      </c>
      <c r="E14" s="2">
        <f t="shared" si="2"/>
        <v>185.5</v>
      </c>
      <c r="G14" t="s">
        <v>64</v>
      </c>
      <c r="H14" t="s">
        <v>63</v>
      </c>
    </row>
    <row r="15" spans="1:9" x14ac:dyDescent="0.15">
      <c r="B15" s="2" t="s">
        <v>66</v>
      </c>
      <c r="C15" s="2">
        <f>C14/C3*100</f>
        <v>210.51584935305905</v>
      </c>
      <c r="D15" s="2">
        <f t="shared" ref="D15:E15" si="3">D14/D3*100</f>
        <v>153.6077196890582</v>
      </c>
      <c r="E15" s="2">
        <f t="shared" si="3"/>
        <v>180.34140005029519</v>
      </c>
      <c r="G15" s="2">
        <f>AVERAGE(C15:E15)</f>
        <v>181.48832303080417</v>
      </c>
      <c r="H15" s="2">
        <f>STDEVP(C15:E15)/SQRT(COUNT(C15:E15))</f>
        <v>13.421544700849687</v>
      </c>
      <c r="I15" s="3"/>
    </row>
    <row r="18" spans="1:8" x14ac:dyDescent="0.15">
      <c r="A18" t="s">
        <v>54</v>
      </c>
      <c r="C18" t="s">
        <v>48</v>
      </c>
      <c r="D18" t="s">
        <v>49</v>
      </c>
      <c r="E18" t="s">
        <v>50</v>
      </c>
    </row>
    <row r="19" spans="1:8" x14ac:dyDescent="0.15">
      <c r="B19" s="3" t="s">
        <v>40</v>
      </c>
    </row>
    <row r="20" spans="1:8" x14ac:dyDescent="0.15">
      <c r="B20" s="2" t="s">
        <v>56</v>
      </c>
      <c r="C20" s="2">
        <v>737.5</v>
      </c>
      <c r="D20" s="2">
        <v>639.5</v>
      </c>
      <c r="E20" s="2">
        <v>669.5</v>
      </c>
    </row>
    <row r="21" spans="1:8" x14ac:dyDescent="0.15">
      <c r="B21" s="2" t="s">
        <v>57</v>
      </c>
      <c r="C21" s="2">
        <v>727.5</v>
      </c>
      <c r="D21" s="2">
        <v>655.5</v>
      </c>
      <c r="E21" s="2">
        <v>665.5</v>
      </c>
    </row>
    <row r="22" spans="1:8" x14ac:dyDescent="0.15">
      <c r="B22" s="2" t="s">
        <v>58</v>
      </c>
      <c r="C22" s="2">
        <f>AVERAGE(C20:C21)</f>
        <v>732.5</v>
      </c>
      <c r="D22" s="2">
        <f t="shared" ref="D22:E22" si="4">AVERAGE(D20:D21)</f>
        <v>647.5</v>
      </c>
      <c r="E22" s="2">
        <f t="shared" si="4"/>
        <v>667.5</v>
      </c>
      <c r="G22" t="s">
        <v>61</v>
      </c>
      <c r="H22" t="s">
        <v>62</v>
      </c>
    </row>
    <row r="23" spans="1:8" x14ac:dyDescent="0.15">
      <c r="B23" s="2" t="s">
        <v>67</v>
      </c>
      <c r="C23" s="2">
        <f>C22/C2*100</f>
        <v>383.65080619992062</v>
      </c>
      <c r="D23" s="2">
        <f>D22/D2*100</f>
        <v>462.9386124356854</v>
      </c>
      <c r="E23" s="2">
        <f>E22/E2*100</f>
        <v>430.68512816225547</v>
      </c>
      <c r="G23" s="2">
        <f>AVERAGE(C23:E23)</f>
        <v>425.75818226595385</v>
      </c>
      <c r="H23" s="2">
        <f>STDEVP(C23:E23)/SQRT(COUNT(C23:E23))</f>
        <v>18.796247564748175</v>
      </c>
    </row>
    <row r="24" spans="1:8" x14ac:dyDescent="0.15">
      <c r="B24" t="s">
        <v>59</v>
      </c>
    </row>
    <row r="25" spans="1:8" x14ac:dyDescent="0.15">
      <c r="B25" s="2" t="s">
        <v>56</v>
      </c>
      <c r="C25" s="2">
        <v>1470.5</v>
      </c>
      <c r="D25" s="2">
        <v>1342.5</v>
      </c>
      <c r="E25" s="2">
        <v>1191.5</v>
      </c>
    </row>
    <row r="26" spans="1:8" x14ac:dyDescent="0.15">
      <c r="B26" s="2" t="s">
        <v>41</v>
      </c>
      <c r="C26" s="2">
        <v>1265.5</v>
      </c>
      <c r="D26" s="2">
        <v>1189.5</v>
      </c>
      <c r="E26" s="2">
        <v>1070.5</v>
      </c>
    </row>
    <row r="27" spans="1:8" x14ac:dyDescent="0.15">
      <c r="B27" s="2" t="s">
        <v>60</v>
      </c>
      <c r="C27" s="2">
        <f>AVERAGE(C25:C26)</f>
        <v>1368</v>
      </c>
      <c r="D27" s="2">
        <f t="shared" ref="D27:E27" si="5">AVERAGE(D25:D26)</f>
        <v>1266</v>
      </c>
      <c r="E27" s="2">
        <f t="shared" si="5"/>
        <v>1131</v>
      </c>
      <c r="G27" t="s">
        <v>64</v>
      </c>
      <c r="H27" t="s">
        <v>63</v>
      </c>
    </row>
    <row r="28" spans="1:8" x14ac:dyDescent="0.15">
      <c r="B28" s="2" t="s">
        <v>67</v>
      </c>
      <c r="C28" s="2">
        <f>C27/C3*100</f>
        <v>1401.3901796349624</v>
      </c>
      <c r="D28" s="2">
        <f>D27/D3*100</f>
        <v>1327.4223421593699</v>
      </c>
      <c r="E28" s="2">
        <f>E27/E3*100</f>
        <v>1099.5478353470828</v>
      </c>
      <c r="G28" s="2">
        <f>AVERAGE(C28:E28)</f>
        <v>1276.1201190471384</v>
      </c>
      <c r="H28" s="2">
        <f>STDEVP(C28:E28)/SQRT(COUNT(C28:E28))</f>
        <v>74.163690986738217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workbookViewId="0">
      <selection activeCell="B37" sqref="B37"/>
    </sheetView>
  </sheetViews>
  <sheetFormatPr defaultRowHeight="13.5" x14ac:dyDescent="0.15"/>
  <cols>
    <col min="1" max="1" width="31.125" customWidth="1"/>
    <col min="2" max="2" width="13" customWidth="1"/>
  </cols>
  <sheetData>
    <row r="2" spans="1:8" x14ac:dyDescent="0.15">
      <c r="A2" s="2" t="s">
        <v>29</v>
      </c>
      <c r="B2" s="2">
        <v>0</v>
      </c>
      <c r="C2" s="2">
        <v>2</v>
      </c>
      <c r="D2" s="2">
        <v>4</v>
      </c>
      <c r="E2" s="2">
        <v>6</v>
      </c>
      <c r="F2" s="2">
        <v>8</v>
      </c>
      <c r="G2" s="2">
        <v>10</v>
      </c>
      <c r="H2" s="2">
        <v>12</v>
      </c>
    </row>
    <row r="3" spans="1:8" x14ac:dyDescent="0.15">
      <c r="A3" s="2" t="s">
        <v>75</v>
      </c>
      <c r="B3" s="2">
        <v>0.4</v>
      </c>
      <c r="C3" s="2">
        <v>0</v>
      </c>
      <c r="D3" s="2">
        <v>5.2945825000000006</v>
      </c>
      <c r="E3" s="2">
        <v>7.5386894000000018</v>
      </c>
      <c r="F3" s="2">
        <v>0.40872000000000064</v>
      </c>
      <c r="G3" s="2">
        <v>0.77458671313899607</v>
      </c>
      <c r="H3" s="2">
        <v>0</v>
      </c>
    </row>
    <row r="4" spans="1:8" x14ac:dyDescent="0.15">
      <c r="A4" s="2" t="s">
        <v>76</v>
      </c>
      <c r="B4" s="2">
        <v>0</v>
      </c>
      <c r="C4" s="2">
        <v>8.6</v>
      </c>
      <c r="D4" s="2">
        <v>8.5668463999999993</v>
      </c>
      <c r="E4" s="2">
        <v>12.171795999999992</v>
      </c>
      <c r="F4" s="2">
        <v>3.578355000000002</v>
      </c>
      <c r="G4" s="2"/>
      <c r="H4" s="2"/>
    </row>
    <row r="5" spans="1:8" x14ac:dyDescent="0.15">
      <c r="A5" s="2" t="s">
        <v>77</v>
      </c>
      <c r="B5" s="2">
        <v>0</v>
      </c>
      <c r="C5" s="2" t="s">
        <v>43</v>
      </c>
      <c r="D5" s="2">
        <v>0.78205499999999972</v>
      </c>
      <c r="E5" s="2">
        <v>1.2798138765694995</v>
      </c>
      <c r="F5" s="2">
        <v>4.3103637123072032</v>
      </c>
      <c r="G5" s="2"/>
      <c r="H5" s="2"/>
    </row>
    <row r="6" spans="1:8" x14ac:dyDescent="0.15">
      <c r="A6" s="2" t="s">
        <v>78</v>
      </c>
      <c r="B6" s="2">
        <v>0</v>
      </c>
      <c r="C6" s="2">
        <v>0.12645209999999985</v>
      </c>
      <c r="D6" s="2">
        <v>8.8740424000000004</v>
      </c>
      <c r="E6" s="2">
        <v>2.6192159999999998</v>
      </c>
      <c r="F6" s="2">
        <v>5.1682526000000006</v>
      </c>
      <c r="G6" s="2"/>
      <c r="H6" s="2"/>
    </row>
    <row r="7" spans="1:8" x14ac:dyDescent="0.15">
      <c r="A7" s="2" t="s">
        <v>79</v>
      </c>
      <c r="B7" s="2">
        <v>0.21166088541365949</v>
      </c>
      <c r="C7" s="2">
        <v>1.9519438315948863</v>
      </c>
      <c r="D7" s="2">
        <v>12.371833311790839</v>
      </c>
      <c r="E7" s="2">
        <v>5.8292151941187207</v>
      </c>
      <c r="F7" s="2">
        <v>5.5654930840019787</v>
      </c>
      <c r="G7" s="2">
        <v>0.6766898441850806</v>
      </c>
      <c r="H7" s="2">
        <v>0.40924514698210046</v>
      </c>
    </row>
    <row r="8" spans="1:8" x14ac:dyDescent="0.15">
      <c r="A8" s="3"/>
      <c r="B8" s="3"/>
      <c r="C8" s="3"/>
      <c r="D8" s="3"/>
      <c r="E8" s="3"/>
      <c r="F8" s="3"/>
      <c r="G8" s="3"/>
      <c r="H8" s="3"/>
    </row>
    <row r="10" spans="1:8" x14ac:dyDescent="0.15">
      <c r="A10" s="2" t="s">
        <v>31</v>
      </c>
      <c r="B10" s="2">
        <f>AVERAGE(B3:B7)</f>
        <v>0.12233217708273189</v>
      </c>
      <c r="C10" s="2">
        <f t="shared" ref="C10:H10" si="0">AVERAGE(C3:C7)</f>
        <v>2.6695989828987212</v>
      </c>
      <c r="D10" s="2">
        <f t="shared" si="0"/>
        <v>7.1778719223581673</v>
      </c>
      <c r="E10" s="2">
        <f t="shared" si="0"/>
        <v>5.8877460941376416</v>
      </c>
      <c r="F10" s="2">
        <f t="shared" si="0"/>
        <v>3.8062368792618373</v>
      </c>
      <c r="G10" s="2">
        <f>AVERAGE(G3:G7)</f>
        <v>0.72563827866203834</v>
      </c>
      <c r="H10" s="2">
        <f t="shared" si="0"/>
        <v>0.20462257349105023</v>
      </c>
    </row>
    <row r="11" spans="1:8" x14ac:dyDescent="0.15">
      <c r="A11" s="2" t="s">
        <v>27</v>
      </c>
      <c r="B11" s="5">
        <f>STDEVP(B3:B7)/SQRT(COUNT(B3:B7))</f>
        <v>7.2103959021704189E-2</v>
      </c>
      <c r="C11" s="5">
        <f t="shared" ref="C11:F11" si="1">STDEVP(C3:C7)/SQRT(COUNT(C3:C7))</f>
        <v>1.7549757821925953</v>
      </c>
      <c r="D11" s="5">
        <f t="shared" si="1"/>
        <v>1.7462729735796838</v>
      </c>
      <c r="E11" s="5">
        <f t="shared" si="1"/>
        <v>1.7220296302071374</v>
      </c>
      <c r="F11" s="5">
        <f t="shared" si="1"/>
        <v>0.81973810883759513</v>
      </c>
      <c r="G11" s="4"/>
    </row>
    <row r="13" spans="1:8" x14ac:dyDescent="0.15">
      <c r="A13" s="2" t="s">
        <v>29</v>
      </c>
      <c r="B13" s="2">
        <v>0</v>
      </c>
      <c r="C13" s="2">
        <v>2</v>
      </c>
      <c r="D13" s="2">
        <v>4</v>
      </c>
      <c r="E13" s="2">
        <v>6</v>
      </c>
      <c r="F13" s="2">
        <v>8</v>
      </c>
      <c r="G13" s="2">
        <v>10</v>
      </c>
      <c r="H13" s="2">
        <v>12</v>
      </c>
    </row>
    <row r="14" spans="1:8" x14ac:dyDescent="0.15">
      <c r="A14" s="2" t="s">
        <v>32</v>
      </c>
      <c r="B14" s="2">
        <v>0</v>
      </c>
      <c r="C14" s="2">
        <v>3.4</v>
      </c>
      <c r="D14" s="2">
        <v>25.381487849999999</v>
      </c>
      <c r="E14" s="2">
        <v>25.476887600000005</v>
      </c>
      <c r="F14" s="2">
        <v>18.724679999999999</v>
      </c>
      <c r="G14" s="2">
        <v>19.119715089999957</v>
      </c>
      <c r="H14" s="2">
        <v>11.898834954699</v>
      </c>
    </row>
    <row r="15" spans="1:8" x14ac:dyDescent="0.15">
      <c r="A15" s="2" t="s">
        <v>33</v>
      </c>
      <c r="B15" s="2">
        <v>0.13</v>
      </c>
      <c r="C15" s="2">
        <v>9.8000000000000007</v>
      </c>
      <c r="D15" s="2">
        <v>18.2747186</v>
      </c>
      <c r="E15" s="2">
        <v>20.303114000000001</v>
      </c>
      <c r="F15" s="2">
        <v>5.9723550000000003</v>
      </c>
      <c r="G15" s="2"/>
      <c r="H15" s="2"/>
    </row>
    <row r="16" spans="1:8" x14ac:dyDescent="0.15">
      <c r="A16" s="2" t="s">
        <v>34</v>
      </c>
      <c r="B16" s="2">
        <v>0</v>
      </c>
      <c r="C16" s="2" t="s">
        <v>44</v>
      </c>
      <c r="D16" s="2">
        <v>6.6370799999999992</v>
      </c>
      <c r="E16" s="2">
        <v>12.977129372711985</v>
      </c>
      <c r="F16" s="2">
        <v>26.052701024623218</v>
      </c>
      <c r="G16" s="2"/>
      <c r="H16" s="2"/>
    </row>
    <row r="17" spans="1:8" x14ac:dyDescent="0.15">
      <c r="A17" s="2" t="s">
        <v>35</v>
      </c>
      <c r="B17" s="2">
        <v>0.28999999999999998</v>
      </c>
      <c r="C17" s="2">
        <v>5.1446682833333348</v>
      </c>
      <c r="D17" s="2">
        <v>36.806620400000007</v>
      </c>
      <c r="E17" s="2">
        <v>21.565883000000003</v>
      </c>
      <c r="F17" s="2">
        <v>32.570901966666668</v>
      </c>
      <c r="G17" s="2"/>
      <c r="H17" s="2"/>
    </row>
    <row r="18" spans="1:8" x14ac:dyDescent="0.15">
      <c r="A18" s="2" t="s">
        <v>36</v>
      </c>
      <c r="B18" s="2">
        <v>0.21889985651677729</v>
      </c>
      <c r="C18" s="2">
        <v>1.7240347033995942</v>
      </c>
      <c r="D18" s="2">
        <v>20.071721075936296</v>
      </c>
      <c r="E18" s="2">
        <v>10.341861455436058</v>
      </c>
      <c r="F18" s="2">
        <v>14.362245879497612</v>
      </c>
      <c r="G18" s="2">
        <v>8.3838076127756693</v>
      </c>
      <c r="H18" s="2">
        <v>6.378249170366149</v>
      </c>
    </row>
    <row r="19" spans="1:8" x14ac:dyDescent="0.15">
      <c r="A19" s="3"/>
    </row>
    <row r="21" spans="1:8" x14ac:dyDescent="0.15">
      <c r="A21" s="2" t="s">
        <v>31</v>
      </c>
      <c r="B21" s="2">
        <f>AVERAGE(B14:B18)</f>
        <v>0.12777997130335544</v>
      </c>
      <c r="C21" s="2">
        <f t="shared" ref="C21:H21" si="2">AVERAGE(C14:C18)</f>
        <v>5.0171757466832325</v>
      </c>
      <c r="D21" s="2">
        <f t="shared" si="2"/>
        <v>21.43432558518726</v>
      </c>
      <c r="E21" s="2">
        <f t="shared" si="2"/>
        <v>18.13297508562961</v>
      </c>
      <c r="F21" s="2">
        <f t="shared" si="2"/>
        <v>19.536576774157499</v>
      </c>
      <c r="G21" s="2">
        <f t="shared" si="2"/>
        <v>13.751761351387813</v>
      </c>
      <c r="H21" s="2">
        <f t="shared" si="2"/>
        <v>9.138542062532574</v>
      </c>
    </row>
    <row r="22" spans="1:8" x14ac:dyDescent="0.15">
      <c r="A22" s="2" t="s">
        <v>28</v>
      </c>
      <c r="B22" s="2">
        <f>STDEVP(B14:B18)/SQRT(COUNT(B14:B18))</f>
        <v>5.1876214916523729E-2</v>
      </c>
      <c r="C22" s="2">
        <f t="shared" ref="C22:F22" si="3">STDEVP(C14:C18)/SQRT(COUNT(C14:C18))</f>
        <v>1.5073092232442784</v>
      </c>
      <c r="D22" s="2">
        <f t="shared" si="3"/>
        <v>4.3940224035664626</v>
      </c>
      <c r="E22" s="2">
        <f t="shared" si="3"/>
        <v>2.5116656408760805</v>
      </c>
      <c r="F22" s="2">
        <f t="shared" si="3"/>
        <v>4.1171567732571672</v>
      </c>
      <c r="G22" s="4"/>
      <c r="H22" s="3"/>
    </row>
    <row r="25" spans="1:8" x14ac:dyDescent="0.15">
      <c r="A25" t="s">
        <v>45</v>
      </c>
      <c r="D25">
        <f>_xlfn.T.TEST(D3:D7,D14:D18,2,2)</f>
        <v>2.7208027562540437E-2</v>
      </c>
      <c r="E25">
        <f>_xlfn.T.TEST(E3:E7,E14:E18,2,2)</f>
        <v>7.0177333496751065E-3</v>
      </c>
      <c r="F25">
        <f>_xlfn.T.TEST(F3:F7,F14:F18,2,2)</f>
        <v>1.0057346036161655E-2</v>
      </c>
    </row>
    <row r="27" spans="1:8" x14ac:dyDescent="0.15">
      <c r="B27" t="s">
        <v>30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C10" sqref="C10"/>
    </sheetView>
  </sheetViews>
  <sheetFormatPr defaultRowHeight="13.5" x14ac:dyDescent="0.15"/>
  <cols>
    <col min="2" max="2" width="21.5" customWidth="1"/>
    <col min="3" max="3" width="19.5" customWidth="1"/>
    <col min="4" max="4" width="13.75" customWidth="1"/>
    <col min="7" max="7" width="21.25" customWidth="1"/>
    <col min="8" max="8" width="21" customWidth="1"/>
    <col min="9" max="9" width="15.625" customWidth="1"/>
  </cols>
  <sheetData>
    <row r="1" spans="1:10" x14ac:dyDescent="0.15">
      <c r="A1" s="3" t="s">
        <v>92</v>
      </c>
      <c r="B1" s="3"/>
      <c r="C1" s="3"/>
      <c r="D1" s="3"/>
      <c r="E1" s="3"/>
      <c r="F1" s="3" t="s">
        <v>93</v>
      </c>
      <c r="G1" s="3"/>
      <c r="H1" s="3"/>
      <c r="I1" s="3"/>
      <c r="J1" s="3"/>
    </row>
    <row r="2" spans="1:10" x14ac:dyDescent="0.15">
      <c r="A2" s="3" t="s">
        <v>94</v>
      </c>
      <c r="B2" s="3" t="s">
        <v>0</v>
      </c>
      <c r="C2" s="3" t="s">
        <v>95</v>
      </c>
      <c r="D2" s="3" t="s">
        <v>96</v>
      </c>
      <c r="E2" s="3"/>
      <c r="F2" s="3" t="s">
        <v>94</v>
      </c>
      <c r="G2" s="3" t="s">
        <v>0</v>
      </c>
      <c r="H2" s="3" t="s">
        <v>97</v>
      </c>
      <c r="I2" s="3" t="s">
        <v>96</v>
      </c>
      <c r="J2" s="3"/>
    </row>
    <row r="3" spans="1:10" x14ac:dyDescent="0.15">
      <c r="A3" s="2">
        <v>1</v>
      </c>
      <c r="B3" s="2">
        <v>744</v>
      </c>
      <c r="C3" s="2">
        <v>3</v>
      </c>
      <c r="D3" s="2">
        <v>4.032258064516129</v>
      </c>
      <c r="E3" s="3"/>
      <c r="F3" s="2">
        <v>1</v>
      </c>
      <c r="G3" s="2">
        <v>922</v>
      </c>
      <c r="H3" s="2">
        <v>3</v>
      </c>
      <c r="I3" s="2">
        <f>H3*(1000/G3)</f>
        <v>3.2537960954446854</v>
      </c>
      <c r="J3" s="3"/>
    </row>
    <row r="4" spans="1:10" x14ac:dyDescent="0.15">
      <c r="A4" s="2">
        <v>2</v>
      </c>
      <c r="B4" s="2">
        <v>1029</v>
      </c>
      <c r="C4" s="2">
        <v>2</v>
      </c>
      <c r="D4" s="2">
        <v>1.9436345966958213</v>
      </c>
      <c r="E4" s="3"/>
      <c r="F4" s="2">
        <v>2</v>
      </c>
      <c r="G4" s="2">
        <v>538</v>
      </c>
      <c r="H4" s="2">
        <v>3</v>
      </c>
      <c r="I4" s="2">
        <f t="shared" ref="I4:I5" si="0">H4*(1000/G4)</f>
        <v>5.5762081784386615</v>
      </c>
      <c r="J4" s="3"/>
    </row>
    <row r="5" spans="1:10" x14ac:dyDescent="0.15">
      <c r="A5" s="2">
        <v>3</v>
      </c>
      <c r="B5" s="2">
        <v>691</v>
      </c>
      <c r="C5" s="2">
        <v>2</v>
      </c>
      <c r="D5" s="2">
        <v>2.8943560057887119</v>
      </c>
      <c r="E5" s="3"/>
      <c r="F5" s="2">
        <v>3</v>
      </c>
      <c r="G5" s="2">
        <v>343</v>
      </c>
      <c r="H5" s="2">
        <v>2</v>
      </c>
      <c r="I5" s="2">
        <f t="shared" si="0"/>
        <v>5.8309037900874632</v>
      </c>
      <c r="J5" s="3"/>
    </row>
    <row r="6" spans="1:10" x14ac:dyDescent="0.15">
      <c r="A6" s="2">
        <v>4</v>
      </c>
      <c r="B6" s="2">
        <v>570</v>
      </c>
      <c r="C6" s="2">
        <v>1</v>
      </c>
      <c r="D6" s="2">
        <v>1.7543859649122806</v>
      </c>
      <c r="E6" s="3"/>
      <c r="F6" s="2" t="s">
        <v>213</v>
      </c>
      <c r="G6" s="3"/>
      <c r="H6" s="3"/>
      <c r="I6" s="2">
        <f>AVERAGE(I2:I5)</f>
        <v>4.8869693546569364</v>
      </c>
      <c r="J6" s="3"/>
    </row>
    <row r="7" spans="1:10" x14ac:dyDescent="0.15">
      <c r="A7" s="2" t="s">
        <v>213</v>
      </c>
      <c r="B7" s="3"/>
      <c r="C7" s="3"/>
      <c r="D7" s="2">
        <f>AVERAGE(D3:D6)</f>
        <v>2.6561586579782359</v>
      </c>
      <c r="E7" s="3"/>
      <c r="F7" s="3"/>
      <c r="G7" s="3"/>
      <c r="H7" s="3"/>
      <c r="I7" s="3"/>
      <c r="J7" s="3"/>
    </row>
    <row r="8" spans="1:10" x14ac:dyDescent="0.1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1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15">
      <c r="A10" s="3" t="s">
        <v>98</v>
      </c>
      <c r="B10" s="3"/>
      <c r="C10" s="3"/>
      <c r="D10" s="3"/>
      <c r="E10" s="3"/>
      <c r="F10" s="3" t="s">
        <v>1</v>
      </c>
      <c r="G10" s="3"/>
      <c r="H10" s="3"/>
      <c r="I10" s="3"/>
      <c r="J10" s="3"/>
    </row>
    <row r="11" spans="1:10" x14ac:dyDescent="0.15">
      <c r="A11" s="3" t="s">
        <v>94</v>
      </c>
      <c r="B11" s="3" t="s">
        <v>0</v>
      </c>
      <c r="C11" s="3" t="s">
        <v>99</v>
      </c>
      <c r="D11" s="3" t="s">
        <v>96</v>
      </c>
      <c r="E11" s="3"/>
      <c r="F11" s="3" t="s">
        <v>94</v>
      </c>
      <c r="G11" s="3" t="s">
        <v>0</v>
      </c>
      <c r="H11" s="3" t="s">
        <v>97</v>
      </c>
      <c r="I11" s="3" t="s">
        <v>100</v>
      </c>
      <c r="J11" s="3"/>
    </row>
    <row r="12" spans="1:10" x14ac:dyDescent="0.15">
      <c r="A12" s="2">
        <v>1</v>
      </c>
      <c r="B12" s="2">
        <v>961</v>
      </c>
      <c r="C12" s="2">
        <v>2</v>
      </c>
      <c r="D12" s="2">
        <f>C12*(1000/B12)</f>
        <v>2.0811654526534857</v>
      </c>
      <c r="E12" s="3"/>
      <c r="F12" s="2">
        <v>1</v>
      </c>
      <c r="G12" s="2">
        <v>652</v>
      </c>
      <c r="H12" s="2">
        <v>2</v>
      </c>
      <c r="I12" s="2">
        <f>H12*(1000/G12)</f>
        <v>3.0674846625766872</v>
      </c>
      <c r="J12" s="3"/>
    </row>
    <row r="13" spans="1:10" x14ac:dyDescent="0.15">
      <c r="A13" s="2">
        <v>2</v>
      </c>
      <c r="B13" s="2">
        <v>982</v>
      </c>
      <c r="C13" s="2">
        <v>2</v>
      </c>
      <c r="D13" s="2">
        <f t="shared" ref="D13:D15" si="1">C13*(1000/B13)</f>
        <v>2.0366598778004072</v>
      </c>
      <c r="E13" s="3"/>
      <c r="F13" s="2">
        <v>2</v>
      </c>
      <c r="G13" s="2">
        <v>381</v>
      </c>
      <c r="H13" s="2">
        <v>2</v>
      </c>
      <c r="I13" s="2">
        <f t="shared" ref="I13:I14" si="2">H13*(1000/G13)</f>
        <v>5.2493438320209975</v>
      </c>
      <c r="J13" s="3"/>
    </row>
    <row r="14" spans="1:10" x14ac:dyDescent="0.15">
      <c r="A14" s="2">
        <v>3</v>
      </c>
      <c r="B14" s="2">
        <v>1218</v>
      </c>
      <c r="C14" s="2">
        <v>2</v>
      </c>
      <c r="D14" s="2">
        <f t="shared" si="1"/>
        <v>1.6420361247947455</v>
      </c>
      <c r="E14" s="3"/>
      <c r="F14" s="2">
        <v>3</v>
      </c>
      <c r="G14" s="2">
        <v>694</v>
      </c>
      <c r="H14" s="2">
        <v>2</v>
      </c>
      <c r="I14" s="2">
        <f t="shared" si="2"/>
        <v>2.8818443804034581</v>
      </c>
      <c r="J14" s="3"/>
    </row>
    <row r="15" spans="1:10" x14ac:dyDescent="0.15">
      <c r="A15" s="2">
        <v>4</v>
      </c>
      <c r="B15" s="2">
        <v>939</v>
      </c>
      <c r="C15" s="2">
        <v>4</v>
      </c>
      <c r="D15" s="2">
        <f t="shared" si="1"/>
        <v>4.2598509052183173</v>
      </c>
      <c r="E15" s="3"/>
      <c r="F15" s="2">
        <v>4</v>
      </c>
      <c r="G15" s="2">
        <v>913</v>
      </c>
      <c r="H15" s="2">
        <v>3</v>
      </c>
      <c r="I15" s="2">
        <f>H15*(1000/G15)</f>
        <v>3.285870755750274</v>
      </c>
      <c r="J15" s="3"/>
    </row>
    <row r="16" spans="1:10" x14ac:dyDescent="0.15">
      <c r="A16" s="2" t="s">
        <v>213</v>
      </c>
      <c r="B16" s="3"/>
      <c r="C16" s="3"/>
      <c r="D16" s="2">
        <f>AVERAGE(D12:D15)</f>
        <v>2.504928090116739</v>
      </c>
      <c r="E16" s="3"/>
      <c r="F16" s="2" t="s">
        <v>213</v>
      </c>
      <c r="G16" s="3"/>
      <c r="H16" s="3"/>
      <c r="I16" s="2">
        <f>AVERAGE(I12:I15)</f>
        <v>3.6211359076878544</v>
      </c>
      <c r="J16" s="3"/>
    </row>
    <row r="17" spans="1:10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15">
      <c r="A18" s="3" t="s">
        <v>101</v>
      </c>
      <c r="B18" s="3"/>
      <c r="C18" s="3"/>
      <c r="D18" s="3"/>
      <c r="E18" s="3"/>
      <c r="F18" s="3" t="s">
        <v>102</v>
      </c>
      <c r="G18" s="3"/>
      <c r="H18" s="3"/>
      <c r="I18" s="3"/>
      <c r="J18" s="3"/>
    </row>
    <row r="19" spans="1:10" x14ac:dyDescent="0.15">
      <c r="A19" s="3" t="s">
        <v>94</v>
      </c>
      <c r="B19" s="3" t="s">
        <v>0</v>
      </c>
      <c r="C19" s="3" t="s">
        <v>103</v>
      </c>
      <c r="D19" s="3" t="s">
        <v>96</v>
      </c>
      <c r="E19" s="3"/>
      <c r="F19" s="3" t="s">
        <v>94</v>
      </c>
      <c r="G19" s="3" t="s">
        <v>0</v>
      </c>
      <c r="H19" s="3" t="s">
        <v>97</v>
      </c>
      <c r="I19" s="3" t="s">
        <v>96</v>
      </c>
      <c r="J19" s="3"/>
    </row>
    <row r="20" spans="1:10" x14ac:dyDescent="0.15">
      <c r="A20" s="2">
        <v>1</v>
      </c>
      <c r="B20" s="2">
        <v>1498</v>
      </c>
      <c r="C20" s="2">
        <v>1</v>
      </c>
      <c r="D20" s="2">
        <f>C20*(1000/B20)</f>
        <v>0.66755674232309747</v>
      </c>
      <c r="E20" s="3"/>
      <c r="F20" s="2">
        <v>1</v>
      </c>
      <c r="G20" s="2">
        <v>1231</v>
      </c>
      <c r="H20" s="2">
        <v>4</v>
      </c>
      <c r="I20" s="2">
        <f>H20*(1000/G20)</f>
        <v>3.249390739236393</v>
      </c>
      <c r="J20" s="3"/>
    </row>
    <row r="21" spans="1:10" x14ac:dyDescent="0.15">
      <c r="A21" s="2">
        <v>2</v>
      </c>
      <c r="B21" s="2">
        <v>1290</v>
      </c>
      <c r="C21" s="2">
        <v>3</v>
      </c>
      <c r="D21" s="2">
        <f t="shared" ref="D21:D23" si="3">C21*(1000/B21)</f>
        <v>2.3255813953488373</v>
      </c>
      <c r="E21" s="3"/>
      <c r="F21" s="2">
        <v>2</v>
      </c>
      <c r="G21" s="2">
        <v>590</v>
      </c>
      <c r="H21" s="2">
        <v>2</v>
      </c>
      <c r="I21" s="2">
        <f t="shared" ref="I21:I22" si="4">H21*(1000/G21)</f>
        <v>3.3898305084745761</v>
      </c>
      <c r="J21" s="3"/>
    </row>
    <row r="22" spans="1:10" x14ac:dyDescent="0.15">
      <c r="A22" s="2">
        <v>3</v>
      </c>
      <c r="B22" s="2">
        <v>548</v>
      </c>
      <c r="C22" s="2">
        <v>3</v>
      </c>
      <c r="D22" s="2">
        <f t="shared" si="3"/>
        <v>5.4744525547445253</v>
      </c>
      <c r="E22" s="3"/>
      <c r="F22" s="2">
        <v>3</v>
      </c>
      <c r="G22" s="2">
        <v>233</v>
      </c>
      <c r="H22" s="2">
        <v>2</v>
      </c>
      <c r="I22" s="2">
        <f t="shared" si="4"/>
        <v>8.5836909871244629</v>
      </c>
      <c r="J22" s="3"/>
    </row>
    <row r="23" spans="1:10" x14ac:dyDescent="0.15">
      <c r="A23" s="2">
        <v>4</v>
      </c>
      <c r="B23" s="2">
        <v>730</v>
      </c>
      <c r="C23" s="2">
        <v>1</v>
      </c>
      <c r="D23" s="2">
        <f t="shared" si="3"/>
        <v>1.3698630136986301</v>
      </c>
      <c r="E23" s="3"/>
      <c r="F23" s="2">
        <v>4</v>
      </c>
      <c r="G23" s="2">
        <v>800</v>
      </c>
      <c r="H23" s="2">
        <v>4</v>
      </c>
      <c r="I23" s="2">
        <f>H23*(1000/G23)</f>
        <v>5</v>
      </c>
      <c r="J23" s="3"/>
    </row>
    <row r="24" spans="1:10" x14ac:dyDescent="0.15">
      <c r="A24" s="2" t="s">
        <v>213</v>
      </c>
      <c r="B24" s="3"/>
      <c r="C24" s="3"/>
      <c r="D24" s="2">
        <f>AVERAGE(D20:D23)</f>
        <v>2.4593634265287725</v>
      </c>
      <c r="E24" s="3"/>
      <c r="F24" s="2" t="s">
        <v>213</v>
      </c>
      <c r="G24" s="3"/>
      <c r="H24" s="3"/>
      <c r="I24" s="2">
        <f>AVERAGE(I20:I23)</f>
        <v>5.0557280587088584</v>
      </c>
      <c r="J24" s="3"/>
    </row>
    <row r="25" spans="1:10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</row>
    <row r="29" spans="1:10" x14ac:dyDescent="0.15">
      <c r="F29" s="3"/>
    </row>
    <row r="30" spans="1:10" x14ac:dyDescent="0.15">
      <c r="F30" s="3"/>
    </row>
    <row r="31" spans="1:10" x14ac:dyDescent="0.15">
      <c r="F31" s="3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workbookViewId="0">
      <selection activeCell="K8" sqref="K8"/>
    </sheetView>
  </sheetViews>
  <sheetFormatPr defaultRowHeight="13.5" x14ac:dyDescent="0.15"/>
  <cols>
    <col min="1" max="1" width="12" customWidth="1"/>
    <col min="11" max="11" width="11.5" customWidth="1"/>
  </cols>
  <sheetData>
    <row r="1" spans="1:23" x14ac:dyDescent="0.15">
      <c r="C1" t="s">
        <v>18</v>
      </c>
      <c r="M1" t="s">
        <v>20</v>
      </c>
    </row>
    <row r="2" spans="1:23" x14ac:dyDescent="0.15">
      <c r="A2" t="s">
        <v>17</v>
      </c>
      <c r="C2" t="s">
        <v>7</v>
      </c>
      <c r="D2" t="s">
        <v>2</v>
      </c>
      <c r="E2" t="s">
        <v>6</v>
      </c>
      <c r="F2" t="s">
        <v>6</v>
      </c>
      <c r="G2" t="s">
        <v>9</v>
      </c>
      <c r="H2" t="s">
        <v>5</v>
      </c>
      <c r="I2" t="s">
        <v>5</v>
      </c>
      <c r="J2" t="s">
        <v>9</v>
      </c>
      <c r="M2" t="s">
        <v>7</v>
      </c>
      <c r="N2" t="s">
        <v>2</v>
      </c>
      <c r="O2" t="s">
        <v>6</v>
      </c>
      <c r="P2" t="s">
        <v>6</v>
      </c>
      <c r="Q2" t="s">
        <v>9</v>
      </c>
      <c r="R2" t="s">
        <v>5</v>
      </c>
      <c r="S2" t="s">
        <v>5</v>
      </c>
      <c r="T2" t="s">
        <v>9</v>
      </c>
    </row>
    <row r="3" spans="1:23" x14ac:dyDescent="0.15">
      <c r="A3" t="s">
        <v>21</v>
      </c>
      <c r="B3" s="2" t="s">
        <v>3</v>
      </c>
      <c r="C3" s="2">
        <v>5.3526606453521385E-2</v>
      </c>
      <c r="D3" s="2">
        <v>1.0320094559724028E-2</v>
      </c>
      <c r="E3" s="2">
        <v>7.3456200990429264E-3</v>
      </c>
      <c r="F3" s="2">
        <v>5.9801608299335576E-3</v>
      </c>
      <c r="G3" s="2">
        <v>2.0670255042933183E-2</v>
      </c>
      <c r="H3" s="2">
        <v>9.2444294685631954E-3</v>
      </c>
      <c r="I3" s="2">
        <v>4.2230469446650955E-3</v>
      </c>
      <c r="J3" s="2">
        <v>7.3262974934202403E-3</v>
      </c>
      <c r="K3" t="s">
        <v>46</v>
      </c>
      <c r="L3" s="2" t="s">
        <v>3</v>
      </c>
      <c r="M3" s="2">
        <f>C3/0.053527</f>
        <v>0.99999264770155971</v>
      </c>
      <c r="N3" s="2">
        <f>D3/0.01032</f>
        <v>1.0000091627639562</v>
      </c>
      <c r="O3" s="2">
        <f>E3/0.007346</f>
        <v>0.99994828465054808</v>
      </c>
      <c r="P3" s="2">
        <f>F3/0.00598</f>
        <v>1.0000268946377187</v>
      </c>
      <c r="Q3" s="2">
        <f>G3/0.02067</f>
        <v>1.0000123387969608</v>
      </c>
      <c r="R3" s="2">
        <f>H3/0.009244</f>
        <v>1.0000464591695364</v>
      </c>
      <c r="S3" s="2">
        <f>I3/0.004223</f>
        <v>1.0000111164255494</v>
      </c>
      <c r="T3" s="2">
        <f>J3/0.007326</f>
        <v>1.0000406078924706</v>
      </c>
    </row>
    <row r="4" spans="1:23" x14ac:dyDescent="0.15">
      <c r="B4" s="2" t="s">
        <v>11</v>
      </c>
      <c r="C4" s="2">
        <v>0.18505166225000599</v>
      </c>
      <c r="D4" s="2">
        <v>2.3386179431038833E-2</v>
      </c>
      <c r="E4" s="2">
        <v>1.5607680925995007E-2</v>
      </c>
      <c r="F4" s="2">
        <v>6.5024539839833428E-3</v>
      </c>
      <c r="G4" s="2">
        <v>1.9128930168898023E-2</v>
      </c>
      <c r="H4" s="2">
        <v>1.1750777277681033E-2</v>
      </c>
      <c r="I4" s="2">
        <v>8.4133728732279627E-3</v>
      </c>
      <c r="J4" s="2">
        <v>8.5308191818177642E-3</v>
      </c>
      <c r="L4" s="2" t="s">
        <v>8</v>
      </c>
      <c r="M4" s="2">
        <f>C4/0.053527</f>
        <v>3.4571648373719057</v>
      </c>
      <c r="N4" s="2">
        <f>D4/0.01032</f>
        <v>2.2661026580463988</v>
      </c>
      <c r="O4" s="2">
        <f>E4/0.007346</f>
        <v>2.124650275795672</v>
      </c>
      <c r="P4" s="2">
        <f>F4/0.00598</f>
        <v>1.0873668869537363</v>
      </c>
      <c r="Q4" s="2">
        <f>G4/0.02067</f>
        <v>0.925444130086987</v>
      </c>
      <c r="R4" s="2">
        <f>H4/0.009244</f>
        <v>1.2711788487322624</v>
      </c>
      <c r="S4" s="2">
        <f>I4/0.004223</f>
        <v>1.9922739458271281</v>
      </c>
      <c r="T4" s="2">
        <f>J4/0.007326</f>
        <v>1.1644579827761077</v>
      </c>
    </row>
    <row r="5" spans="1:23" x14ac:dyDescent="0.15">
      <c r="A5" t="s">
        <v>22</v>
      </c>
      <c r="B5" s="2" t="s">
        <v>3</v>
      </c>
      <c r="C5" s="2">
        <v>8.7225876511053263E-2</v>
      </c>
      <c r="D5" s="2">
        <v>1.8869499928801593E-2</v>
      </c>
      <c r="E5" s="2">
        <v>1.3216646737329396E-2</v>
      </c>
      <c r="F5" s="2">
        <v>9.1710332573090841E-3</v>
      </c>
      <c r="G5" s="2">
        <v>4.5436641166259673E-2</v>
      </c>
      <c r="H5" s="2">
        <v>2.1654339826280771E-2</v>
      </c>
      <c r="I5" s="2">
        <v>6.25445546904528E-3</v>
      </c>
      <c r="J5" s="2">
        <v>7.9661590513556025E-3</v>
      </c>
      <c r="K5" t="s">
        <v>47</v>
      </c>
      <c r="L5" s="2" t="s">
        <v>10</v>
      </c>
      <c r="M5" s="2">
        <f>C5/0.087226</f>
        <v>0.99999858426447696</v>
      </c>
      <c r="N5" s="2">
        <f>D5/0.018869</f>
        <v>1.0000264947162856</v>
      </c>
      <c r="O5" s="2">
        <f>E5/0.013217</f>
        <v>0.99997327209876641</v>
      </c>
      <c r="P5" s="2">
        <f>F5/0.009171</f>
        <v>1.0000036263558045</v>
      </c>
      <c r="Q5" s="2">
        <f>G5/0.045437</f>
        <v>0.99999210260932003</v>
      </c>
      <c r="R5" s="2">
        <f>H5/0.021654</f>
        <v>1.0000156934645226</v>
      </c>
      <c r="S5" s="2">
        <f>I5/0.006254</f>
        <v>1.000072828437045</v>
      </c>
      <c r="T5" s="2">
        <f>J5/0.007966</f>
        <v>1.0000199662761238</v>
      </c>
    </row>
    <row r="6" spans="1:23" x14ac:dyDescent="0.15">
      <c r="B6" s="2" t="s">
        <v>11</v>
      </c>
      <c r="C6" s="2">
        <v>0.30028410176197839</v>
      </c>
      <c r="D6" s="2">
        <v>1.8293817828627219E-2</v>
      </c>
      <c r="E6" s="2">
        <v>2.6996197057617542E-2</v>
      </c>
      <c r="F6" s="2">
        <v>1.0208395929430923E-2</v>
      </c>
      <c r="G6" s="2">
        <v>4.4811101500494714E-2</v>
      </c>
      <c r="H6" s="2">
        <v>3.0566602187214586E-2</v>
      </c>
      <c r="I6" s="2">
        <v>1.0410621439579507E-2</v>
      </c>
      <c r="J6" s="2">
        <v>1.6295303130147501E-2</v>
      </c>
      <c r="L6" s="2" t="s">
        <v>8</v>
      </c>
      <c r="M6" s="2">
        <f>C6/0.087226</f>
        <v>3.4425985573335747</v>
      </c>
      <c r="N6" s="2">
        <f>D6/0.018869</f>
        <v>0.96951708244354329</v>
      </c>
      <c r="O6" s="2">
        <f>E6/0.013217</f>
        <v>2.0425359050932546</v>
      </c>
      <c r="P6" s="2">
        <f>F6/0.009171</f>
        <v>1.1131169915419172</v>
      </c>
      <c r="Q6" s="2">
        <f>G6/0.045437</f>
        <v>0.98622491582839356</v>
      </c>
      <c r="R6" s="2">
        <f>H6/0.021654</f>
        <v>1.4115914928980597</v>
      </c>
      <c r="S6" s="2">
        <f>I6/0.006254</f>
        <v>1.664634064531421</v>
      </c>
      <c r="T6" s="2">
        <f>J6/0.007966</f>
        <v>2.0456067198277053</v>
      </c>
      <c r="U6" t="s">
        <v>4</v>
      </c>
    </row>
    <row r="7" spans="1:23" x14ac:dyDescent="0.15">
      <c r="U7" t="s">
        <v>37</v>
      </c>
      <c r="V7" t="s">
        <v>38</v>
      </c>
      <c r="W7" t="s">
        <v>39</v>
      </c>
    </row>
    <row r="8" spans="1:23" x14ac:dyDescent="0.15">
      <c r="K8" t="s">
        <v>23</v>
      </c>
      <c r="L8" s="2" t="s">
        <v>10</v>
      </c>
      <c r="M8" s="2">
        <f t="shared" ref="M8:T9" si="0">AVERAGE(M3,M5)</f>
        <v>0.99999561598301834</v>
      </c>
      <c r="N8" s="2">
        <f t="shared" si="0"/>
        <v>1.0000178287401209</v>
      </c>
      <c r="O8" s="2">
        <f t="shared" si="0"/>
        <v>0.99996077837465724</v>
      </c>
      <c r="P8" s="2">
        <f t="shared" si="0"/>
        <v>1.0000152604967616</v>
      </c>
      <c r="Q8" s="2">
        <f t="shared" si="0"/>
        <v>1.0000022207031405</v>
      </c>
      <c r="R8" s="2">
        <f t="shared" si="0"/>
        <v>1.0000310763170295</v>
      </c>
      <c r="S8" s="2">
        <f t="shared" si="0"/>
        <v>1.0000419724312972</v>
      </c>
      <c r="T8" s="2">
        <f t="shared" si="0"/>
        <v>1.0000302870842972</v>
      </c>
      <c r="U8">
        <f>AVERAGE(M8:T8)</f>
        <v>1.0000118800162903</v>
      </c>
      <c r="W8">
        <f>_xlfn.T.TEST(M8:T8,M9:T9,2,1)</f>
        <v>3.0223680807342185E-2</v>
      </c>
    </row>
    <row r="9" spans="1:23" x14ac:dyDescent="0.15">
      <c r="L9" s="2" t="s">
        <v>8</v>
      </c>
      <c r="M9" s="2">
        <f t="shared" si="0"/>
        <v>3.4498816973527404</v>
      </c>
      <c r="N9" s="2">
        <f t="shared" si="0"/>
        <v>1.617809870244971</v>
      </c>
      <c r="O9" s="2">
        <f t="shared" si="0"/>
        <v>2.0835930904444631</v>
      </c>
      <c r="P9" s="2">
        <f t="shared" si="0"/>
        <v>1.1002419392478267</v>
      </c>
      <c r="Q9" s="2">
        <f t="shared" si="0"/>
        <v>0.95583452295769034</v>
      </c>
      <c r="R9" s="2">
        <f t="shared" si="0"/>
        <v>1.341385170815161</v>
      </c>
      <c r="S9" s="2">
        <f t="shared" si="0"/>
        <v>1.8284540051792746</v>
      </c>
      <c r="T9" s="2">
        <f t="shared" si="0"/>
        <v>1.6050323513019065</v>
      </c>
      <c r="U9">
        <f>AVERAGE(M9:T9)</f>
        <v>1.747779080943004</v>
      </c>
      <c r="V9">
        <f>STDEVP(M9:T9)/SQRT(COUNT(M9:T9))</f>
        <v>0.25815868353791449</v>
      </c>
    </row>
    <row r="11" spans="1:23" x14ac:dyDescent="0.15">
      <c r="C11" t="s">
        <v>19</v>
      </c>
      <c r="D11" s="1"/>
      <c r="G11" s="1"/>
    </row>
    <row r="12" spans="1:23" x14ac:dyDescent="0.15">
      <c r="A12" t="s">
        <v>15</v>
      </c>
      <c r="C12" t="s">
        <v>12</v>
      </c>
      <c r="D12" t="s">
        <v>13</v>
      </c>
      <c r="E12" t="s">
        <v>6</v>
      </c>
      <c r="F12" t="s">
        <v>6</v>
      </c>
      <c r="G12" t="s">
        <v>5</v>
      </c>
      <c r="H12" t="s">
        <v>5</v>
      </c>
      <c r="I12" t="s">
        <v>5</v>
      </c>
      <c r="J12" t="s">
        <v>14</v>
      </c>
      <c r="M12" t="s">
        <v>12</v>
      </c>
      <c r="N12" t="s">
        <v>13</v>
      </c>
      <c r="O12" t="s">
        <v>6</v>
      </c>
      <c r="P12" t="s">
        <v>6</v>
      </c>
      <c r="Q12" t="s">
        <v>5</v>
      </c>
      <c r="R12" t="s">
        <v>5</v>
      </c>
      <c r="S12" t="s">
        <v>5</v>
      </c>
      <c r="T12" t="s">
        <v>14</v>
      </c>
    </row>
    <row r="13" spans="1:23" x14ac:dyDescent="0.15">
      <c r="A13" t="s">
        <v>21</v>
      </c>
      <c r="B13" s="2" t="s">
        <v>3</v>
      </c>
      <c r="C13" s="2">
        <v>3.5119107704212699E-2</v>
      </c>
      <c r="D13" s="2">
        <v>6.0619597990223158E-3</v>
      </c>
      <c r="E13" s="2">
        <v>1.0083917287529389E-2</v>
      </c>
      <c r="F13" s="2">
        <v>9.3773760250941141E-3</v>
      </c>
      <c r="G13" s="2">
        <v>4.3889757062877581E-3</v>
      </c>
      <c r="H13" s="2">
        <v>2.5290302347994648E-3</v>
      </c>
      <c r="I13" s="2">
        <v>1.8852504444316968E-2</v>
      </c>
      <c r="J13" s="2">
        <v>5.290794139193142E-3</v>
      </c>
      <c r="K13" t="s">
        <v>46</v>
      </c>
      <c r="L13" s="2" t="s">
        <v>10</v>
      </c>
      <c r="M13" s="2">
        <f>C13/0.035119</f>
        <v>1.0000030668359776</v>
      </c>
      <c r="N13" s="2">
        <f>D13/0.006062</f>
        <v>0.99999336836395847</v>
      </c>
      <c r="O13" s="2">
        <f>E13/0.010084</f>
        <v>0.99999179765265667</v>
      </c>
      <c r="P13" s="2">
        <f>F13/0.009377</f>
        <v>1.0000401007885373</v>
      </c>
      <c r="Q13" s="2">
        <f>G13/0.004389</f>
        <v>0.99999446486392307</v>
      </c>
      <c r="R13" s="2">
        <f>H13/0.002529</f>
        <v>1.0000119552390134</v>
      </c>
      <c r="S13" s="2">
        <f>I13/0.018853</f>
        <v>0.99997371475717212</v>
      </c>
      <c r="T13" s="2">
        <f>J13/0.005291</f>
        <v>0.9999610922685962</v>
      </c>
    </row>
    <row r="14" spans="1:23" x14ac:dyDescent="0.15">
      <c r="B14" s="2" t="s">
        <v>11</v>
      </c>
      <c r="C14" s="2">
        <v>2.0743454746956679E-2</v>
      </c>
      <c r="D14" s="2">
        <v>1.5188551447712813E-3</v>
      </c>
      <c r="E14" s="2">
        <v>6.0255138768714302E-3</v>
      </c>
      <c r="F14" s="2">
        <v>1.1972763521633034E-2</v>
      </c>
      <c r="G14" s="2">
        <v>4.8012577235427881E-4</v>
      </c>
      <c r="H14" s="2">
        <v>4.8105851110800854E-4</v>
      </c>
      <c r="I14" s="2">
        <v>2.1741994390292755E-3</v>
      </c>
      <c r="J14" s="2">
        <v>4.553842151618569E-3</v>
      </c>
      <c r="L14" s="2" t="s">
        <v>8</v>
      </c>
      <c r="M14" s="2">
        <f>C14/0.053527</f>
        <v>0.38753254893710987</v>
      </c>
      <c r="N14" s="2">
        <f>D14/0.01032</f>
        <v>0.14717588612124818</v>
      </c>
      <c r="O14" s="2">
        <f>E14/0.007346</f>
        <v>0.82024419777721624</v>
      </c>
      <c r="P14" s="2">
        <f>F14/0.009377</f>
        <v>1.2768223868649924</v>
      </c>
      <c r="Q14" s="2">
        <f>G14/0.02067</f>
        <v>2.3228145735572268E-2</v>
      </c>
      <c r="R14" s="2">
        <f>H14/0.009244</f>
        <v>5.2040081253570805E-2</v>
      </c>
      <c r="S14" s="2">
        <f>I14/0.004223</f>
        <v>0.51484713214048672</v>
      </c>
      <c r="T14" s="2">
        <f>J14/0.007326</f>
        <v>0.62160007529600991</v>
      </c>
    </row>
    <row r="15" spans="1:23" x14ac:dyDescent="0.15">
      <c r="A15" t="s">
        <v>22</v>
      </c>
      <c r="B15" s="2" t="s">
        <v>3</v>
      </c>
      <c r="C15" s="2">
        <v>1.0849707805029628E-2</v>
      </c>
      <c r="D15" s="2">
        <v>1.1037827083053182E-2</v>
      </c>
      <c r="E15" s="2">
        <v>1.3382579190936099E-2</v>
      </c>
      <c r="F15" s="2">
        <v>2.1199881340264209E-2</v>
      </c>
      <c r="G15" s="2">
        <v>8.7712611099500775E-3</v>
      </c>
      <c r="H15" s="2">
        <v>4.9125915203264954E-3</v>
      </c>
      <c r="I15" s="2">
        <v>4.7308003741895572E-3</v>
      </c>
      <c r="J15" s="2">
        <v>1.1091513091853931E-2</v>
      </c>
      <c r="K15" t="s">
        <v>47</v>
      </c>
      <c r="L15" s="2" t="s">
        <v>16</v>
      </c>
      <c r="M15" s="2">
        <f>C15/0.01085</f>
        <v>0.99997306958798415</v>
      </c>
      <c r="N15" s="2">
        <f>D15/0.011038</f>
        <v>0.99998433439510626</v>
      </c>
      <c r="O15" s="2">
        <f>E15/0.013383</f>
        <v>0.99996855644744065</v>
      </c>
      <c r="P15" s="2">
        <f>F15/0.0212</f>
        <v>0.9999944028426514</v>
      </c>
      <c r="Q15" s="2">
        <f>G15/0.008771</f>
        <v>1.0000297696898961</v>
      </c>
      <c r="R15" s="2">
        <f>H15/0.004913</f>
        <v>0.99991685738377689</v>
      </c>
      <c r="S15" s="2">
        <f>I15/0.004731</f>
        <v>0.99995780473252105</v>
      </c>
      <c r="T15" s="2">
        <f>J15/0.011092</f>
        <v>0.99995610276360725</v>
      </c>
    </row>
    <row r="16" spans="1:23" x14ac:dyDescent="0.15">
      <c r="B16" s="2" t="s">
        <v>11</v>
      </c>
      <c r="C16" s="2">
        <v>6.4307378752648378E-3</v>
      </c>
      <c r="D16" s="2">
        <v>6.7862396552328356E-4</v>
      </c>
      <c r="E16" s="2">
        <v>7.7434918645070969E-3</v>
      </c>
      <c r="F16" s="2">
        <v>1.4517129249574797E-2</v>
      </c>
      <c r="G16" s="2">
        <v>1.2878676006373398E-3</v>
      </c>
      <c r="H16" s="2">
        <v>1.5767831720534299E-3</v>
      </c>
      <c r="I16" s="2">
        <v>5.5293595219392967E-4</v>
      </c>
      <c r="J16" s="2">
        <v>8.1256559738524733E-3</v>
      </c>
      <c r="L16" s="2" t="s">
        <v>8</v>
      </c>
      <c r="M16" s="2">
        <f>C16/0.087226</f>
        <v>7.3725011754119621E-2</v>
      </c>
      <c r="N16" s="2">
        <f>D16/0.018869</f>
        <v>3.5965020166584531E-2</v>
      </c>
      <c r="O16" s="2">
        <f>E16/0.013217</f>
        <v>0.58587363732368136</v>
      </c>
      <c r="P16" s="2">
        <f>F16/0.0212</f>
        <v>0.68477024762145267</v>
      </c>
      <c r="Q16" s="2">
        <f>G16/0.045437</f>
        <v>2.8344028008832886E-2</v>
      </c>
      <c r="R16" s="2">
        <f>H16/0.021654</f>
        <v>7.2817177983440937E-2</v>
      </c>
      <c r="S16" s="2">
        <f>I16/0.006254</f>
        <v>8.8413167923557676E-2</v>
      </c>
      <c r="T16" s="2">
        <f>J16/0.007966</f>
        <v>1.0200421759794718</v>
      </c>
      <c r="U16" t="s">
        <v>25</v>
      </c>
    </row>
    <row r="17" spans="11:23" x14ac:dyDescent="0.15">
      <c r="U17" t="s">
        <v>37</v>
      </c>
      <c r="V17" t="s">
        <v>38</v>
      </c>
      <c r="W17" t="s">
        <v>39</v>
      </c>
    </row>
    <row r="18" spans="11:23" x14ac:dyDescent="0.15">
      <c r="K18" t="s">
        <v>24</v>
      </c>
      <c r="L18" s="2" t="s">
        <v>16</v>
      </c>
      <c r="M18" s="2">
        <f t="shared" ref="M18:T19" si="1">AVERAGE(M13,M15)</f>
        <v>0.99998806821198083</v>
      </c>
      <c r="N18" s="2">
        <f t="shared" si="1"/>
        <v>0.99998885137953231</v>
      </c>
      <c r="O18" s="2">
        <f t="shared" si="1"/>
        <v>0.99998017705004871</v>
      </c>
      <c r="P18" s="2">
        <f t="shared" si="1"/>
        <v>1.0000172518155943</v>
      </c>
      <c r="Q18" s="2">
        <f t="shared" si="1"/>
        <v>1.0000121172769096</v>
      </c>
      <c r="R18" s="2">
        <f t="shared" si="1"/>
        <v>0.99996440631139516</v>
      </c>
      <c r="S18" s="2">
        <f t="shared" si="1"/>
        <v>0.99996575974484658</v>
      </c>
      <c r="T18" s="2">
        <f t="shared" si="1"/>
        <v>0.99995859751610172</v>
      </c>
      <c r="U18">
        <f>AVERAGE(M18:T18)</f>
        <v>0.99998440366330121</v>
      </c>
      <c r="V18" t="s">
        <v>26</v>
      </c>
    </row>
    <row r="19" spans="11:23" x14ac:dyDescent="0.15">
      <c r="L19" s="2" t="s">
        <v>8</v>
      </c>
      <c r="M19" s="2">
        <f t="shared" si="1"/>
        <v>0.23062878034561474</v>
      </c>
      <c r="N19" s="2">
        <f t="shared" si="1"/>
        <v>9.1570453143916361E-2</v>
      </c>
      <c r="O19" s="2">
        <f t="shared" si="1"/>
        <v>0.7030589175504488</v>
      </c>
      <c r="P19" s="2">
        <f t="shared" si="1"/>
        <v>0.98079631724322258</v>
      </c>
      <c r="Q19" s="2">
        <f t="shared" si="1"/>
        <v>2.5786086872202577E-2</v>
      </c>
      <c r="R19" s="2">
        <f t="shared" si="1"/>
        <v>6.2428629618505871E-2</v>
      </c>
      <c r="S19" s="2">
        <f t="shared" si="1"/>
        <v>0.3016301500320222</v>
      </c>
      <c r="T19" s="2">
        <f t="shared" si="1"/>
        <v>0.8208211256377409</v>
      </c>
      <c r="U19">
        <f>AVERAGE(M19:T19)</f>
        <v>0.40209005755545923</v>
      </c>
      <c r="V19">
        <f>STDEVP(M19:T19)/SQRT(COUNT(M19:T19))</f>
        <v>0.12460606979923258</v>
      </c>
      <c r="W19">
        <f>_xlfn.T.TEST(M18:T18,M19:T19,2,1)</f>
        <v>2.8375538142121058E-3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37" sqref="C37"/>
    </sheetView>
  </sheetViews>
  <sheetFormatPr defaultRowHeight="13.5" x14ac:dyDescent="0.15"/>
  <cols>
    <col min="2" max="2" width="20.75" customWidth="1"/>
    <col min="3" max="3" width="19.75" customWidth="1"/>
    <col min="4" max="4" width="15.75" customWidth="1"/>
  </cols>
  <sheetData>
    <row r="1" spans="1:4" x14ac:dyDescent="0.15">
      <c r="A1" t="s">
        <v>104</v>
      </c>
    </row>
    <row r="2" spans="1:4" x14ac:dyDescent="0.15">
      <c r="A2" t="s">
        <v>42</v>
      </c>
      <c r="B2" t="s">
        <v>0</v>
      </c>
      <c r="C2" t="s">
        <v>68</v>
      </c>
      <c r="D2" t="s">
        <v>105</v>
      </c>
    </row>
    <row r="3" spans="1:4" x14ac:dyDescent="0.15">
      <c r="A3" s="2">
        <v>1</v>
      </c>
      <c r="B3" s="2">
        <v>390</v>
      </c>
      <c r="C3" s="2">
        <v>1</v>
      </c>
      <c r="D3" s="2">
        <f>C3*(1000/B3)</f>
        <v>2.5641025641025643</v>
      </c>
    </row>
    <row r="4" spans="1:4" x14ac:dyDescent="0.15">
      <c r="A4" s="2">
        <v>2</v>
      </c>
      <c r="B4" s="2">
        <v>378</v>
      </c>
      <c r="C4" s="2">
        <v>1</v>
      </c>
      <c r="D4" s="2">
        <f>C4*(1000/B4)</f>
        <v>2.6455026455026456</v>
      </c>
    </row>
    <row r="5" spans="1:4" x14ac:dyDescent="0.15">
      <c r="A5" s="2">
        <v>3</v>
      </c>
      <c r="B5" s="2">
        <v>317</v>
      </c>
      <c r="C5" s="2">
        <v>0</v>
      </c>
      <c r="D5" s="2">
        <f>C5*(1000/B5)</f>
        <v>0</v>
      </c>
    </row>
    <row r="6" spans="1:4" x14ac:dyDescent="0.15">
      <c r="A6" s="2">
        <v>4</v>
      </c>
      <c r="B6" s="2">
        <v>596</v>
      </c>
      <c r="C6" s="2">
        <v>1</v>
      </c>
      <c r="D6" s="2">
        <f>C6*(1000/B6)</f>
        <v>1.6778523489932886</v>
      </c>
    </row>
    <row r="7" spans="1:4" x14ac:dyDescent="0.15">
      <c r="A7" s="2">
        <v>5</v>
      </c>
      <c r="B7" s="2">
        <v>381</v>
      </c>
      <c r="C7" s="2">
        <v>1</v>
      </c>
      <c r="D7" s="2">
        <f>C7*(1000/B7)</f>
        <v>2.6246719160104988</v>
      </c>
    </row>
    <row r="8" spans="1:4" x14ac:dyDescent="0.15">
      <c r="A8" s="2" t="s">
        <v>107</v>
      </c>
      <c r="B8" s="3"/>
      <c r="C8" s="3"/>
      <c r="D8" s="2">
        <f>AVERAGE(D3:D7)</f>
        <v>1.9024258949217994</v>
      </c>
    </row>
    <row r="10" spans="1:4" x14ac:dyDescent="0.15">
      <c r="A10" t="s">
        <v>108</v>
      </c>
    </row>
    <row r="11" spans="1:4" x14ac:dyDescent="0.15">
      <c r="A11" t="s">
        <v>42</v>
      </c>
      <c r="B11" t="s">
        <v>0</v>
      </c>
      <c r="C11" t="s">
        <v>68</v>
      </c>
      <c r="D11" t="s">
        <v>105</v>
      </c>
    </row>
    <row r="12" spans="1:4" x14ac:dyDescent="0.15">
      <c r="A12" s="2">
        <v>1</v>
      </c>
      <c r="B12" s="2">
        <v>262</v>
      </c>
      <c r="C12" s="2">
        <v>1</v>
      </c>
      <c r="D12" s="2">
        <f>C12*(1000/B12)</f>
        <v>3.8167938931297711</v>
      </c>
    </row>
    <row r="13" spans="1:4" x14ac:dyDescent="0.15">
      <c r="A13" s="2">
        <v>2</v>
      </c>
      <c r="B13" s="2">
        <v>917</v>
      </c>
      <c r="C13" s="2">
        <v>1</v>
      </c>
      <c r="D13" s="2">
        <f>C13*(1000/B13)</f>
        <v>1.0905125408942202</v>
      </c>
    </row>
    <row r="14" spans="1:4" x14ac:dyDescent="0.15">
      <c r="A14" s="2">
        <v>3</v>
      </c>
      <c r="B14" s="2">
        <v>591</v>
      </c>
      <c r="C14" s="2">
        <v>1</v>
      </c>
      <c r="D14" s="2">
        <f>C14*(1000/B14)</f>
        <v>1.6920473773265652</v>
      </c>
    </row>
    <row r="15" spans="1:4" x14ac:dyDescent="0.15">
      <c r="A15" s="2">
        <v>4</v>
      </c>
      <c r="B15" s="2">
        <v>1375</v>
      </c>
      <c r="C15" s="2">
        <v>0</v>
      </c>
      <c r="D15" s="2">
        <f>C15*(1000/B15)</f>
        <v>0</v>
      </c>
    </row>
    <row r="16" spans="1:4" x14ac:dyDescent="0.15">
      <c r="A16" s="2">
        <v>5</v>
      </c>
      <c r="B16" s="2">
        <v>426</v>
      </c>
      <c r="C16" s="2">
        <v>1</v>
      </c>
      <c r="D16" s="2">
        <f>C16*(1000/B16)</f>
        <v>2.347417840375587</v>
      </c>
    </row>
    <row r="17" spans="1:4" x14ac:dyDescent="0.15">
      <c r="A17" s="2" t="s">
        <v>106</v>
      </c>
      <c r="D17" s="2">
        <f>AVERAGE(D12:D16)</f>
        <v>1.7893543303452286</v>
      </c>
    </row>
    <row r="19" spans="1:4" x14ac:dyDescent="0.15">
      <c r="A19" t="s">
        <v>71</v>
      </c>
    </row>
    <row r="20" spans="1:4" x14ac:dyDescent="0.15">
      <c r="A20" t="s">
        <v>42</v>
      </c>
      <c r="B20" t="s">
        <v>0</v>
      </c>
      <c r="C20" t="s">
        <v>109</v>
      </c>
      <c r="D20" t="s">
        <v>105</v>
      </c>
    </row>
    <row r="21" spans="1:4" x14ac:dyDescent="0.15">
      <c r="A21" s="2">
        <v>1</v>
      </c>
      <c r="B21" s="2">
        <v>907</v>
      </c>
      <c r="C21" s="2">
        <v>1</v>
      </c>
      <c r="D21" s="2">
        <f>C21*(1000/B21)</f>
        <v>1.1025358324145536</v>
      </c>
    </row>
    <row r="22" spans="1:4" x14ac:dyDescent="0.15">
      <c r="A22" s="2">
        <v>2</v>
      </c>
      <c r="B22" s="2">
        <v>370</v>
      </c>
      <c r="C22" s="2">
        <v>2</v>
      </c>
      <c r="D22" s="2">
        <f>C22*(1000/B22)</f>
        <v>5.4054054054054053</v>
      </c>
    </row>
    <row r="23" spans="1:4" x14ac:dyDescent="0.15">
      <c r="A23" s="2">
        <v>3</v>
      </c>
      <c r="B23" s="2">
        <v>400</v>
      </c>
      <c r="C23" s="2">
        <v>0</v>
      </c>
      <c r="D23" s="2">
        <f>C23*(1000/B23)</f>
        <v>0</v>
      </c>
    </row>
    <row r="24" spans="1:4" x14ac:dyDescent="0.15">
      <c r="A24" s="2">
        <v>4</v>
      </c>
      <c r="B24" s="2">
        <v>392</v>
      </c>
      <c r="C24" s="2">
        <v>1</v>
      </c>
      <c r="D24" s="2">
        <f>C24*(1000/B24)</f>
        <v>2.5510204081632653</v>
      </c>
    </row>
    <row r="25" spans="1:4" x14ac:dyDescent="0.15">
      <c r="A25" s="2" t="s">
        <v>107</v>
      </c>
      <c r="D25" s="2">
        <f>AVERAGE(D21:D24)</f>
        <v>2.2647404114958061</v>
      </c>
    </row>
    <row r="27" spans="1:4" x14ac:dyDescent="0.15">
      <c r="A27" t="s">
        <v>72</v>
      </c>
    </row>
    <row r="28" spans="1:4" x14ac:dyDescent="0.15">
      <c r="A28" t="s">
        <v>110</v>
      </c>
      <c r="B28" t="s">
        <v>0</v>
      </c>
      <c r="C28" t="s">
        <v>68</v>
      </c>
      <c r="D28" t="s">
        <v>105</v>
      </c>
    </row>
    <row r="29" spans="1:4" x14ac:dyDescent="0.15">
      <c r="A29" s="2">
        <v>1</v>
      </c>
      <c r="B29" s="2">
        <v>629</v>
      </c>
      <c r="C29" s="2">
        <v>0</v>
      </c>
      <c r="D29" s="2">
        <f t="shared" ref="D29:D34" si="0">C29*(1000/B29)</f>
        <v>0</v>
      </c>
    </row>
    <row r="30" spans="1:4" x14ac:dyDescent="0.15">
      <c r="A30" s="2">
        <v>2</v>
      </c>
      <c r="B30" s="2">
        <v>470</v>
      </c>
      <c r="C30" s="2">
        <v>2</v>
      </c>
      <c r="D30" s="2">
        <f t="shared" si="0"/>
        <v>4.2553191489361701</v>
      </c>
    </row>
    <row r="31" spans="1:4" x14ac:dyDescent="0.15">
      <c r="A31" s="2">
        <v>3</v>
      </c>
      <c r="B31" s="2">
        <v>409</v>
      </c>
      <c r="C31" s="2">
        <v>2</v>
      </c>
      <c r="D31" s="2">
        <f t="shared" si="0"/>
        <v>4.8899755501222497</v>
      </c>
    </row>
    <row r="32" spans="1:4" x14ac:dyDescent="0.15">
      <c r="A32" s="2">
        <v>4</v>
      </c>
      <c r="B32" s="2">
        <v>734</v>
      </c>
      <c r="C32" s="2">
        <v>2</v>
      </c>
      <c r="D32" s="2">
        <f t="shared" si="0"/>
        <v>2.7247956403269753</v>
      </c>
    </row>
    <row r="33" spans="1:4" x14ac:dyDescent="0.15">
      <c r="A33" s="2">
        <v>5</v>
      </c>
      <c r="B33" s="2">
        <v>494</v>
      </c>
      <c r="C33" s="2">
        <v>1</v>
      </c>
      <c r="D33" s="2">
        <f t="shared" si="0"/>
        <v>2.0242914979757085</v>
      </c>
    </row>
    <row r="34" spans="1:4" x14ac:dyDescent="0.15">
      <c r="A34" s="2">
        <v>6</v>
      </c>
      <c r="B34" s="2">
        <v>1707</v>
      </c>
      <c r="C34" s="2">
        <v>1</v>
      </c>
      <c r="D34" s="2">
        <f t="shared" si="0"/>
        <v>0.58582308142940831</v>
      </c>
    </row>
    <row r="35" spans="1:4" x14ac:dyDescent="0.15">
      <c r="A35" s="2" t="s">
        <v>107</v>
      </c>
      <c r="D35" s="2">
        <f>AVERAGE(D29:D34)</f>
        <v>2.4133674864650856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2" sqref="G2"/>
    </sheetView>
  </sheetViews>
  <sheetFormatPr defaultRowHeight="13.5" x14ac:dyDescent="0.15"/>
  <cols>
    <col min="7" max="7" width="16" customWidth="1"/>
  </cols>
  <sheetData>
    <row r="1" spans="1:7" x14ac:dyDescent="0.15">
      <c r="G1" t="s">
        <v>111</v>
      </c>
    </row>
    <row r="2" spans="1:7" x14ac:dyDescent="0.15">
      <c r="G2" t="s">
        <v>112</v>
      </c>
    </row>
    <row r="3" spans="1:7" x14ac:dyDescent="0.15">
      <c r="A3" s="2" t="s">
        <v>3</v>
      </c>
      <c r="B3" s="2" t="s">
        <v>113</v>
      </c>
      <c r="C3" s="2">
        <v>8651</v>
      </c>
      <c r="D3" s="2">
        <v>8709</v>
      </c>
      <c r="E3" s="2">
        <v>9045</v>
      </c>
      <c r="F3" s="2"/>
      <c r="G3" s="2">
        <f>AVERAGE(C3:E3)</f>
        <v>8801.6666666666661</v>
      </c>
    </row>
    <row r="4" spans="1:7" x14ac:dyDescent="0.15">
      <c r="A4" s="2" t="s">
        <v>114</v>
      </c>
      <c r="B4" s="2" t="s">
        <v>115</v>
      </c>
      <c r="C4" s="2">
        <v>480</v>
      </c>
      <c r="D4" s="2">
        <v>516.5</v>
      </c>
      <c r="E4" s="2">
        <v>548.5</v>
      </c>
      <c r="F4" s="2"/>
      <c r="G4" s="2">
        <f>AVERAGE(C4:E4)</f>
        <v>515</v>
      </c>
    </row>
    <row r="5" spans="1:7" x14ac:dyDescent="0.15">
      <c r="A5" s="2" t="s">
        <v>53</v>
      </c>
      <c r="B5" s="2" t="s">
        <v>116</v>
      </c>
      <c r="C5" s="2">
        <v>2876</v>
      </c>
      <c r="D5" s="2">
        <v>2834</v>
      </c>
      <c r="E5" s="2">
        <v>3112</v>
      </c>
      <c r="F5" s="2"/>
      <c r="G5" s="2">
        <f>AVERAGE(C5:E5)</f>
        <v>2940.6666666666665</v>
      </c>
    </row>
    <row r="6" spans="1:7" x14ac:dyDescent="0.15">
      <c r="A6" s="2" t="s">
        <v>117</v>
      </c>
      <c r="B6" s="2" t="s">
        <v>118</v>
      </c>
      <c r="C6" s="2">
        <v>2048</v>
      </c>
      <c r="D6" s="2">
        <v>3751</v>
      </c>
      <c r="E6" s="2">
        <v>3825</v>
      </c>
      <c r="F6" s="2"/>
      <c r="G6" s="2">
        <f>AVERAGE(C6:E6)</f>
        <v>3208</v>
      </c>
    </row>
    <row r="7" spans="1:7" x14ac:dyDescent="0.15">
      <c r="A7" s="2" t="s">
        <v>53</v>
      </c>
      <c r="B7" s="2" t="s">
        <v>119</v>
      </c>
      <c r="C7" s="2">
        <v>2589</v>
      </c>
      <c r="D7" s="2">
        <v>2272</v>
      </c>
      <c r="E7" s="2">
        <v>3137</v>
      </c>
      <c r="F7" s="2"/>
      <c r="G7" s="2">
        <f>AVERAGE(C7:E7)</f>
        <v>2666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F15"/>
    </sheetView>
  </sheetViews>
  <sheetFormatPr defaultRowHeight="13.5" x14ac:dyDescent="0.15"/>
  <sheetData>
    <row r="1" spans="1:6" x14ac:dyDescent="0.15">
      <c r="F1" t="s">
        <v>120</v>
      </c>
    </row>
    <row r="2" spans="1:6" x14ac:dyDescent="0.15">
      <c r="A2" t="s">
        <v>121</v>
      </c>
      <c r="B2" s="2" t="s">
        <v>122</v>
      </c>
      <c r="C2" s="2">
        <v>1.0497166792119543</v>
      </c>
      <c r="D2" s="2">
        <v>1.2226402725542962</v>
      </c>
      <c r="E2" s="2"/>
      <c r="F2" s="2">
        <v>1.1361784758831253</v>
      </c>
    </row>
    <row r="3" spans="1:6" x14ac:dyDescent="0.15">
      <c r="B3" s="2" t="s">
        <v>123</v>
      </c>
      <c r="C3" s="2">
        <v>0.37113089109769848</v>
      </c>
      <c r="D3" s="2">
        <v>0.55478473370260895</v>
      </c>
      <c r="E3" s="2"/>
      <c r="F3" s="2">
        <v>0.46295781240015371</v>
      </c>
    </row>
    <row r="5" spans="1:6" x14ac:dyDescent="0.15">
      <c r="A5" t="s">
        <v>124</v>
      </c>
      <c r="B5" s="2" t="s">
        <v>122</v>
      </c>
      <c r="C5" s="2">
        <v>0.78459001311501475</v>
      </c>
      <c r="D5" s="2">
        <v>3.3031830162502059E-2</v>
      </c>
      <c r="E5" s="2"/>
      <c r="F5" s="2">
        <v>0.40881092163875843</v>
      </c>
    </row>
    <row r="6" spans="1:6" x14ac:dyDescent="0.15">
      <c r="B6" s="2" t="s">
        <v>123</v>
      </c>
      <c r="C6" s="2">
        <v>0</v>
      </c>
      <c r="D6" s="2">
        <v>1.277972600803143E-2</v>
      </c>
      <c r="E6" s="2"/>
      <c r="F6" s="2">
        <v>6.3898630040157148E-3</v>
      </c>
    </row>
    <row r="8" spans="1:6" x14ac:dyDescent="0.15">
      <c r="A8" t="s">
        <v>125</v>
      </c>
      <c r="B8" s="2" t="s">
        <v>122</v>
      </c>
      <c r="C8" s="2">
        <v>4.7038960843794136E-2</v>
      </c>
      <c r="D8" s="2">
        <v>1.5843116867407553E-2</v>
      </c>
      <c r="E8" s="2"/>
      <c r="F8" s="2">
        <v>3.1441038855600845E-2</v>
      </c>
    </row>
    <row r="9" spans="1:6" x14ac:dyDescent="0.15">
      <c r="B9" s="2" t="s">
        <v>123</v>
      </c>
      <c r="C9" s="2">
        <v>0</v>
      </c>
      <c r="D9" s="2">
        <v>0</v>
      </c>
      <c r="E9" s="2"/>
      <c r="F9" s="2">
        <v>0</v>
      </c>
    </row>
    <row r="11" spans="1:6" x14ac:dyDescent="0.15">
      <c r="A11" t="s">
        <v>126</v>
      </c>
      <c r="B11" s="2" t="s">
        <v>122</v>
      </c>
      <c r="C11" s="2">
        <v>3.1686233738583397E-2</v>
      </c>
      <c r="D11" s="2">
        <v>5.7190847489113159E-3</v>
      </c>
      <c r="E11" s="2"/>
      <c r="F11" s="2">
        <v>1.8702659243747356E-2</v>
      </c>
    </row>
    <row r="12" spans="1:6" x14ac:dyDescent="0.15">
      <c r="B12" s="2" t="s">
        <v>123</v>
      </c>
      <c r="C12" s="2">
        <v>0</v>
      </c>
      <c r="D12" s="2">
        <v>5.5626960756987595E-3</v>
      </c>
      <c r="E12" s="2"/>
      <c r="F12" s="2">
        <v>2.7813480378493798E-3</v>
      </c>
    </row>
    <row r="14" spans="1:6" x14ac:dyDescent="0.15">
      <c r="A14" t="s">
        <v>127</v>
      </c>
      <c r="B14" s="2" t="s">
        <v>122</v>
      </c>
      <c r="C14" s="2">
        <v>4.7568253045633053</v>
      </c>
      <c r="D14" s="2">
        <v>8.8765498882694107</v>
      </c>
      <c r="E14" s="2"/>
      <c r="F14" s="2">
        <v>6.816687596416358</v>
      </c>
    </row>
    <row r="15" spans="1:6" x14ac:dyDescent="0.15">
      <c r="B15" s="2" t="s">
        <v>123</v>
      </c>
      <c r="C15" s="2">
        <v>0</v>
      </c>
      <c r="D15" s="2">
        <v>0</v>
      </c>
      <c r="E15" s="2"/>
      <c r="F15" s="2">
        <v>0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I20"/>
    </sheetView>
  </sheetViews>
  <sheetFormatPr defaultRowHeight="13.5" x14ac:dyDescent="0.15"/>
  <sheetData>
    <row r="1" spans="1:9" x14ac:dyDescent="0.15">
      <c r="H1" t="s">
        <v>23</v>
      </c>
      <c r="I1" t="s">
        <v>128</v>
      </c>
    </row>
    <row r="2" spans="1:9" x14ac:dyDescent="0.15">
      <c r="H2" t="s">
        <v>129</v>
      </c>
    </row>
    <row r="3" spans="1:9" x14ac:dyDescent="0.15">
      <c r="A3" s="2" t="s">
        <v>130</v>
      </c>
      <c r="B3" s="2">
        <v>2.3346086437595792</v>
      </c>
      <c r="C3" s="2">
        <v>0.53081488334892035</v>
      </c>
      <c r="D3" s="2">
        <v>0.91992026689591588</v>
      </c>
      <c r="E3" s="2">
        <v>0.53588856913135008</v>
      </c>
      <c r="F3" s="2">
        <v>0.36856856835162177</v>
      </c>
      <c r="G3" s="2"/>
      <c r="H3" s="2">
        <f>AVERAGE(B3:F3)</f>
        <v>0.93796018629747757</v>
      </c>
      <c r="I3" s="2">
        <f>STDEVP(B3:F3)/SQRT(COUNT(B3:F3))</f>
        <v>0.32265077406099241</v>
      </c>
    </row>
    <row r="4" spans="1:9" x14ac:dyDescent="0.15">
      <c r="A4" s="2" t="s">
        <v>131</v>
      </c>
      <c r="B4" s="2">
        <v>1.6852711460385272</v>
      </c>
      <c r="C4" s="2">
        <v>1.1107858679918949</v>
      </c>
      <c r="D4" s="2">
        <v>1.4375187041226789</v>
      </c>
      <c r="E4" s="2">
        <v>0.17800688493532518</v>
      </c>
      <c r="F4" s="2">
        <v>0.13966137123639313</v>
      </c>
      <c r="G4" s="2"/>
      <c r="H4" s="2">
        <f>AVERAGE(B4:F4)</f>
        <v>0.91024879486496391</v>
      </c>
      <c r="I4" s="2">
        <f>STDEVP(B4:F4)/SQRT(COUNT(B4:F4))</f>
        <v>0.28627759338358816</v>
      </c>
    </row>
    <row r="6" spans="1:9" x14ac:dyDescent="0.15">
      <c r="H6" t="s">
        <v>132</v>
      </c>
    </row>
    <row r="7" spans="1:9" x14ac:dyDescent="0.15">
      <c r="A7" s="2" t="s">
        <v>130</v>
      </c>
      <c r="B7" s="2">
        <v>2.7173351457842698</v>
      </c>
      <c r="C7" s="2">
        <v>0.84550929097546346</v>
      </c>
      <c r="D7" s="2">
        <v>1.1708794214583245</v>
      </c>
      <c r="E7" s="2">
        <v>0.52851061451668024</v>
      </c>
      <c r="F7" s="2">
        <v>0.42044947589975151</v>
      </c>
      <c r="G7" s="2"/>
      <c r="H7" s="2">
        <f>AVERAGE(B7:F7)</f>
        <v>1.1365367897268979</v>
      </c>
      <c r="I7" s="2">
        <f>STDEVP(B7:F7)/SQRT(COUNT(B7:F7))</f>
        <v>0.37241249896652989</v>
      </c>
    </row>
    <row r="8" spans="1:9" x14ac:dyDescent="0.15">
      <c r="A8" s="2" t="s">
        <v>131</v>
      </c>
      <c r="B8" s="2">
        <v>2.0606400418816175</v>
      </c>
      <c r="C8" s="2">
        <v>1.499823270703903</v>
      </c>
      <c r="D8" s="2">
        <v>1.9270480073601337</v>
      </c>
      <c r="E8" s="2">
        <v>0.18946514232956579</v>
      </c>
      <c r="F8" s="2">
        <v>0.10511236897493761</v>
      </c>
      <c r="G8" s="2"/>
      <c r="H8" s="2">
        <f>AVERAGE(B8:F8)</f>
        <v>1.1564177662500317</v>
      </c>
      <c r="I8" s="2">
        <f>STDEVP(B8:F8)/SQRT(COUNT(B8:F8))</f>
        <v>0.3778707000018609</v>
      </c>
    </row>
    <row r="10" spans="1:9" x14ac:dyDescent="0.15">
      <c r="H10" t="s">
        <v>133</v>
      </c>
    </row>
    <row r="11" spans="1:9" x14ac:dyDescent="0.15">
      <c r="A11" s="2" t="s">
        <v>134</v>
      </c>
      <c r="B11" s="2">
        <v>3.4268896007658922</v>
      </c>
      <c r="C11" s="2">
        <v>5.6286920340867344</v>
      </c>
      <c r="D11" s="2">
        <v>5.4230321201978384</v>
      </c>
      <c r="E11" s="2">
        <v>1.9453061156744917</v>
      </c>
      <c r="F11" s="2">
        <v>1.6934873347838204</v>
      </c>
      <c r="G11" s="2"/>
      <c r="H11" s="2">
        <f>AVERAGE(B11:F11)</f>
        <v>3.6234814411017551</v>
      </c>
      <c r="I11" s="2">
        <f>STDEVP(B11:F11)/SQRT(COUNT(B11:F11))</f>
        <v>0.74401747812362207</v>
      </c>
    </row>
    <row r="12" spans="1:9" x14ac:dyDescent="0.15">
      <c r="A12" s="2" t="s">
        <v>136</v>
      </c>
      <c r="B12" s="2">
        <v>7.6285016341568328</v>
      </c>
      <c r="C12" s="2">
        <v>3.66979561313312</v>
      </c>
      <c r="D12" s="2">
        <v>6.3063258450114299</v>
      </c>
      <c r="E12" s="2">
        <v>0.75785681096525581</v>
      </c>
      <c r="F12" s="2">
        <v>0.65066966366370804</v>
      </c>
      <c r="G12" s="2"/>
      <c r="H12" s="2">
        <f>AVERAGE(B12:F12)</f>
        <v>3.802629913386069</v>
      </c>
      <c r="I12" s="2">
        <f>STDEVP(B12:F12)/SQRT(COUNT(B12:F12))</f>
        <v>1.2669479761096685</v>
      </c>
    </row>
    <row r="14" spans="1:9" x14ac:dyDescent="0.15">
      <c r="H14" t="s">
        <v>137</v>
      </c>
    </row>
    <row r="15" spans="1:9" x14ac:dyDescent="0.15">
      <c r="A15" s="2" t="s">
        <v>134</v>
      </c>
      <c r="B15" s="2">
        <v>0.43524400155990989</v>
      </c>
      <c r="C15" s="2">
        <v>0.98098047032815039</v>
      </c>
      <c r="D15" s="2">
        <v>0.72246335621850866</v>
      </c>
      <c r="E15" s="2">
        <v>0.1142289307986558</v>
      </c>
      <c r="F15" s="2">
        <v>0.11744034315823698</v>
      </c>
      <c r="G15" s="2"/>
      <c r="H15" s="2">
        <f>AVERAGE(B15:F15)</f>
        <v>0.4740714204126924</v>
      </c>
      <c r="I15" s="2">
        <f>STDEVP(B15:F15)/SQRT(COUNT(B15:F15))</f>
        <v>0.15189934163249341</v>
      </c>
    </row>
    <row r="16" spans="1:9" x14ac:dyDescent="0.15">
      <c r="A16" s="2" t="s">
        <v>135</v>
      </c>
      <c r="B16" s="2">
        <v>0.93991116962932952</v>
      </c>
      <c r="C16" s="2">
        <v>0.42313687434084318</v>
      </c>
      <c r="D16" s="2">
        <v>0.71281337881434748</v>
      </c>
      <c r="E16" s="2">
        <v>0.23981602882354713</v>
      </c>
      <c r="F16" s="2">
        <v>0.14660436803791568</v>
      </c>
      <c r="G16" s="2"/>
      <c r="H16" s="2">
        <f>AVERAGE(B16:F16)</f>
        <v>0.49245636392919662</v>
      </c>
      <c r="I16" s="2">
        <f>STDEVP(B16:F16)/SQRT(COUNT(B16:F16))</f>
        <v>0.1322148177435957</v>
      </c>
    </row>
    <row r="18" spans="1:9" x14ac:dyDescent="0.15">
      <c r="H18" t="s">
        <v>138</v>
      </c>
    </row>
    <row r="19" spans="1:9" x14ac:dyDescent="0.15">
      <c r="A19" s="2" t="s">
        <v>134</v>
      </c>
      <c r="B19" s="2">
        <v>1.7749703887029336</v>
      </c>
      <c r="C19" s="2">
        <v>4.5469368165200033</v>
      </c>
      <c r="D19" s="2">
        <v>0.54268801644518827</v>
      </c>
      <c r="E19" s="2">
        <v>1.7219849575960171</v>
      </c>
      <c r="F19" s="2">
        <v>0.97540450459115124</v>
      </c>
      <c r="G19" s="2"/>
      <c r="H19" s="2">
        <f>AVERAGE(B19:F19)</f>
        <v>1.9123969367710587</v>
      </c>
      <c r="I19" s="2">
        <f>STDEVP(B19:F19)/SQRT(COUNT(B19:F19))</f>
        <v>0.62449981586218395</v>
      </c>
    </row>
    <row r="20" spans="1:9" x14ac:dyDescent="0.15">
      <c r="A20" s="2" t="s">
        <v>139</v>
      </c>
      <c r="B20" s="2">
        <v>1.6133897066755636</v>
      </c>
      <c r="C20" s="2">
        <v>0.75712056303645692</v>
      </c>
      <c r="D20" s="2">
        <v>0.81247479158918778</v>
      </c>
      <c r="E20" s="2">
        <v>3.1472080221463599</v>
      </c>
      <c r="F20" s="2">
        <v>6.6533113136164088</v>
      </c>
      <c r="G20" s="2"/>
      <c r="H20" s="2">
        <f>AVERAGE(B20:F20)</f>
        <v>2.5967008794127957</v>
      </c>
      <c r="I20" s="2">
        <f>STDEVP(B20:F20)/SQRT(COUNT(B20:F20))</f>
        <v>0.98577006780262444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workbookViewId="0">
      <selection sqref="A1:Q73"/>
    </sheetView>
  </sheetViews>
  <sheetFormatPr defaultRowHeight="13.5" x14ac:dyDescent="0.15"/>
  <sheetData>
    <row r="1" spans="1:17" x14ac:dyDescent="0.15">
      <c r="C1" t="s">
        <v>153</v>
      </c>
      <c r="J1" t="s">
        <v>20</v>
      </c>
      <c r="O1" t="s">
        <v>140</v>
      </c>
      <c r="P1" t="s">
        <v>154</v>
      </c>
      <c r="Q1" t="s">
        <v>155</v>
      </c>
    </row>
    <row r="2" spans="1:17" x14ac:dyDescent="0.15">
      <c r="C2" t="s">
        <v>156</v>
      </c>
      <c r="D2" t="s">
        <v>142</v>
      </c>
      <c r="E2" t="s">
        <v>9</v>
      </c>
      <c r="F2" t="s">
        <v>157</v>
      </c>
      <c r="J2" t="s">
        <v>6</v>
      </c>
      <c r="K2" t="s">
        <v>158</v>
      </c>
      <c r="L2" t="s">
        <v>9</v>
      </c>
      <c r="M2" t="s">
        <v>157</v>
      </c>
    </row>
    <row r="3" spans="1:17" x14ac:dyDescent="0.15">
      <c r="A3" t="s">
        <v>159</v>
      </c>
      <c r="B3" s="2" t="s">
        <v>160</v>
      </c>
      <c r="C3" s="2">
        <v>92.790165357184733</v>
      </c>
      <c r="D3" s="2">
        <v>59.709972535001711</v>
      </c>
      <c r="E3" s="2">
        <v>49.330226281950367</v>
      </c>
      <c r="F3" s="2">
        <v>35.770540182758623</v>
      </c>
      <c r="G3" s="3"/>
      <c r="H3" t="s">
        <v>159</v>
      </c>
      <c r="I3" s="2" t="s">
        <v>3</v>
      </c>
      <c r="J3" s="2">
        <f>C3/92.79017</f>
        <v>0.99999994996436292</v>
      </c>
      <c r="K3" s="2">
        <f>D3/59.70997</f>
        <v>1.0000000424552502</v>
      </c>
      <c r="L3" s="2">
        <f>E3/49.33023</f>
        <v>0.9999999246293878</v>
      </c>
      <c r="M3" s="2">
        <f>F3/35.77054</f>
        <v>1.000000005109194</v>
      </c>
    </row>
    <row r="4" spans="1:17" x14ac:dyDescent="0.15">
      <c r="B4" s="2" t="s">
        <v>161</v>
      </c>
      <c r="C4" s="2">
        <v>119.80132050215403</v>
      </c>
      <c r="D4" s="2">
        <v>80.946679719909639</v>
      </c>
      <c r="E4" s="2">
        <v>47.232238292759362</v>
      </c>
      <c r="F4" s="2">
        <v>36.272392439039493</v>
      </c>
      <c r="G4" s="3"/>
      <c r="I4" s="2" t="s">
        <v>8</v>
      </c>
      <c r="J4" s="2">
        <f>C4/92.79017</f>
        <v>1.2910992673270674</v>
      </c>
      <c r="K4" s="2">
        <f>D4/59.70997</f>
        <v>1.3556643843550691</v>
      </c>
      <c r="L4" s="2">
        <f>E4/49.33023</f>
        <v>0.95747046573185168</v>
      </c>
      <c r="M4" s="2">
        <f>F4/35.77054</f>
        <v>1.0140297697222209</v>
      </c>
    </row>
    <row r="5" spans="1:17" x14ac:dyDescent="0.15">
      <c r="A5" t="s">
        <v>22</v>
      </c>
      <c r="B5" s="2" t="s">
        <v>160</v>
      </c>
      <c r="C5" s="2">
        <v>87.645006992945198</v>
      </c>
      <c r="D5" s="2">
        <v>63.088275038212252</v>
      </c>
      <c r="E5" s="2">
        <v>51.353830978154726</v>
      </c>
      <c r="F5" s="2">
        <v>105.12776969626424</v>
      </c>
      <c r="G5" s="3"/>
      <c r="H5" t="s">
        <v>162</v>
      </c>
      <c r="I5" s="2" t="s">
        <v>3</v>
      </c>
      <c r="J5" s="2">
        <f>C5/87.64501</f>
        <v>0.99999996569051908</v>
      </c>
      <c r="K5" s="2">
        <f>D5/63.08828</f>
        <v>0.99999992135167193</v>
      </c>
      <c r="L5" s="2">
        <f>E5/51.35383</f>
        <v>1.0000000190473568</v>
      </c>
      <c r="M5" s="2">
        <f>F5/105.1278</f>
        <v>0.99999971174384172</v>
      </c>
    </row>
    <row r="6" spans="1:17" x14ac:dyDescent="0.15">
      <c r="B6" s="2" t="s">
        <v>161</v>
      </c>
      <c r="C6" s="2">
        <v>103.97551351723122</v>
      </c>
      <c r="D6" s="2">
        <v>66.367268828697462</v>
      </c>
      <c r="E6" s="2">
        <v>66.05518934447727</v>
      </c>
      <c r="F6" s="2">
        <v>135.57054947943831</v>
      </c>
      <c r="G6" s="3"/>
      <c r="I6" s="6" t="s">
        <v>161</v>
      </c>
      <c r="J6" s="6">
        <f>C6/87.64501</f>
        <v>1.186325536584812</v>
      </c>
      <c r="K6" s="6">
        <f>D6/63.08828</f>
        <v>1.0519746112700721</v>
      </c>
      <c r="L6" s="6">
        <f>E6/51.35383</f>
        <v>1.2862758112584254</v>
      </c>
      <c r="M6" s="6">
        <f>F6/105.1278</f>
        <v>1.2895784890337125</v>
      </c>
      <c r="O6" t="s">
        <v>163</v>
      </c>
    </row>
    <row r="7" spans="1:17" x14ac:dyDescent="0.15">
      <c r="H7" s="2" t="s">
        <v>164</v>
      </c>
      <c r="I7" s="2" t="s">
        <v>160</v>
      </c>
      <c r="J7" s="2">
        <f>AVERAGE(J3,J5)</f>
        <v>0.999999957827441</v>
      </c>
      <c r="K7" s="2">
        <f t="shared" ref="K7:M8" si="0">AVERAGE(K3,K5)</f>
        <v>0.99999998190346107</v>
      </c>
      <c r="L7" s="2">
        <f t="shared" si="0"/>
        <v>0.9999999718383723</v>
      </c>
      <c r="M7" s="2">
        <f t="shared" si="0"/>
        <v>0.99999985842651784</v>
      </c>
      <c r="N7" s="2"/>
      <c r="O7" s="2">
        <f>AVERAGE(J7:M7)</f>
        <v>0.99999994249894797</v>
      </c>
      <c r="P7" s="2"/>
      <c r="Q7" s="2"/>
    </row>
    <row r="8" spans="1:17" x14ac:dyDescent="0.15">
      <c r="H8" s="2"/>
      <c r="I8" s="2" t="s">
        <v>8</v>
      </c>
      <c r="J8" s="2">
        <f>AVERAGE(J4,J6)</f>
        <v>1.2387124019559397</v>
      </c>
      <c r="K8" s="2">
        <f t="shared" si="0"/>
        <v>1.2038194978125705</v>
      </c>
      <c r="L8" s="2">
        <f t="shared" si="0"/>
        <v>1.1218731384951386</v>
      </c>
      <c r="M8" s="2">
        <f t="shared" si="0"/>
        <v>1.1518041293779668</v>
      </c>
      <c r="N8" s="2"/>
      <c r="O8" s="2">
        <f>AVERAGE(J8:M8)</f>
        <v>1.1790522919104038</v>
      </c>
      <c r="P8" s="2">
        <f>STDEVP(J8:M8)/SQRT(COUNT(J8:M8))</f>
        <v>2.2617279298036582E-2</v>
      </c>
      <c r="Q8" s="2">
        <f>TTEST(J7:M7,J8:M8,2,1)</f>
        <v>6.3527082607858446E-3</v>
      </c>
    </row>
    <row r="9" spans="1:17" x14ac:dyDescent="0.15">
      <c r="C9" t="s">
        <v>165</v>
      </c>
    </row>
    <row r="10" spans="1:17" x14ac:dyDescent="0.15">
      <c r="C10" t="s">
        <v>156</v>
      </c>
      <c r="D10" t="s">
        <v>142</v>
      </c>
      <c r="E10" t="s">
        <v>9</v>
      </c>
      <c r="F10" t="s">
        <v>9</v>
      </c>
      <c r="J10" t="s">
        <v>6</v>
      </c>
      <c r="K10" t="s">
        <v>142</v>
      </c>
      <c r="L10" t="s">
        <v>9</v>
      </c>
      <c r="M10" t="s">
        <v>9</v>
      </c>
    </row>
    <row r="11" spans="1:17" x14ac:dyDescent="0.15">
      <c r="A11" t="s">
        <v>159</v>
      </c>
      <c r="B11" s="2" t="s">
        <v>160</v>
      </c>
      <c r="C11" s="2">
        <v>21.84301347601177</v>
      </c>
      <c r="D11" s="2">
        <v>14.751604738199878</v>
      </c>
      <c r="E11" s="2">
        <v>6.1825414200090387</v>
      </c>
      <c r="F11" s="2">
        <v>7.5910528720822397</v>
      </c>
      <c r="G11" s="3"/>
      <c r="H11" t="s">
        <v>159</v>
      </c>
      <c r="I11" s="2" t="s">
        <v>160</v>
      </c>
      <c r="J11" s="2">
        <f>C11/21.84301</f>
        <v>1.0000001591361158</v>
      </c>
      <c r="K11" s="2">
        <f>D11/14.7516</f>
        <v>1.0000003211990482</v>
      </c>
      <c r="L11" s="2">
        <f>E11/6.182541</f>
        <v>1.0000000679346954</v>
      </c>
      <c r="M11" s="2">
        <f>F11/7.591053</f>
        <v>0.99999998314887806</v>
      </c>
    </row>
    <row r="12" spans="1:17" x14ac:dyDescent="0.15">
      <c r="B12" s="2" t="s">
        <v>8</v>
      </c>
      <c r="C12" s="2">
        <v>35.390739438518175</v>
      </c>
      <c r="D12" s="2">
        <v>14.458039179264075</v>
      </c>
      <c r="E12" s="2">
        <v>6.4406218988655635</v>
      </c>
      <c r="F12" s="2">
        <v>11.5963590238443</v>
      </c>
      <c r="G12" s="3"/>
      <c r="I12" s="2" t="s">
        <v>8</v>
      </c>
      <c r="J12" s="2">
        <f>C12/21.84301</f>
        <v>1.6202318013185075</v>
      </c>
      <c r="K12" s="2">
        <f>D12/14.7516</f>
        <v>0.98009973014887031</v>
      </c>
      <c r="L12" s="2">
        <f>E12/6.182541</f>
        <v>1.041743499778742</v>
      </c>
      <c r="M12" s="2">
        <f>F12/7.591053</f>
        <v>1.5276351019870762</v>
      </c>
    </row>
    <row r="13" spans="1:17" x14ac:dyDescent="0.15">
      <c r="A13" t="s">
        <v>162</v>
      </c>
      <c r="B13" s="2" t="s">
        <v>3</v>
      </c>
      <c r="C13" s="2">
        <v>36.458922000586028</v>
      </c>
      <c r="D13" s="2">
        <v>12.388245728131137</v>
      </c>
      <c r="E13" s="2">
        <v>7.045489772267679</v>
      </c>
      <c r="F13" s="2">
        <v>27.765086780406033</v>
      </c>
      <c r="G13" s="3"/>
      <c r="H13" t="s">
        <v>162</v>
      </c>
      <c r="I13" s="2" t="s">
        <v>160</v>
      </c>
      <c r="J13" s="2">
        <f>C13/36.45892</f>
        <v>1.0000000548723338</v>
      </c>
      <c r="K13" s="2">
        <f>D13/12.38825</f>
        <v>0.99999965516769018</v>
      </c>
      <c r="L13" s="2">
        <f>E13/7.04549</f>
        <v>0.9999999676768655</v>
      </c>
      <c r="M13" s="2">
        <f>F13/27.76509</f>
        <v>0.99999988404165208</v>
      </c>
    </row>
    <row r="14" spans="1:17" x14ac:dyDescent="0.15">
      <c r="B14" s="2" t="s">
        <v>161</v>
      </c>
      <c r="C14" s="2">
        <v>27.314592597413707</v>
      </c>
      <c r="D14" s="2">
        <v>17.994698187038473</v>
      </c>
      <c r="E14" s="2">
        <v>6.405894330092214</v>
      </c>
      <c r="F14" s="2">
        <v>38.057265517294844</v>
      </c>
      <c r="G14" s="3"/>
      <c r="I14" s="6" t="s">
        <v>161</v>
      </c>
      <c r="J14" s="6">
        <f>C14/36.45892</f>
        <v>0.74918819859210606</v>
      </c>
      <c r="K14" s="6">
        <f>D14/12.38825</f>
        <v>1.4525617570712954</v>
      </c>
      <c r="L14" s="6">
        <f>E14/7.04549</f>
        <v>0.90921913594259784</v>
      </c>
      <c r="M14" s="6">
        <f>F14/27.76509</f>
        <v>1.3706876339062775</v>
      </c>
      <c r="O14" t="s">
        <v>166</v>
      </c>
    </row>
    <row r="15" spans="1:17" x14ac:dyDescent="0.15">
      <c r="H15" s="2" t="s">
        <v>167</v>
      </c>
      <c r="I15" s="2" t="s">
        <v>160</v>
      </c>
      <c r="J15" s="2">
        <f>AVERAGE(J11,J13)</f>
        <v>1.0000001070042248</v>
      </c>
      <c r="K15" s="2">
        <f t="shared" ref="K15:M15" si="1">AVERAGE(K11,K13)</f>
        <v>0.99999998818336922</v>
      </c>
      <c r="L15" s="2">
        <f t="shared" si="1"/>
        <v>1.0000000178057804</v>
      </c>
      <c r="M15" s="2">
        <f t="shared" si="1"/>
        <v>0.99999993359526507</v>
      </c>
      <c r="N15" s="2"/>
      <c r="O15" s="2">
        <f>AVERAGE(J15:M15)</f>
        <v>1.0000000116471599</v>
      </c>
      <c r="P15" s="2"/>
      <c r="Q15" s="2"/>
    </row>
    <row r="16" spans="1:17" x14ac:dyDescent="0.15">
      <c r="H16" s="2"/>
      <c r="I16" s="2" t="s">
        <v>161</v>
      </c>
      <c r="J16" s="2">
        <f>AVERAGE(J12,J14)</f>
        <v>1.1847099999553068</v>
      </c>
      <c r="K16" s="2">
        <f>AVERAGE(K12,K14)</f>
        <v>1.216330743610083</v>
      </c>
      <c r="L16" s="2">
        <f>AVERAGE(L12,L14)</f>
        <v>0.97548131786066994</v>
      </c>
      <c r="M16" s="2">
        <f>AVERAGE(M12,M14)</f>
        <v>1.4491613679466768</v>
      </c>
      <c r="N16" s="2"/>
      <c r="O16" s="2">
        <f>AVERAGE(J16:M16)</f>
        <v>1.206420857343184</v>
      </c>
      <c r="P16" s="2">
        <f>STDEVP(J16:M16)/SQRT(COUNT(J16:M16))</f>
        <v>8.3973803042518808E-2</v>
      </c>
      <c r="Q16" s="2">
        <f>TTEST(J15:M15,J16:M16,2,1)</f>
        <v>0.12314794524057683</v>
      </c>
    </row>
    <row r="17" spans="1:17" x14ac:dyDescent="0.15">
      <c r="C17" t="s">
        <v>168</v>
      </c>
    </row>
    <row r="18" spans="1:17" x14ac:dyDescent="0.15">
      <c r="C18" t="s">
        <v>156</v>
      </c>
      <c r="D18" t="s">
        <v>158</v>
      </c>
      <c r="E18" t="s">
        <v>157</v>
      </c>
      <c r="F18" t="s">
        <v>157</v>
      </c>
      <c r="J18" t="s">
        <v>156</v>
      </c>
      <c r="K18" t="s">
        <v>158</v>
      </c>
      <c r="L18" t="s">
        <v>157</v>
      </c>
      <c r="M18" t="s">
        <v>157</v>
      </c>
    </row>
    <row r="19" spans="1:17" x14ac:dyDescent="0.15">
      <c r="A19" t="s">
        <v>159</v>
      </c>
      <c r="B19" s="2" t="s">
        <v>160</v>
      </c>
      <c r="C19" s="2">
        <v>2.3815486166377928</v>
      </c>
      <c r="D19" s="2">
        <v>0.68240494206922331</v>
      </c>
      <c r="E19" s="2">
        <v>1.2052229079973937</v>
      </c>
      <c r="F19" s="2">
        <v>0.96727632961393073</v>
      </c>
      <c r="G19" s="3"/>
      <c r="H19" t="s">
        <v>159</v>
      </c>
      <c r="I19" s="2" t="s">
        <v>160</v>
      </c>
      <c r="J19" s="2">
        <f>C19/2.381549</f>
        <v>0.99999983902820921</v>
      </c>
      <c r="K19" s="2">
        <f>D19/0.682404942</f>
        <v>1.0000000001014402</v>
      </c>
      <c r="L19" s="2">
        <f>E19/1.205223</f>
        <v>0.9999999236634165</v>
      </c>
      <c r="M19" s="2">
        <f>F19/0.967276</f>
        <v>1.0000003407651288</v>
      </c>
    </row>
    <row r="20" spans="1:17" x14ac:dyDescent="0.15">
      <c r="B20" s="2" t="s">
        <v>161</v>
      </c>
      <c r="C20" s="2">
        <v>1.8851770195346154</v>
      </c>
      <c r="D20" s="2">
        <v>0.5063475934913092</v>
      </c>
      <c r="E20" s="2">
        <v>0.72567727649063929</v>
      </c>
      <c r="F20" s="2">
        <v>0.86693756351468487</v>
      </c>
      <c r="G20" s="3"/>
      <c r="I20" s="2" t="s">
        <v>161</v>
      </c>
      <c r="J20" s="2">
        <f>C20/2.381549</f>
        <v>0.7915759950916883</v>
      </c>
      <c r="K20" s="2">
        <f>D20/0.682404942</f>
        <v>0.74200458163051985</v>
      </c>
      <c r="L20" s="2">
        <f>E20/1.205223</f>
        <v>0.60211037832055925</v>
      </c>
      <c r="M20" s="2">
        <f>F20/0.967276</f>
        <v>0.89626700498584155</v>
      </c>
    </row>
    <row r="21" spans="1:17" x14ac:dyDescent="0.15">
      <c r="A21" t="s">
        <v>162</v>
      </c>
      <c r="B21" s="2" t="s">
        <v>160</v>
      </c>
      <c r="C21" s="2">
        <v>2.746510866778459</v>
      </c>
      <c r="D21" s="2">
        <v>0.52275251396589117</v>
      </c>
      <c r="E21" s="2">
        <v>1.1420295651198937</v>
      </c>
      <c r="F21" s="2">
        <v>0.51824277374923422</v>
      </c>
      <c r="G21" s="3"/>
      <c r="H21" t="s">
        <v>162</v>
      </c>
      <c r="I21" s="2" t="s">
        <v>160</v>
      </c>
      <c r="J21" s="2">
        <f>C21/2.746511</f>
        <v>0.9999999514942628</v>
      </c>
      <c r="K21" s="2">
        <f>D21/0.522752514</f>
        <v>0.99999999993475153</v>
      </c>
      <c r="L21" s="2">
        <f>E21/1.14203</f>
        <v>0.99999961920430602</v>
      </c>
      <c r="M21" s="2">
        <f>F21/0.518243</f>
        <v>0.99999956342726137</v>
      </c>
    </row>
    <row r="22" spans="1:17" x14ac:dyDescent="0.15">
      <c r="B22" s="2" t="s">
        <v>161</v>
      </c>
      <c r="C22" s="2">
        <v>1.7119018633077814</v>
      </c>
      <c r="D22" s="2">
        <v>0.62144559503652408</v>
      </c>
      <c r="E22" s="2">
        <v>0.85233944223277747</v>
      </c>
      <c r="F22" s="2">
        <v>0.46188320725157483</v>
      </c>
      <c r="G22" s="3"/>
      <c r="I22" s="6" t="s">
        <v>161</v>
      </c>
      <c r="J22" s="6">
        <f>C22/2.746511</f>
        <v>0.62330056690389424</v>
      </c>
      <c r="K22" s="6">
        <f>D22/0.522752514</f>
        <v>1.1887950385572399</v>
      </c>
      <c r="L22" s="6">
        <f>E22/1.14203</f>
        <v>0.74633717348298856</v>
      </c>
      <c r="M22" s="6">
        <f>F22/0.518243</f>
        <v>0.89124832800746911</v>
      </c>
      <c r="O22" t="s">
        <v>169</v>
      </c>
    </row>
    <row r="23" spans="1:17" x14ac:dyDescent="0.15">
      <c r="H23" s="7" t="s">
        <v>167</v>
      </c>
      <c r="I23" s="7" t="s">
        <v>160</v>
      </c>
      <c r="J23" s="7">
        <f>AVERAGE(J19,J21)</f>
        <v>0.999999895261236</v>
      </c>
      <c r="K23" s="7">
        <f t="shared" ref="K23:M24" si="2">AVERAGE(K19,K21)</f>
        <v>1.0000000000180957</v>
      </c>
      <c r="L23" s="7">
        <f t="shared" si="2"/>
        <v>0.99999977143386132</v>
      </c>
      <c r="M23" s="7">
        <f t="shared" si="2"/>
        <v>0.99999995209619508</v>
      </c>
      <c r="N23" s="7"/>
      <c r="O23" s="7">
        <f>AVERAGE(J23:M23)</f>
        <v>0.99999990470234701</v>
      </c>
      <c r="P23" s="7"/>
      <c r="Q23" s="7"/>
    </row>
    <row r="24" spans="1:17" x14ac:dyDescent="0.15">
      <c r="H24" s="7"/>
      <c r="I24" s="7" t="s">
        <v>161</v>
      </c>
      <c r="J24" s="7">
        <f>AVERAGE(J20,J22)</f>
        <v>0.70743828099779127</v>
      </c>
      <c r="K24" s="7">
        <f>AVERAGE(K20,K22)</f>
        <v>0.96539981009387987</v>
      </c>
      <c r="L24" s="7">
        <f>AVERAGE(L20,L22)</f>
        <v>0.67422377590177396</v>
      </c>
      <c r="M24" s="7">
        <f t="shared" si="2"/>
        <v>0.89375766649665533</v>
      </c>
      <c r="N24" s="7"/>
      <c r="O24" s="7">
        <f>AVERAGE(J24:M24)</f>
        <v>0.81020488337252505</v>
      </c>
      <c r="P24" s="7">
        <f>STDEVP(J24:M24)/SQRT(COUNT(J24:M24))</f>
        <v>6.1297618734566996E-2</v>
      </c>
      <c r="Q24" s="2">
        <f>TTEST(J23:M23,J24:M24,2,1)</f>
        <v>7.4955513713204289E-2</v>
      </c>
    </row>
    <row r="25" spans="1:17" x14ac:dyDescent="0.15">
      <c r="C25" t="s">
        <v>170</v>
      </c>
    </row>
    <row r="26" spans="1:17" x14ac:dyDescent="0.15">
      <c r="C26" t="s">
        <v>171</v>
      </c>
      <c r="D26" t="s">
        <v>158</v>
      </c>
      <c r="E26" t="s">
        <v>157</v>
      </c>
      <c r="F26" t="s">
        <v>172</v>
      </c>
      <c r="J26" s="3" t="s">
        <v>156</v>
      </c>
      <c r="K26" s="3" t="s">
        <v>158</v>
      </c>
      <c r="L26" s="3" t="s">
        <v>157</v>
      </c>
      <c r="M26" s="3" t="s">
        <v>157</v>
      </c>
    </row>
    <row r="27" spans="1:17" x14ac:dyDescent="0.15">
      <c r="A27" t="s">
        <v>159</v>
      </c>
      <c r="B27" s="2" t="s">
        <v>173</v>
      </c>
      <c r="C27" s="2">
        <v>6.3890436670000001</v>
      </c>
      <c r="D27" s="2">
        <v>2.079447123</v>
      </c>
      <c r="E27" s="2">
        <v>0.45751786999999999</v>
      </c>
      <c r="F27" s="2">
        <v>1.1338265839999999</v>
      </c>
      <c r="G27" s="3"/>
      <c r="H27" t="s">
        <v>159</v>
      </c>
      <c r="I27" s="2" t="s">
        <v>160</v>
      </c>
      <c r="J27" s="2">
        <f>C27/6.389044</f>
        <v>0.99999994787952629</v>
      </c>
      <c r="K27" s="2">
        <f>D27/2.079447</f>
        <v>1.0000000591503413</v>
      </c>
      <c r="L27" s="2">
        <f>E27/0.457518</f>
        <v>0.99999971585817393</v>
      </c>
      <c r="M27" s="2">
        <f>F27/1.133827</f>
        <v>0.99999963310099338</v>
      </c>
    </row>
    <row r="28" spans="1:17" x14ac:dyDescent="0.15">
      <c r="B28" s="2" t="s">
        <v>174</v>
      </c>
      <c r="C28" s="2">
        <v>3.8957470320000001</v>
      </c>
      <c r="D28" s="2">
        <v>1.254924004</v>
      </c>
      <c r="E28" s="2">
        <v>0.28314245700000001</v>
      </c>
      <c r="F28" s="2">
        <v>0.72981362999999999</v>
      </c>
      <c r="G28" s="3"/>
      <c r="I28" s="2" t="s">
        <v>161</v>
      </c>
      <c r="J28" s="2">
        <f>C28/6.389044</f>
        <v>0.60975429688698335</v>
      </c>
      <c r="K28" s="2">
        <f>D28/2.079447</f>
        <v>0.60348929499044701</v>
      </c>
      <c r="L28" s="2">
        <f>E28/0.457518</f>
        <v>0.61886626755668639</v>
      </c>
      <c r="M28" s="2">
        <f>F28/1.133827</f>
        <v>0.64367282663051772</v>
      </c>
    </row>
    <row r="29" spans="1:17" x14ac:dyDescent="0.15">
      <c r="A29" t="s">
        <v>162</v>
      </c>
      <c r="B29" s="2" t="s">
        <v>173</v>
      </c>
      <c r="C29" s="2">
        <v>4.7043650010000002</v>
      </c>
      <c r="D29" s="2">
        <v>2.1831329629999998</v>
      </c>
      <c r="E29" s="2">
        <v>1.7723948009999999</v>
      </c>
      <c r="F29" s="2">
        <v>2.3127350529999999</v>
      </c>
      <c r="G29" s="3"/>
      <c r="H29" t="s">
        <v>162</v>
      </c>
      <c r="I29" s="2" t="s">
        <v>160</v>
      </c>
      <c r="J29" s="2">
        <f>C29/4.704365</f>
        <v>1.0000000002125686</v>
      </c>
      <c r="K29" s="2">
        <f>D29/2.183133</f>
        <v>0.99999998305187987</v>
      </c>
      <c r="L29" s="2">
        <f>E29/1.772395</f>
        <v>0.99999988772254489</v>
      </c>
      <c r="M29" s="2">
        <f>F29/2.312735</f>
        <v>1.0000000229165902</v>
      </c>
    </row>
    <row r="30" spans="1:17" x14ac:dyDescent="0.15">
      <c r="B30" s="2" t="s">
        <v>174</v>
      </c>
      <c r="C30" s="2">
        <v>2.2977152190000001</v>
      </c>
      <c r="D30" s="2">
        <v>0.81795875299999998</v>
      </c>
      <c r="E30" s="2">
        <v>0.786162798</v>
      </c>
      <c r="F30" s="2">
        <v>1.5082755269999999</v>
      </c>
      <c r="G30" s="3"/>
      <c r="I30" s="6" t="s">
        <v>161</v>
      </c>
      <c r="J30" s="6">
        <f>C30/4.704365</f>
        <v>0.48842196959632173</v>
      </c>
      <c r="K30" s="6">
        <f>D30/2.183133</f>
        <v>0.37467197509267641</v>
      </c>
      <c r="L30" s="6">
        <f>E30/1.772395</f>
        <v>0.44355958914350357</v>
      </c>
      <c r="M30" s="6">
        <f>F30/2.312735</f>
        <v>0.65216098126244459</v>
      </c>
      <c r="O30" t="s">
        <v>175</v>
      </c>
    </row>
    <row r="31" spans="1:17" x14ac:dyDescent="0.15">
      <c r="H31" s="2" t="s">
        <v>167</v>
      </c>
      <c r="I31" s="2" t="s">
        <v>160</v>
      </c>
      <c r="J31" s="2">
        <f t="shared" ref="J31:M32" si="3">AVERAGE(J27,J29)</f>
        <v>0.99999997404604746</v>
      </c>
      <c r="K31" s="2">
        <f t="shared" si="3"/>
        <v>1.0000000211011106</v>
      </c>
      <c r="L31" s="2">
        <f t="shared" si="3"/>
        <v>0.99999980179035941</v>
      </c>
      <c r="M31" s="2">
        <f t="shared" si="3"/>
        <v>0.99999982800879184</v>
      </c>
      <c r="N31" s="2"/>
      <c r="O31" s="2">
        <f>AVERAGE(J31:M31)</f>
        <v>0.99999990623657742</v>
      </c>
      <c r="P31" s="2"/>
      <c r="Q31" s="2"/>
    </row>
    <row r="32" spans="1:17" x14ac:dyDescent="0.15">
      <c r="H32" s="2"/>
      <c r="I32" s="2" t="s">
        <v>161</v>
      </c>
      <c r="J32" s="2">
        <f t="shared" si="3"/>
        <v>0.54908813324165251</v>
      </c>
      <c r="K32" s="2">
        <f t="shared" si="3"/>
        <v>0.48908063504156174</v>
      </c>
      <c r="L32" s="2">
        <f t="shared" si="3"/>
        <v>0.53121292835009504</v>
      </c>
      <c r="M32" s="2">
        <f t="shared" si="3"/>
        <v>0.64791690394648116</v>
      </c>
      <c r="N32" s="2"/>
      <c r="O32" s="2">
        <f>AVERAGE(J32:M32)</f>
        <v>0.55432465014494758</v>
      </c>
      <c r="P32" s="2">
        <f>STDEVP(J32:M32)/SQRT(COUNT(J32:M32))</f>
        <v>2.9131023274233538E-2</v>
      </c>
      <c r="Q32" s="2">
        <f>_xlfn.T.TEST(J31:M31,J32:M32,2,1)</f>
        <v>9.2908687841891007E-4</v>
      </c>
    </row>
    <row r="33" spans="1:17" x14ac:dyDescent="0.15">
      <c r="C33" t="s">
        <v>176</v>
      </c>
    </row>
    <row r="34" spans="1:17" x14ac:dyDescent="0.15">
      <c r="C34" t="s">
        <v>156</v>
      </c>
      <c r="D34" t="s">
        <v>158</v>
      </c>
      <c r="E34" t="s">
        <v>157</v>
      </c>
      <c r="F34" t="s">
        <v>157</v>
      </c>
      <c r="J34" t="s">
        <v>156</v>
      </c>
      <c r="K34" t="s">
        <v>158</v>
      </c>
      <c r="L34" t="s">
        <v>157</v>
      </c>
      <c r="M34" t="s">
        <v>157</v>
      </c>
    </row>
    <row r="35" spans="1:17" x14ac:dyDescent="0.15">
      <c r="A35" t="s">
        <v>159</v>
      </c>
      <c r="B35" s="2" t="s">
        <v>173</v>
      </c>
      <c r="C35" s="2">
        <v>3.4598272369999998</v>
      </c>
      <c r="D35" s="2">
        <v>1.6559969320000001</v>
      </c>
      <c r="E35" s="2">
        <v>0.69732349699999996</v>
      </c>
      <c r="F35" s="2">
        <v>1.5004549460000001</v>
      </c>
      <c r="H35" t="s">
        <v>159</v>
      </c>
      <c r="I35" s="2" t="s">
        <v>160</v>
      </c>
      <c r="J35" s="2">
        <f>C35/3.459827</f>
        <v>1.0000000685005348</v>
      </c>
      <c r="K35" s="2">
        <f>D35/1.655997</f>
        <v>0.99999995893712379</v>
      </c>
      <c r="L35" s="2">
        <f>E35/0.697323</f>
        <v>1.0000007127256665</v>
      </c>
      <c r="M35" s="2">
        <f>F35/1.500455</f>
        <v>0.99999996401091662</v>
      </c>
    </row>
    <row r="36" spans="1:17" x14ac:dyDescent="0.15">
      <c r="B36" s="2" t="s">
        <v>174</v>
      </c>
      <c r="C36" s="2">
        <v>1.866454061</v>
      </c>
      <c r="D36" s="2">
        <v>0.36800569599999999</v>
      </c>
      <c r="E36" s="2">
        <v>7.9312936000000001E-2</v>
      </c>
      <c r="F36" s="2">
        <v>1.137605228</v>
      </c>
      <c r="I36" s="2" t="s">
        <v>161</v>
      </c>
      <c r="J36" s="2">
        <f>C36/6.389044</f>
        <v>0.29213354314041351</v>
      </c>
      <c r="K36" s="2">
        <f>D36/2.079447</f>
        <v>0.17697286634379236</v>
      </c>
      <c r="L36" s="2">
        <f>E36/0.457518</f>
        <v>0.1733547882269113</v>
      </c>
      <c r="M36" s="2">
        <f>F36/1.133827</f>
        <v>1.0033322790866686</v>
      </c>
    </row>
    <row r="37" spans="1:17" x14ac:dyDescent="0.15">
      <c r="A37" t="s">
        <v>162</v>
      </c>
      <c r="B37" s="2" t="s">
        <v>173</v>
      </c>
      <c r="C37" s="2">
        <v>7.131472531</v>
      </c>
      <c r="D37" s="2">
        <v>2.232716382</v>
      </c>
      <c r="E37" s="2">
        <v>1.2034698507826163</v>
      </c>
      <c r="F37" s="2">
        <v>2.1899531400000001</v>
      </c>
      <c r="H37" t="s">
        <v>162</v>
      </c>
      <c r="I37" s="2" t="s">
        <v>160</v>
      </c>
      <c r="J37" s="2">
        <f>C37/7.131473</f>
        <v>0.99999993423518541</v>
      </c>
      <c r="K37" s="2">
        <f>D37/2.232716</f>
        <v>1.000000171092069</v>
      </c>
      <c r="L37" s="2">
        <f>E37/1.20347</f>
        <v>0.99999987601071583</v>
      </c>
      <c r="M37" s="2">
        <f>F37/2.189953</f>
        <v>1.0000000639283126</v>
      </c>
    </row>
    <row r="38" spans="1:17" x14ac:dyDescent="0.15">
      <c r="B38" s="2" t="s">
        <v>174</v>
      </c>
      <c r="C38" s="2">
        <v>3.0887005319999998</v>
      </c>
      <c r="D38" s="2">
        <v>1.758810438</v>
      </c>
      <c r="E38" s="2">
        <v>0.14107165041912784</v>
      </c>
      <c r="F38" s="2">
        <v>0.39587037200000003</v>
      </c>
      <c r="I38" s="6" t="s">
        <v>161</v>
      </c>
      <c r="J38" s="6">
        <f>C38/4.704365</f>
        <v>0.65656056279646668</v>
      </c>
      <c r="K38" s="6">
        <f>D38/2.183133</f>
        <v>0.80563595438298985</v>
      </c>
      <c r="L38" s="6">
        <f>E38/1.772395</f>
        <v>7.959379845865501E-2</v>
      </c>
      <c r="M38" s="6">
        <f>F38/2.312735</f>
        <v>0.17116979333992005</v>
      </c>
      <c r="O38" t="s">
        <v>177</v>
      </c>
    </row>
    <row r="39" spans="1:17" x14ac:dyDescent="0.15">
      <c r="H39" s="2" t="s">
        <v>167</v>
      </c>
      <c r="I39" s="2" t="s">
        <v>160</v>
      </c>
      <c r="J39" s="2">
        <f>AVERAGE(J35,J37)</f>
        <v>1.00000000136786</v>
      </c>
      <c r="K39" s="2">
        <f t="shared" ref="K39:M40" si="4">AVERAGE(K35,K37)</f>
        <v>1.0000000650145964</v>
      </c>
      <c r="L39" s="2">
        <f t="shared" si="4"/>
        <v>1.0000002943681912</v>
      </c>
      <c r="M39" s="2">
        <f t="shared" si="4"/>
        <v>1.0000000139696146</v>
      </c>
      <c r="N39" s="2"/>
      <c r="O39" s="2">
        <f>AVERAGE(J39:M39)</f>
        <v>1.0000000936800655</v>
      </c>
      <c r="P39" s="2"/>
      <c r="Q39" s="2"/>
    </row>
    <row r="40" spans="1:17" x14ac:dyDescent="0.15">
      <c r="H40" s="2"/>
      <c r="I40" s="2" t="s">
        <v>161</v>
      </c>
      <c r="J40" s="2">
        <f>AVERAGE(J36,J38)</f>
        <v>0.4743470529684401</v>
      </c>
      <c r="K40" s="2">
        <f t="shared" si="4"/>
        <v>0.49130441036339112</v>
      </c>
      <c r="L40" s="2">
        <f t="shared" si="4"/>
        <v>0.12647429334278315</v>
      </c>
      <c r="M40" s="2">
        <f t="shared" si="4"/>
        <v>0.58725103621329433</v>
      </c>
      <c r="N40" s="2"/>
      <c r="O40" s="2">
        <f>AVERAGE(J40:M40)</f>
        <v>0.41984419822197716</v>
      </c>
      <c r="P40" s="2">
        <f>STDEVP(J40:M40)/SQRT(COUNT(J40:M40))</f>
        <v>8.7381374441971499E-2</v>
      </c>
      <c r="Q40" s="2">
        <f>_xlfn.T.TEST(J39:M39,J40:M40,2,1)</f>
        <v>1.045016487111443E-2</v>
      </c>
    </row>
    <row r="41" spans="1:17" x14ac:dyDescent="0.15">
      <c r="C41" t="s">
        <v>178</v>
      </c>
    </row>
    <row r="42" spans="1:17" x14ac:dyDescent="0.15">
      <c r="C42" t="s">
        <v>179</v>
      </c>
      <c r="D42" t="s">
        <v>180</v>
      </c>
      <c r="E42" t="s">
        <v>181</v>
      </c>
      <c r="F42" t="s">
        <v>144</v>
      </c>
      <c r="J42" t="s">
        <v>179</v>
      </c>
      <c r="K42" t="s">
        <v>143</v>
      </c>
      <c r="L42" t="s">
        <v>144</v>
      </c>
      <c r="M42" t="s">
        <v>181</v>
      </c>
    </row>
    <row r="43" spans="1:17" x14ac:dyDescent="0.15">
      <c r="A43" t="s">
        <v>145</v>
      </c>
      <c r="B43" s="2" t="s">
        <v>173</v>
      </c>
      <c r="C43" s="2">
        <v>7.8715961000000001E-2</v>
      </c>
      <c r="D43" s="2">
        <v>0.19006963800000001</v>
      </c>
      <c r="E43" s="2">
        <v>0.18222590899999999</v>
      </c>
      <c r="F43" s="2">
        <v>0.43107177299999999</v>
      </c>
      <c r="H43" t="s">
        <v>145</v>
      </c>
      <c r="I43" s="2" t="s">
        <v>146</v>
      </c>
      <c r="J43" s="2">
        <f>C43/0.078716</f>
        <v>0.99999950454799535</v>
      </c>
      <c r="K43" s="2">
        <f>D43/0.19007</f>
        <v>0.9999980954385228</v>
      </c>
      <c r="L43" s="2">
        <f>E43/0.182226</f>
        <v>0.99999950062010901</v>
      </c>
      <c r="M43" s="2">
        <f>F43/0.431072</f>
        <v>0.99999947340583473</v>
      </c>
    </row>
    <row r="44" spans="1:17" x14ac:dyDescent="0.15">
      <c r="B44" s="2" t="s">
        <v>174</v>
      </c>
      <c r="C44" s="2">
        <v>6.4632337999999998E-2</v>
      </c>
      <c r="D44" s="2">
        <v>0.109902796</v>
      </c>
      <c r="E44" s="2">
        <v>2.4162273000000001E-2</v>
      </c>
      <c r="F44" s="2">
        <v>0.27389598100000001</v>
      </c>
      <c r="I44" s="2" t="s">
        <v>182</v>
      </c>
      <c r="J44" s="2">
        <f>C44/0.078716</f>
        <v>0.82108260074190764</v>
      </c>
      <c r="K44" s="2">
        <f>D44/0.19007</f>
        <v>0.57822273899089816</v>
      </c>
      <c r="L44" s="2">
        <f>E44/0.182226</f>
        <v>0.13259509071153402</v>
      </c>
      <c r="M44" s="2">
        <f>F44/0.431072</f>
        <v>0.63538337215128793</v>
      </c>
    </row>
    <row r="45" spans="1:17" x14ac:dyDescent="0.15">
      <c r="A45" t="s">
        <v>22</v>
      </c>
      <c r="B45" s="2" t="s">
        <v>173</v>
      </c>
      <c r="C45" s="2">
        <v>3.8671110000000002E-2</v>
      </c>
      <c r="D45" s="2">
        <v>2.8277532000000001E-2</v>
      </c>
      <c r="E45" s="2">
        <v>0.224455289</v>
      </c>
      <c r="F45" s="2">
        <v>2.4294944999999998E-2</v>
      </c>
      <c r="H45" t="s">
        <v>22</v>
      </c>
      <c r="I45" s="2" t="s">
        <v>183</v>
      </c>
      <c r="J45" s="2">
        <f>C45/0.038671</f>
        <v>1.0000028445088052</v>
      </c>
      <c r="K45" s="2">
        <f>D45/0.028278</f>
        <v>0.99998345003182687</v>
      </c>
      <c r="L45" s="2">
        <f>E45/0.224455</f>
        <v>1.0000012875632087</v>
      </c>
      <c r="M45" s="2">
        <f>F45/0.024295</f>
        <v>0.99999773615970355</v>
      </c>
    </row>
    <row r="46" spans="1:17" x14ac:dyDescent="0.15">
      <c r="B46" s="2" t="s">
        <v>174</v>
      </c>
      <c r="C46" s="2">
        <v>3.0158323000000001E-2</v>
      </c>
      <c r="D46" s="2">
        <v>8.4625020000000002E-3</v>
      </c>
      <c r="E46" s="2">
        <v>1.4153473999999999E-2</v>
      </c>
      <c r="F46" s="2">
        <v>6.4494859999999999E-3</v>
      </c>
      <c r="I46" s="6" t="s">
        <v>147</v>
      </c>
      <c r="J46" s="6">
        <f>C46/0.038671</f>
        <v>0.77986923017248078</v>
      </c>
      <c r="K46" s="6">
        <f>D46/0.028278</f>
        <v>0.29926098026734566</v>
      </c>
      <c r="L46" s="6">
        <f>E46/0.224455</f>
        <v>6.3057067118130583E-2</v>
      </c>
      <c r="M46" s="6">
        <f>F46/0.024295</f>
        <v>0.26546556904712904</v>
      </c>
      <c r="O46" t="s">
        <v>184</v>
      </c>
    </row>
    <row r="47" spans="1:17" x14ac:dyDescent="0.15">
      <c r="H47" s="2" t="s">
        <v>149</v>
      </c>
      <c r="I47" s="2" t="s">
        <v>160</v>
      </c>
      <c r="J47" s="2">
        <f t="shared" ref="J47:M48" si="5">AVERAGE(J43,J45)</f>
        <v>1.0000011745284003</v>
      </c>
      <c r="K47" s="2">
        <f t="shared" si="5"/>
        <v>0.99999077273517489</v>
      </c>
      <c r="L47" s="2">
        <f t="shared" si="5"/>
        <v>1.0000003940916589</v>
      </c>
      <c r="M47" s="2">
        <f t="shared" si="5"/>
        <v>0.99999860478276914</v>
      </c>
      <c r="N47" s="2"/>
      <c r="O47" s="2">
        <f>AVERAGE(J47:M47)</f>
        <v>0.99999773653450075</v>
      </c>
      <c r="P47" s="2"/>
      <c r="Q47" s="2"/>
    </row>
    <row r="48" spans="1:17" x14ac:dyDescent="0.15">
      <c r="H48" s="2"/>
      <c r="I48" s="2" t="s">
        <v>161</v>
      </c>
      <c r="J48" s="2">
        <f t="shared" si="5"/>
        <v>0.80047591545719421</v>
      </c>
      <c r="K48" s="2">
        <f t="shared" si="5"/>
        <v>0.43874185962912193</v>
      </c>
      <c r="L48" s="2">
        <f t="shared" si="5"/>
        <v>9.7826078914832304E-2</v>
      </c>
      <c r="M48" s="2">
        <f t="shared" si="5"/>
        <v>0.45042447059920848</v>
      </c>
      <c r="N48" s="2"/>
      <c r="O48" s="2">
        <f>AVERAGE(J48:M48)</f>
        <v>0.44686708115008922</v>
      </c>
      <c r="P48" s="2">
        <f>STDEVP(J48:M48)/SQRT(COUNT(J48:M48))</f>
        <v>0.12423453203162756</v>
      </c>
      <c r="Q48" s="2">
        <f>_xlfn.T.TEST(J47:M47,J48:M48,2,1)</f>
        <v>3.0819383986556374E-2</v>
      </c>
    </row>
    <row r="49" spans="1:17" x14ac:dyDescent="0.15">
      <c r="C49" t="s">
        <v>185</v>
      </c>
    </row>
    <row r="50" spans="1:17" x14ac:dyDescent="0.15">
      <c r="C50" t="s">
        <v>150</v>
      </c>
      <c r="D50" t="s">
        <v>151</v>
      </c>
      <c r="E50" t="s">
        <v>152</v>
      </c>
      <c r="F50" t="s">
        <v>152</v>
      </c>
      <c r="J50" t="s">
        <v>141</v>
      </c>
      <c r="K50" t="s">
        <v>180</v>
      </c>
      <c r="L50" t="s">
        <v>144</v>
      </c>
      <c r="M50" t="s">
        <v>157</v>
      </c>
    </row>
    <row r="51" spans="1:17" x14ac:dyDescent="0.15">
      <c r="A51" t="s">
        <v>21</v>
      </c>
      <c r="B51" s="2" t="s">
        <v>173</v>
      </c>
      <c r="C51" s="2">
        <v>3.5881897628400716E-2</v>
      </c>
      <c r="D51" s="2">
        <v>2.295257777149691E-2</v>
      </c>
      <c r="E51" s="2">
        <v>1.6775504914500826E-2</v>
      </c>
      <c r="F51" s="2">
        <v>4.1662695721005547E-2</v>
      </c>
      <c r="H51" t="s">
        <v>145</v>
      </c>
      <c r="I51" s="2" t="s">
        <v>146</v>
      </c>
      <c r="J51" s="2">
        <f>C51/0.035882</f>
        <v>0.99999714699294129</v>
      </c>
      <c r="K51" s="2">
        <f>D51/0.022953</f>
        <v>0.99998160464849517</v>
      </c>
      <c r="L51" s="2">
        <f>E51/0.016776</f>
        <v>0.99997048846571446</v>
      </c>
      <c r="M51" s="2">
        <f>F51/0.041663</f>
        <v>0.99999269666143931</v>
      </c>
    </row>
    <row r="52" spans="1:17" x14ac:dyDescent="0.15">
      <c r="B52" s="2" t="s">
        <v>174</v>
      </c>
      <c r="C52" s="2">
        <v>3.2910688076802308E-2</v>
      </c>
      <c r="D52" s="2">
        <v>4.457343931955007E-3</v>
      </c>
      <c r="E52" s="2">
        <v>3.8725511229010154E-3</v>
      </c>
      <c r="F52" s="2">
        <v>2.2097517232552849E-3</v>
      </c>
      <c r="I52" s="2" t="s">
        <v>147</v>
      </c>
      <c r="J52" s="2">
        <f>C52/0.078716</f>
        <v>0.41809400981760136</v>
      </c>
      <c r="K52" s="2">
        <f>D52/0.19007</f>
        <v>2.3451065038959371E-2</v>
      </c>
      <c r="L52" s="2">
        <f>E52/0.182226</f>
        <v>2.1251364365683357E-2</v>
      </c>
      <c r="M52" s="2">
        <f>F52/0.431072</f>
        <v>5.1261778154352055E-3</v>
      </c>
    </row>
    <row r="53" spans="1:17" x14ac:dyDescent="0.15">
      <c r="A53" t="s">
        <v>148</v>
      </c>
      <c r="B53" s="2" t="s">
        <v>173</v>
      </c>
      <c r="C53" s="2">
        <v>6.3960636007408507E-3</v>
      </c>
      <c r="D53" s="2">
        <v>8.4005528979455863E-3</v>
      </c>
      <c r="E53" s="2">
        <v>1.7568075868064283E-2</v>
      </c>
      <c r="F53" s="2">
        <v>4.5110278401133075E-2</v>
      </c>
      <c r="H53" t="s">
        <v>22</v>
      </c>
      <c r="I53" s="2" t="s">
        <v>3</v>
      </c>
      <c r="J53" s="2">
        <f>C53/0.006396</f>
        <v>1.0000099438306522</v>
      </c>
      <c r="K53" s="2">
        <f>D53/0.008401</f>
        <v>0.99994677990067682</v>
      </c>
      <c r="L53" s="2">
        <f>E53/0.017568</f>
        <v>1.0000043185373566</v>
      </c>
      <c r="M53" s="2">
        <f>F53/0.04511</f>
        <v>1.0000061716056989</v>
      </c>
    </row>
    <row r="54" spans="1:17" x14ac:dyDescent="0.15">
      <c r="B54" s="2" t="s">
        <v>174</v>
      </c>
      <c r="C54" s="2">
        <v>1.4039429232787829E-3</v>
      </c>
      <c r="D54" s="2">
        <v>5.0134800433731901E-4</v>
      </c>
      <c r="E54" s="2">
        <v>6.3224524630436018E-3</v>
      </c>
      <c r="F54" s="2">
        <v>5.1869421689052821E-3</v>
      </c>
      <c r="I54" s="6" t="s">
        <v>186</v>
      </c>
      <c r="J54" s="6">
        <f>C54/0.006396</f>
        <v>0.21950327130687664</v>
      </c>
      <c r="K54" s="6">
        <f>D54/0.008401</f>
        <v>5.9677181804227944E-2</v>
      </c>
      <c r="L54" s="6">
        <f>E54/0.017568</f>
        <v>0.35988458919874783</v>
      </c>
      <c r="M54" s="6">
        <f>F54/0.04511</f>
        <v>0.11498430877644164</v>
      </c>
      <c r="O54" t="s">
        <v>187</v>
      </c>
    </row>
    <row r="55" spans="1:17" x14ac:dyDescent="0.15">
      <c r="H55" s="2" t="s">
        <v>149</v>
      </c>
      <c r="I55" s="2" t="s">
        <v>146</v>
      </c>
      <c r="J55" s="2">
        <f t="shared" ref="J55:M56" si="6">AVERAGE(J51,J53)</f>
        <v>1.0000035454117968</v>
      </c>
      <c r="K55" s="2">
        <f t="shared" si="6"/>
        <v>0.99996419227458599</v>
      </c>
      <c r="L55" s="2">
        <f t="shared" si="6"/>
        <v>0.99998740350153548</v>
      </c>
      <c r="M55" s="2">
        <f t="shared" si="6"/>
        <v>0.99999943413356918</v>
      </c>
      <c r="N55" s="2"/>
      <c r="O55" s="2">
        <f>AVERAGE(J55:M55)</f>
        <v>0.99998864383037178</v>
      </c>
      <c r="P55" s="2"/>
      <c r="Q55" s="2"/>
    </row>
    <row r="56" spans="1:17" x14ac:dyDescent="0.15">
      <c r="H56" s="2"/>
      <c r="I56" s="2" t="s">
        <v>186</v>
      </c>
      <c r="J56" s="2">
        <f t="shared" si="6"/>
        <v>0.318798640562239</v>
      </c>
      <c r="K56" s="2">
        <f t="shared" si="6"/>
        <v>4.1564123421593657E-2</v>
      </c>
      <c r="L56" s="2">
        <f t="shared" si="6"/>
        <v>0.1905679767822156</v>
      </c>
      <c r="M56" s="2">
        <f t="shared" si="6"/>
        <v>6.0055243295938421E-2</v>
      </c>
      <c r="N56" s="2"/>
      <c r="O56" s="2">
        <f>AVERAGE(J56:M56)</f>
        <v>0.15274649601549667</v>
      </c>
      <c r="P56" s="2">
        <f>STDEVP(J56:M56)/SQRT(COUNT(J56:M56))</f>
        <v>5.5877638317068518E-2</v>
      </c>
      <c r="Q56" s="2">
        <f>_xlfn.T.TEST(J55:M55,J56:M56,2,1)</f>
        <v>9.538272938064184E-4</v>
      </c>
    </row>
    <row r="57" spans="1:17" x14ac:dyDescent="0.15">
      <c r="C57" t="s">
        <v>188</v>
      </c>
    </row>
    <row r="58" spans="1:17" x14ac:dyDescent="0.15">
      <c r="C58" t="s">
        <v>150</v>
      </c>
      <c r="D58" t="s">
        <v>151</v>
      </c>
      <c r="E58" t="s">
        <v>152</v>
      </c>
      <c r="F58" t="s">
        <v>152</v>
      </c>
      <c r="J58" t="s">
        <v>150</v>
      </c>
      <c r="K58" t="s">
        <v>151</v>
      </c>
      <c r="L58" t="s">
        <v>152</v>
      </c>
      <c r="M58" t="s">
        <v>152</v>
      </c>
    </row>
    <row r="59" spans="1:17" x14ac:dyDescent="0.15">
      <c r="A59" t="s">
        <v>21</v>
      </c>
      <c r="B59" s="2" t="s">
        <v>3</v>
      </c>
      <c r="C59" s="2">
        <v>1.8364050247607362E-3</v>
      </c>
      <c r="D59" s="2">
        <v>4.4444730518124388E-4</v>
      </c>
      <c r="E59" s="2">
        <v>1.9577333586233273E-3</v>
      </c>
      <c r="F59" s="2">
        <v>2.3601593759830976E-3</v>
      </c>
      <c r="H59" t="s">
        <v>145</v>
      </c>
      <c r="I59" s="2" t="s">
        <v>183</v>
      </c>
      <c r="J59" s="2">
        <f>C59/0.001836</f>
        <v>1.0002206017215338</v>
      </c>
      <c r="K59" s="2">
        <f>D59/0.000444447</f>
        <v>1.0000006866538504</v>
      </c>
      <c r="L59" s="2">
        <f>E59/0.001958</f>
        <v>0.99986381952161762</v>
      </c>
      <c r="M59" s="2">
        <f>F59/0.00236</f>
        <v>1.0000675321962278</v>
      </c>
    </row>
    <row r="60" spans="1:17" x14ac:dyDescent="0.15">
      <c r="B60" s="2" t="s">
        <v>8</v>
      </c>
      <c r="C60" s="2">
        <v>1.8821534896399587E-3</v>
      </c>
      <c r="D60" s="2">
        <v>1.6846401722860456E-5</v>
      </c>
      <c r="E60" s="2">
        <v>3.8088104029816166E-5</v>
      </c>
      <c r="F60" s="2">
        <v>1.6353328249327829E-3</v>
      </c>
      <c r="I60" s="2" t="s">
        <v>147</v>
      </c>
      <c r="J60" s="2">
        <f>C60/0.001836</f>
        <v>1.0251380662527008</v>
      </c>
      <c r="K60" s="2">
        <f>D60/0.000444447</f>
        <v>3.7904185927366947E-2</v>
      </c>
      <c r="L60" s="2">
        <f>E60/0.001958</f>
        <v>1.9452555684277919E-2</v>
      </c>
      <c r="M60" s="2">
        <f>F60/0.00236</f>
        <v>0.69293763768338257</v>
      </c>
    </row>
    <row r="61" spans="1:17" x14ac:dyDescent="0.15">
      <c r="A61" t="s">
        <v>162</v>
      </c>
      <c r="B61" s="2" t="s">
        <v>160</v>
      </c>
      <c r="C61" s="2">
        <v>7.5897701200938084E-2</v>
      </c>
      <c r="D61" s="2">
        <v>2.6175414435734964E-4</v>
      </c>
      <c r="E61" s="2">
        <v>7.8817302776470978E-4</v>
      </c>
      <c r="F61" s="2">
        <v>1.6218993404107092E-3</v>
      </c>
      <c r="H61" t="s">
        <v>162</v>
      </c>
      <c r="I61" s="2" t="s">
        <v>160</v>
      </c>
      <c r="J61" s="2">
        <f>C61/0.075898</f>
        <v>0.99999606314972844</v>
      </c>
      <c r="K61" s="2">
        <f>D61/0.000261754</f>
        <v>1.0000005515000712</v>
      </c>
      <c r="L61" s="2">
        <f>E61/0.000788</f>
        <v>1.0002195783816115</v>
      </c>
      <c r="M61" s="2">
        <f>F61/0.001622</f>
        <v>0.99993794106702172</v>
      </c>
    </row>
    <row r="62" spans="1:17" x14ac:dyDescent="0.15">
      <c r="B62" s="2" t="s">
        <v>189</v>
      </c>
      <c r="C62" s="2">
        <v>1.0264648924404516E-3</v>
      </c>
      <c r="D62" s="2">
        <v>5.4329677169143277E-5</v>
      </c>
      <c r="E62" s="2">
        <v>2.2181247004215648E-5</v>
      </c>
      <c r="F62" s="2">
        <v>9.10407460139575E-4</v>
      </c>
      <c r="I62" s="6" t="s">
        <v>8</v>
      </c>
      <c r="J62" s="6">
        <f>C62/0.075898</f>
        <v>1.3524267997054621E-2</v>
      </c>
      <c r="K62" s="6">
        <f>D62/0.000261754</f>
        <v>0.20756006467577678</v>
      </c>
      <c r="L62" s="6">
        <f>E62/0.000788</f>
        <v>2.8148790614486864E-2</v>
      </c>
      <c r="M62" s="6">
        <f>F62/0.001622</f>
        <v>0.5612869667938194</v>
      </c>
      <c r="O62" t="s">
        <v>190</v>
      </c>
    </row>
    <row r="63" spans="1:17" x14ac:dyDescent="0.15">
      <c r="H63" s="2" t="s">
        <v>167</v>
      </c>
      <c r="I63" s="2" t="s">
        <v>160</v>
      </c>
      <c r="J63" s="2">
        <f>AVERAGE(J59,J61)</f>
        <v>1.000108332435631</v>
      </c>
      <c r="K63" s="2">
        <f t="shared" ref="K63:M64" si="7">AVERAGE(K59,K61)</f>
        <v>1.0000006190769608</v>
      </c>
      <c r="L63" s="2">
        <f t="shared" si="7"/>
        <v>1.0000416989516145</v>
      </c>
      <c r="M63" s="2">
        <f t="shared" si="7"/>
        <v>1.0000027366316249</v>
      </c>
      <c r="N63" s="2"/>
      <c r="O63" s="2">
        <f>AVERAGE(J63:M63)</f>
        <v>1.000038346773958</v>
      </c>
      <c r="P63" s="2"/>
      <c r="Q63" s="2"/>
    </row>
    <row r="64" spans="1:17" x14ac:dyDescent="0.15">
      <c r="H64" s="2"/>
      <c r="I64" s="2" t="s">
        <v>8</v>
      </c>
      <c r="J64" s="2">
        <f>AVERAGE(J60,J62)</f>
        <v>0.5193311671248777</v>
      </c>
      <c r="K64" s="2">
        <f t="shared" si="7"/>
        <v>0.12273212530157186</v>
      </c>
      <c r="L64" s="2">
        <f t="shared" si="7"/>
        <v>2.380067314938239E-2</v>
      </c>
      <c r="M64" s="2">
        <f t="shared" si="7"/>
        <v>0.62711230223860093</v>
      </c>
      <c r="N64" s="2"/>
      <c r="O64" s="2">
        <f>AVERAGE(J64:M64)</f>
        <v>0.32324406695360819</v>
      </c>
      <c r="P64" s="2">
        <f>STDEVP(J64:M64)/SQRT(COUNT(J64:M64))</f>
        <v>0.12763655435132393</v>
      </c>
      <c r="Q64" s="2">
        <f>_xlfn.T.TEST(J63:M63,J64:M64,2,1)</f>
        <v>1.9400247707338673E-2</v>
      </c>
    </row>
    <row r="65" spans="1:17" x14ac:dyDescent="0.15">
      <c r="C65" t="s">
        <v>191</v>
      </c>
    </row>
    <row r="66" spans="1:17" x14ac:dyDescent="0.15">
      <c r="C66" t="s">
        <v>150</v>
      </c>
      <c r="D66" t="s">
        <v>151</v>
      </c>
      <c r="E66" t="s">
        <v>152</v>
      </c>
      <c r="F66" t="s">
        <v>152</v>
      </c>
      <c r="J66" t="s">
        <v>150</v>
      </c>
      <c r="K66" t="s">
        <v>151</v>
      </c>
      <c r="L66" t="s">
        <v>152</v>
      </c>
      <c r="M66" t="s">
        <v>152</v>
      </c>
    </row>
    <row r="67" spans="1:17" x14ac:dyDescent="0.15">
      <c r="A67" t="s">
        <v>192</v>
      </c>
      <c r="B67" s="2" t="s">
        <v>146</v>
      </c>
      <c r="C67" s="2">
        <v>1.1798343228309883E-3</v>
      </c>
      <c r="D67" s="2">
        <v>4.5287483641289562E-4</v>
      </c>
      <c r="E67" s="2">
        <v>1.7230735498089712E-3</v>
      </c>
      <c r="F67" s="2">
        <v>1.0766014583017103E-3</v>
      </c>
      <c r="H67" t="s">
        <v>21</v>
      </c>
      <c r="I67" s="2" t="s">
        <v>160</v>
      </c>
      <c r="J67" s="2">
        <f>C67/0.00118</f>
        <v>0.99985959561948157</v>
      </c>
      <c r="K67" s="2">
        <f>D67/0.000452875</f>
        <v>0.99999963878089015</v>
      </c>
      <c r="L67" s="2">
        <f>E67/0.001723</f>
        <v>1.0000426870626646</v>
      </c>
      <c r="M67" s="2">
        <f>F67/0.001077</f>
        <v>0.99962995199787397</v>
      </c>
    </row>
    <row r="68" spans="1:17" x14ac:dyDescent="0.15">
      <c r="B68" s="2" t="s">
        <v>8</v>
      </c>
      <c r="C68" s="2">
        <v>9.2574341326582654E-4</v>
      </c>
      <c r="D68" s="2">
        <v>1.2104239003126884E-4</v>
      </c>
      <c r="E68" s="2">
        <v>1.1822313470951243E-4</v>
      </c>
      <c r="F68" s="2">
        <v>6.4536367638985356E-4</v>
      </c>
      <c r="I68" s="2" t="s">
        <v>193</v>
      </c>
      <c r="J68" s="2">
        <f>C68/0.00118</f>
        <v>0.78452831632697162</v>
      </c>
      <c r="K68" s="2">
        <f>D68/0.000452875</f>
        <v>0.26727549551480839</v>
      </c>
      <c r="L68" s="2">
        <f>E68/0.001723</f>
        <v>6.8614703836049007E-2</v>
      </c>
      <c r="M68" s="2">
        <f>F68/0.001077</f>
        <v>0.59922346925705994</v>
      </c>
    </row>
    <row r="69" spans="1:17" x14ac:dyDescent="0.15">
      <c r="A69" t="s">
        <v>22</v>
      </c>
      <c r="B69" s="2" t="s">
        <v>146</v>
      </c>
      <c r="C69" s="2">
        <v>4.1964933209890642E-3</v>
      </c>
      <c r="D69" s="2">
        <v>1.0390638318095089E-3</v>
      </c>
      <c r="E69" s="2">
        <v>1.6199893005562193E-3</v>
      </c>
      <c r="F69" s="2">
        <v>8.9482922758048775E-4</v>
      </c>
      <c r="H69" t="s">
        <v>162</v>
      </c>
      <c r="I69" s="2" t="s">
        <v>160</v>
      </c>
      <c r="J69" s="2">
        <f>C69/0.004196</f>
        <v>1.0001175693491573</v>
      </c>
      <c r="K69" s="2">
        <f>D69/0.001039064</f>
        <v>0.99999983813269344</v>
      </c>
      <c r="L69" s="2">
        <f>E69/0.00162</f>
        <v>0.9999933954050737</v>
      </c>
      <c r="M69" s="2">
        <f>F69/0.000895</f>
        <v>0.99980919282736069</v>
      </c>
    </row>
    <row r="70" spans="1:17" x14ac:dyDescent="0.15">
      <c r="B70" s="2" t="s">
        <v>8</v>
      </c>
      <c r="C70" s="2">
        <v>2.404245609997495E-3</v>
      </c>
      <c r="D70" s="2">
        <v>2.8808856146785017E-4</v>
      </c>
      <c r="E70" s="2">
        <v>1.9316214368774134E-4</v>
      </c>
      <c r="F70" s="2">
        <v>6.2602157542142951E-4</v>
      </c>
      <c r="I70" s="6" t="s">
        <v>161</v>
      </c>
      <c r="J70" s="6">
        <f>C70/0.004196</f>
        <v>0.57298513107661941</v>
      </c>
      <c r="K70" s="6">
        <f>D70/0.001039064</f>
        <v>0.27725776416837672</v>
      </c>
      <c r="L70" s="6">
        <f>E70/0.00162</f>
        <v>0.11923589116527245</v>
      </c>
      <c r="M70" s="6">
        <f>F70/0.000895</f>
        <v>0.69946544739824534</v>
      </c>
      <c r="O70" t="s">
        <v>194</v>
      </c>
    </row>
    <row r="71" spans="1:17" x14ac:dyDescent="0.15">
      <c r="H71" s="2" t="s">
        <v>167</v>
      </c>
      <c r="I71" s="2" t="s">
        <v>160</v>
      </c>
      <c r="J71" s="2">
        <f>AVERAGE(J67,J69)</f>
        <v>0.99998858248431943</v>
      </c>
      <c r="K71" s="2">
        <f t="shared" ref="K71:M72" si="8">AVERAGE(K67,K69)</f>
        <v>0.9999997384567918</v>
      </c>
      <c r="L71" s="2">
        <f t="shared" si="8"/>
        <v>1.0000180412338691</v>
      </c>
      <c r="M71" s="2">
        <f t="shared" si="8"/>
        <v>0.99971957241261733</v>
      </c>
      <c r="N71" s="2"/>
      <c r="O71" s="2">
        <f>AVERAGE(J71:M71)</f>
        <v>0.99993148364689932</v>
      </c>
      <c r="P71" s="2"/>
      <c r="Q71" s="2"/>
    </row>
    <row r="72" spans="1:17" x14ac:dyDescent="0.15">
      <c r="H72" s="2"/>
      <c r="I72" s="2" t="s">
        <v>161</v>
      </c>
      <c r="J72" s="2">
        <f>AVERAGE(J68,J70)</f>
        <v>0.67875672370179552</v>
      </c>
      <c r="K72" s="2">
        <f t="shared" si="8"/>
        <v>0.27226662984159256</v>
      </c>
      <c r="L72" s="2">
        <f t="shared" si="8"/>
        <v>9.3925297500660726E-2</v>
      </c>
      <c r="M72" s="2">
        <f t="shared" si="8"/>
        <v>0.64934445832765264</v>
      </c>
      <c r="N72" s="2"/>
      <c r="O72" s="2">
        <f>AVERAGE(J72:M72)</f>
        <v>0.42357327734292538</v>
      </c>
      <c r="P72" s="2">
        <f>STDEVP(J72:M72)/SQRT(COUNT(J72:M72))</f>
        <v>0.1244117934650408</v>
      </c>
      <c r="Q72" s="2">
        <f>_xlfn.T.TEST(J71:M71,J72:M72,2,1)</f>
        <v>2.7810746106510811E-2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"/>
  <sheetViews>
    <sheetView workbookViewId="0">
      <selection sqref="A1:G7"/>
    </sheetView>
  </sheetViews>
  <sheetFormatPr defaultRowHeight="13.5" x14ac:dyDescent="0.15"/>
  <cols>
    <col min="7" max="7" width="16.125" customWidth="1"/>
  </cols>
  <sheetData>
    <row r="2" spans="1:7" x14ac:dyDescent="0.15">
      <c r="G2" t="s">
        <v>23</v>
      </c>
    </row>
    <row r="3" spans="1:7" x14ac:dyDescent="0.15">
      <c r="G3" t="s">
        <v>195</v>
      </c>
    </row>
    <row r="4" spans="1:7" x14ac:dyDescent="0.15">
      <c r="A4" s="2" t="s">
        <v>196</v>
      </c>
      <c r="B4" s="2">
        <v>3.3820000000000001</v>
      </c>
      <c r="C4" s="2">
        <v>4.7170000000000005</v>
      </c>
      <c r="D4" s="2">
        <v>4.5834999999999999</v>
      </c>
      <c r="E4" s="2">
        <v>0</v>
      </c>
      <c r="F4" s="2"/>
      <c r="G4" s="2">
        <f>AVERAGE(B4:E4)</f>
        <v>3.1706250000000002</v>
      </c>
    </row>
    <row r="5" spans="1:7" x14ac:dyDescent="0.15">
      <c r="A5" s="2" t="s">
        <v>197</v>
      </c>
      <c r="B5" s="2">
        <v>5.3845000000000001</v>
      </c>
      <c r="C5" s="2">
        <v>10.4575</v>
      </c>
      <c r="D5" s="2">
        <v>13.9285</v>
      </c>
      <c r="E5" s="2">
        <v>19.802500000000002</v>
      </c>
      <c r="F5" s="2"/>
      <c r="G5" s="2">
        <f>AVERAGE(B5:E5)</f>
        <v>12.39325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workbookViewId="0">
      <selection activeCell="I15" sqref="I15"/>
    </sheetView>
  </sheetViews>
  <sheetFormatPr defaultRowHeight="13.5" x14ac:dyDescent="0.15"/>
  <cols>
    <col min="2" max="2" width="19.875" customWidth="1"/>
    <col min="3" max="3" width="21.125" customWidth="1"/>
    <col min="4" max="4" width="17.125" customWidth="1"/>
    <col min="5" max="5" width="21.75" customWidth="1"/>
    <col min="6" max="6" width="16.75" customWidth="1"/>
    <col min="7" max="7" width="16.625" customWidth="1"/>
    <col min="11" max="11" width="19.375" customWidth="1"/>
    <col min="12" max="12" width="20.375" customWidth="1"/>
    <col min="13" max="13" width="15.375" customWidth="1"/>
    <col min="14" max="14" width="22.875" customWidth="1"/>
    <col min="15" max="15" width="16.375" customWidth="1"/>
    <col min="16" max="16" width="14.75" customWidth="1"/>
  </cols>
  <sheetData>
    <row r="1" spans="1:16" x14ac:dyDescent="0.15">
      <c r="A1" t="s">
        <v>198</v>
      </c>
      <c r="J1" t="s">
        <v>199</v>
      </c>
    </row>
    <row r="2" spans="1:16" x14ac:dyDescent="0.15">
      <c r="A2" t="s">
        <v>200</v>
      </c>
      <c r="B2" t="s">
        <v>0</v>
      </c>
      <c r="C2" t="s">
        <v>68</v>
      </c>
      <c r="D2" t="s">
        <v>201</v>
      </c>
      <c r="E2" t="s">
        <v>202</v>
      </c>
      <c r="F2" t="s">
        <v>204</v>
      </c>
      <c r="G2" t="s">
        <v>206</v>
      </c>
      <c r="J2" t="s">
        <v>200</v>
      </c>
      <c r="K2" t="s">
        <v>0</v>
      </c>
      <c r="L2" t="s">
        <v>207</v>
      </c>
      <c r="M2" t="s">
        <v>69</v>
      </c>
      <c r="N2" t="s">
        <v>208</v>
      </c>
      <c r="O2" t="s">
        <v>204</v>
      </c>
      <c r="P2" t="s">
        <v>206</v>
      </c>
    </row>
    <row r="3" spans="1:16" x14ac:dyDescent="0.15">
      <c r="A3" s="2">
        <v>1</v>
      </c>
      <c r="B3" s="2">
        <v>188</v>
      </c>
      <c r="C3" s="2">
        <v>2</v>
      </c>
      <c r="D3" s="2">
        <f>C3*(1000/B3)</f>
        <v>10.638297872340425</v>
      </c>
      <c r="E3" s="2">
        <v>28640</v>
      </c>
      <c r="F3" s="2">
        <v>420</v>
      </c>
      <c r="G3" s="2">
        <f>F3*(1000000/E3)/1000</f>
        <v>14.664804469273744</v>
      </c>
      <c r="J3" s="2">
        <v>1</v>
      </c>
      <c r="K3" s="2">
        <v>393</v>
      </c>
      <c r="L3" s="2">
        <v>2</v>
      </c>
      <c r="M3" s="2">
        <f>L3*(1000/K3)</f>
        <v>5.0890585241730282</v>
      </c>
      <c r="N3" s="2">
        <v>7546</v>
      </c>
      <c r="O3" s="2">
        <v>47</v>
      </c>
      <c r="P3" s="2">
        <f>O3*(1000000/N3)/1000</f>
        <v>6.2284654121388812</v>
      </c>
    </row>
    <row r="4" spans="1:16" x14ac:dyDescent="0.15">
      <c r="A4" s="2">
        <v>2</v>
      </c>
      <c r="B4" s="2">
        <v>141</v>
      </c>
      <c r="C4" s="2">
        <v>1</v>
      </c>
      <c r="D4" s="2">
        <f>C4*(1000/B4)</f>
        <v>7.0921985815602833</v>
      </c>
      <c r="E4" s="2">
        <v>13550</v>
      </c>
      <c r="F4" s="2">
        <v>106</v>
      </c>
      <c r="G4" s="2">
        <f>F4*(1000000/E4)/1000</f>
        <v>7.8228782287822876</v>
      </c>
      <c r="J4" s="2">
        <v>2</v>
      </c>
      <c r="K4" s="2">
        <v>248</v>
      </c>
      <c r="L4" s="2">
        <v>2</v>
      </c>
      <c r="M4" s="2">
        <f>L4*(1000/K4)</f>
        <v>8.064516129032258</v>
      </c>
      <c r="N4" s="2">
        <v>8560</v>
      </c>
      <c r="O4" s="2">
        <v>77</v>
      </c>
      <c r="P4" s="2">
        <f>O4*(1000000/N4)/1000</f>
        <v>8.9953271028037385</v>
      </c>
    </row>
    <row r="5" spans="1:16" x14ac:dyDescent="0.15">
      <c r="A5" s="2">
        <v>3</v>
      </c>
      <c r="B5" s="2">
        <v>136</v>
      </c>
      <c r="C5" s="2">
        <v>1</v>
      </c>
      <c r="D5" s="2">
        <f>C5*(1000/B5)</f>
        <v>7.3529411764705879</v>
      </c>
      <c r="E5" s="2">
        <v>28300</v>
      </c>
      <c r="F5" s="2">
        <v>313</v>
      </c>
      <c r="G5" s="2">
        <f>F5*(1000000/E5)/1000</f>
        <v>11.060070671378092</v>
      </c>
      <c r="J5" s="2">
        <v>3</v>
      </c>
      <c r="K5" s="2">
        <v>428</v>
      </c>
      <c r="L5" s="2">
        <v>2</v>
      </c>
      <c r="M5" s="2">
        <f>L5*(1000/K5)</f>
        <v>4.6728971962616823</v>
      </c>
      <c r="N5" s="2">
        <v>14094</v>
      </c>
      <c r="O5" s="2">
        <v>48</v>
      </c>
      <c r="P5" s="2">
        <f>O5*(1000000/N5)/1000</f>
        <v>3.4057045551298426</v>
      </c>
    </row>
    <row r="6" spans="1:16" x14ac:dyDescent="0.15">
      <c r="A6" s="2">
        <v>4</v>
      </c>
      <c r="B6" s="2">
        <v>182</v>
      </c>
      <c r="C6" s="2">
        <v>1</v>
      </c>
      <c r="D6" s="2">
        <f>C6*(1000/B6)</f>
        <v>5.4945054945054945</v>
      </c>
      <c r="E6" s="2">
        <v>5183</v>
      </c>
      <c r="F6" s="2">
        <v>83</v>
      </c>
      <c r="G6" s="2">
        <f>F6*(1000000/E6)/1000</f>
        <v>16.013891568589621</v>
      </c>
      <c r="J6" s="2">
        <v>4</v>
      </c>
      <c r="K6" s="2">
        <v>271</v>
      </c>
      <c r="L6" s="2">
        <v>1</v>
      </c>
      <c r="M6" s="2">
        <f>L6*(1000/K6)</f>
        <v>3.6900369003690039</v>
      </c>
      <c r="N6" s="2">
        <v>9290</v>
      </c>
      <c r="O6" s="2">
        <v>0</v>
      </c>
      <c r="P6" s="2">
        <f>O6*(1000000/N6)/1000</f>
        <v>0</v>
      </c>
    </row>
    <row r="7" spans="1:16" x14ac:dyDescent="0.15">
      <c r="A7" s="2">
        <v>5</v>
      </c>
      <c r="B7" s="2">
        <v>206</v>
      </c>
      <c r="C7" s="2">
        <v>1</v>
      </c>
      <c r="D7" s="2">
        <f>C7*(1000/B7)</f>
        <v>4.8543689320388346</v>
      </c>
      <c r="E7" s="2">
        <v>10900</v>
      </c>
      <c r="F7" s="2">
        <v>204</v>
      </c>
      <c r="G7" s="2">
        <f>F7*(1000000/E7)/1000</f>
        <v>18.715596330275229</v>
      </c>
      <c r="J7" s="6">
        <v>5</v>
      </c>
      <c r="K7" s="2">
        <v>284</v>
      </c>
      <c r="L7" s="2">
        <v>1</v>
      </c>
      <c r="M7" s="2">
        <f>L7*(1000/K7)</f>
        <v>3.5211267605633805</v>
      </c>
      <c r="N7" s="2">
        <v>5170</v>
      </c>
      <c r="O7" s="2">
        <v>23</v>
      </c>
      <c r="P7" s="2">
        <f>O7*(1000000/N7)/1000</f>
        <v>4.4487427466150864</v>
      </c>
    </row>
    <row r="8" spans="1:16" x14ac:dyDescent="0.15">
      <c r="A8" s="2" t="s">
        <v>225</v>
      </c>
      <c r="D8" s="8">
        <f>AVERAGE(D2:D7)</f>
        <v>7.086462411383124</v>
      </c>
      <c r="G8" s="8">
        <f>AVERAGE(G2:G7)</f>
        <v>13.655448253659793</v>
      </c>
      <c r="J8" s="2" t="s">
        <v>225</v>
      </c>
      <c r="M8" s="8">
        <f>AVERAGE(M3:M7)</f>
        <v>5.0075271020798713</v>
      </c>
      <c r="P8" s="8">
        <f>AVERAGE(P3:P7)</f>
        <v>4.6156479633375094</v>
      </c>
    </row>
    <row r="10" spans="1:16" x14ac:dyDescent="0.15">
      <c r="A10" t="s">
        <v>209</v>
      </c>
      <c r="J10" t="s">
        <v>210</v>
      </c>
    </row>
    <row r="11" spans="1:16" x14ac:dyDescent="0.15">
      <c r="A11" t="s">
        <v>200</v>
      </c>
      <c r="B11" t="s">
        <v>0</v>
      </c>
      <c r="C11" t="s">
        <v>207</v>
      </c>
      <c r="D11" t="s">
        <v>201</v>
      </c>
      <c r="E11" t="s">
        <v>202</v>
      </c>
      <c r="F11" t="s">
        <v>204</v>
      </c>
      <c r="G11" t="s">
        <v>206</v>
      </c>
      <c r="J11" t="s">
        <v>200</v>
      </c>
      <c r="K11" t="s">
        <v>0</v>
      </c>
      <c r="L11" t="s">
        <v>207</v>
      </c>
      <c r="M11" t="s">
        <v>201</v>
      </c>
      <c r="N11" t="s">
        <v>202</v>
      </c>
      <c r="O11" t="s">
        <v>204</v>
      </c>
      <c r="P11" t="s">
        <v>206</v>
      </c>
    </row>
    <row r="12" spans="1:16" x14ac:dyDescent="0.15">
      <c r="A12" s="2">
        <v>1</v>
      </c>
      <c r="B12" s="2">
        <v>701</v>
      </c>
      <c r="C12" s="2">
        <v>3</v>
      </c>
      <c r="D12" s="2">
        <f t="shared" ref="D12" si="0">C12*(1000/B12)</f>
        <v>4.2796005706134093</v>
      </c>
      <c r="E12" s="2">
        <v>39350</v>
      </c>
      <c r="F12" s="2">
        <v>223</v>
      </c>
      <c r="G12" s="2">
        <f t="shared" ref="G12" si="1">F12*(1000000/E12)/1000</f>
        <v>5.6670902160101653</v>
      </c>
      <c r="J12" s="2">
        <v>1</v>
      </c>
      <c r="K12" s="2">
        <v>302</v>
      </c>
      <c r="L12" s="2">
        <v>1</v>
      </c>
      <c r="M12" s="2">
        <f>L12*(1000/K12)</f>
        <v>3.3112582781456954</v>
      </c>
      <c r="N12" s="2">
        <v>8717</v>
      </c>
      <c r="O12" s="2">
        <v>18</v>
      </c>
      <c r="P12" s="2">
        <f>O12*(1000000/N12)/1000</f>
        <v>2.0649305953883217</v>
      </c>
    </row>
    <row r="13" spans="1:16" x14ac:dyDescent="0.15">
      <c r="A13" s="2">
        <v>2</v>
      </c>
      <c r="B13" s="2">
        <v>400</v>
      </c>
      <c r="C13" s="2">
        <v>2</v>
      </c>
      <c r="D13" s="2">
        <f>C13*(1000/B13)</f>
        <v>5</v>
      </c>
      <c r="E13" s="2">
        <v>15130</v>
      </c>
      <c r="F13" s="2">
        <v>191</v>
      </c>
      <c r="G13" s="2">
        <f>F13*(1000000/E13)/1000</f>
        <v>12.623925974884337</v>
      </c>
      <c r="J13" s="2">
        <v>2</v>
      </c>
      <c r="K13" s="2">
        <v>430</v>
      </c>
      <c r="L13" s="2">
        <v>1</v>
      </c>
      <c r="M13" s="2">
        <f t="shared" ref="M13:M15" si="2">L13*(1000/K13)</f>
        <v>2.3255813953488373</v>
      </c>
      <c r="N13" s="2">
        <v>6152</v>
      </c>
      <c r="O13" s="2">
        <v>45</v>
      </c>
      <c r="P13" s="2">
        <f t="shared" ref="P13:P15" si="3">O13*(1000000/N13)/1000</f>
        <v>7.3146944083224961</v>
      </c>
    </row>
    <row r="14" spans="1:16" x14ac:dyDescent="0.15">
      <c r="A14" s="2">
        <v>3</v>
      </c>
      <c r="B14" s="2">
        <v>555</v>
      </c>
      <c r="C14" s="2">
        <v>4</v>
      </c>
      <c r="D14" s="2">
        <f>C14*(1000/B14)</f>
        <v>7.2072072072072073</v>
      </c>
      <c r="E14" s="2">
        <v>15470</v>
      </c>
      <c r="F14" s="2">
        <v>307</v>
      </c>
      <c r="G14" s="2">
        <f>F14*(1000000/E14)/1000</f>
        <v>19.84486102133161</v>
      </c>
      <c r="J14" s="2">
        <v>3</v>
      </c>
      <c r="K14" s="2">
        <v>433</v>
      </c>
      <c r="L14" s="2">
        <v>2</v>
      </c>
      <c r="M14" s="2">
        <f t="shared" si="2"/>
        <v>4.6189376443418011</v>
      </c>
      <c r="N14" s="2">
        <v>10900</v>
      </c>
      <c r="O14" s="2">
        <v>91</v>
      </c>
      <c r="P14" s="2">
        <f t="shared" si="3"/>
        <v>8.3486238532110093</v>
      </c>
    </row>
    <row r="15" spans="1:16" x14ac:dyDescent="0.15">
      <c r="A15" s="2">
        <v>4</v>
      </c>
      <c r="B15" s="2">
        <v>1397</v>
      </c>
      <c r="C15" s="2">
        <v>3</v>
      </c>
      <c r="D15" s="2">
        <f>C15*(1000/B15)</f>
        <v>2.1474588403722263</v>
      </c>
      <c r="E15" s="2">
        <v>73530</v>
      </c>
      <c r="F15" s="2">
        <v>488</v>
      </c>
      <c r="G15" s="2">
        <f>F15*(1000000/E15)/1000</f>
        <v>6.6367469060247526</v>
      </c>
      <c r="J15" s="2">
        <v>4</v>
      </c>
      <c r="K15" s="2">
        <v>406</v>
      </c>
      <c r="L15" s="2">
        <v>1</v>
      </c>
      <c r="M15" s="2">
        <f t="shared" si="2"/>
        <v>2.4630541871921183</v>
      </c>
      <c r="N15" s="2">
        <v>9900</v>
      </c>
      <c r="O15" s="2">
        <v>67</v>
      </c>
      <c r="P15" s="2">
        <f t="shared" si="3"/>
        <v>6.7676767676767673</v>
      </c>
    </row>
    <row r="16" spans="1:16" x14ac:dyDescent="0.15">
      <c r="A16" s="2">
        <v>5</v>
      </c>
      <c r="B16" s="2">
        <v>924</v>
      </c>
      <c r="C16" s="2">
        <v>3</v>
      </c>
      <c r="D16" s="2">
        <f>C16*(1000/B16)</f>
        <v>3.2467532467532467</v>
      </c>
      <c r="E16" s="2">
        <v>44050</v>
      </c>
      <c r="F16" s="2">
        <v>285</v>
      </c>
      <c r="G16" s="2">
        <f>F16*(1000000/E16)/1000</f>
        <v>6.4699205448354142</v>
      </c>
      <c r="J16" s="2" t="s">
        <v>225</v>
      </c>
      <c r="M16" s="8">
        <f>AVERAGE(M10:M15)</f>
        <v>3.1797078762571127</v>
      </c>
      <c r="P16" s="8">
        <f>AVERAGE(P10:P15)</f>
        <v>6.1239814061496487</v>
      </c>
    </row>
    <row r="17" spans="1:16" x14ac:dyDescent="0.15">
      <c r="A17" s="2">
        <v>6</v>
      </c>
      <c r="B17" s="2">
        <v>1483</v>
      </c>
      <c r="C17" s="2">
        <v>5</v>
      </c>
      <c r="D17" s="2">
        <f>C17*(1000/B17)</f>
        <v>3.3715441672285906</v>
      </c>
      <c r="E17" s="2">
        <v>40010</v>
      </c>
      <c r="F17" s="2">
        <v>560</v>
      </c>
      <c r="G17" s="2">
        <f>F17*(1000000/E17)/1000</f>
        <v>13.996500874781304</v>
      </c>
    </row>
    <row r="18" spans="1:16" x14ac:dyDescent="0.15">
      <c r="A18" s="2" t="s">
        <v>225</v>
      </c>
      <c r="D18" s="8">
        <f>AVERAGE(D12:D17)</f>
        <v>4.208760672029114</v>
      </c>
      <c r="G18" s="8">
        <f>AVERAGE(G12:G17)</f>
        <v>10.873174256311264</v>
      </c>
    </row>
    <row r="19" spans="1:16" x14ac:dyDescent="0.15">
      <c r="A19" t="s">
        <v>211</v>
      </c>
      <c r="J19" t="s">
        <v>212</v>
      </c>
    </row>
    <row r="20" spans="1:16" x14ac:dyDescent="0.15">
      <c r="A20" t="s">
        <v>200</v>
      </c>
      <c r="B20" t="s">
        <v>0</v>
      </c>
      <c r="C20" t="s">
        <v>207</v>
      </c>
      <c r="D20" t="s">
        <v>201</v>
      </c>
      <c r="E20" t="s">
        <v>208</v>
      </c>
      <c r="F20" t="s">
        <v>204</v>
      </c>
      <c r="G20" t="s">
        <v>205</v>
      </c>
      <c r="J20" t="s">
        <v>200</v>
      </c>
      <c r="K20" t="s">
        <v>0</v>
      </c>
      <c r="L20" t="s">
        <v>207</v>
      </c>
      <c r="M20" t="s">
        <v>201</v>
      </c>
      <c r="N20" t="s">
        <v>202</v>
      </c>
      <c r="O20" t="s">
        <v>203</v>
      </c>
      <c r="P20" t="s">
        <v>206</v>
      </c>
    </row>
    <row r="21" spans="1:16" x14ac:dyDescent="0.15">
      <c r="A21" s="2">
        <v>1</v>
      </c>
      <c r="B21" s="2">
        <v>1040</v>
      </c>
      <c r="C21" s="2">
        <v>4</v>
      </c>
      <c r="D21" s="2">
        <f t="shared" ref="D21:D26" si="4">C21*(1000/B21)</f>
        <v>3.8461538461538463</v>
      </c>
      <c r="E21" s="2">
        <v>38575</v>
      </c>
      <c r="F21" s="2">
        <v>311</v>
      </c>
      <c r="G21" s="2">
        <f t="shared" ref="G21:G26" si="5">F21*(1000000/E21)/1000</f>
        <v>8.062216461438755</v>
      </c>
      <c r="J21" s="2">
        <v>1</v>
      </c>
      <c r="K21" s="2">
        <v>403</v>
      </c>
      <c r="L21" s="2">
        <v>1</v>
      </c>
      <c r="M21" s="2">
        <f t="shared" ref="M21:M26" si="6">L21*(1000/K21)</f>
        <v>2.4813895781637716</v>
      </c>
      <c r="N21" s="2">
        <v>14130</v>
      </c>
      <c r="O21" s="2">
        <v>27</v>
      </c>
      <c r="P21" s="2">
        <f t="shared" ref="P21:P26" si="7">O21*(1000000/N21)/1000</f>
        <v>1.9108280254777068</v>
      </c>
    </row>
    <row r="22" spans="1:16" x14ac:dyDescent="0.15">
      <c r="A22" s="2">
        <v>2</v>
      </c>
      <c r="B22" s="2">
        <v>1519</v>
      </c>
      <c r="C22" s="2">
        <v>5</v>
      </c>
      <c r="D22" s="2">
        <f t="shared" si="4"/>
        <v>3.2916392363396971</v>
      </c>
      <c r="E22" s="2">
        <v>18885</v>
      </c>
      <c r="F22" s="2">
        <v>200</v>
      </c>
      <c r="G22" s="2">
        <f t="shared" si="5"/>
        <v>10.590415673815196</v>
      </c>
      <c r="J22" s="2">
        <v>2</v>
      </c>
      <c r="K22" s="2">
        <v>372</v>
      </c>
      <c r="L22" s="2">
        <v>1</v>
      </c>
      <c r="M22" s="2">
        <f t="shared" si="6"/>
        <v>2.6881720430107525</v>
      </c>
      <c r="N22" s="2">
        <v>8600</v>
      </c>
      <c r="O22" s="2">
        <v>44</v>
      </c>
      <c r="P22" s="2">
        <f t="shared" si="7"/>
        <v>5.1162790697674421</v>
      </c>
    </row>
    <row r="23" spans="1:16" x14ac:dyDescent="0.15">
      <c r="A23" s="2">
        <v>3</v>
      </c>
      <c r="B23" s="2">
        <v>451</v>
      </c>
      <c r="C23" s="2">
        <v>3</v>
      </c>
      <c r="D23" s="2">
        <f t="shared" si="4"/>
        <v>6.6518847006651889</v>
      </c>
      <c r="E23" s="2">
        <v>19760</v>
      </c>
      <c r="F23" s="2">
        <v>289</v>
      </c>
      <c r="G23" s="2">
        <f t="shared" si="5"/>
        <v>14.625506072874494</v>
      </c>
      <c r="J23" s="2">
        <v>3</v>
      </c>
      <c r="K23" s="2">
        <v>490</v>
      </c>
      <c r="L23" s="2">
        <v>3</v>
      </c>
      <c r="M23" s="2">
        <f t="shared" si="6"/>
        <v>6.1224489795918373</v>
      </c>
      <c r="N23" s="2">
        <v>16250</v>
      </c>
      <c r="O23" s="2">
        <v>56</v>
      </c>
      <c r="P23" s="2">
        <f t="shared" si="7"/>
        <v>3.4461538461538463</v>
      </c>
    </row>
    <row r="24" spans="1:16" x14ac:dyDescent="0.15">
      <c r="A24" s="2">
        <v>4</v>
      </c>
      <c r="B24" s="2">
        <v>1156</v>
      </c>
      <c r="C24" s="2">
        <v>4</v>
      </c>
      <c r="D24" s="2">
        <f t="shared" si="4"/>
        <v>3.4602076124567476</v>
      </c>
      <c r="E24" s="2">
        <v>69900</v>
      </c>
      <c r="F24" s="2">
        <v>1039</v>
      </c>
      <c r="G24" s="2">
        <f t="shared" si="5"/>
        <v>14.864091559370529</v>
      </c>
      <c r="J24" s="2">
        <v>4</v>
      </c>
      <c r="K24" s="2">
        <v>550</v>
      </c>
      <c r="L24" s="2">
        <v>1</v>
      </c>
      <c r="M24" s="2">
        <f t="shared" si="6"/>
        <v>1.8181818181818181</v>
      </c>
      <c r="N24" s="2">
        <v>13400</v>
      </c>
      <c r="O24" s="2">
        <v>25.7</v>
      </c>
      <c r="P24" s="2">
        <f t="shared" si="7"/>
        <v>1.9179104477611941</v>
      </c>
    </row>
    <row r="25" spans="1:16" x14ac:dyDescent="0.15">
      <c r="A25" s="2">
        <v>5</v>
      </c>
      <c r="B25" s="2">
        <v>230</v>
      </c>
      <c r="C25" s="2">
        <v>1</v>
      </c>
      <c r="D25" s="2">
        <f t="shared" si="4"/>
        <v>4.3478260869565215</v>
      </c>
      <c r="E25" s="2">
        <v>10300</v>
      </c>
      <c r="F25" s="2">
        <v>172</v>
      </c>
      <c r="G25" s="2">
        <f t="shared" si="5"/>
        <v>16.699029126213595</v>
      </c>
      <c r="J25" s="2">
        <v>5</v>
      </c>
      <c r="K25" s="2">
        <v>675</v>
      </c>
      <c r="L25" s="2">
        <v>1</v>
      </c>
      <c r="M25" s="2">
        <f t="shared" si="6"/>
        <v>1.4814814814814814</v>
      </c>
      <c r="N25" s="2">
        <v>20940</v>
      </c>
      <c r="O25" s="2">
        <v>41</v>
      </c>
      <c r="P25" s="2">
        <f t="shared" si="7"/>
        <v>1.9579751671442216</v>
      </c>
    </row>
    <row r="26" spans="1:16" x14ac:dyDescent="0.15">
      <c r="A26" s="2">
        <v>6</v>
      </c>
      <c r="B26" s="2">
        <v>210</v>
      </c>
      <c r="C26" s="2">
        <v>1</v>
      </c>
      <c r="D26" s="2">
        <f t="shared" si="4"/>
        <v>4.7619047619047619</v>
      </c>
      <c r="E26" s="2">
        <v>10300</v>
      </c>
      <c r="F26" s="2">
        <v>80</v>
      </c>
      <c r="G26" s="2">
        <f t="shared" si="5"/>
        <v>7.766990291262136</v>
      </c>
      <c r="J26" s="2">
        <v>6</v>
      </c>
      <c r="K26" s="2">
        <v>214</v>
      </c>
      <c r="L26" s="2">
        <v>2</v>
      </c>
      <c r="M26" s="2">
        <f t="shared" si="6"/>
        <v>9.3457943925233646</v>
      </c>
      <c r="N26" s="2">
        <v>5460</v>
      </c>
      <c r="O26" s="2">
        <v>19</v>
      </c>
      <c r="P26" s="2">
        <f t="shared" si="7"/>
        <v>3.4798534798534799</v>
      </c>
    </row>
    <row r="27" spans="1:16" x14ac:dyDescent="0.15">
      <c r="A27" s="2" t="s">
        <v>225</v>
      </c>
      <c r="D27" s="8">
        <f>AVERAGE(D21:D26)</f>
        <v>4.3932693740794608</v>
      </c>
      <c r="G27" s="8">
        <f>AVERAGE(G21:G26)</f>
        <v>12.10137486416245</v>
      </c>
      <c r="J27" s="2" t="s">
        <v>225</v>
      </c>
      <c r="M27" s="8">
        <f>AVERAGE(M21:M26)</f>
        <v>3.9895780488255039</v>
      </c>
      <c r="P27" s="8">
        <f>AVERAGE(P21:P26)</f>
        <v>2.9715000060263148</v>
      </c>
    </row>
    <row r="32" spans="1:16" x14ac:dyDescent="0.15">
      <c r="D32" s="9"/>
    </row>
    <row r="33" spans="4:4" x14ac:dyDescent="0.15">
      <c r="D33" s="9"/>
    </row>
    <row r="34" spans="4:4" x14ac:dyDescent="0.15">
      <c r="D34" s="9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Connection (Fig1andSupFig3)</vt:lpstr>
      <vt:lpstr>ALBsecretion(Fig3A)</vt:lpstr>
      <vt:lpstr>CYP (Fig3B)</vt:lpstr>
      <vt:lpstr>ALB secretion (Fig3C)</vt:lpstr>
      <vt:lpstr>Connection-ECAD(-)(+)(Fig5)</vt:lpstr>
      <vt:lpstr>qPCR(Fig5)</vt:lpstr>
      <vt:lpstr>HybridHBTO (Fig6andSupFig17)</vt:lpstr>
      <vt:lpstr>CYP3A(SupFig10)</vt:lpstr>
      <vt:lpstr>qPCR(SupFig11)</vt:lpstr>
      <vt:lpstr>qPCR(SupFig13)</vt:lpstr>
      <vt:lpstr>qPCR(SupFig15)</vt:lpstr>
      <vt:lpstr>ALP(SupFig18)</vt:lpstr>
      <vt:lpstr>1W4WConnection(SupFig19)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</dc:creator>
  <cp:lastModifiedBy>naoki</cp:lastModifiedBy>
  <dcterms:created xsi:type="dcterms:W3CDTF">2021-01-16T04:18:35Z</dcterms:created>
  <dcterms:modified xsi:type="dcterms:W3CDTF">2021-05-05T06:30:06Z</dcterms:modified>
</cp:coreProperties>
</file>