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trappm/owncloud.gwdg.de/Shared Lab documents/Jifeng Folder/Files for final submission/"/>
    </mc:Choice>
  </mc:AlternateContent>
  <xr:revisionPtr revIDLastSave="0" documentId="13_ncr:1_{06B27F18-96C9-F940-8B03-A34233868419}" xr6:coauthVersionLast="46" xr6:coauthVersionMax="46" xr10:uidLastSave="{00000000-0000-0000-0000-000000000000}"/>
  <bookViews>
    <workbookView xWindow="0" yWindow="460" windowWidth="35840" windowHeight="20720" activeTab="10" xr2:uid="{C2E48363-8C7F-C242-A4E8-5DF66C9B5570}"/>
  </bookViews>
  <sheets>
    <sheet name="Figure 1" sheetId="1" r:id="rId1"/>
    <sheet name="Figure 3" sheetId="2" r:id="rId2"/>
    <sheet name="Figure 4" sheetId="3" r:id="rId3"/>
    <sheet name="Supplementary Figure 2" sheetId="4" r:id="rId4"/>
    <sheet name="Supplementary Figure 4" sheetId="5" r:id="rId5"/>
    <sheet name="Supplementary Figure 5" sheetId="6" r:id="rId6"/>
    <sheet name="Supplementary Figure 10" sheetId="7" r:id="rId7"/>
    <sheet name="Supplementary Figure 11" sheetId="8" r:id="rId8"/>
    <sheet name="Supplementary Figure 15" sheetId="9" r:id="rId9"/>
    <sheet name="Supplementary Figure 16" sheetId="10" r:id="rId10"/>
    <sheet name="Supplementary Figure 17" sheetId="11" r:id="rId11"/>
    <sheet name="Supplementary Figure 19" sheetId="12" r:id="rId1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8" i="11" l="1"/>
  <c r="C17" i="11"/>
  <c r="B17" i="11"/>
  <c r="C16" i="11"/>
  <c r="B16" i="11"/>
  <c r="C8" i="11"/>
  <c r="C7" i="11"/>
  <c r="B7" i="11"/>
  <c r="C6" i="11"/>
  <c r="B6" i="11"/>
  <c r="G16" i="10" l="1"/>
  <c r="F16" i="10"/>
  <c r="E16" i="10"/>
  <c r="F15" i="10"/>
  <c r="E15" i="10"/>
  <c r="G10" i="10"/>
  <c r="F10" i="10"/>
  <c r="E10" i="10"/>
  <c r="F9" i="10"/>
  <c r="E9" i="10"/>
  <c r="G4" i="10"/>
  <c r="F4" i="10"/>
  <c r="E4" i="10"/>
  <c r="F3" i="10"/>
  <c r="E3" i="10"/>
  <c r="G10" i="9" l="1"/>
  <c r="F10" i="9"/>
  <c r="E10" i="9"/>
  <c r="F9" i="9"/>
  <c r="E9" i="9"/>
  <c r="G4" i="9"/>
  <c r="F4" i="9"/>
  <c r="E4" i="9"/>
  <c r="F3" i="9"/>
  <c r="E3" i="9"/>
  <c r="H12" i="8" l="1"/>
  <c r="F12" i="8"/>
  <c r="E12" i="8"/>
  <c r="G11" i="8"/>
  <c r="F11" i="8"/>
  <c r="E11" i="8"/>
  <c r="F10" i="8"/>
  <c r="E10" i="8"/>
  <c r="H5" i="8"/>
  <c r="F5" i="8"/>
  <c r="E5" i="8"/>
  <c r="G4" i="8"/>
  <c r="F4" i="8"/>
  <c r="E4" i="8"/>
  <c r="F3" i="8"/>
  <c r="E3" i="8"/>
  <c r="H30" i="7" l="1"/>
  <c r="G30" i="7"/>
  <c r="F30" i="7"/>
  <c r="E30" i="7"/>
  <c r="F29" i="7"/>
  <c r="E29" i="7"/>
  <c r="F28" i="7"/>
  <c r="E28" i="7"/>
  <c r="H14" i="7" l="1"/>
  <c r="G14" i="7"/>
  <c r="F14" i="7"/>
  <c r="E14" i="7"/>
  <c r="F13" i="7"/>
  <c r="E13" i="7"/>
  <c r="F12" i="7"/>
  <c r="E12" i="7"/>
  <c r="H6" i="6" l="1"/>
  <c r="G5" i="6"/>
  <c r="P8" i="5"/>
  <c r="O8" i="5"/>
  <c r="N8" i="5"/>
  <c r="M8" i="5"/>
  <c r="L8" i="5"/>
  <c r="K8" i="5"/>
  <c r="J8" i="5"/>
  <c r="I8" i="5"/>
  <c r="H8" i="5"/>
  <c r="G8" i="5"/>
  <c r="F8" i="5"/>
  <c r="E8" i="5"/>
  <c r="D8" i="5"/>
  <c r="C8" i="5"/>
  <c r="B8" i="5"/>
  <c r="P7" i="5"/>
  <c r="O7" i="5"/>
  <c r="N7" i="5"/>
  <c r="M7" i="5"/>
  <c r="L7" i="5"/>
  <c r="K7" i="5"/>
  <c r="J7" i="5"/>
  <c r="I7" i="5"/>
  <c r="H7" i="5"/>
  <c r="G7" i="5"/>
  <c r="F7" i="5"/>
  <c r="E7" i="5"/>
  <c r="D7" i="5"/>
  <c r="C7" i="5"/>
  <c r="B7" i="5"/>
  <c r="C85" i="3" l="1"/>
  <c r="C84" i="3"/>
  <c r="B84" i="3"/>
  <c r="C83" i="3"/>
  <c r="B83" i="3"/>
  <c r="C75" i="3"/>
  <c r="C74" i="3"/>
  <c r="B74" i="3"/>
  <c r="C73" i="3"/>
  <c r="B73" i="3"/>
  <c r="C65" i="3"/>
  <c r="C64" i="3"/>
  <c r="B64" i="3"/>
  <c r="C63" i="3"/>
  <c r="B63" i="3"/>
  <c r="H55" i="3"/>
  <c r="K54" i="3"/>
  <c r="J54" i="3"/>
  <c r="I54" i="3"/>
  <c r="H54" i="3"/>
  <c r="K53" i="3"/>
  <c r="J53" i="3"/>
  <c r="I53" i="3"/>
  <c r="H53" i="3"/>
  <c r="K52" i="3"/>
  <c r="J52" i="3"/>
  <c r="I52" i="3"/>
  <c r="H52" i="3"/>
  <c r="K51" i="3"/>
  <c r="J51" i="3"/>
  <c r="I51" i="3"/>
  <c r="H51" i="3"/>
  <c r="K50" i="3"/>
  <c r="J50" i="3"/>
  <c r="I50" i="3"/>
  <c r="H50" i="3"/>
  <c r="K49" i="3"/>
  <c r="J49" i="3"/>
  <c r="I49" i="3"/>
  <c r="H49" i="3"/>
  <c r="K48" i="3"/>
  <c r="J48" i="3"/>
  <c r="I48" i="3"/>
  <c r="H48" i="3"/>
  <c r="C41" i="3" l="1"/>
  <c r="C40" i="3"/>
  <c r="B40" i="3"/>
  <c r="C39" i="3"/>
  <c r="B39" i="3"/>
  <c r="C31" i="3"/>
  <c r="C30" i="3"/>
  <c r="B30" i="3"/>
  <c r="C29" i="3"/>
  <c r="B29" i="3"/>
  <c r="C21" i="3"/>
  <c r="C20" i="3"/>
  <c r="B20" i="3"/>
  <c r="C19" i="3"/>
  <c r="B19" i="3"/>
  <c r="H11" i="3" l="1"/>
  <c r="K10" i="3"/>
  <c r="J10" i="3"/>
  <c r="I10" i="3"/>
  <c r="H10" i="3"/>
  <c r="K9" i="3"/>
  <c r="J9" i="3"/>
  <c r="I9" i="3"/>
  <c r="H9" i="3"/>
  <c r="K8" i="3"/>
  <c r="J8" i="3"/>
  <c r="I8" i="3"/>
  <c r="H8" i="3"/>
  <c r="K7" i="3"/>
  <c r="J7" i="3"/>
  <c r="I7" i="3"/>
  <c r="H7" i="3"/>
  <c r="K6" i="3"/>
  <c r="J6" i="3"/>
  <c r="I6" i="3"/>
  <c r="H6" i="3"/>
  <c r="K5" i="3"/>
  <c r="J5" i="3"/>
  <c r="I5" i="3"/>
  <c r="H5" i="3"/>
  <c r="K4" i="3"/>
  <c r="J4" i="3"/>
  <c r="I4" i="3"/>
  <c r="H4" i="3"/>
  <c r="G28" i="2"/>
  <c r="F28" i="2"/>
  <c r="E28" i="2"/>
  <c r="F27" i="2"/>
  <c r="E27" i="2"/>
  <c r="I22" i="2" l="1"/>
  <c r="H22" i="2"/>
  <c r="G22" i="2"/>
  <c r="F22" i="2"/>
  <c r="E22" i="2"/>
  <c r="F21" i="2"/>
  <c r="E21" i="2"/>
  <c r="F20" i="2"/>
  <c r="E20" i="2"/>
  <c r="F19" i="2"/>
  <c r="E19" i="2"/>
  <c r="I14" i="2"/>
  <c r="H14" i="2"/>
  <c r="G14" i="2"/>
  <c r="F14" i="2"/>
  <c r="E14" i="2"/>
  <c r="F13" i="2"/>
  <c r="E13" i="2"/>
  <c r="F12" i="2"/>
  <c r="E12" i="2"/>
  <c r="F11" i="2"/>
  <c r="E11" i="2"/>
  <c r="I6" i="2"/>
  <c r="H6" i="2"/>
  <c r="G6" i="2"/>
  <c r="F6" i="2"/>
  <c r="E6" i="2"/>
  <c r="F5" i="2"/>
  <c r="E5" i="2"/>
  <c r="F4" i="2"/>
  <c r="E4" i="2"/>
  <c r="F3" i="2"/>
  <c r="E3" i="2"/>
  <c r="H34" i="1" l="1"/>
  <c r="G34" i="1"/>
  <c r="F34" i="1"/>
  <c r="E34" i="1"/>
  <c r="F33" i="1"/>
  <c r="E33" i="1"/>
  <c r="F32" i="1"/>
  <c r="E32" i="1"/>
  <c r="H27" i="1" l="1"/>
  <c r="G27" i="1"/>
  <c r="F27" i="1"/>
  <c r="E27" i="1"/>
  <c r="F26" i="1"/>
  <c r="E26" i="1"/>
  <c r="F25" i="1"/>
  <c r="E25" i="1"/>
  <c r="H20" i="1" l="1"/>
  <c r="G20" i="1"/>
  <c r="F20" i="1"/>
  <c r="E20" i="1"/>
  <c r="F19" i="1"/>
  <c r="E19" i="1"/>
  <c r="F18" i="1"/>
  <c r="E18" i="1"/>
  <c r="H13" i="1"/>
  <c r="G13" i="1"/>
  <c r="F13" i="1"/>
  <c r="E13" i="1"/>
  <c r="F12" i="1"/>
  <c r="E12" i="1"/>
  <c r="F11" i="1"/>
  <c r="E11" i="1"/>
  <c r="M6" i="1"/>
  <c r="L6" i="1"/>
  <c r="K6" i="1"/>
  <c r="J6" i="1"/>
  <c r="I6" i="1"/>
  <c r="H6" i="1"/>
  <c r="P6" i="1" s="1"/>
  <c r="G6" i="1"/>
  <c r="F6" i="1"/>
  <c r="E6" i="1"/>
  <c r="O6" i="1" s="1"/>
  <c r="D6" i="1"/>
  <c r="C6" i="1"/>
  <c r="B6" i="1"/>
  <c r="M5" i="1"/>
  <c r="Q5" i="1" s="1"/>
  <c r="L5" i="1"/>
  <c r="K5" i="1"/>
  <c r="J5" i="1"/>
  <c r="I5" i="1"/>
  <c r="H5" i="1"/>
  <c r="G5" i="1"/>
  <c r="F5" i="1"/>
  <c r="E5" i="1"/>
  <c r="O5" i="1" s="1"/>
  <c r="D5" i="1"/>
  <c r="C5" i="1"/>
  <c r="B5" i="1"/>
  <c r="N5" i="1" s="1"/>
  <c r="Q4" i="1"/>
  <c r="M4" i="1"/>
  <c r="L4" i="1"/>
  <c r="K4" i="1"/>
  <c r="J4" i="1"/>
  <c r="I4" i="1"/>
  <c r="H4" i="1"/>
  <c r="G4" i="1"/>
  <c r="F4" i="1"/>
  <c r="E4" i="1"/>
  <c r="D4" i="1"/>
  <c r="C4" i="1"/>
  <c r="B4" i="1"/>
  <c r="N4" i="1" s="1"/>
  <c r="P4" i="1" l="1"/>
  <c r="N6" i="1"/>
  <c r="O4" i="1"/>
  <c r="P5" i="1"/>
  <c r="Q6" i="1"/>
</calcChain>
</file>

<file path=xl/sharedStrings.xml><?xml version="1.0" encoding="utf-8"?>
<sst xmlns="http://schemas.openxmlformats.org/spreadsheetml/2006/main" count="438" uniqueCount="150">
  <si>
    <t>1-5 Cells/Sprout</t>
    <phoneticPr fontId="0" type="noConversion"/>
  </si>
  <si>
    <t>6-10 Cells/Sprout</t>
    <phoneticPr fontId="0" type="noConversion"/>
  </si>
  <si>
    <t>11-15 Cells/Sprout</t>
    <phoneticPr fontId="0" type="noConversion"/>
  </si>
  <si>
    <t>&gt;15 Cells/Sprout</t>
    <phoneticPr fontId="0" type="noConversion"/>
  </si>
  <si>
    <t>Repeat-1</t>
    <phoneticPr fontId="0" type="noConversion"/>
  </si>
  <si>
    <t>Repeat-2</t>
    <phoneticPr fontId="0" type="noConversion"/>
  </si>
  <si>
    <t>Repeat-3</t>
    <phoneticPr fontId="0" type="noConversion"/>
  </si>
  <si>
    <t>Average</t>
    <phoneticPr fontId="0" type="noConversion"/>
  </si>
  <si>
    <t>RGD 0.15mM</t>
  </si>
  <si>
    <t>RGD 1mM</t>
  </si>
  <si>
    <t>RGD 6mM</t>
  </si>
  <si>
    <t>Mean</t>
    <phoneticPr fontId="0" type="noConversion"/>
  </si>
  <si>
    <t>SD</t>
    <phoneticPr fontId="0" type="noConversion"/>
  </si>
  <si>
    <t>p-0.15mM vs 6mM</t>
    <phoneticPr fontId="0" type="noConversion"/>
  </si>
  <si>
    <t>p-1mM vs 6mM</t>
    <phoneticPr fontId="0" type="noConversion"/>
  </si>
  <si>
    <t>Repeat-1</t>
    <phoneticPr fontId="0" type="noConversion"/>
  </si>
  <si>
    <t>Repeat-2</t>
    <phoneticPr fontId="0" type="noConversion"/>
  </si>
  <si>
    <t>Repeat-3</t>
    <phoneticPr fontId="0" type="noConversion"/>
  </si>
  <si>
    <t>Mean</t>
    <phoneticPr fontId="0" type="noConversion"/>
  </si>
  <si>
    <t>SD</t>
    <phoneticPr fontId="0" type="noConversion"/>
  </si>
  <si>
    <t>p-value 0.2mM and 1.5mM</t>
    <phoneticPr fontId="0" type="noConversion"/>
  </si>
  <si>
    <t>p-value 0.5mM and 1.5mM</t>
    <phoneticPr fontId="0" type="noConversion"/>
  </si>
  <si>
    <t>αvβ3 0.2mM</t>
    <phoneticPr fontId="0" type="noConversion"/>
  </si>
  <si>
    <t>αvβ3 0.5mM</t>
    <phoneticPr fontId="0" type="noConversion"/>
  </si>
  <si>
    <t>αvβ3 1.5mM</t>
    <phoneticPr fontId="0" type="noConversion"/>
  </si>
  <si>
    <t>p-value 0.2mM vs 1.5mM</t>
    <phoneticPr fontId="0" type="noConversion"/>
  </si>
  <si>
    <t>p-value 0.5mM vs 1.5mM</t>
    <phoneticPr fontId="0" type="noConversion"/>
  </si>
  <si>
    <t>α5β1 0.2mM</t>
    <phoneticPr fontId="0" type="noConversion"/>
  </si>
  <si>
    <t>α5β1 0.5mM</t>
    <phoneticPr fontId="0" type="noConversion"/>
  </si>
  <si>
    <t>α5β1 1.5mM</t>
    <phoneticPr fontId="0" type="noConversion"/>
  </si>
  <si>
    <t>p-0.15mM vs 12mM</t>
    <phoneticPr fontId="0" type="noConversion"/>
  </si>
  <si>
    <t>p-1mM vs12mM</t>
    <phoneticPr fontId="0" type="noConversion"/>
  </si>
  <si>
    <t>p-6mM vs 12mM</t>
    <phoneticPr fontId="0" type="noConversion"/>
  </si>
  <si>
    <t>RGD 0.15mM</t>
    <phoneticPr fontId="0" type="noConversion"/>
  </si>
  <si>
    <t>RGD 1mM</t>
    <phoneticPr fontId="0" type="noConversion"/>
  </si>
  <si>
    <t>RGD 6mM</t>
    <phoneticPr fontId="0" type="noConversion"/>
  </si>
  <si>
    <t>RGD 12mM</t>
    <phoneticPr fontId="0" type="noConversion"/>
  </si>
  <si>
    <t>RGD 12mM</t>
  </si>
  <si>
    <t>p-value</t>
    <phoneticPr fontId="0" type="noConversion"/>
  </si>
  <si>
    <t>αvβ3</t>
  </si>
  <si>
    <t>α5β1</t>
  </si>
  <si>
    <t>NCD</t>
    <phoneticPr fontId="0" type="noConversion"/>
  </si>
  <si>
    <t>HD</t>
    <phoneticPr fontId="0" type="noConversion"/>
  </si>
  <si>
    <t>2 Days</t>
    <phoneticPr fontId="0" type="noConversion"/>
  </si>
  <si>
    <t>4 Days</t>
    <phoneticPr fontId="0" type="noConversion"/>
  </si>
  <si>
    <t>6 Days</t>
    <phoneticPr fontId="0" type="noConversion"/>
  </si>
  <si>
    <t>8 Days</t>
    <phoneticPr fontId="0" type="noConversion"/>
  </si>
  <si>
    <t>10 Days</t>
    <phoneticPr fontId="0" type="noConversion"/>
  </si>
  <si>
    <t>12 Days</t>
    <phoneticPr fontId="0" type="noConversion"/>
  </si>
  <si>
    <t>14 Days</t>
    <phoneticPr fontId="0" type="noConversion"/>
  </si>
  <si>
    <t>Channel Distance</t>
    <phoneticPr fontId="0" type="noConversion"/>
  </si>
  <si>
    <t>NCD</t>
  </si>
  <si>
    <t>HD</t>
  </si>
  <si>
    <t>Mean</t>
  </si>
  <si>
    <t>SD</t>
  </si>
  <si>
    <t>Control</t>
    <phoneticPr fontId="0" type="noConversion"/>
  </si>
  <si>
    <t>Mari 250nM</t>
    <phoneticPr fontId="0" type="noConversion"/>
  </si>
  <si>
    <t>Control</t>
    <phoneticPr fontId="0" type="noConversion"/>
  </si>
  <si>
    <t>Mari 250nM</t>
    <phoneticPr fontId="0" type="noConversion"/>
  </si>
  <si>
    <t>p-vaule</t>
    <phoneticPr fontId="0" type="noConversion"/>
  </si>
  <si>
    <t>Conctrol</t>
    <phoneticPr fontId="0" type="noConversion"/>
  </si>
  <si>
    <t>Repeat-1</t>
  </si>
  <si>
    <t>Repeat-2</t>
  </si>
  <si>
    <t>Repeat-3</t>
  </si>
  <si>
    <t>p-value 0.15mM vs 6mM</t>
  </si>
  <si>
    <t>p-value 1mM vs 6mM</t>
  </si>
  <si>
    <t>RGD 0.15 mM</t>
  </si>
  <si>
    <t>RGD 1 mM</t>
  </si>
  <si>
    <t>RGD 6 mM</t>
  </si>
  <si>
    <r>
      <rPr>
        <sz val="12"/>
        <color theme="1"/>
        <rFont val="等线"/>
        <family val="2"/>
      </rPr>
      <t>≥</t>
    </r>
    <r>
      <rPr>
        <sz val="12"/>
        <color theme="1"/>
        <rFont val="Arial"/>
        <family val="2"/>
      </rPr>
      <t>4</t>
    </r>
  </si>
  <si>
    <r>
      <rPr>
        <sz val="12"/>
        <color theme="1"/>
        <rFont val="等线"/>
        <family val="2"/>
      </rPr>
      <t>≥</t>
    </r>
    <r>
      <rPr>
        <sz val="12"/>
        <color theme="1"/>
        <rFont val="Arial"/>
        <family val="2"/>
      </rPr>
      <t>6</t>
    </r>
  </si>
  <si>
    <r>
      <rPr>
        <sz val="12"/>
        <color theme="1"/>
        <rFont val="等线"/>
        <family val="2"/>
      </rPr>
      <t>≥</t>
    </r>
    <r>
      <rPr>
        <sz val="12"/>
        <color theme="1"/>
        <rFont val="Arial"/>
        <family val="2"/>
      </rPr>
      <t>8</t>
    </r>
  </si>
  <si>
    <r>
      <rPr>
        <sz val="12"/>
        <color theme="1"/>
        <rFont val="等线"/>
        <family val="2"/>
      </rPr>
      <t>≥</t>
    </r>
    <r>
      <rPr>
        <sz val="12"/>
        <color theme="1"/>
        <rFont val="Arial"/>
        <family val="2"/>
      </rPr>
      <t>10</t>
    </r>
  </si>
  <si>
    <r>
      <rPr>
        <sz val="12"/>
        <color theme="1"/>
        <rFont val="等线"/>
        <family val="2"/>
      </rPr>
      <t>≥</t>
    </r>
    <r>
      <rPr>
        <sz val="12"/>
        <color theme="1"/>
        <rFont val="Arial"/>
        <family val="2"/>
      </rPr>
      <t>12</t>
    </r>
  </si>
  <si>
    <t>RGD 0.15mM</t>
    <phoneticPr fontId="0" type="noConversion"/>
  </si>
  <si>
    <t>Cells/mm2</t>
    <phoneticPr fontId="0" type="noConversion"/>
  </si>
  <si>
    <t>p-value 0m vs 0.5mM</t>
    <phoneticPr fontId="0" type="noConversion"/>
  </si>
  <si>
    <t>p-value 0mM vs 1mM</t>
    <phoneticPr fontId="0" type="noConversion"/>
  </si>
  <si>
    <t>GRGDS 0mM</t>
    <phoneticPr fontId="0" type="noConversion"/>
  </si>
  <si>
    <t>GRGDS 0.5mM</t>
    <phoneticPr fontId="0" type="noConversion"/>
  </si>
  <si>
    <t>GRGDS 1mM</t>
    <phoneticPr fontId="0" type="noConversion"/>
  </si>
  <si>
    <t xml:space="preserve">Supplementary Figure 5b </t>
  </si>
  <si>
    <t>GRGDS 1mM</t>
  </si>
  <si>
    <t>GRGDS 2mM</t>
  </si>
  <si>
    <t>p-value 0mM vs 1mM</t>
  </si>
  <si>
    <t>p-value 0mM vs 2mM</t>
  </si>
  <si>
    <t>GRGDS 0mM</t>
  </si>
  <si>
    <t>Supplementary Figure 5d</t>
  </si>
  <si>
    <t>αvβ3 0.2mM</t>
  </si>
  <si>
    <t>αvβ3 0.5mM</t>
  </si>
  <si>
    <t>αvβ3 1.5mM</t>
  </si>
  <si>
    <t>1-5 Cells/Sprout</t>
  </si>
  <si>
    <t>6-10 Cells/Sprout</t>
  </si>
  <si>
    <t>11-15 Cells/Sprout</t>
  </si>
  <si>
    <t>&gt;15 Cells/Sprout</t>
  </si>
  <si>
    <t>1-5 Cells/Sprout</t>
    <phoneticPr fontId="0" type="noConversion"/>
  </si>
  <si>
    <t>6-10 Cells/Sprout</t>
    <phoneticPr fontId="0" type="noConversion"/>
  </si>
  <si>
    <t>11-15 Cells/Sprout</t>
    <phoneticPr fontId="0" type="noConversion"/>
  </si>
  <si>
    <t>&gt;15 Cells/Sprout</t>
    <phoneticPr fontId="0" type="noConversion"/>
  </si>
  <si>
    <t>P-value 0μM vs 100μM</t>
    <phoneticPr fontId="0" type="noConversion"/>
  </si>
  <si>
    <t>P-value 0μM vs 250μM</t>
    <phoneticPr fontId="0" type="noConversion"/>
  </si>
  <si>
    <t>αvβ3 0μM</t>
    <phoneticPr fontId="0" type="noConversion"/>
  </si>
  <si>
    <t>αvβ3 100μM</t>
  </si>
  <si>
    <t>αvβ3 250μM</t>
  </si>
  <si>
    <t>Supplementary Figure 10d Number of multicellular sprouts</t>
  </si>
  <si>
    <t>Supplementary Figure 10f Number of multicellular sprouts</t>
  </si>
  <si>
    <t>α5β1 0μM</t>
  </si>
  <si>
    <t>α5β1 100μM</t>
  </si>
  <si>
    <t>α5β1 250μM</t>
  </si>
  <si>
    <t>αvβ3</t>
    <phoneticPr fontId="0" type="noConversion"/>
  </si>
  <si>
    <t>α5β1</t>
    <phoneticPr fontId="0" type="noConversion"/>
  </si>
  <si>
    <t>ave</t>
  </si>
  <si>
    <t>std</t>
  </si>
  <si>
    <t>cRGD 1.5mM</t>
  </si>
  <si>
    <t>cRGD 1.5mM</t>
    <phoneticPr fontId="0" type="noConversion"/>
  </si>
  <si>
    <t>RGD 12 mM</t>
  </si>
  <si>
    <t>cRGD 1.5 mM</t>
  </si>
  <si>
    <t>DexMA</t>
    <phoneticPr fontId="0" type="noConversion"/>
  </si>
  <si>
    <t>DexVS</t>
    <phoneticPr fontId="0" type="noConversion"/>
  </si>
  <si>
    <t>Figure 1f Cell distribution in sprouts</t>
  </si>
  <si>
    <t>Figure 1g % Cells in multicellular sprouts</t>
  </si>
  <si>
    <t>Figure 1h Number of multicellular sprouts</t>
  </si>
  <si>
    <t>Figure 1j Number of multicellular sprouts</t>
  </si>
  <si>
    <t>Figure 1l Number of multicellular sprouts</t>
  </si>
  <si>
    <t>Figure 3c Maximum bead perfusion distance  (µm)</t>
  </si>
  <si>
    <t>Figure 3d Average bead perfusion distance  (µm)</t>
  </si>
  <si>
    <t xml:space="preserve">Figure 4f Cell migration distance (µm) </t>
  </si>
  <si>
    <t>Figure 4j Average bead perfusion distance (µm)</t>
  </si>
  <si>
    <t xml:space="preserve">Figure 4a Cell migration distance (µm) </t>
  </si>
  <si>
    <t>Figure 4 D Maximal bead perfusion distance (µm)</t>
  </si>
  <si>
    <t>Cell migration speed (µm/day)</t>
  </si>
  <si>
    <t>Number of multicellular sprouts</t>
  </si>
  <si>
    <t>Supplementary Figure 10a Cell distribution in sprouts</t>
  </si>
  <si>
    <t>Supplementary Figure 10b % Cells in multicellular sprouts</t>
  </si>
  <si>
    <t>Supplementary Figure 10c Cell distribution in sprouts</t>
  </si>
  <si>
    <t>Supplementary Figure 10d % Cells in multicellular sprouts</t>
  </si>
  <si>
    <t>Supplementary Figure 15a Maximum bead perfusion distance  (µm)</t>
  </si>
  <si>
    <t>Supplementary Figure 15b Average bead perfusion distance  (µm)</t>
  </si>
  <si>
    <t>Supplementary Figure 16c Average bead perfusion distance (µm)</t>
  </si>
  <si>
    <t>Supplementary Figure 17c Average lumen width  (µm)</t>
  </si>
  <si>
    <t>Young's modulus (Pa)</t>
  </si>
  <si>
    <t>Figure 3b Number of perfusablee lumens</t>
  </si>
  <si>
    <t>Figure 3f Number of perfusable lumens</t>
  </si>
  <si>
    <t>Figure 4c Number of perfusable lumens</t>
  </si>
  <si>
    <t>Figure 4e Average bead perfusion distance (µm)</t>
  </si>
  <si>
    <t>Figure 4h Number of perfusable lumens</t>
  </si>
  <si>
    <t>Figure 4i Maximum bead perfusion distance (µm)</t>
  </si>
  <si>
    <t>Supplementary Figure 16a Number of perfusable lumens</t>
  </si>
  <si>
    <t>Supplementary Figure 16b Maximum bead perfusion distance (µm)</t>
  </si>
  <si>
    <t>Supplementary Figure 17b Maximum lumen width  (µm)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</si>
</sst>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_ "/>
    <numFmt numFmtId="165" formatCode="0.00_);[Red]\(0.00\)"/>
    <numFmt numFmtId="166" formatCode="0_);[Red]\(0\)"/>
  </numFmts>
  <fonts count="7">
    <font>
      <sz val="12"/>
      <color theme="1"/>
      <name val="Calibri"/>
      <family val="2"/>
      <scheme val="minor"/>
    </font>
    <font>
      <sz val="12"/>
      <name val="Arial"/>
      <family val="2"/>
    </font>
    <font>
      <sz val="12"/>
      <name val="Calibri"/>
      <family val="2"/>
      <scheme val="minor"/>
    </font>
    <font>
      <sz val="12"/>
      <color theme="1"/>
      <name val="Arial"/>
      <family val="2"/>
    </font>
    <font>
      <sz val="11"/>
      <color theme="1"/>
      <name val="Arial"/>
      <family val="2"/>
    </font>
    <font>
      <sz val="12"/>
      <color theme="1"/>
      <name val="等线"/>
      <family val="2"/>
    </font>
    <font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49" fontId="1" fillId="0" borderId="2" xfId="0" applyNumberFormat="1" applyFont="1" applyBorder="1"/>
    <xf numFmtId="49" fontId="1" fillId="0" borderId="2" xfId="0" applyNumberFormat="1" applyFont="1" applyBorder="1" applyAlignment="1">
      <alignment horizontal="center"/>
    </xf>
    <xf numFmtId="49" fontId="1" fillId="0" borderId="2" xfId="0" applyNumberFormat="1" applyFont="1" applyBorder="1" applyAlignment="1">
      <alignment horizontal="center" vertical="center"/>
    </xf>
    <xf numFmtId="0" fontId="1" fillId="0" borderId="2" xfId="0" applyFont="1" applyBorder="1"/>
    <xf numFmtId="164" fontId="1" fillId="0" borderId="2" xfId="0" applyNumberFormat="1" applyFont="1" applyBorder="1"/>
    <xf numFmtId="0" fontId="0" fillId="0" borderId="2" xfId="0" applyBorder="1"/>
    <xf numFmtId="49" fontId="2" fillId="0" borderId="2" xfId="0" applyNumberFormat="1" applyFont="1" applyBorder="1" applyAlignment="1">
      <alignment horizontal="center"/>
    </xf>
    <xf numFmtId="0" fontId="0" fillId="0" borderId="2" xfId="0" applyBorder="1" applyAlignment="1">
      <alignment horizontal="center"/>
    </xf>
    <xf numFmtId="164" fontId="0" fillId="0" borderId="2" xfId="0" applyNumberFormat="1" applyBorder="1"/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164" fontId="3" fillId="0" borderId="2" xfId="0" applyNumberFormat="1" applyFont="1" applyBorder="1"/>
    <xf numFmtId="1" fontId="3" fillId="0" borderId="2" xfId="0" applyNumberFormat="1" applyFont="1" applyBorder="1"/>
    <xf numFmtId="165" fontId="4" fillId="0" borderId="2" xfId="0" applyNumberFormat="1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165" fontId="4" fillId="0" borderId="2" xfId="0" applyNumberFormat="1" applyFont="1" applyBorder="1"/>
    <xf numFmtId="166" fontId="4" fillId="0" borderId="2" xfId="0" applyNumberFormat="1" applyFont="1" applyBorder="1"/>
    <xf numFmtId="0" fontId="4" fillId="0" borderId="2" xfId="0" applyFont="1" applyBorder="1"/>
    <xf numFmtId="164" fontId="4" fillId="0" borderId="2" xfId="0" applyNumberFormat="1" applyFont="1" applyBorder="1"/>
    <xf numFmtId="164" fontId="3" fillId="0" borderId="2" xfId="0" applyNumberFormat="1" applyFont="1" applyBorder="1" applyAlignment="1">
      <alignment horizontal="center"/>
    </xf>
    <xf numFmtId="0" fontId="3" fillId="0" borderId="0" xfId="0" applyFont="1" applyFill="1" applyBorder="1"/>
    <xf numFmtId="164" fontId="4" fillId="0" borderId="2" xfId="0" applyNumberFormat="1" applyFont="1" applyBorder="1" applyAlignment="1">
      <alignment horizontal="center"/>
    </xf>
    <xf numFmtId="2" fontId="0" fillId="0" borderId="2" xfId="0" applyNumberFormat="1" applyBorder="1" applyAlignment="1">
      <alignment horizontal="center"/>
    </xf>
    <xf numFmtId="0" fontId="6" fillId="0" borderId="6" xfId="0" applyFont="1" applyBorder="1"/>
    <xf numFmtId="0" fontId="6" fillId="0" borderId="7" xfId="0" applyFont="1" applyBorder="1" applyAlignment="1">
      <alignment horizontal="center"/>
    </xf>
    <xf numFmtId="164" fontId="6" fillId="0" borderId="7" xfId="0" applyNumberFormat="1" applyFont="1" applyBorder="1"/>
    <xf numFmtId="49" fontId="3" fillId="0" borderId="2" xfId="0" applyNumberFormat="1" applyFont="1" applyBorder="1"/>
    <xf numFmtId="49" fontId="3" fillId="0" borderId="2" xfId="0" applyNumberFormat="1" applyFont="1" applyBorder="1" applyAlignment="1">
      <alignment horizontal="center"/>
    </xf>
    <xf numFmtId="2" fontId="3" fillId="0" borderId="2" xfId="0" applyNumberFormat="1" applyFont="1" applyBorder="1"/>
    <xf numFmtId="0" fontId="0" fillId="0" borderId="0" xfId="0" applyAlignment="1">
      <alignment vertical="top"/>
    </xf>
    <xf numFmtId="0" fontId="0" fillId="0" borderId="2" xfId="0" applyBorder="1" applyAlignment="1">
      <alignment horizontal="center" vertical="center"/>
    </xf>
    <xf numFmtId="164" fontId="0" fillId="0" borderId="2" xfId="0" applyNumberFormat="1" applyBorder="1" applyAlignment="1">
      <alignment horizontal="center" vertical="center"/>
    </xf>
    <xf numFmtId="2" fontId="0" fillId="0" borderId="2" xfId="0" applyNumberFormat="1" applyBorder="1"/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3" fillId="0" borderId="2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49" fontId="1" fillId="0" borderId="2" xfId="0" applyNumberFormat="1" applyFont="1" applyBorder="1" applyAlignment="1">
      <alignment horizontal="center"/>
    </xf>
    <xf numFmtId="0" fontId="0" fillId="0" borderId="2" xfId="0" applyBorder="1" applyAlignment="1">
      <alignment horizontal="left"/>
    </xf>
    <xf numFmtId="165" fontId="4" fillId="0" borderId="2" xfId="0" applyNumberFormat="1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3" fillId="0" borderId="3" xfId="0" applyFont="1" applyBorder="1" applyAlignment="1">
      <alignment horizontal="left" vertical="top"/>
    </xf>
    <xf numFmtId="0" fontId="3" fillId="0" borderId="4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/>
    </xf>
    <xf numFmtId="0" fontId="3" fillId="0" borderId="2" xfId="0" applyFont="1" applyBorder="1" applyAlignment="1">
      <alignment horizontal="center"/>
    </xf>
    <xf numFmtId="164" fontId="3" fillId="0" borderId="2" xfId="0" applyNumberFormat="1" applyFont="1" applyBorder="1" applyAlignment="1">
      <alignment horizontal="center"/>
    </xf>
    <xf numFmtId="164" fontId="3" fillId="0" borderId="3" xfId="0" applyNumberFormat="1" applyFont="1" applyBorder="1" applyAlignment="1">
      <alignment horizontal="center"/>
    </xf>
    <xf numFmtId="164" fontId="3" fillId="0" borderId="5" xfId="0" applyNumberFormat="1" applyFont="1" applyBorder="1" applyAlignment="1">
      <alignment horizontal="center"/>
    </xf>
    <xf numFmtId="0" fontId="3" fillId="0" borderId="2" xfId="0" applyFont="1" applyBorder="1" applyAlignment="1">
      <alignment horizontal="left" vertical="top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6" fillId="0" borderId="3" xfId="0" applyFont="1" applyBorder="1" applyAlignment="1">
      <alignment horizontal="left"/>
    </xf>
    <xf numFmtId="0" fontId="6" fillId="0" borderId="4" xfId="0" applyFont="1" applyBorder="1" applyAlignment="1">
      <alignment horizontal="left"/>
    </xf>
    <xf numFmtId="0" fontId="6" fillId="0" borderId="5" xfId="0" applyFont="1" applyBorder="1" applyAlignment="1">
      <alignment horizontal="left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49" fontId="3" fillId="0" borderId="2" xfId="0" applyNumberFormat="1" applyFont="1" applyBorder="1" applyAlignment="1">
      <alignment horizontal="left"/>
    </xf>
    <xf numFmtId="0" fontId="0" fillId="0" borderId="1" xfId="0" applyBorder="1" applyAlignment="1">
      <alignment horizontal="left" vertical="top"/>
    </xf>
    <xf numFmtId="0" fontId="0" fillId="0" borderId="2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3E6A7-9780-E543-B2DA-99080143B22E}">
  <dimension ref="A1:Q34"/>
  <sheetViews>
    <sheetView zoomScale="110" workbookViewId="0">
      <selection activeCell="D36" sqref="D36:D37"/>
    </sheetView>
  </sheetViews>
  <sheetFormatPr baseColWidth="10" defaultRowHeight="16"/>
  <cols>
    <col min="1" max="1" width="13.5" bestFit="1" customWidth="1"/>
    <col min="2" max="6" width="9.6640625" bestFit="1" customWidth="1"/>
    <col min="7" max="8" width="25.6640625" bestFit="1" customWidth="1"/>
    <col min="14" max="14" width="15.83203125" bestFit="1" customWidth="1"/>
    <col min="15" max="15" width="17.1640625" bestFit="1" customWidth="1"/>
    <col min="16" max="16" width="18.33203125" bestFit="1" customWidth="1"/>
    <col min="17" max="17" width="16.5" bestFit="1" customWidth="1"/>
  </cols>
  <sheetData>
    <row r="1" spans="1:17">
      <c r="A1" s="38" t="s">
        <v>119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</row>
    <row r="2" spans="1:17">
      <c r="A2" s="1"/>
      <c r="B2" s="39" t="s">
        <v>0</v>
      </c>
      <c r="C2" s="39"/>
      <c r="D2" s="39"/>
      <c r="E2" s="39" t="s">
        <v>1</v>
      </c>
      <c r="F2" s="39"/>
      <c r="G2" s="39"/>
      <c r="H2" s="39" t="s">
        <v>2</v>
      </c>
      <c r="I2" s="39"/>
      <c r="J2" s="39"/>
      <c r="K2" s="39" t="s">
        <v>3</v>
      </c>
      <c r="L2" s="39"/>
      <c r="M2" s="39"/>
      <c r="N2" s="2" t="s">
        <v>0</v>
      </c>
      <c r="O2" s="2" t="s">
        <v>1</v>
      </c>
      <c r="P2" s="2" t="s">
        <v>2</v>
      </c>
      <c r="Q2" s="2" t="s">
        <v>3</v>
      </c>
    </row>
    <row r="3" spans="1:17">
      <c r="A3" s="1"/>
      <c r="B3" s="1" t="s">
        <v>4</v>
      </c>
      <c r="C3" s="1" t="s">
        <v>5</v>
      </c>
      <c r="D3" s="1" t="s">
        <v>6</v>
      </c>
      <c r="E3" s="1" t="s">
        <v>4</v>
      </c>
      <c r="F3" s="1" t="s">
        <v>5</v>
      </c>
      <c r="G3" s="1" t="s">
        <v>6</v>
      </c>
      <c r="H3" s="1" t="s">
        <v>4</v>
      </c>
      <c r="I3" s="1" t="s">
        <v>5</v>
      </c>
      <c r="J3" s="1" t="s">
        <v>6</v>
      </c>
      <c r="K3" s="1" t="s">
        <v>4</v>
      </c>
      <c r="L3" s="1" t="s">
        <v>5</v>
      </c>
      <c r="M3" s="1" t="s">
        <v>6</v>
      </c>
      <c r="N3" s="3" t="s">
        <v>7</v>
      </c>
      <c r="O3" s="3" t="s">
        <v>7</v>
      </c>
      <c r="P3" s="3" t="s">
        <v>7</v>
      </c>
      <c r="Q3" s="3" t="s">
        <v>7</v>
      </c>
    </row>
    <row r="4" spans="1:17">
      <c r="A4" s="4" t="s">
        <v>8</v>
      </c>
      <c r="B4" s="5">
        <f>791/1153</f>
        <v>0.68603642671292286</v>
      </c>
      <c r="C4" s="5">
        <f>812/1027</f>
        <v>0.79065238558909445</v>
      </c>
      <c r="D4" s="5">
        <f>562/870</f>
        <v>0.64597701149425291</v>
      </c>
      <c r="E4" s="5">
        <f>150/1153</f>
        <v>0.13009540329575023</v>
      </c>
      <c r="F4" s="5">
        <f>127/1027</f>
        <v>0.12366114897760468</v>
      </c>
      <c r="G4" s="5">
        <f>206/870</f>
        <v>0.23678160919540231</v>
      </c>
      <c r="H4" s="5">
        <f>97/1153</f>
        <v>8.4128360797918467E-2</v>
      </c>
      <c r="I4" s="5">
        <f>88/1027</f>
        <v>8.5686465433300871E-2</v>
      </c>
      <c r="J4" s="5">
        <f>83/870</f>
        <v>9.5402298850574718E-2</v>
      </c>
      <c r="K4" s="5">
        <f>115/1153</f>
        <v>9.9739809193408496E-2</v>
      </c>
      <c r="L4" s="5">
        <f>0/1027</f>
        <v>0</v>
      </c>
      <c r="M4" s="5">
        <f>19/870</f>
        <v>2.1839080459770115E-2</v>
      </c>
      <c r="N4" s="5">
        <f>AVERAGE(B4:D4)</f>
        <v>0.70755527459875678</v>
      </c>
      <c r="O4" s="5">
        <f>AVERAGE(E4:G4)</f>
        <v>0.16351272048958573</v>
      </c>
      <c r="P4" s="5">
        <f>AVERAGE(H4:J4)</f>
        <v>8.8405708360598023E-2</v>
      </c>
      <c r="Q4" s="5">
        <f>AVERAGE(K4:M4)</f>
        <v>4.0526296551059542E-2</v>
      </c>
    </row>
    <row r="5" spans="1:17">
      <c r="A5" s="4" t="s">
        <v>9</v>
      </c>
      <c r="B5" s="5">
        <f>1001/2380</f>
        <v>0.42058823529411765</v>
      </c>
      <c r="C5" s="5">
        <f>830/2047</f>
        <v>0.40547142159257449</v>
      </c>
      <c r="D5" s="5">
        <f>669/1784</f>
        <v>0.375</v>
      </c>
      <c r="E5" s="5">
        <f>492/2380</f>
        <v>0.20672268907563024</v>
      </c>
      <c r="F5" s="5">
        <f>506/2047</f>
        <v>0.24719101123595505</v>
      </c>
      <c r="G5" s="5">
        <f>500/1784</f>
        <v>0.2802690582959641</v>
      </c>
      <c r="H5" s="5">
        <f>534/2380</f>
        <v>0.22436974789915967</v>
      </c>
      <c r="I5" s="5">
        <f>464/2047</f>
        <v>0.22667318026380068</v>
      </c>
      <c r="J5" s="5">
        <f>361/1784</f>
        <v>0.2023542600896861</v>
      </c>
      <c r="K5" s="5">
        <f>353/2380</f>
        <v>0.14831932773109244</v>
      </c>
      <c r="L5" s="5">
        <f>247/2047</f>
        <v>0.12066438690766976</v>
      </c>
      <c r="M5" s="5">
        <f>254/1784</f>
        <v>0.14237668161434977</v>
      </c>
      <c r="N5" s="5">
        <f t="shared" ref="N5:N6" si="0">AVERAGE(B5:D5)</f>
        <v>0.40035321896223069</v>
      </c>
      <c r="O5" s="5">
        <f t="shared" ref="O5:O6" si="1">AVERAGE(E5:G5)</f>
        <v>0.24472758620251645</v>
      </c>
      <c r="P5" s="5">
        <f t="shared" ref="P5:P6" si="2">AVERAGE(H5:J5)</f>
        <v>0.21779906275088212</v>
      </c>
      <c r="Q5" s="5">
        <f t="shared" ref="Q5:Q6" si="3">AVERAGE(K5:M5)</f>
        <v>0.13712013208437066</v>
      </c>
    </row>
    <row r="6" spans="1:17">
      <c r="A6" s="4" t="s">
        <v>10</v>
      </c>
      <c r="B6" s="5">
        <f>758/2576</f>
        <v>0.29425465838509318</v>
      </c>
      <c r="C6" s="5">
        <f>833/2575</f>
        <v>0.32349514563106796</v>
      </c>
      <c r="D6" s="5">
        <f>874/2255</f>
        <v>0.38758314855875831</v>
      </c>
      <c r="E6" s="5">
        <f>624/2576</f>
        <v>0.24223602484472051</v>
      </c>
      <c r="F6" s="5">
        <f>600/2575</f>
        <v>0.23300970873786409</v>
      </c>
      <c r="G6" s="5">
        <f>687/2255</f>
        <v>0.3046563192904656</v>
      </c>
      <c r="H6" s="5">
        <f>460/2576</f>
        <v>0.17857142857142858</v>
      </c>
      <c r="I6" s="5">
        <f>442/2575</f>
        <v>0.17165048543689321</v>
      </c>
      <c r="J6" s="5">
        <f>406/2255</f>
        <v>0.18004434589800444</v>
      </c>
      <c r="K6" s="5">
        <f>734/2576</f>
        <v>0.28493788819875776</v>
      </c>
      <c r="L6" s="5">
        <f>700/2575</f>
        <v>0.27184466019417475</v>
      </c>
      <c r="M6" s="5">
        <f>288/2255</f>
        <v>0.12771618625277162</v>
      </c>
      <c r="N6" s="5">
        <f t="shared" si="0"/>
        <v>0.33511098419163982</v>
      </c>
      <c r="O6" s="5">
        <f t="shared" si="1"/>
        <v>0.25996735095768342</v>
      </c>
      <c r="P6" s="5">
        <f t="shared" si="2"/>
        <v>0.17675541996877542</v>
      </c>
      <c r="Q6" s="5">
        <f t="shared" si="3"/>
        <v>0.22816624488190138</v>
      </c>
    </row>
    <row r="9" spans="1:17">
      <c r="A9" s="40" t="s">
        <v>120</v>
      </c>
      <c r="B9" s="40"/>
      <c r="C9" s="40"/>
      <c r="D9" s="40"/>
      <c r="E9" s="40"/>
      <c r="F9" s="40"/>
      <c r="G9" s="40"/>
      <c r="H9" s="40"/>
    </row>
    <row r="10" spans="1:17">
      <c r="A10" s="6"/>
      <c r="B10" s="7" t="s">
        <v>4</v>
      </c>
      <c r="C10" s="7" t="s">
        <v>5</v>
      </c>
      <c r="D10" s="7" t="s">
        <v>6</v>
      </c>
      <c r="E10" s="8" t="s">
        <v>11</v>
      </c>
      <c r="F10" s="8" t="s">
        <v>12</v>
      </c>
      <c r="G10" s="8" t="s">
        <v>13</v>
      </c>
      <c r="H10" s="8" t="s">
        <v>14</v>
      </c>
    </row>
    <row r="11" spans="1:17">
      <c r="A11" s="6" t="s">
        <v>8</v>
      </c>
      <c r="B11" s="9">
        <v>0.31396357328707719</v>
      </c>
      <c r="C11" s="9">
        <v>0.20934761441090555</v>
      </c>
      <c r="D11" s="9">
        <v>0.35402298850574715</v>
      </c>
      <c r="E11" s="9">
        <f>AVERAGE(B11:D11)</f>
        <v>0.29244472540124328</v>
      </c>
      <c r="F11" s="9">
        <f>STDEV(B11:D11)</f>
        <v>7.4699642422978441E-2</v>
      </c>
      <c r="G11" s="6"/>
      <c r="H11" s="6"/>
    </row>
    <row r="12" spans="1:17">
      <c r="A12" s="6" t="s">
        <v>9</v>
      </c>
      <c r="B12" s="9">
        <v>0.5794117647058824</v>
      </c>
      <c r="C12" s="9">
        <v>0.59452857840742546</v>
      </c>
      <c r="D12" s="9">
        <v>0.625</v>
      </c>
      <c r="E12" s="9">
        <f t="shared" ref="E12:E13" si="4">AVERAGE(B12:D12)</f>
        <v>0.59964678103776936</v>
      </c>
      <c r="F12" s="9">
        <f t="shared" ref="F12:F13" si="5">STDEV(B12:D12)</f>
        <v>2.3221085201426336E-2</v>
      </c>
      <c r="G12" s="6"/>
      <c r="H12" s="6"/>
    </row>
    <row r="13" spans="1:17">
      <c r="A13" s="6" t="s">
        <v>10</v>
      </c>
      <c r="B13" s="9">
        <v>0.70574534161490687</v>
      </c>
      <c r="C13" s="9">
        <v>0.67650485436893204</v>
      </c>
      <c r="D13" s="9">
        <v>0.61241685144124169</v>
      </c>
      <c r="E13" s="9">
        <f t="shared" si="4"/>
        <v>0.66488901580836013</v>
      </c>
      <c r="F13" s="9">
        <f t="shared" si="5"/>
        <v>4.773622888983723E-2</v>
      </c>
      <c r="G13" s="6">
        <f>_xlfn.T.TEST(B11:D11,B13:D13,2,2)</f>
        <v>1.8948884867139889E-3</v>
      </c>
      <c r="H13" s="6">
        <f>_xlfn.T.TEST(B12:D12,B13:D13,2,2)</f>
        <v>0.10035062639491113</v>
      </c>
    </row>
    <row r="16" spans="1:17">
      <c r="A16" s="34" t="s">
        <v>121</v>
      </c>
      <c r="B16" s="35"/>
      <c r="C16" s="35"/>
      <c r="D16" s="35"/>
      <c r="E16" s="35"/>
      <c r="F16" s="35"/>
      <c r="G16" s="35"/>
      <c r="H16" s="36"/>
    </row>
    <row r="17" spans="1:8">
      <c r="A17" s="6"/>
      <c r="B17" s="7" t="s">
        <v>4</v>
      </c>
      <c r="C17" s="7" t="s">
        <v>5</v>
      </c>
      <c r="D17" s="7" t="s">
        <v>6</v>
      </c>
      <c r="E17" s="8" t="s">
        <v>11</v>
      </c>
      <c r="F17" s="8" t="s">
        <v>12</v>
      </c>
      <c r="G17" s="8" t="s">
        <v>13</v>
      </c>
      <c r="H17" s="8" t="s">
        <v>14</v>
      </c>
    </row>
    <row r="18" spans="1:8">
      <c r="A18" s="6" t="s">
        <v>8</v>
      </c>
      <c r="B18" s="6">
        <v>33</v>
      </c>
      <c r="C18" s="6">
        <v>24</v>
      </c>
      <c r="D18" s="6">
        <v>35</v>
      </c>
      <c r="E18" s="9">
        <f>AVERAGE(B18:D18)</f>
        <v>30.666666666666668</v>
      </c>
      <c r="F18" s="9">
        <f>STDEV(B18:D18)</f>
        <v>5.8594652770823084</v>
      </c>
      <c r="G18" s="6"/>
      <c r="H18" s="6"/>
    </row>
    <row r="19" spans="1:8">
      <c r="A19" s="6" t="s">
        <v>9</v>
      </c>
      <c r="B19" s="6">
        <v>121</v>
      </c>
      <c r="C19" s="6">
        <v>116</v>
      </c>
      <c r="D19" s="6">
        <v>106</v>
      </c>
      <c r="E19" s="9">
        <f t="shared" ref="E19:E20" si="6">AVERAGE(B19:D19)</f>
        <v>114.33333333333333</v>
      </c>
      <c r="F19" s="9">
        <f t="shared" ref="F19:F20" si="7">STDEV(B19:D19)</f>
        <v>7.6376261582597333</v>
      </c>
      <c r="G19" s="6"/>
      <c r="H19" s="6"/>
    </row>
    <row r="20" spans="1:8">
      <c r="A20" s="6" t="s">
        <v>10</v>
      </c>
      <c r="B20" s="6">
        <v>151</v>
      </c>
      <c r="C20" s="6">
        <v>146</v>
      </c>
      <c r="D20" s="6">
        <v>138</v>
      </c>
      <c r="E20" s="9">
        <f t="shared" si="6"/>
        <v>145</v>
      </c>
      <c r="F20" s="9">
        <f t="shared" si="7"/>
        <v>6.5574385243020004</v>
      </c>
      <c r="G20" s="6">
        <f>_xlfn.T.TEST(B18:D18,B20:D20,2,2)</f>
        <v>2.3028347697771383E-5</v>
      </c>
      <c r="H20" s="6">
        <f>_xlfn.T.TEST(B19:D19,B20:D20,2,2)</f>
        <v>6.1845433735720568E-3</v>
      </c>
    </row>
    <row r="23" spans="1:8">
      <c r="A23" s="37" t="s">
        <v>122</v>
      </c>
      <c r="B23" s="37"/>
      <c r="C23" s="37"/>
      <c r="D23" s="37"/>
      <c r="E23" s="37"/>
      <c r="F23" s="37"/>
      <c r="G23" s="37"/>
      <c r="H23" s="37"/>
    </row>
    <row r="24" spans="1:8">
      <c r="A24" s="10"/>
      <c r="B24" s="11" t="s">
        <v>15</v>
      </c>
      <c r="C24" s="11" t="s">
        <v>16</v>
      </c>
      <c r="D24" s="11" t="s">
        <v>17</v>
      </c>
      <c r="E24" s="11" t="s">
        <v>18</v>
      </c>
      <c r="F24" s="11" t="s">
        <v>19</v>
      </c>
      <c r="G24" s="11" t="s">
        <v>20</v>
      </c>
      <c r="H24" s="11" t="s">
        <v>21</v>
      </c>
    </row>
    <row r="25" spans="1:8">
      <c r="A25" s="10" t="s">
        <v>22</v>
      </c>
      <c r="B25" s="10">
        <v>52</v>
      </c>
      <c r="C25" s="10">
        <v>50</v>
      </c>
      <c r="D25" s="10">
        <v>45</v>
      </c>
      <c r="E25" s="12">
        <f>AVERAGE(B25:D25)</f>
        <v>49</v>
      </c>
      <c r="F25" s="12">
        <f>STDEV(B25:D25)</f>
        <v>3.6055512754639891</v>
      </c>
      <c r="G25" s="10"/>
      <c r="H25" s="10"/>
    </row>
    <row r="26" spans="1:8">
      <c r="A26" s="10" t="s">
        <v>23</v>
      </c>
      <c r="B26" s="10">
        <v>82</v>
      </c>
      <c r="C26" s="10">
        <v>77</v>
      </c>
      <c r="D26" s="10">
        <v>56</v>
      </c>
      <c r="E26" s="12">
        <f t="shared" ref="E26:E27" si="8">AVERAGE(B26:D26)</f>
        <v>71.666666666666671</v>
      </c>
      <c r="F26" s="12">
        <f t="shared" ref="F26:F27" si="9">STDEV(B26:D26)</f>
        <v>13.79613472438324</v>
      </c>
      <c r="G26" s="10"/>
      <c r="H26" s="10"/>
    </row>
    <row r="27" spans="1:8">
      <c r="A27" s="10" t="s">
        <v>24</v>
      </c>
      <c r="B27" s="10">
        <v>106</v>
      </c>
      <c r="C27" s="10">
        <v>81</v>
      </c>
      <c r="D27" s="10">
        <v>97</v>
      </c>
      <c r="E27" s="12">
        <f t="shared" si="8"/>
        <v>94.666666666666671</v>
      </c>
      <c r="F27" s="12">
        <f t="shared" si="9"/>
        <v>12.662279942148411</v>
      </c>
      <c r="G27" s="10">
        <f>_xlfn.T.TEST(B25:D25,B27:D27,2,2)</f>
        <v>3.8639798715013151E-3</v>
      </c>
      <c r="H27" s="10">
        <f>_xlfn.T.TEST(B26:D26,B27:D27,2,2)</f>
        <v>0.10050582630356462</v>
      </c>
    </row>
    <row r="30" spans="1:8">
      <c r="A30" s="37" t="s">
        <v>123</v>
      </c>
      <c r="B30" s="37"/>
      <c r="C30" s="37"/>
      <c r="D30" s="37"/>
      <c r="E30" s="37"/>
      <c r="F30" s="37"/>
      <c r="G30" s="37"/>
      <c r="H30" s="37"/>
    </row>
    <row r="31" spans="1:8">
      <c r="A31" s="10"/>
      <c r="B31" s="11" t="s">
        <v>15</v>
      </c>
      <c r="C31" s="11" t="s">
        <v>16</v>
      </c>
      <c r="D31" s="11" t="s">
        <v>17</v>
      </c>
      <c r="E31" s="11" t="s">
        <v>18</v>
      </c>
      <c r="F31" s="11" t="s">
        <v>19</v>
      </c>
      <c r="G31" s="11" t="s">
        <v>25</v>
      </c>
      <c r="H31" s="11" t="s">
        <v>26</v>
      </c>
    </row>
    <row r="32" spans="1:8">
      <c r="A32" s="10" t="s">
        <v>27</v>
      </c>
      <c r="B32" s="13">
        <v>41</v>
      </c>
      <c r="C32" s="13">
        <v>48</v>
      </c>
      <c r="D32" s="13">
        <v>49</v>
      </c>
      <c r="E32" s="12">
        <f>AVERAGE(B32:D32)</f>
        <v>46</v>
      </c>
      <c r="F32" s="12">
        <f>STDEV(B32:D32)</f>
        <v>4.358898943540674</v>
      </c>
      <c r="G32" s="10"/>
      <c r="H32" s="10"/>
    </row>
    <row r="33" spans="1:8">
      <c r="A33" s="10" t="s">
        <v>28</v>
      </c>
      <c r="B33" s="13">
        <v>51</v>
      </c>
      <c r="C33" s="13">
        <v>66</v>
      </c>
      <c r="D33" s="13">
        <v>61</v>
      </c>
      <c r="E33" s="12">
        <f t="shared" ref="E33:E34" si="10">AVERAGE(B33:D33)</f>
        <v>59.333333333333336</v>
      </c>
      <c r="F33" s="12">
        <f t="shared" ref="F33:F34" si="11">STDEV(B33:D33)</f>
        <v>7.6376261582597138</v>
      </c>
      <c r="G33" s="10"/>
      <c r="H33" s="10"/>
    </row>
    <row r="34" spans="1:8">
      <c r="A34" s="10" t="s">
        <v>29</v>
      </c>
      <c r="B34" s="13">
        <v>28</v>
      </c>
      <c r="C34" s="13">
        <v>76</v>
      </c>
      <c r="D34" s="13">
        <v>48</v>
      </c>
      <c r="E34" s="12">
        <f t="shared" si="10"/>
        <v>50.666666666666664</v>
      </c>
      <c r="F34" s="12">
        <f t="shared" si="11"/>
        <v>24.110855093366837</v>
      </c>
      <c r="G34" s="10">
        <f>_xlfn.T.TEST(B32:D32,B34:D34,2,2)</f>
        <v>0.75803525269685168</v>
      </c>
      <c r="H34" s="10">
        <f>_xlfn.T.TEST(B33:D33,B34:D34,2,2)</f>
        <v>0.5847675124664703</v>
      </c>
    </row>
  </sheetData>
  <mergeCells count="9">
    <mergeCell ref="A16:H16"/>
    <mergeCell ref="A23:H23"/>
    <mergeCell ref="A30:H30"/>
    <mergeCell ref="A1:Q1"/>
    <mergeCell ref="B2:D2"/>
    <mergeCell ref="E2:G2"/>
    <mergeCell ref="H2:J2"/>
    <mergeCell ref="K2:M2"/>
    <mergeCell ref="A9:H9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FAEDD5-2570-6447-8EA1-F721418D9F94}">
  <dimension ref="A1:G16"/>
  <sheetViews>
    <sheetView topLeftCell="A3" zoomScale="163" workbookViewId="0">
      <selection activeCell="A7" sqref="A7:G7"/>
    </sheetView>
  </sheetViews>
  <sheetFormatPr baseColWidth="10" defaultRowHeight="16"/>
  <cols>
    <col min="1" max="1" width="14" customWidth="1"/>
    <col min="6" max="6" width="6.83203125" bestFit="1" customWidth="1"/>
    <col min="7" max="7" width="14" bestFit="1" customWidth="1"/>
  </cols>
  <sheetData>
    <row r="1" spans="1:7">
      <c r="A1" s="52" t="s">
        <v>147</v>
      </c>
      <c r="B1" s="52"/>
      <c r="C1" s="52"/>
      <c r="D1" s="52"/>
      <c r="E1" s="52"/>
      <c r="F1" s="52"/>
      <c r="G1" s="52"/>
    </row>
    <row r="2" spans="1:7">
      <c r="A2" s="11"/>
      <c r="B2" s="11" t="s">
        <v>15</v>
      </c>
      <c r="C2" s="11" t="s">
        <v>16</v>
      </c>
      <c r="D2" s="11" t="s">
        <v>17</v>
      </c>
      <c r="E2" s="11" t="s">
        <v>18</v>
      </c>
      <c r="F2" s="11" t="s">
        <v>19</v>
      </c>
      <c r="G2" s="11" t="s">
        <v>38</v>
      </c>
    </row>
    <row r="3" spans="1:7">
      <c r="A3" s="10" t="s">
        <v>37</v>
      </c>
      <c r="B3" s="10">
        <v>83</v>
      </c>
      <c r="C3" s="10">
        <v>82</v>
      </c>
      <c r="D3" s="10">
        <v>73</v>
      </c>
      <c r="E3" s="12">
        <f>AVERAGE(B3:D3)</f>
        <v>79.333333333333329</v>
      </c>
      <c r="F3" s="12">
        <f>STDEV(B3:D3)</f>
        <v>5.5075705472861021</v>
      </c>
      <c r="G3" s="10"/>
    </row>
    <row r="4" spans="1:7">
      <c r="A4" s="10" t="s">
        <v>113</v>
      </c>
      <c r="B4" s="10">
        <v>81</v>
      </c>
      <c r="C4" s="10">
        <v>86</v>
      </c>
      <c r="D4" s="10">
        <v>88</v>
      </c>
      <c r="E4" s="12">
        <f>AVERAGE(B4:D4)</f>
        <v>85</v>
      </c>
      <c r="F4" s="12">
        <f>STDEV(B4:D4)</f>
        <v>3.6055512754639891</v>
      </c>
      <c r="G4" s="10">
        <f>_xlfn.T.TEST(B3:D3,B4:D4,2,2)</f>
        <v>0.21022415991013374</v>
      </c>
    </row>
    <row r="7" spans="1:7">
      <c r="A7" s="52" t="s">
        <v>148</v>
      </c>
      <c r="B7" s="52"/>
      <c r="C7" s="52"/>
      <c r="D7" s="52"/>
      <c r="E7" s="52"/>
      <c r="F7" s="52"/>
      <c r="G7" s="52"/>
    </row>
    <row r="8" spans="1:7">
      <c r="A8" s="10"/>
      <c r="B8" s="11" t="s">
        <v>15</v>
      </c>
      <c r="C8" s="11" t="s">
        <v>16</v>
      </c>
      <c r="D8" s="11" t="s">
        <v>17</v>
      </c>
      <c r="E8" s="11" t="s">
        <v>18</v>
      </c>
      <c r="F8" s="11" t="s">
        <v>19</v>
      </c>
      <c r="G8" s="11" t="s">
        <v>38</v>
      </c>
    </row>
    <row r="9" spans="1:7">
      <c r="A9" s="10" t="s">
        <v>37</v>
      </c>
      <c r="B9" s="10">
        <v>256</v>
      </c>
      <c r="C9" s="10">
        <v>253</v>
      </c>
      <c r="D9" s="10">
        <v>240</v>
      </c>
      <c r="E9" s="12">
        <f>AVERAGE(B9:D9)</f>
        <v>249.66666666666666</v>
      </c>
      <c r="F9" s="12">
        <f>STDEV(B9:D9)</f>
        <v>8.5049005481153817</v>
      </c>
      <c r="G9" s="10"/>
    </row>
    <row r="10" spans="1:7">
      <c r="A10" s="10" t="s">
        <v>114</v>
      </c>
      <c r="B10" s="10">
        <v>256</v>
      </c>
      <c r="C10" s="10">
        <v>192</v>
      </c>
      <c r="D10" s="10">
        <v>304</v>
      </c>
      <c r="E10" s="12">
        <f>AVERAGE(B10:D10)</f>
        <v>250.66666666666666</v>
      </c>
      <c r="F10" s="12">
        <f>STDEV(B10:D10)</f>
        <v>56.190153348547895</v>
      </c>
      <c r="G10" s="10">
        <f>_xlfn.T.TEST(B9:D9,B10:D10,2,2)</f>
        <v>0.97714616915748831</v>
      </c>
    </row>
    <row r="13" spans="1:7">
      <c r="A13" s="52" t="s">
        <v>138</v>
      </c>
      <c r="B13" s="52"/>
      <c r="C13" s="52"/>
      <c r="D13" s="52"/>
      <c r="E13" s="52"/>
      <c r="F13" s="52"/>
      <c r="G13" s="52"/>
    </row>
    <row r="14" spans="1:7">
      <c r="A14" s="10"/>
      <c r="B14" s="11" t="s">
        <v>15</v>
      </c>
      <c r="C14" s="11" t="s">
        <v>16</v>
      </c>
      <c r="D14" s="11" t="s">
        <v>17</v>
      </c>
      <c r="E14" s="11" t="s">
        <v>18</v>
      </c>
      <c r="F14" s="11" t="s">
        <v>19</v>
      </c>
      <c r="G14" s="11" t="s">
        <v>38</v>
      </c>
    </row>
    <row r="15" spans="1:7">
      <c r="A15" s="10" t="s">
        <v>115</v>
      </c>
      <c r="B15" s="12">
        <v>121.40481927710846</v>
      </c>
      <c r="C15" s="12">
        <v>87.079268292682954</v>
      </c>
      <c r="D15" s="12">
        <v>91.767123287671239</v>
      </c>
      <c r="E15" s="12">
        <f>AVERAGE(B15:D15)</f>
        <v>100.08373695248754</v>
      </c>
      <c r="F15" s="12">
        <f>STDEV(B15:D15)</f>
        <v>18.612775444125905</v>
      </c>
      <c r="G15" s="10"/>
    </row>
    <row r="16" spans="1:7">
      <c r="A16" s="10" t="s">
        <v>116</v>
      </c>
      <c r="B16" s="12">
        <v>88.248148148148132</v>
      </c>
      <c r="C16" s="12">
        <v>70.595348837209301</v>
      </c>
      <c r="D16" s="12">
        <v>77.278409090909065</v>
      </c>
      <c r="E16" s="12">
        <f>AVERAGE(B16:D16)</f>
        <v>78.707302025422166</v>
      </c>
      <c r="F16" s="12">
        <f>STDEV(B16:D16)</f>
        <v>8.9127230486421336</v>
      </c>
      <c r="G16" s="10">
        <f>_xlfn.T.TEST(B15:D15,B16:D16,2,2)</f>
        <v>0.14723916844019419</v>
      </c>
    </row>
  </sheetData>
  <mergeCells count="3">
    <mergeCell ref="A1:G1"/>
    <mergeCell ref="A7:G7"/>
    <mergeCell ref="A13:G1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ADAFA6-1A5F-0845-AFCE-8F4A547F6763}">
  <dimension ref="A1:C18"/>
  <sheetViews>
    <sheetView tabSelected="1" zoomScale="118" workbookViewId="0">
      <selection sqref="A1:C1"/>
    </sheetView>
  </sheetViews>
  <sheetFormatPr baseColWidth="10" defaultRowHeight="16"/>
  <cols>
    <col min="1" max="1" width="14.33203125" customWidth="1"/>
    <col min="2" max="2" width="18.1640625" customWidth="1"/>
    <col min="3" max="3" width="25" customWidth="1"/>
  </cols>
  <sheetData>
    <row r="1" spans="1:3">
      <c r="A1" s="52" t="s">
        <v>149</v>
      </c>
      <c r="B1" s="52"/>
      <c r="C1" s="52"/>
    </row>
    <row r="2" spans="1:3">
      <c r="A2" s="11"/>
      <c r="B2" s="11" t="s">
        <v>51</v>
      </c>
      <c r="C2" s="11" t="s">
        <v>52</v>
      </c>
    </row>
    <row r="3" spans="1:3">
      <c r="A3" s="10" t="s">
        <v>15</v>
      </c>
      <c r="B3" s="11">
        <v>19</v>
      </c>
      <c r="C3" s="11">
        <v>42.8</v>
      </c>
    </row>
    <row r="4" spans="1:3">
      <c r="A4" s="10" t="s">
        <v>16</v>
      </c>
      <c r="B4" s="11">
        <v>19.7</v>
      </c>
      <c r="C4" s="11">
        <v>69.8</v>
      </c>
    </row>
    <row r="5" spans="1:3">
      <c r="A5" s="10" t="s">
        <v>17</v>
      </c>
      <c r="B5" s="11">
        <v>19.899999999999999</v>
      </c>
      <c r="C5" s="11">
        <v>52.5</v>
      </c>
    </row>
    <row r="6" spans="1:3">
      <c r="A6" s="10" t="s">
        <v>53</v>
      </c>
      <c r="B6" s="20">
        <f>AVERAGE(B3:B5)</f>
        <v>19.533333333333335</v>
      </c>
      <c r="C6" s="20">
        <f>AVERAGE(C3:C5)</f>
        <v>55.033333333333331</v>
      </c>
    </row>
    <row r="7" spans="1:3">
      <c r="A7" s="10" t="s">
        <v>54</v>
      </c>
      <c r="B7" s="20">
        <f>STDEV(B3:B5)</f>
        <v>0.47258156262526019</v>
      </c>
      <c r="C7" s="20">
        <f>STDEV(C3:C5)</f>
        <v>13.677109831149764</v>
      </c>
    </row>
    <row r="8" spans="1:3">
      <c r="A8" s="10" t="s">
        <v>38</v>
      </c>
      <c r="B8" s="11"/>
      <c r="C8" s="11">
        <f>_xlfn.T.TEST(B3:B5,C3:C5,2,2)</f>
        <v>1.0880827875119814E-2</v>
      </c>
    </row>
    <row r="11" spans="1:3">
      <c r="A11" s="52" t="s">
        <v>139</v>
      </c>
      <c r="B11" s="52"/>
      <c r="C11" s="52"/>
    </row>
    <row r="12" spans="1:3">
      <c r="A12" s="10"/>
      <c r="B12" s="11" t="s">
        <v>51</v>
      </c>
      <c r="C12" s="11" t="s">
        <v>52</v>
      </c>
    </row>
    <row r="13" spans="1:3">
      <c r="A13" s="10" t="s">
        <v>15</v>
      </c>
      <c r="B13" s="20">
        <v>12.596530612244898</v>
      </c>
      <c r="C13" s="20">
        <v>19.263763440860213</v>
      </c>
    </row>
    <row r="14" spans="1:3">
      <c r="A14" s="10" t="s">
        <v>16</v>
      </c>
      <c r="B14" s="20">
        <v>12.650212765957448</v>
      </c>
      <c r="C14" s="20">
        <v>19.303387096774191</v>
      </c>
    </row>
    <row r="15" spans="1:3">
      <c r="A15" s="10" t="s">
        <v>17</v>
      </c>
      <c r="B15" s="20">
        <v>12.930425531914892</v>
      </c>
      <c r="C15" s="20">
        <v>18.114745762711873</v>
      </c>
    </row>
    <row r="16" spans="1:3">
      <c r="A16" s="10" t="s">
        <v>53</v>
      </c>
      <c r="B16" s="20">
        <f>AVERAGE(B13:B15)</f>
        <v>12.725722970039079</v>
      </c>
      <c r="C16" s="20">
        <f>AVERAGE(C13:C15)</f>
        <v>18.893965433448759</v>
      </c>
    </row>
    <row r="17" spans="1:3">
      <c r="A17" s="10" t="s">
        <v>54</v>
      </c>
      <c r="B17" s="20">
        <f>STDEV(B13:B15)</f>
        <v>0.17929806896811568</v>
      </c>
      <c r="C17" s="20">
        <f>STDEV(C13:C15)</f>
        <v>0.67511479022050247</v>
      </c>
    </row>
    <row r="18" spans="1:3">
      <c r="A18" s="10" t="s">
        <v>38</v>
      </c>
      <c r="B18" s="11"/>
      <c r="C18" s="11">
        <f>_xlfn.T.TEST(B13:B15,C13:C15,2,2)</f>
        <v>1.0658538957672469E-4</v>
      </c>
    </row>
  </sheetData>
  <mergeCells count="2">
    <mergeCell ref="A1:C1"/>
    <mergeCell ref="A11:C1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89A08D-58B3-C840-94E3-1FA0E632108A}">
  <dimension ref="A1:C8"/>
  <sheetViews>
    <sheetView zoomScale="125" workbookViewId="0">
      <selection activeCell="E6" sqref="E6"/>
    </sheetView>
  </sheetViews>
  <sheetFormatPr baseColWidth="10" defaultRowHeight="16"/>
  <cols>
    <col min="1" max="3" width="8.1640625" bestFit="1" customWidth="1"/>
  </cols>
  <sheetData>
    <row r="1" spans="1:3">
      <c r="A1" s="69" t="s">
        <v>140</v>
      </c>
      <c r="B1" s="69"/>
      <c r="C1" s="69"/>
    </row>
    <row r="2" spans="1:3">
      <c r="A2" s="31" t="s">
        <v>117</v>
      </c>
      <c r="B2" s="69" t="s">
        <v>118</v>
      </c>
      <c r="C2" s="69"/>
    </row>
    <row r="3" spans="1:3">
      <c r="A3" s="31" t="s">
        <v>41</v>
      </c>
      <c r="B3" s="31" t="s">
        <v>41</v>
      </c>
      <c r="C3" s="31" t="s">
        <v>42</v>
      </c>
    </row>
    <row r="4" spans="1:3">
      <c r="A4" s="32">
        <v>1445.787</v>
      </c>
      <c r="B4" s="32">
        <v>1177.6890000000001</v>
      </c>
      <c r="C4" s="32">
        <v>1043.549</v>
      </c>
    </row>
    <row r="5" spans="1:3">
      <c r="A5" s="32">
        <v>1596.0940000000001</v>
      </c>
      <c r="B5" s="32">
        <v>1184.807</v>
      </c>
      <c r="C5" s="32">
        <v>1252.9090000000001</v>
      </c>
    </row>
    <row r="6" spans="1:3">
      <c r="A6" s="32">
        <v>1722.0119999999999</v>
      </c>
      <c r="B6" s="32">
        <v>1124.067</v>
      </c>
      <c r="C6" s="32">
        <v>1595.414</v>
      </c>
    </row>
    <row r="7" spans="1:3">
      <c r="A7" s="32">
        <v>1444.712</v>
      </c>
      <c r="B7" s="32">
        <v>1378.2270000000001</v>
      </c>
      <c r="C7" s="32">
        <v>1256.925</v>
      </c>
    </row>
    <row r="8" spans="1:3">
      <c r="A8" s="32">
        <v>1515.95</v>
      </c>
      <c r="B8" s="32">
        <v>1296.663</v>
      </c>
      <c r="C8" s="32">
        <v>1617.1310000000001</v>
      </c>
    </row>
  </sheetData>
  <mergeCells count="2">
    <mergeCell ref="A1:C1"/>
    <mergeCell ref="B2:C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CBE8CA-EB8C-8048-A3D5-88D6445E149C}">
  <dimension ref="A1:I28"/>
  <sheetViews>
    <sheetView zoomScale="125" workbookViewId="0">
      <selection activeCell="A25" sqref="A25:G25"/>
    </sheetView>
  </sheetViews>
  <sheetFormatPr baseColWidth="10" defaultRowHeight="16"/>
  <cols>
    <col min="1" max="1" width="12.33203125" bestFit="1" customWidth="1"/>
    <col min="7" max="7" width="17.5" bestFit="1" customWidth="1"/>
    <col min="8" max="8" width="14.33203125" bestFit="1" customWidth="1"/>
    <col min="9" max="9" width="14.83203125" bestFit="1" customWidth="1"/>
  </cols>
  <sheetData>
    <row r="1" spans="1:9">
      <c r="A1" s="41" t="s">
        <v>141</v>
      </c>
      <c r="B1" s="41"/>
      <c r="C1" s="41"/>
      <c r="D1" s="41"/>
      <c r="E1" s="41"/>
      <c r="F1" s="41"/>
      <c r="G1" s="41"/>
      <c r="H1" s="41"/>
      <c r="I1" s="41"/>
    </row>
    <row r="2" spans="1:9">
      <c r="A2" s="14"/>
      <c r="B2" s="14" t="s">
        <v>15</v>
      </c>
      <c r="C2" s="14" t="s">
        <v>16</v>
      </c>
      <c r="D2" s="14" t="s">
        <v>17</v>
      </c>
      <c r="E2" s="14" t="s">
        <v>18</v>
      </c>
      <c r="F2" s="14" t="s">
        <v>19</v>
      </c>
      <c r="G2" s="14" t="s">
        <v>30</v>
      </c>
      <c r="H2" s="15" t="s">
        <v>31</v>
      </c>
      <c r="I2" s="15" t="s">
        <v>32</v>
      </c>
    </row>
    <row r="3" spans="1:9">
      <c r="A3" s="16" t="s">
        <v>33</v>
      </c>
      <c r="B3" s="17">
        <v>2</v>
      </c>
      <c r="C3" s="17">
        <v>0</v>
      </c>
      <c r="D3" s="17">
        <v>1</v>
      </c>
      <c r="E3" s="16">
        <f>AVERAGE(B3:D3)</f>
        <v>1</v>
      </c>
      <c r="F3" s="16">
        <f>STDEV(B3:D3)</f>
        <v>1</v>
      </c>
      <c r="G3" s="18"/>
      <c r="H3" s="18"/>
      <c r="I3" s="18"/>
    </row>
    <row r="4" spans="1:9">
      <c r="A4" s="16" t="s">
        <v>34</v>
      </c>
      <c r="B4" s="17">
        <v>13</v>
      </c>
      <c r="C4" s="17">
        <v>22</v>
      </c>
      <c r="D4" s="17">
        <v>20</v>
      </c>
      <c r="E4" s="16">
        <f t="shared" ref="E4:E6" si="0">AVERAGE(B4:D4)</f>
        <v>18.333333333333332</v>
      </c>
      <c r="F4" s="16">
        <f t="shared" ref="F4:F6" si="1">STDEV(B4:D4)</f>
        <v>4.7258156262526061</v>
      </c>
      <c r="G4" s="18"/>
      <c r="H4" s="18"/>
      <c r="I4" s="18"/>
    </row>
    <row r="5" spans="1:9">
      <c r="A5" s="16" t="s">
        <v>35</v>
      </c>
      <c r="B5" s="17">
        <v>55</v>
      </c>
      <c r="C5" s="17">
        <v>56</v>
      </c>
      <c r="D5" s="17">
        <v>42</v>
      </c>
      <c r="E5" s="16">
        <f t="shared" si="0"/>
        <v>51</v>
      </c>
      <c r="F5" s="16">
        <f t="shared" si="1"/>
        <v>7.810249675906654</v>
      </c>
      <c r="G5" s="18"/>
      <c r="H5" s="18"/>
      <c r="I5" s="18"/>
    </row>
    <row r="6" spans="1:9">
      <c r="A6" s="16" t="s">
        <v>36</v>
      </c>
      <c r="B6" s="17">
        <v>83</v>
      </c>
      <c r="C6" s="17">
        <v>82</v>
      </c>
      <c r="D6" s="17">
        <v>73</v>
      </c>
      <c r="E6" s="16">
        <f t="shared" si="0"/>
        <v>79.333333333333329</v>
      </c>
      <c r="F6" s="16">
        <f t="shared" si="1"/>
        <v>5.5075705472861021</v>
      </c>
      <c r="G6" s="18">
        <f>TTEST(B3:D3,B6:D6,2,2)</f>
        <v>1.7187921068452781E-5</v>
      </c>
      <c r="H6" s="18">
        <f>TTEST(B4:D4,B6:D6,2,2)</f>
        <v>1.2945629433147864E-4</v>
      </c>
      <c r="I6" s="18">
        <f>TTEST(B5:D5,B6:D6,2,2)</f>
        <v>6.8146666109352343E-3</v>
      </c>
    </row>
    <row r="9" spans="1:9">
      <c r="A9" s="42" t="s">
        <v>124</v>
      </c>
      <c r="B9" s="43"/>
      <c r="C9" s="43"/>
      <c r="D9" s="43"/>
      <c r="E9" s="43"/>
      <c r="F9" s="43"/>
      <c r="G9" s="43"/>
      <c r="H9" s="43"/>
      <c r="I9" s="44"/>
    </row>
    <row r="10" spans="1:9">
      <c r="A10" s="15"/>
      <c r="B10" s="14" t="s">
        <v>15</v>
      </c>
      <c r="C10" s="14" t="s">
        <v>16</v>
      </c>
      <c r="D10" s="14" t="s">
        <v>17</v>
      </c>
      <c r="E10" s="14" t="s">
        <v>18</v>
      </c>
      <c r="F10" s="14" t="s">
        <v>19</v>
      </c>
      <c r="G10" s="14" t="s">
        <v>30</v>
      </c>
      <c r="H10" s="15" t="s">
        <v>31</v>
      </c>
      <c r="I10" s="15" t="s">
        <v>32</v>
      </c>
    </row>
    <row r="11" spans="1:9">
      <c r="A11" s="18" t="s">
        <v>8</v>
      </c>
      <c r="B11" s="18">
        <v>66.3</v>
      </c>
      <c r="C11" s="18">
        <v>0</v>
      </c>
      <c r="D11" s="18">
        <v>22</v>
      </c>
      <c r="E11" s="19">
        <f>AVERAGE(B11:D11)</f>
        <v>29.433333333333334</v>
      </c>
      <c r="F11" s="19">
        <f>STDEV(B11:D11)</f>
        <v>33.769266105933262</v>
      </c>
      <c r="G11" s="18"/>
      <c r="H11" s="18"/>
      <c r="I11" s="18"/>
    </row>
    <row r="12" spans="1:9">
      <c r="A12" s="18" t="s">
        <v>9</v>
      </c>
      <c r="B12" s="18">
        <v>91.4</v>
      </c>
      <c r="C12" s="18">
        <v>195</v>
      </c>
      <c r="D12" s="18">
        <v>142</v>
      </c>
      <c r="E12" s="19">
        <f t="shared" ref="E12:E14" si="2">AVERAGE(B12:D12)</f>
        <v>142.79999999999998</v>
      </c>
      <c r="F12" s="19">
        <f t="shared" ref="F12:F14" si="3">STDEV(B12:D12)</f>
        <v>51.804632997445324</v>
      </c>
      <c r="G12" s="18"/>
      <c r="H12" s="18"/>
      <c r="I12" s="18"/>
    </row>
    <row r="13" spans="1:9">
      <c r="A13" s="18" t="s">
        <v>10</v>
      </c>
      <c r="B13" s="18">
        <v>224</v>
      </c>
      <c r="C13" s="18">
        <v>249</v>
      </c>
      <c r="D13" s="18">
        <v>170</v>
      </c>
      <c r="E13" s="19">
        <f t="shared" si="2"/>
        <v>214.33333333333334</v>
      </c>
      <c r="F13" s="19">
        <f t="shared" si="3"/>
        <v>40.377386410382343</v>
      </c>
      <c r="G13" s="18"/>
      <c r="H13" s="18"/>
      <c r="I13" s="18"/>
    </row>
    <row r="14" spans="1:9">
      <c r="A14" s="18" t="s">
        <v>37</v>
      </c>
      <c r="B14" s="18">
        <v>256</v>
      </c>
      <c r="C14" s="18">
        <v>253</v>
      </c>
      <c r="D14" s="18">
        <v>240</v>
      </c>
      <c r="E14" s="19">
        <f t="shared" si="2"/>
        <v>249.66666666666666</v>
      </c>
      <c r="F14" s="19">
        <f t="shared" si="3"/>
        <v>8.5049005481153817</v>
      </c>
      <c r="G14" s="18">
        <f>TTEST(B11:D11,B14:D14,2,2)</f>
        <v>3.945736851327112E-4</v>
      </c>
      <c r="H14" s="18">
        <f>TTEST(B12:D12,B14:D14,2,2)</f>
        <v>2.4322211678372969E-2</v>
      </c>
      <c r="I14" s="18">
        <f>TTEST(B13:D13,B14:D14,2,2)</f>
        <v>0.21218714731018459</v>
      </c>
    </row>
    <row r="17" spans="1:9">
      <c r="A17" s="41" t="s">
        <v>125</v>
      </c>
      <c r="B17" s="41"/>
      <c r="C17" s="41"/>
      <c r="D17" s="41"/>
      <c r="E17" s="41"/>
      <c r="F17" s="41"/>
      <c r="G17" s="41"/>
      <c r="H17" s="41"/>
      <c r="I17" s="41"/>
    </row>
    <row r="18" spans="1:9">
      <c r="A18" s="14"/>
      <c r="B18" s="14" t="s">
        <v>15</v>
      </c>
      <c r="C18" s="14" t="s">
        <v>16</v>
      </c>
      <c r="D18" s="14" t="s">
        <v>17</v>
      </c>
      <c r="E18" s="14" t="s">
        <v>18</v>
      </c>
      <c r="F18" s="14" t="s">
        <v>19</v>
      </c>
      <c r="G18" s="14" t="s">
        <v>30</v>
      </c>
      <c r="H18" s="15" t="s">
        <v>31</v>
      </c>
      <c r="I18" s="15" t="s">
        <v>32</v>
      </c>
    </row>
    <row r="19" spans="1:9">
      <c r="A19" s="16" t="s">
        <v>33</v>
      </c>
      <c r="B19" s="16">
        <v>58.55</v>
      </c>
      <c r="C19" s="16">
        <v>0</v>
      </c>
      <c r="D19" s="16">
        <v>22</v>
      </c>
      <c r="E19" s="16">
        <f>AVERAGE(B19:D19)</f>
        <v>26.849999999999998</v>
      </c>
      <c r="F19" s="16">
        <f>STDEV(B19:D19)</f>
        <v>29.574778105676462</v>
      </c>
      <c r="G19" s="18"/>
      <c r="H19" s="18"/>
      <c r="I19" s="18"/>
    </row>
    <row r="20" spans="1:9">
      <c r="A20" s="16" t="s">
        <v>34</v>
      </c>
      <c r="B20" s="16">
        <v>48.853846153846149</v>
      </c>
      <c r="C20" s="16">
        <v>74.727272727272734</v>
      </c>
      <c r="D20" s="16">
        <v>59.645000000000003</v>
      </c>
      <c r="E20" s="16">
        <f t="shared" ref="E20:E22" si="4">AVERAGE(B20:D20)</f>
        <v>61.07537296037296</v>
      </c>
      <c r="F20" s="16">
        <f t="shared" ref="F20:F22" si="5">STDEV(B20:D20)</f>
        <v>12.995884955129098</v>
      </c>
      <c r="G20" s="18"/>
      <c r="H20" s="18"/>
      <c r="I20" s="18"/>
    </row>
    <row r="21" spans="1:9">
      <c r="A21" s="16" t="s">
        <v>35</v>
      </c>
      <c r="B21" s="16">
        <v>98.078181818181818</v>
      </c>
      <c r="C21" s="16">
        <v>92.394642857142799</v>
      </c>
      <c r="D21" s="16">
        <v>70.126190476190459</v>
      </c>
      <c r="E21" s="16">
        <f t="shared" si="4"/>
        <v>86.866338383838354</v>
      </c>
      <c r="F21" s="16">
        <f t="shared" si="5"/>
        <v>14.773288995950061</v>
      </c>
      <c r="G21" s="18"/>
      <c r="H21" s="18"/>
      <c r="I21" s="18"/>
    </row>
    <row r="22" spans="1:9">
      <c r="A22" s="16" t="s">
        <v>36</v>
      </c>
      <c r="B22" s="16">
        <v>121.40481927710846</v>
      </c>
      <c r="C22" s="16">
        <v>87.079268292682954</v>
      </c>
      <c r="D22" s="16">
        <v>91.767123287671239</v>
      </c>
      <c r="E22" s="16">
        <f t="shared" si="4"/>
        <v>100.08373695248754</v>
      </c>
      <c r="F22" s="16">
        <f t="shared" si="5"/>
        <v>18.612775444125905</v>
      </c>
      <c r="G22" s="18">
        <f>TTEST(B19:D19,B22:D22,2,2)</f>
        <v>2.2161683783023221E-2</v>
      </c>
      <c r="H22" s="18">
        <f>TTEST(B20:D20,B22:D22,2,2)</f>
        <v>4.0888442985824829E-2</v>
      </c>
      <c r="I22" s="18">
        <f>TTEST(B21:D21,B22:D22,2,2)</f>
        <v>0.38990646049810351</v>
      </c>
    </row>
    <row r="25" spans="1:9">
      <c r="A25" s="37" t="s">
        <v>142</v>
      </c>
      <c r="B25" s="37"/>
      <c r="C25" s="37"/>
      <c r="D25" s="37"/>
      <c r="E25" s="37"/>
      <c r="F25" s="37"/>
      <c r="G25" s="37"/>
    </row>
    <row r="26" spans="1:9">
      <c r="A26" s="11"/>
      <c r="B26" s="11" t="s">
        <v>15</v>
      </c>
      <c r="C26" s="11" t="s">
        <v>16</v>
      </c>
      <c r="D26" s="11" t="s">
        <v>17</v>
      </c>
      <c r="E26" s="11" t="s">
        <v>18</v>
      </c>
      <c r="F26" s="11" t="s">
        <v>19</v>
      </c>
      <c r="G26" s="11" t="s">
        <v>38</v>
      </c>
    </row>
    <row r="27" spans="1:9">
      <c r="A27" s="10" t="s">
        <v>39</v>
      </c>
      <c r="B27" s="10">
        <v>81</v>
      </c>
      <c r="C27" s="10">
        <v>86</v>
      </c>
      <c r="D27" s="10">
        <v>88</v>
      </c>
      <c r="E27" s="12">
        <f>AVERAGE(B27:D27)</f>
        <v>85</v>
      </c>
      <c r="F27" s="12">
        <f>STDEV(B27:D27)</f>
        <v>3.6055512754639891</v>
      </c>
      <c r="G27" s="10"/>
    </row>
    <row r="28" spans="1:9">
      <c r="A28" s="10" t="s">
        <v>40</v>
      </c>
      <c r="B28" s="10">
        <v>71</v>
      </c>
      <c r="C28" s="10">
        <v>50</v>
      </c>
      <c r="D28" s="10">
        <v>61</v>
      </c>
      <c r="E28" s="12">
        <f>AVERAGE(B28:D28)</f>
        <v>60.666666666666664</v>
      </c>
      <c r="F28" s="12">
        <f>STDEV(B28:D28)</f>
        <v>10.503967504392472</v>
      </c>
      <c r="G28" s="10">
        <f>TTEST(B27:D27,B28:D28,2,2)</f>
        <v>1.9184581836442609E-2</v>
      </c>
    </row>
  </sheetData>
  <mergeCells count="4">
    <mergeCell ref="A1:I1"/>
    <mergeCell ref="A9:I9"/>
    <mergeCell ref="A17:I17"/>
    <mergeCell ref="A25:G2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3AAEFF-FBCC-984F-8E90-7C4CD36A5DFF}">
  <dimension ref="A1:K85"/>
  <sheetViews>
    <sheetView topLeftCell="A43" workbookViewId="0">
      <selection activeCell="A68" sqref="A68:C68"/>
    </sheetView>
  </sheetViews>
  <sheetFormatPr baseColWidth="10" defaultRowHeight="16"/>
  <cols>
    <col min="1" max="1" width="18.33203125" customWidth="1"/>
    <col min="2" max="2" width="15.5" customWidth="1"/>
    <col min="3" max="3" width="16.1640625" customWidth="1"/>
    <col min="9" max="9" width="12" bestFit="1" customWidth="1"/>
    <col min="11" max="11" width="14" bestFit="1" customWidth="1"/>
  </cols>
  <sheetData>
    <row r="1" spans="1:11">
      <c r="A1" s="45" t="s">
        <v>128</v>
      </c>
      <c r="B1" s="46"/>
      <c r="C1" s="46"/>
      <c r="D1" s="46"/>
      <c r="E1" s="46"/>
      <c r="F1" s="46"/>
      <c r="G1" s="46"/>
      <c r="H1" s="46"/>
      <c r="I1" s="46"/>
      <c r="J1" s="46"/>
      <c r="K1" s="47"/>
    </row>
    <row r="2" spans="1:11">
      <c r="A2" s="10"/>
      <c r="B2" s="48" t="s">
        <v>15</v>
      </c>
      <c r="C2" s="48"/>
      <c r="D2" s="48" t="s">
        <v>16</v>
      </c>
      <c r="E2" s="48"/>
      <c r="F2" s="48" t="s">
        <v>17</v>
      </c>
      <c r="G2" s="48"/>
      <c r="H2" s="48" t="s">
        <v>18</v>
      </c>
      <c r="I2" s="48"/>
      <c r="J2" s="48" t="s">
        <v>19</v>
      </c>
      <c r="K2" s="48"/>
    </row>
    <row r="3" spans="1:11">
      <c r="A3" s="10"/>
      <c r="B3" s="10" t="s">
        <v>41</v>
      </c>
      <c r="C3" s="10" t="s">
        <v>42</v>
      </c>
      <c r="D3" s="10" t="s">
        <v>41</v>
      </c>
      <c r="E3" s="10" t="s">
        <v>42</v>
      </c>
      <c r="F3" s="10" t="s">
        <v>41</v>
      </c>
      <c r="G3" s="10" t="s">
        <v>42</v>
      </c>
      <c r="H3" s="10" t="s">
        <v>41</v>
      </c>
      <c r="I3" s="10" t="s">
        <v>42</v>
      </c>
      <c r="J3" s="10" t="s">
        <v>41</v>
      </c>
      <c r="K3" s="10" t="s">
        <v>42</v>
      </c>
    </row>
    <row r="4" spans="1:11">
      <c r="A4" s="10" t="s">
        <v>43</v>
      </c>
      <c r="B4" s="10">
        <v>216.464</v>
      </c>
      <c r="C4" s="10">
        <v>217.792</v>
      </c>
      <c r="D4" s="10">
        <v>142.096</v>
      </c>
      <c r="E4" s="10">
        <v>185.92000000000002</v>
      </c>
      <c r="F4" s="10">
        <v>203.184</v>
      </c>
      <c r="G4" s="10">
        <v>200.52800000000002</v>
      </c>
      <c r="H4" s="12">
        <f>AVERAGE(B4,D4,F4)</f>
        <v>187.24800000000002</v>
      </c>
      <c r="I4" s="12">
        <f>AVERAGE(C4,E4,G4)</f>
        <v>201.41333333333333</v>
      </c>
      <c r="J4" s="12">
        <f>STDEV(B4,D4,F4)</f>
        <v>39.662538093268857</v>
      </c>
      <c r="K4" s="12">
        <f>STDEV(C4,E4,G4)</f>
        <v>15.954433782912293</v>
      </c>
    </row>
    <row r="5" spans="1:11">
      <c r="A5" s="10" t="s">
        <v>44</v>
      </c>
      <c r="B5" s="10">
        <v>357.23200000000003</v>
      </c>
      <c r="C5" s="10">
        <v>419.64800000000002</v>
      </c>
      <c r="D5" s="10">
        <v>272.24</v>
      </c>
      <c r="E5" s="10">
        <v>401.05600000000004</v>
      </c>
      <c r="F5" s="10">
        <v>351.92</v>
      </c>
      <c r="G5" s="10">
        <v>397.072</v>
      </c>
      <c r="H5" s="12">
        <f t="shared" ref="H5:I10" si="0">AVERAGE(B5,D5,F5)</f>
        <v>327.13066666666668</v>
      </c>
      <c r="I5" s="12">
        <f t="shared" si="0"/>
        <v>405.92533333333336</v>
      </c>
      <c r="J5" s="12">
        <f t="shared" ref="J5:K10" si="1">STDEV(B5,D5,F5)</f>
        <v>47.610852768389847</v>
      </c>
      <c r="K5" s="12">
        <f t="shared" si="1"/>
        <v>12.04996885196528</v>
      </c>
    </row>
    <row r="6" spans="1:11">
      <c r="A6" s="10" t="s">
        <v>45</v>
      </c>
      <c r="B6" s="10">
        <v>466.12800000000004</v>
      </c>
      <c r="C6" s="10">
        <v>551.12</v>
      </c>
      <c r="D6" s="10">
        <v>367.85599999999999</v>
      </c>
      <c r="E6" s="10">
        <v>544.48</v>
      </c>
      <c r="F6" s="10">
        <v>459.488</v>
      </c>
      <c r="G6" s="10">
        <v>540.49599999999998</v>
      </c>
      <c r="H6" s="12">
        <f t="shared" si="0"/>
        <v>431.15733333333333</v>
      </c>
      <c r="I6" s="12">
        <f t="shared" si="0"/>
        <v>545.3653333333333</v>
      </c>
      <c r="J6" s="12">
        <f t="shared" si="1"/>
        <v>54.921002370071307</v>
      </c>
      <c r="K6" s="12">
        <f t="shared" si="1"/>
        <v>5.3670481023867707</v>
      </c>
    </row>
    <row r="7" spans="1:11">
      <c r="A7" s="10" t="s">
        <v>46</v>
      </c>
      <c r="B7" s="10">
        <v>567.05600000000004</v>
      </c>
      <c r="C7" s="10">
        <v>645.40800000000002</v>
      </c>
      <c r="D7" s="10">
        <v>438.24</v>
      </c>
      <c r="E7" s="10">
        <v>638.76800000000003</v>
      </c>
      <c r="F7" s="10">
        <v>524.56000000000006</v>
      </c>
      <c r="G7" s="10">
        <v>633.45600000000002</v>
      </c>
      <c r="H7" s="12">
        <f t="shared" si="0"/>
        <v>509.95200000000006</v>
      </c>
      <c r="I7" s="12">
        <f t="shared" si="0"/>
        <v>639.21066666666673</v>
      </c>
      <c r="J7" s="12">
        <f t="shared" si="1"/>
        <v>65.638675428438887</v>
      </c>
      <c r="K7" s="12">
        <f t="shared" si="1"/>
        <v>5.9882836717488015</v>
      </c>
    </row>
    <row r="8" spans="1:11">
      <c r="A8" s="10" t="s">
        <v>47</v>
      </c>
      <c r="B8" s="10">
        <v>677.28000000000009</v>
      </c>
      <c r="C8" s="10">
        <v>741.024</v>
      </c>
      <c r="D8" s="10">
        <v>504.64000000000004</v>
      </c>
      <c r="E8" s="10">
        <v>725.08800000000008</v>
      </c>
      <c r="F8" s="10">
        <v>626.81600000000003</v>
      </c>
      <c r="G8" s="10">
        <v>710.48</v>
      </c>
      <c r="H8" s="12">
        <f t="shared" si="0"/>
        <v>602.91200000000003</v>
      </c>
      <c r="I8" s="12">
        <f t="shared" si="0"/>
        <v>725.53066666666666</v>
      </c>
      <c r="J8" s="12">
        <f t="shared" si="1"/>
        <v>88.767636625067453</v>
      </c>
      <c r="K8" s="12">
        <f t="shared" si="1"/>
        <v>15.276810836471499</v>
      </c>
    </row>
    <row r="9" spans="1:11">
      <c r="A9" s="10" t="s">
        <v>48</v>
      </c>
      <c r="B9" s="10">
        <v>698.52800000000002</v>
      </c>
      <c r="C9" s="10">
        <v>772.89600000000007</v>
      </c>
      <c r="D9" s="10">
        <v>549.79200000000003</v>
      </c>
      <c r="E9" s="10">
        <v>735.71199999999999</v>
      </c>
      <c r="F9" s="10">
        <v>681.26400000000001</v>
      </c>
      <c r="G9" s="10">
        <v>735.71199999999999</v>
      </c>
      <c r="H9" s="12">
        <f t="shared" si="0"/>
        <v>643.19466666666676</v>
      </c>
      <c r="I9" s="12">
        <f t="shared" si="0"/>
        <v>748.10666666666668</v>
      </c>
      <c r="J9" s="12">
        <f t="shared" si="1"/>
        <v>81.348356033377954</v>
      </c>
      <c r="K9" s="12">
        <f t="shared" si="1"/>
        <v>21.468192409547093</v>
      </c>
    </row>
    <row r="10" spans="1:11">
      <c r="A10" s="10" t="s">
        <v>49</v>
      </c>
      <c r="B10" s="10">
        <v>770.24</v>
      </c>
      <c r="C10" s="10">
        <v>774.22400000000005</v>
      </c>
      <c r="D10" s="10">
        <v>588.30400000000009</v>
      </c>
      <c r="E10" s="10">
        <v>752.976</v>
      </c>
      <c r="F10" s="10">
        <v>737.04000000000008</v>
      </c>
      <c r="G10" s="10">
        <v>739.69600000000003</v>
      </c>
      <c r="H10" s="12">
        <f t="shared" si="0"/>
        <v>698.52800000000013</v>
      </c>
      <c r="I10" s="12">
        <f t="shared" si="0"/>
        <v>755.63200000000006</v>
      </c>
      <c r="J10" s="12">
        <f t="shared" si="1"/>
        <v>96.889409287083353</v>
      </c>
      <c r="K10" s="12">
        <f t="shared" si="1"/>
        <v>17.416556720546126</v>
      </c>
    </row>
    <row r="11" spans="1:11">
      <c r="A11" s="10" t="s">
        <v>50</v>
      </c>
      <c r="B11" s="10">
        <v>774.22400000000005</v>
      </c>
      <c r="C11" s="10">
        <v>771.56799999999998</v>
      </c>
      <c r="D11" s="10">
        <v>754.30400000000009</v>
      </c>
      <c r="E11" s="10">
        <v>743.68000000000006</v>
      </c>
      <c r="F11" s="10">
        <v>759.61599999999999</v>
      </c>
      <c r="G11" s="10">
        <v>734.38400000000001</v>
      </c>
      <c r="H11" s="49">
        <f>AVERAGE(B11:G11)</f>
        <v>756.29599999999994</v>
      </c>
      <c r="I11" s="49"/>
      <c r="J11" s="50"/>
      <c r="K11" s="51"/>
    </row>
    <row r="14" spans="1:11">
      <c r="A14" s="37" t="s">
        <v>143</v>
      </c>
      <c r="B14" s="37"/>
      <c r="C14" s="37"/>
    </row>
    <row r="15" spans="1:11">
      <c r="A15" s="11"/>
      <c r="B15" s="11" t="s">
        <v>51</v>
      </c>
      <c r="C15" s="11" t="s">
        <v>52</v>
      </c>
    </row>
    <row r="16" spans="1:11">
      <c r="A16" s="10" t="s">
        <v>15</v>
      </c>
      <c r="B16" s="10">
        <v>49</v>
      </c>
      <c r="C16" s="10">
        <v>93</v>
      </c>
    </row>
    <row r="17" spans="1:3">
      <c r="A17" s="10" t="s">
        <v>16</v>
      </c>
      <c r="B17" s="10">
        <v>47</v>
      </c>
      <c r="C17" s="10">
        <v>124</v>
      </c>
    </row>
    <row r="18" spans="1:3">
      <c r="A18" s="10" t="s">
        <v>17</v>
      </c>
      <c r="B18" s="10">
        <v>47</v>
      </c>
      <c r="C18" s="10">
        <v>118</v>
      </c>
    </row>
    <row r="19" spans="1:3">
      <c r="A19" s="10" t="s">
        <v>53</v>
      </c>
      <c r="B19" s="12">
        <f>AVERAGE(B16:B18)</f>
        <v>47.666666666666664</v>
      </c>
      <c r="C19" s="12">
        <f>AVERAGE(C16:C18)</f>
        <v>111.66666666666667</v>
      </c>
    </row>
    <row r="20" spans="1:3">
      <c r="A20" s="10" t="s">
        <v>54</v>
      </c>
      <c r="B20" s="12">
        <f>STDEV(B16:B18)</f>
        <v>1.1547005383792517</v>
      </c>
      <c r="C20" s="12">
        <f>STDEV(C16:C18)</f>
        <v>16.441816606851329</v>
      </c>
    </row>
    <row r="21" spans="1:3">
      <c r="A21" s="10" t="s">
        <v>38</v>
      </c>
      <c r="B21" s="10"/>
      <c r="C21" s="10">
        <f>_xlfn.T.TEST(B16:B18,C16:C18,2,2)</f>
        <v>2.5457549601291501E-3</v>
      </c>
    </row>
    <row r="24" spans="1:3">
      <c r="A24" s="52" t="s">
        <v>129</v>
      </c>
      <c r="B24" s="52"/>
      <c r="C24" s="52"/>
    </row>
    <row r="25" spans="1:3">
      <c r="A25" s="11"/>
      <c r="B25" s="11" t="s">
        <v>51</v>
      </c>
      <c r="C25" s="11" t="s">
        <v>52</v>
      </c>
    </row>
    <row r="26" spans="1:3">
      <c r="A26" s="10" t="s">
        <v>15</v>
      </c>
      <c r="B26" s="10">
        <v>251</v>
      </c>
      <c r="C26" s="10">
        <v>472</v>
      </c>
    </row>
    <row r="27" spans="1:3">
      <c r="A27" s="10" t="s">
        <v>16</v>
      </c>
      <c r="B27" s="10">
        <v>192</v>
      </c>
      <c r="C27" s="10">
        <v>449</v>
      </c>
    </row>
    <row r="28" spans="1:3">
      <c r="A28" s="10" t="s">
        <v>17</v>
      </c>
      <c r="B28" s="10">
        <v>161</v>
      </c>
      <c r="C28" s="10">
        <v>422</v>
      </c>
    </row>
    <row r="29" spans="1:3">
      <c r="A29" s="10" t="s">
        <v>53</v>
      </c>
      <c r="B29" s="12">
        <f>AVERAGE(B26:B28)</f>
        <v>201.33333333333334</v>
      </c>
      <c r="C29" s="12">
        <f>AVERAGE(C26:C28)</f>
        <v>447.66666666666669</v>
      </c>
    </row>
    <row r="30" spans="1:3">
      <c r="A30" s="10" t="s">
        <v>54</v>
      </c>
      <c r="B30" s="12">
        <f>STDEV(B26:B28)</f>
        <v>45.720163312627569</v>
      </c>
      <c r="C30" s="12">
        <f>STDEV(C26:C28)</f>
        <v>25.026652459594615</v>
      </c>
    </row>
    <row r="31" spans="1:3">
      <c r="A31" s="10" t="s">
        <v>38</v>
      </c>
      <c r="B31" s="10"/>
      <c r="C31" s="10">
        <f>_xlfn.T.TEST(B26:B28,C26:C28,2,2)</f>
        <v>1.2130274196003158E-3</v>
      </c>
    </row>
    <row r="34" spans="1:11">
      <c r="A34" s="52" t="s">
        <v>144</v>
      </c>
      <c r="B34" s="52"/>
      <c r="C34" s="52"/>
    </row>
    <row r="35" spans="1:11">
      <c r="A35" s="11"/>
      <c r="B35" s="11" t="s">
        <v>51</v>
      </c>
      <c r="C35" s="11" t="s">
        <v>52</v>
      </c>
    </row>
    <row r="36" spans="1:11">
      <c r="A36" s="10" t="s">
        <v>15</v>
      </c>
      <c r="B36" s="12">
        <v>68.912244897959198</v>
      </c>
      <c r="C36" s="12">
        <v>191.38172043010749</v>
      </c>
    </row>
    <row r="37" spans="1:11">
      <c r="A37" s="10" t="s">
        <v>16</v>
      </c>
      <c r="B37" s="12">
        <v>64.565957446808497</v>
      </c>
      <c r="C37" s="12">
        <v>196.9983870967742</v>
      </c>
    </row>
    <row r="38" spans="1:11">
      <c r="A38" s="10" t="s">
        <v>17</v>
      </c>
      <c r="B38" s="12">
        <v>67.557446808510647</v>
      </c>
      <c r="C38" s="12">
        <v>200.83135593220345</v>
      </c>
    </row>
    <row r="39" spans="1:11">
      <c r="A39" s="10" t="s">
        <v>53</v>
      </c>
      <c r="B39" s="12">
        <f>AVERAGE(B36:B38)</f>
        <v>67.011883051092767</v>
      </c>
      <c r="C39" s="12">
        <f>AVERAGE(C36:C38)</f>
        <v>196.40382115302839</v>
      </c>
    </row>
    <row r="40" spans="1:11">
      <c r="A40" s="10" t="s">
        <v>54</v>
      </c>
      <c r="B40" s="12">
        <f>STDEV(B36:B38)</f>
        <v>2.2239117590550754</v>
      </c>
      <c r="C40" s="12">
        <f>STDEV(C36:C38)</f>
        <v>4.7527922610519013</v>
      </c>
    </row>
    <row r="41" spans="1:11">
      <c r="A41" s="10" t="s">
        <v>38</v>
      </c>
      <c r="B41" s="10"/>
      <c r="C41" s="10">
        <f>_xlfn.T.TEST(B36:B38,C36:C38,2,2)</f>
        <v>1.7966302974659465E-6</v>
      </c>
    </row>
    <row r="44" spans="1:11">
      <c r="A44" s="21"/>
    </row>
    <row r="45" spans="1:11">
      <c r="A45" s="45" t="s">
        <v>126</v>
      </c>
      <c r="B45" s="46"/>
      <c r="C45" s="46"/>
      <c r="D45" s="46"/>
      <c r="E45" s="46"/>
      <c r="F45" s="46"/>
      <c r="G45" s="46"/>
      <c r="H45" s="46"/>
      <c r="I45" s="46"/>
      <c r="J45" s="46"/>
      <c r="K45" s="47"/>
    </row>
    <row r="46" spans="1:11">
      <c r="A46" s="10"/>
      <c r="B46" s="48" t="s">
        <v>15</v>
      </c>
      <c r="C46" s="48"/>
      <c r="D46" s="48" t="s">
        <v>16</v>
      </c>
      <c r="E46" s="48"/>
      <c r="F46" s="48" t="s">
        <v>17</v>
      </c>
      <c r="G46" s="48"/>
      <c r="H46" s="48" t="s">
        <v>18</v>
      </c>
      <c r="I46" s="48"/>
      <c r="J46" s="48" t="s">
        <v>19</v>
      </c>
      <c r="K46" s="48"/>
    </row>
    <row r="47" spans="1:11">
      <c r="A47" s="10"/>
      <c r="B47" s="10" t="s">
        <v>55</v>
      </c>
      <c r="C47" s="10" t="s">
        <v>56</v>
      </c>
      <c r="D47" s="10" t="s">
        <v>55</v>
      </c>
      <c r="E47" s="10" t="s">
        <v>56</v>
      </c>
      <c r="F47" s="10" t="s">
        <v>55</v>
      </c>
      <c r="G47" s="10" t="s">
        <v>56</v>
      </c>
      <c r="H47" s="10" t="s">
        <v>55</v>
      </c>
      <c r="I47" s="10" t="s">
        <v>56</v>
      </c>
      <c r="J47" s="10" t="s">
        <v>55</v>
      </c>
      <c r="K47" s="10" t="s">
        <v>56</v>
      </c>
    </row>
    <row r="48" spans="1:11">
      <c r="A48" s="10" t="s">
        <v>43</v>
      </c>
      <c r="B48" s="12">
        <v>266.928</v>
      </c>
      <c r="C48" s="12">
        <v>94.288000000000011</v>
      </c>
      <c r="D48" s="12">
        <v>248.33600000000001</v>
      </c>
      <c r="E48" s="12">
        <v>96.944000000000003</v>
      </c>
      <c r="F48" s="12">
        <v>245.68</v>
      </c>
      <c r="G48" s="12">
        <v>124.83200000000001</v>
      </c>
      <c r="H48" s="12">
        <f>AVERAGE(B48,D48,F48)</f>
        <v>253.648</v>
      </c>
      <c r="I48" s="12">
        <f>AVERAGE(C48,E48,G48)</f>
        <v>105.35466666666667</v>
      </c>
      <c r="J48" s="10">
        <f>STDEV(B48,D48,F48)</f>
        <v>11.577235594044021</v>
      </c>
      <c r="K48" s="10">
        <f>STDEV(C48,E48,G48)</f>
        <v>16.92006115040169</v>
      </c>
    </row>
    <row r="49" spans="1:11">
      <c r="A49" s="10" t="s">
        <v>44</v>
      </c>
      <c r="B49" s="12">
        <v>476.75200000000001</v>
      </c>
      <c r="C49" s="12">
        <v>296.14400000000001</v>
      </c>
      <c r="D49" s="12">
        <v>484.72</v>
      </c>
      <c r="E49" s="12">
        <v>248.33600000000001</v>
      </c>
      <c r="F49" s="12">
        <v>448.86400000000003</v>
      </c>
      <c r="G49" s="12">
        <v>265.60000000000002</v>
      </c>
      <c r="H49" s="12">
        <f t="shared" ref="H49:I54" si="2">AVERAGE(B49,D49,F49)</f>
        <v>470.11200000000002</v>
      </c>
      <c r="I49" s="12">
        <f t="shared" si="2"/>
        <v>270.0266666666667</v>
      </c>
      <c r="J49" s="10">
        <f t="shared" ref="J49:K54" si="3">STDEV(B49,D49,F49)</f>
        <v>18.827649454990386</v>
      </c>
      <c r="K49" s="10">
        <f t="shared" si="3"/>
        <v>24.209455783501891</v>
      </c>
    </row>
    <row r="50" spans="1:11">
      <c r="A50" s="10" t="s">
        <v>45</v>
      </c>
      <c r="B50" s="12">
        <v>618.84800000000007</v>
      </c>
      <c r="C50" s="12">
        <v>382.464</v>
      </c>
      <c r="D50" s="12">
        <v>618.84800000000007</v>
      </c>
      <c r="E50" s="12">
        <v>347.93600000000004</v>
      </c>
      <c r="F50" s="12">
        <v>568.38400000000001</v>
      </c>
      <c r="G50" s="12">
        <v>318.72000000000003</v>
      </c>
      <c r="H50" s="12">
        <f t="shared" si="2"/>
        <v>602.02666666666676</v>
      </c>
      <c r="I50" s="12">
        <f t="shared" si="2"/>
        <v>349.70666666666671</v>
      </c>
      <c r="J50" s="10">
        <f t="shared" si="3"/>
        <v>29.135403984385306</v>
      </c>
      <c r="K50" s="10">
        <f t="shared" si="3"/>
        <v>31.908867565824586</v>
      </c>
    </row>
    <row r="51" spans="1:11">
      <c r="A51" s="10" t="s">
        <v>46</v>
      </c>
      <c r="B51" s="12">
        <v>729.072</v>
      </c>
      <c r="C51" s="12">
        <v>443.55200000000002</v>
      </c>
      <c r="D51" s="12">
        <v>772.89600000000007</v>
      </c>
      <c r="E51" s="12">
        <v>427.61600000000004</v>
      </c>
      <c r="F51" s="12">
        <v>689.23200000000008</v>
      </c>
      <c r="G51" s="12">
        <v>353.24799999999999</v>
      </c>
      <c r="H51" s="12">
        <f t="shared" si="2"/>
        <v>730.40000000000009</v>
      </c>
      <c r="I51" s="12">
        <f t="shared" si="2"/>
        <v>408.13866666666672</v>
      </c>
      <c r="J51" s="10">
        <f t="shared" si="3"/>
        <v>41.847806537499665</v>
      </c>
      <c r="K51" s="10">
        <f t="shared" si="3"/>
        <v>48.199875407861121</v>
      </c>
    </row>
    <row r="52" spans="1:11">
      <c r="A52" s="10" t="s">
        <v>47</v>
      </c>
      <c r="B52" s="12">
        <v>729.072</v>
      </c>
      <c r="C52" s="12">
        <v>462.14400000000001</v>
      </c>
      <c r="D52" s="12">
        <v>845.93600000000004</v>
      </c>
      <c r="E52" s="12">
        <v>467.45600000000002</v>
      </c>
      <c r="F52" s="12">
        <v>776.88</v>
      </c>
      <c r="G52" s="12">
        <v>415.66400000000004</v>
      </c>
      <c r="H52" s="12">
        <f t="shared" si="2"/>
        <v>783.96266666666668</v>
      </c>
      <c r="I52" s="12">
        <f t="shared" si="2"/>
        <v>448.42133333333339</v>
      </c>
      <c r="J52" s="10">
        <f t="shared" si="3"/>
        <v>58.753057361581916</v>
      </c>
      <c r="K52" s="10">
        <f t="shared" si="3"/>
        <v>28.492744713932566</v>
      </c>
    </row>
    <row r="53" spans="1:11">
      <c r="A53" s="10" t="s">
        <v>48</v>
      </c>
      <c r="B53" s="12">
        <v>731.72800000000007</v>
      </c>
      <c r="C53" s="12">
        <v>478.08000000000004</v>
      </c>
      <c r="D53" s="12">
        <v>853.904</v>
      </c>
      <c r="E53" s="12">
        <v>479.40800000000002</v>
      </c>
      <c r="F53" s="12">
        <v>811.40800000000002</v>
      </c>
      <c r="G53" s="12">
        <v>434.25600000000003</v>
      </c>
      <c r="H53" s="12">
        <f t="shared" si="2"/>
        <v>799.01333333333332</v>
      </c>
      <c r="I53" s="12">
        <f t="shared" si="2"/>
        <v>463.91466666666673</v>
      </c>
      <c r="J53" s="10">
        <f t="shared" si="3"/>
        <v>62.023903177189105</v>
      </c>
      <c r="K53" s="10">
        <f t="shared" si="3"/>
        <v>25.693740041755955</v>
      </c>
    </row>
    <row r="54" spans="1:11">
      <c r="A54" s="10" t="s">
        <v>49</v>
      </c>
      <c r="B54" s="12">
        <v>726.41600000000005</v>
      </c>
      <c r="C54" s="12">
        <v>520.57600000000002</v>
      </c>
      <c r="D54" s="12">
        <v>861.87200000000007</v>
      </c>
      <c r="E54" s="12">
        <v>556.43200000000002</v>
      </c>
      <c r="F54" s="12">
        <v>810.08</v>
      </c>
      <c r="G54" s="12">
        <v>482.06400000000002</v>
      </c>
      <c r="H54" s="12">
        <f t="shared" si="2"/>
        <v>799.45600000000002</v>
      </c>
      <c r="I54" s="12">
        <f t="shared" si="2"/>
        <v>519.69066666666674</v>
      </c>
      <c r="J54" s="10">
        <f t="shared" si="3"/>
        <v>68.350084242815683</v>
      </c>
      <c r="K54" s="10">
        <f t="shared" si="3"/>
        <v>37.191903921866285</v>
      </c>
    </row>
    <row r="55" spans="1:11">
      <c r="A55" s="10" t="s">
        <v>50</v>
      </c>
      <c r="B55" s="12">
        <v>726.41600000000005</v>
      </c>
      <c r="C55" s="12">
        <v>723.76</v>
      </c>
      <c r="D55" s="12">
        <v>861.87200000000007</v>
      </c>
      <c r="E55" s="12">
        <v>772.89600000000007</v>
      </c>
      <c r="F55" s="12">
        <v>810.08</v>
      </c>
      <c r="G55" s="12">
        <v>798.12800000000004</v>
      </c>
      <c r="H55" s="49">
        <f>AVERAGE(B55:G55)</f>
        <v>782.19200000000001</v>
      </c>
      <c r="I55" s="49"/>
      <c r="J55" s="53"/>
      <c r="K55" s="54"/>
    </row>
    <row r="58" spans="1:11">
      <c r="A58" s="52" t="s">
        <v>145</v>
      </c>
      <c r="B58" s="52"/>
      <c r="C58" s="52"/>
    </row>
    <row r="59" spans="1:11">
      <c r="A59" s="10"/>
      <c r="B59" s="10" t="s">
        <v>57</v>
      </c>
      <c r="C59" s="10" t="s">
        <v>58</v>
      </c>
    </row>
    <row r="60" spans="1:11">
      <c r="A60" s="10" t="s">
        <v>4</v>
      </c>
      <c r="B60" s="10">
        <v>101</v>
      </c>
      <c r="C60" s="10">
        <v>72</v>
      </c>
    </row>
    <row r="61" spans="1:11">
      <c r="A61" s="10" t="s">
        <v>5</v>
      </c>
      <c r="B61" s="10">
        <v>90</v>
      </c>
      <c r="C61" s="10">
        <v>68</v>
      </c>
    </row>
    <row r="62" spans="1:11">
      <c r="A62" s="10" t="s">
        <v>6</v>
      </c>
      <c r="B62" s="10">
        <v>119</v>
      </c>
      <c r="C62" s="10">
        <v>68</v>
      </c>
    </row>
    <row r="63" spans="1:11">
      <c r="A63" s="10" t="s">
        <v>11</v>
      </c>
      <c r="B63" s="12">
        <f>AVERAGE(B60:B62)</f>
        <v>103.33333333333333</v>
      </c>
      <c r="C63" s="12">
        <f>AVERAGE(C60:C62)</f>
        <v>69.333333333333329</v>
      </c>
    </row>
    <row r="64" spans="1:11">
      <c r="A64" s="10" t="s">
        <v>12</v>
      </c>
      <c r="B64" s="12">
        <f>STDEV(B60:B62)</f>
        <v>14.640127503998521</v>
      </c>
      <c r="C64" s="12">
        <f>STDEV(C60:C62)</f>
        <v>2.3094010767585034</v>
      </c>
    </row>
    <row r="65" spans="1:3">
      <c r="A65" s="10" t="s">
        <v>59</v>
      </c>
      <c r="B65" s="10"/>
      <c r="C65" s="10">
        <f>TTEST(B60:B62,C60:C62,2,2)</f>
        <v>1.6492369630464198E-2</v>
      </c>
    </row>
    <row r="68" spans="1:3">
      <c r="A68" s="52" t="s">
        <v>146</v>
      </c>
      <c r="B68" s="52"/>
      <c r="C68" s="52"/>
    </row>
    <row r="69" spans="1:3">
      <c r="A69" s="10"/>
      <c r="B69" s="10" t="s">
        <v>57</v>
      </c>
      <c r="C69" s="10" t="s">
        <v>58</v>
      </c>
    </row>
    <row r="70" spans="1:3">
      <c r="A70" s="10" t="s">
        <v>4</v>
      </c>
      <c r="B70" s="10">
        <v>472</v>
      </c>
      <c r="C70" s="10">
        <v>346</v>
      </c>
    </row>
    <row r="71" spans="1:3">
      <c r="A71" s="10" t="s">
        <v>5</v>
      </c>
      <c r="B71" s="10">
        <v>606</v>
      </c>
      <c r="C71" s="10">
        <v>281</v>
      </c>
    </row>
    <row r="72" spans="1:3">
      <c r="A72" s="10" t="s">
        <v>6</v>
      </c>
      <c r="B72" s="10">
        <v>416</v>
      </c>
      <c r="C72" s="10">
        <v>255</v>
      </c>
    </row>
    <row r="73" spans="1:3">
      <c r="A73" s="10" t="s">
        <v>11</v>
      </c>
      <c r="B73" s="12">
        <f>AVERAGE(B70:B72)</f>
        <v>498</v>
      </c>
      <c r="C73" s="12">
        <f>AVERAGE(C70:C72)</f>
        <v>294</v>
      </c>
    </row>
    <row r="74" spans="1:3">
      <c r="A74" s="10" t="s">
        <v>12</v>
      </c>
      <c r="B74" s="12">
        <f>STDEV(B70:B72)</f>
        <v>97.631961979671388</v>
      </c>
      <c r="C74" s="12">
        <f>STDEV(C70:C72)</f>
        <v>46.872166581031863</v>
      </c>
    </row>
    <row r="75" spans="1:3">
      <c r="A75" s="10" t="s">
        <v>59</v>
      </c>
      <c r="B75" s="10"/>
      <c r="C75" s="10">
        <f>TTEST(B70:B72,C70:C72,2,2)</f>
        <v>3.1005449726007658E-2</v>
      </c>
    </row>
    <row r="78" spans="1:3">
      <c r="A78" s="52" t="s">
        <v>127</v>
      </c>
      <c r="B78" s="52"/>
      <c r="C78" s="52"/>
    </row>
    <row r="79" spans="1:3">
      <c r="A79" s="10"/>
      <c r="B79" s="10" t="s">
        <v>60</v>
      </c>
      <c r="C79" s="10" t="s">
        <v>58</v>
      </c>
    </row>
    <row r="80" spans="1:3">
      <c r="A80" s="10" t="s">
        <v>4</v>
      </c>
      <c r="B80" s="12">
        <v>199.39009900990098</v>
      </c>
      <c r="C80" s="12">
        <v>140.24444444444441</v>
      </c>
    </row>
    <row r="81" spans="1:3">
      <c r="A81" s="10" t="s">
        <v>5</v>
      </c>
      <c r="B81" s="12">
        <v>223.06111111111107</v>
      </c>
      <c r="C81" s="12">
        <v>119.36470588235294</v>
      </c>
    </row>
    <row r="82" spans="1:3">
      <c r="A82" s="10" t="s">
        <v>6</v>
      </c>
      <c r="B82" s="12">
        <v>191.43361344537814</v>
      </c>
      <c r="C82" s="12">
        <v>106.64117647058823</v>
      </c>
    </row>
    <row r="83" spans="1:3">
      <c r="A83" s="10" t="s">
        <v>11</v>
      </c>
      <c r="B83" s="12">
        <f>AVERAGE(B80:B82)</f>
        <v>204.62827452213006</v>
      </c>
      <c r="C83" s="12">
        <f>AVERAGE(C80:C82)</f>
        <v>122.0834422657952</v>
      </c>
    </row>
    <row r="84" spans="1:3">
      <c r="A84" s="10" t="s">
        <v>12</v>
      </c>
      <c r="B84" s="12">
        <f>STDEV(B80:B82)</f>
        <v>16.451550509653273</v>
      </c>
      <c r="C84" s="12">
        <f>STDEV(C80:C82)</f>
        <v>16.965805323434697</v>
      </c>
    </row>
    <row r="85" spans="1:3">
      <c r="A85" s="10" t="s">
        <v>59</v>
      </c>
      <c r="B85" s="10"/>
      <c r="C85" s="10">
        <f>TTEST(B80:B82,C80:C82,2,2)</f>
        <v>3.7665680631598407E-3</v>
      </c>
    </row>
  </sheetData>
  <mergeCells count="22">
    <mergeCell ref="A45:K45"/>
    <mergeCell ref="A58:C58"/>
    <mergeCell ref="A68:C68"/>
    <mergeCell ref="A78:C78"/>
    <mergeCell ref="B46:C46"/>
    <mergeCell ref="D46:E46"/>
    <mergeCell ref="F46:G46"/>
    <mergeCell ref="H46:I46"/>
    <mergeCell ref="J46:K46"/>
    <mergeCell ref="H55:I55"/>
    <mergeCell ref="J55:K55"/>
    <mergeCell ref="H11:I11"/>
    <mergeCell ref="J11:K11"/>
    <mergeCell ref="A14:C14"/>
    <mergeCell ref="A24:C24"/>
    <mergeCell ref="A34:C34"/>
    <mergeCell ref="A1:K1"/>
    <mergeCell ref="B2:C2"/>
    <mergeCell ref="D2:E2"/>
    <mergeCell ref="F2:G2"/>
    <mergeCell ref="H2:I2"/>
    <mergeCell ref="J2:K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8E4FB3-9F8D-1A40-BDBB-A852F33FEDA2}">
  <dimension ref="A1:H5"/>
  <sheetViews>
    <sheetView zoomScale="133" workbookViewId="0">
      <selection activeCell="E8" sqref="E8"/>
    </sheetView>
  </sheetViews>
  <sheetFormatPr baseColWidth="10" defaultRowHeight="16"/>
  <cols>
    <col min="1" max="1" width="12.6640625" bestFit="1" customWidth="1"/>
    <col min="2" max="6" width="12.1640625" bestFit="1" customWidth="1"/>
    <col min="7" max="7" width="21.83203125" bestFit="1" customWidth="1"/>
    <col min="8" max="8" width="19.1640625" bestFit="1" customWidth="1"/>
  </cols>
  <sheetData>
    <row r="1" spans="1:8">
      <c r="A1" s="6"/>
      <c r="B1" s="55" t="s">
        <v>130</v>
      </c>
      <c r="C1" s="55"/>
      <c r="D1" s="55"/>
      <c r="E1" s="55"/>
      <c r="F1" s="55"/>
      <c r="G1" s="6"/>
      <c r="H1" s="6"/>
    </row>
    <row r="2" spans="1:8">
      <c r="A2" s="6"/>
      <c r="B2" s="6" t="s">
        <v>61</v>
      </c>
      <c r="C2" s="6" t="s">
        <v>62</v>
      </c>
      <c r="D2" s="6" t="s">
        <v>63</v>
      </c>
      <c r="E2" s="6" t="s">
        <v>53</v>
      </c>
      <c r="F2" s="6" t="s">
        <v>54</v>
      </c>
      <c r="G2" s="6" t="s">
        <v>64</v>
      </c>
      <c r="H2" s="6" t="s">
        <v>65</v>
      </c>
    </row>
    <row r="3" spans="1:8">
      <c r="A3" s="6" t="s">
        <v>66</v>
      </c>
      <c r="B3" s="33">
        <v>110.28571428571429</v>
      </c>
      <c r="C3" s="33">
        <v>112.57142857142857</v>
      </c>
      <c r="D3" s="33">
        <v>136.28571428571428</v>
      </c>
      <c r="E3" s="33">
        <v>119.71428571428571</v>
      </c>
      <c r="F3" s="33">
        <v>14.396711642678991</v>
      </c>
      <c r="G3" s="6"/>
      <c r="H3" s="6"/>
    </row>
    <row r="4" spans="1:8">
      <c r="A4" s="6" t="s">
        <v>67</v>
      </c>
      <c r="B4" s="33">
        <v>146.28571428571428</v>
      </c>
      <c r="C4" s="33">
        <v>118.57142857142857</v>
      </c>
      <c r="D4" s="33">
        <v>146.85714285714286</v>
      </c>
      <c r="E4" s="33">
        <v>137.23809523809521</v>
      </c>
      <c r="F4" s="33">
        <v>16.168332195572756</v>
      </c>
      <c r="G4" s="6"/>
      <c r="H4" s="6"/>
    </row>
    <row r="5" spans="1:8">
      <c r="A5" s="6" t="s">
        <v>68</v>
      </c>
      <c r="B5" s="33">
        <v>126.85714285714286</v>
      </c>
      <c r="C5" s="33">
        <v>135.42857142857142</v>
      </c>
      <c r="D5" s="33">
        <v>142.85714285714286</v>
      </c>
      <c r="E5" s="33">
        <v>135.04761904761904</v>
      </c>
      <c r="F5" s="33">
        <v>8.006799831231886</v>
      </c>
      <c r="G5" s="6">
        <v>0.18221704887316192</v>
      </c>
      <c r="H5" s="6">
        <v>0.84372269322470328</v>
      </c>
    </row>
  </sheetData>
  <mergeCells count="1">
    <mergeCell ref="B1:F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E6CF5F-FC53-7042-92FE-B027441F7C1F}">
  <dimension ref="A1:P8"/>
  <sheetViews>
    <sheetView workbookViewId="0">
      <selection activeCell="D15" sqref="D15"/>
    </sheetView>
  </sheetViews>
  <sheetFormatPr baseColWidth="10" defaultRowHeight="16"/>
  <sheetData>
    <row r="1" spans="1:16">
      <c r="A1" s="37" t="s">
        <v>131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</row>
    <row r="2" spans="1:16">
      <c r="A2" s="10"/>
      <c r="B2" s="48" t="s">
        <v>69</v>
      </c>
      <c r="C2" s="48"/>
      <c r="D2" s="48"/>
      <c r="E2" s="48" t="s">
        <v>70</v>
      </c>
      <c r="F2" s="48"/>
      <c r="G2" s="48"/>
      <c r="H2" s="48" t="s">
        <v>71</v>
      </c>
      <c r="I2" s="48"/>
      <c r="J2" s="48"/>
      <c r="K2" s="48" t="s">
        <v>72</v>
      </c>
      <c r="L2" s="48"/>
      <c r="M2" s="48"/>
      <c r="N2" s="48" t="s">
        <v>73</v>
      </c>
      <c r="O2" s="48"/>
      <c r="P2" s="48"/>
    </row>
    <row r="3" spans="1:16">
      <c r="A3" s="10"/>
      <c r="B3" s="10" t="s">
        <v>8</v>
      </c>
      <c r="C3" s="10" t="s">
        <v>9</v>
      </c>
      <c r="D3" s="10" t="s">
        <v>10</v>
      </c>
      <c r="E3" s="10" t="s">
        <v>8</v>
      </c>
      <c r="F3" s="10" t="s">
        <v>9</v>
      </c>
      <c r="G3" s="10" t="s">
        <v>10</v>
      </c>
      <c r="H3" s="10" t="s">
        <v>8</v>
      </c>
      <c r="I3" s="10" t="s">
        <v>9</v>
      </c>
      <c r="J3" s="10" t="s">
        <v>10</v>
      </c>
      <c r="K3" s="10" t="s">
        <v>74</v>
      </c>
      <c r="L3" s="10" t="s">
        <v>9</v>
      </c>
      <c r="M3" s="10" t="s">
        <v>10</v>
      </c>
      <c r="N3" s="10" t="s">
        <v>8</v>
      </c>
      <c r="O3" s="10" t="s">
        <v>9</v>
      </c>
      <c r="P3" s="10" t="s">
        <v>10</v>
      </c>
    </row>
    <row r="4" spans="1:16">
      <c r="A4" s="10" t="s">
        <v>4</v>
      </c>
      <c r="B4" s="10">
        <v>54</v>
      </c>
      <c r="C4" s="10">
        <v>152</v>
      </c>
      <c r="D4" s="10">
        <v>182</v>
      </c>
      <c r="E4" s="10">
        <v>33</v>
      </c>
      <c r="F4" s="10">
        <v>121</v>
      </c>
      <c r="G4" s="10">
        <v>151</v>
      </c>
      <c r="H4" s="10">
        <v>23</v>
      </c>
      <c r="I4" s="10">
        <v>95</v>
      </c>
      <c r="J4" s="10">
        <v>114</v>
      </c>
      <c r="K4" s="10">
        <v>17</v>
      </c>
      <c r="L4" s="10">
        <v>76</v>
      </c>
      <c r="M4" s="10">
        <v>80</v>
      </c>
      <c r="N4" s="10">
        <v>12</v>
      </c>
      <c r="O4" s="10">
        <v>40</v>
      </c>
      <c r="P4" s="10">
        <v>62</v>
      </c>
    </row>
    <row r="5" spans="1:16">
      <c r="A5" s="10" t="s">
        <v>5</v>
      </c>
      <c r="B5" s="10">
        <v>42</v>
      </c>
      <c r="C5" s="10">
        <v>135</v>
      </c>
      <c r="D5" s="10">
        <v>176</v>
      </c>
      <c r="E5" s="10">
        <v>24</v>
      </c>
      <c r="F5" s="10">
        <v>116</v>
      </c>
      <c r="G5" s="10">
        <v>146</v>
      </c>
      <c r="H5" s="10">
        <v>15</v>
      </c>
      <c r="I5" s="10">
        <v>81</v>
      </c>
      <c r="J5" s="10">
        <v>106</v>
      </c>
      <c r="K5" s="10">
        <v>8</v>
      </c>
      <c r="L5" s="10">
        <v>64</v>
      </c>
      <c r="M5" s="10">
        <v>76</v>
      </c>
      <c r="N5" s="10">
        <v>5</v>
      </c>
      <c r="O5" s="10">
        <v>45</v>
      </c>
      <c r="P5" s="10">
        <v>62</v>
      </c>
    </row>
    <row r="6" spans="1:16">
      <c r="A6" s="10" t="s">
        <v>6</v>
      </c>
      <c r="B6" s="10">
        <v>51</v>
      </c>
      <c r="C6" s="10">
        <v>127</v>
      </c>
      <c r="D6" s="10">
        <v>162</v>
      </c>
      <c r="E6" s="10">
        <v>35</v>
      </c>
      <c r="F6" s="10">
        <v>106</v>
      </c>
      <c r="G6" s="10">
        <v>138</v>
      </c>
      <c r="H6" s="10">
        <v>20</v>
      </c>
      <c r="I6" s="10">
        <v>79</v>
      </c>
      <c r="J6" s="10">
        <v>95</v>
      </c>
      <c r="K6" s="10">
        <v>12</v>
      </c>
      <c r="L6" s="10">
        <v>53</v>
      </c>
      <c r="M6" s="10">
        <v>64</v>
      </c>
      <c r="N6" s="10">
        <v>5</v>
      </c>
      <c r="O6" s="10">
        <v>34</v>
      </c>
      <c r="P6" s="10">
        <v>39</v>
      </c>
    </row>
    <row r="7" spans="1:16">
      <c r="A7" s="10" t="s">
        <v>11</v>
      </c>
      <c r="B7" s="12">
        <f>AVERAGE(B4:B6)</f>
        <v>49</v>
      </c>
      <c r="C7" s="12">
        <f t="shared" ref="C7:P7" si="0">AVERAGE(C4:C6)</f>
        <v>138</v>
      </c>
      <c r="D7" s="12">
        <f t="shared" si="0"/>
        <v>173.33333333333334</v>
      </c>
      <c r="E7" s="12">
        <f t="shared" si="0"/>
        <v>30.666666666666668</v>
      </c>
      <c r="F7" s="12">
        <f t="shared" si="0"/>
        <v>114.33333333333333</v>
      </c>
      <c r="G7" s="12">
        <f t="shared" si="0"/>
        <v>145</v>
      </c>
      <c r="H7" s="12">
        <f t="shared" si="0"/>
        <v>19.333333333333332</v>
      </c>
      <c r="I7" s="12">
        <f t="shared" si="0"/>
        <v>85</v>
      </c>
      <c r="J7" s="12">
        <f t="shared" si="0"/>
        <v>105</v>
      </c>
      <c r="K7" s="12">
        <f t="shared" si="0"/>
        <v>12.333333333333334</v>
      </c>
      <c r="L7" s="12">
        <f t="shared" si="0"/>
        <v>64.333333333333329</v>
      </c>
      <c r="M7" s="12">
        <f t="shared" si="0"/>
        <v>73.333333333333329</v>
      </c>
      <c r="N7" s="12">
        <f t="shared" si="0"/>
        <v>7.333333333333333</v>
      </c>
      <c r="O7" s="12">
        <f t="shared" si="0"/>
        <v>39.666666666666664</v>
      </c>
      <c r="P7" s="12">
        <f t="shared" si="0"/>
        <v>54.333333333333336</v>
      </c>
    </row>
    <row r="8" spans="1:16">
      <c r="A8" s="10" t="s">
        <v>12</v>
      </c>
      <c r="B8" s="12">
        <f>STDEV(B4:B6)</f>
        <v>6.2449979983983983</v>
      </c>
      <c r="C8" s="12">
        <f t="shared" ref="C8:P8" si="1">STDEV(C4:C6)</f>
        <v>12.767145334803704</v>
      </c>
      <c r="D8" s="12">
        <f t="shared" si="1"/>
        <v>10.263202878893768</v>
      </c>
      <c r="E8" s="12">
        <f t="shared" si="1"/>
        <v>5.8594652770823084</v>
      </c>
      <c r="F8" s="12">
        <f t="shared" si="1"/>
        <v>7.6376261582597333</v>
      </c>
      <c r="G8" s="12">
        <f t="shared" si="1"/>
        <v>6.5574385243020004</v>
      </c>
      <c r="H8" s="12">
        <f t="shared" si="1"/>
        <v>4.041451884327385</v>
      </c>
      <c r="I8" s="12">
        <f t="shared" si="1"/>
        <v>8.717797887081348</v>
      </c>
      <c r="J8" s="12">
        <f t="shared" si="1"/>
        <v>9.5393920141694561</v>
      </c>
      <c r="K8" s="12">
        <f t="shared" si="1"/>
        <v>4.5092497528228952</v>
      </c>
      <c r="L8" s="12">
        <f t="shared" si="1"/>
        <v>11.503622617824918</v>
      </c>
      <c r="M8" s="12">
        <f t="shared" si="1"/>
        <v>8.3266639978645323</v>
      </c>
      <c r="N8" s="12">
        <f t="shared" si="1"/>
        <v>4.0414518843273797</v>
      </c>
      <c r="O8" s="12">
        <f t="shared" si="1"/>
        <v>5.5075705472861154</v>
      </c>
      <c r="P8" s="12">
        <f t="shared" si="1"/>
        <v>13.279056191361381</v>
      </c>
    </row>
  </sheetData>
  <mergeCells count="6">
    <mergeCell ref="A1:P1"/>
    <mergeCell ref="B2:D2"/>
    <mergeCell ref="E2:G2"/>
    <mergeCell ref="H2:J2"/>
    <mergeCell ref="K2:M2"/>
    <mergeCell ref="N2:P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A9FFA6-77E4-BE4E-A291-CB4801508393}">
  <dimension ref="A1:H14"/>
  <sheetViews>
    <sheetView zoomScale="125" workbookViewId="0">
      <selection activeCell="E21" sqref="E21"/>
    </sheetView>
  </sheetViews>
  <sheetFormatPr baseColWidth="10" defaultRowHeight="16"/>
  <cols>
    <col min="1" max="1" width="14" bestFit="1" customWidth="1"/>
    <col min="2" max="2" width="12" customWidth="1"/>
    <col min="3" max="3" width="11.83203125" customWidth="1"/>
    <col min="4" max="4" width="13" customWidth="1"/>
    <col min="5" max="6" width="7.1640625" bestFit="1" customWidth="1"/>
    <col min="7" max="8" width="18.83203125" bestFit="1" customWidth="1"/>
  </cols>
  <sheetData>
    <row r="1" spans="1:8">
      <c r="A1" s="57" t="s">
        <v>81</v>
      </c>
      <c r="B1" s="57"/>
      <c r="C1" s="57"/>
      <c r="D1" s="57"/>
      <c r="E1" s="57"/>
      <c r="F1" s="57"/>
      <c r="G1" s="57"/>
      <c r="H1" s="57"/>
    </row>
    <row r="2" spans="1:8">
      <c r="A2" s="18"/>
      <c r="B2" s="56" t="s">
        <v>75</v>
      </c>
      <c r="C2" s="56"/>
      <c r="D2" s="56"/>
      <c r="E2" s="56"/>
      <c r="F2" s="56"/>
      <c r="G2" s="18"/>
      <c r="H2" s="18"/>
    </row>
    <row r="3" spans="1:8">
      <c r="A3" s="15"/>
      <c r="B3" s="15" t="s">
        <v>15</v>
      </c>
      <c r="C3" s="15" t="s">
        <v>16</v>
      </c>
      <c r="D3" s="15" t="s">
        <v>17</v>
      </c>
      <c r="E3" s="15" t="s">
        <v>18</v>
      </c>
      <c r="F3" s="15" t="s">
        <v>19</v>
      </c>
      <c r="G3" s="15" t="s">
        <v>76</v>
      </c>
      <c r="H3" s="15" t="s">
        <v>77</v>
      </c>
    </row>
    <row r="4" spans="1:8">
      <c r="A4" s="18" t="s">
        <v>78</v>
      </c>
      <c r="B4" s="22">
        <v>494.41470024456345</v>
      </c>
      <c r="C4" s="22">
        <v>799.78848568973501</v>
      </c>
      <c r="D4" s="22">
        <v>849.58247956463299</v>
      </c>
      <c r="E4" s="22">
        <v>714.59522183297713</v>
      </c>
      <c r="F4" s="22">
        <v>192.30043427333385</v>
      </c>
      <c r="G4" s="18"/>
      <c r="H4" s="18"/>
    </row>
    <row r="5" spans="1:8">
      <c r="A5" s="18" t="s">
        <v>79</v>
      </c>
      <c r="B5" s="22">
        <v>84.605724106021555</v>
      </c>
      <c r="C5" s="22">
        <v>163.48293564236457</v>
      </c>
      <c r="D5" s="22">
        <v>43.184171679115167</v>
      </c>
      <c r="E5" s="22">
        <v>97.090943809167086</v>
      </c>
      <c r="F5" s="22">
        <v>61.113490213276648</v>
      </c>
      <c r="G5" s="18">
        <f>TTEST(B4:D4,B5:D5,2,2)</f>
        <v>6.0846055165385618E-3</v>
      </c>
      <c r="H5" s="18"/>
    </row>
    <row r="6" spans="1:8">
      <c r="A6" s="18" t="s">
        <v>80</v>
      </c>
      <c r="B6" s="22">
        <v>5.0675303501002498</v>
      </c>
      <c r="C6" s="22">
        <v>7.050477008835129</v>
      </c>
      <c r="D6" s="22">
        <v>8.8130962610439116</v>
      </c>
      <c r="E6" s="22">
        <v>6.9770345399930962</v>
      </c>
      <c r="F6" s="22">
        <v>1.8738626805286513</v>
      </c>
      <c r="G6" s="18"/>
      <c r="H6" s="18">
        <f>TTEST(B4:D4,B6:D6,2,2)</f>
        <v>3.1088276915652822E-3</v>
      </c>
    </row>
    <row r="9" spans="1:8">
      <c r="A9" s="57" t="s">
        <v>87</v>
      </c>
      <c r="B9" s="57"/>
      <c r="C9" s="57"/>
      <c r="D9" s="57"/>
      <c r="E9" s="57"/>
      <c r="F9" s="57"/>
      <c r="G9" s="57"/>
      <c r="H9" s="57"/>
    </row>
    <row r="10" spans="1:8">
      <c r="A10" s="6"/>
      <c r="B10" s="58" t="s">
        <v>131</v>
      </c>
      <c r="C10" s="59"/>
      <c r="D10" s="59"/>
      <c r="E10" s="59"/>
      <c r="F10" s="60"/>
      <c r="G10" s="6"/>
      <c r="H10" s="6"/>
    </row>
    <row r="11" spans="1:8">
      <c r="A11" s="6"/>
      <c r="B11" s="8" t="s">
        <v>61</v>
      </c>
      <c r="C11" s="8" t="s">
        <v>62</v>
      </c>
      <c r="D11" s="8" t="s">
        <v>63</v>
      </c>
      <c r="E11" s="8" t="s">
        <v>53</v>
      </c>
      <c r="F11" s="8" t="s">
        <v>54</v>
      </c>
      <c r="G11" s="6" t="s">
        <v>84</v>
      </c>
      <c r="H11" s="6" t="s">
        <v>85</v>
      </c>
    </row>
    <row r="12" spans="1:8">
      <c r="A12" s="6" t="s">
        <v>86</v>
      </c>
      <c r="B12" s="8">
        <v>118</v>
      </c>
      <c r="C12" s="8">
        <v>151</v>
      </c>
      <c r="D12" s="8">
        <v>102</v>
      </c>
      <c r="E12" s="23">
        <v>123.66666666666667</v>
      </c>
      <c r="F12" s="23">
        <v>24.986663109213527</v>
      </c>
      <c r="G12" s="6"/>
      <c r="H12" s="6"/>
    </row>
    <row r="13" spans="1:8">
      <c r="A13" s="6" t="s">
        <v>82</v>
      </c>
      <c r="B13" s="8">
        <v>72</v>
      </c>
      <c r="C13" s="8">
        <v>69</v>
      </c>
      <c r="D13" s="8">
        <v>39</v>
      </c>
      <c r="E13" s="23">
        <v>60</v>
      </c>
      <c r="F13" s="23">
        <v>18.248287590894659</v>
      </c>
      <c r="G13" s="6">
        <v>2.3501052962021773E-2</v>
      </c>
      <c r="H13" s="6"/>
    </row>
    <row r="14" spans="1:8">
      <c r="A14" s="6" t="s">
        <v>83</v>
      </c>
      <c r="B14" s="8">
        <v>59</v>
      </c>
      <c r="C14" s="8">
        <v>54</v>
      </c>
      <c r="D14" s="8">
        <v>19</v>
      </c>
      <c r="E14" s="23">
        <v>44</v>
      </c>
      <c r="F14" s="23">
        <v>21.794494717703369</v>
      </c>
      <c r="G14" s="6"/>
      <c r="H14" s="6">
        <v>1.4125523251408843E-2</v>
      </c>
    </row>
  </sheetData>
  <mergeCells count="4">
    <mergeCell ref="B2:F2"/>
    <mergeCell ref="A1:H1"/>
    <mergeCell ref="B10:F10"/>
    <mergeCell ref="A9:H9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AD8B2D-4E08-F447-82F8-0E3CF072B19D}">
  <dimension ref="A1:M30"/>
  <sheetViews>
    <sheetView zoomScale="117" workbookViewId="0">
      <selection activeCell="E32" sqref="E32"/>
    </sheetView>
  </sheetViews>
  <sheetFormatPr baseColWidth="10" defaultRowHeight="16"/>
  <cols>
    <col min="1" max="1" width="18.33203125" bestFit="1" customWidth="1"/>
    <col min="2" max="6" width="12.33203125" bestFit="1" customWidth="1"/>
    <col min="7" max="8" width="25.6640625" bestFit="1" customWidth="1"/>
    <col min="9" max="13" width="12.33203125" bestFit="1" customWidth="1"/>
  </cols>
  <sheetData>
    <row r="1" spans="1:13">
      <c r="A1" s="61" t="s">
        <v>132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3"/>
    </row>
    <row r="2" spans="1:13">
      <c r="A2" s="24"/>
      <c r="B2" s="64" t="s">
        <v>61</v>
      </c>
      <c r="C2" s="65"/>
      <c r="D2" s="66"/>
      <c r="E2" s="64" t="s">
        <v>62</v>
      </c>
      <c r="F2" s="65"/>
      <c r="G2" s="66"/>
      <c r="H2" s="64" t="s">
        <v>63</v>
      </c>
      <c r="I2" s="65"/>
      <c r="J2" s="66"/>
      <c r="K2" s="64" t="s">
        <v>53</v>
      </c>
      <c r="L2" s="65"/>
      <c r="M2" s="66"/>
    </row>
    <row r="3" spans="1:13">
      <c r="A3" s="24"/>
      <c r="B3" s="25" t="s">
        <v>88</v>
      </c>
      <c r="C3" s="25" t="s">
        <v>89</v>
      </c>
      <c r="D3" s="25" t="s">
        <v>90</v>
      </c>
      <c r="E3" s="25" t="s">
        <v>88</v>
      </c>
      <c r="F3" s="25" t="s">
        <v>89</v>
      </c>
      <c r="G3" s="25" t="s">
        <v>90</v>
      </c>
      <c r="H3" s="25" t="s">
        <v>88</v>
      </c>
      <c r="I3" s="25" t="s">
        <v>89</v>
      </c>
      <c r="J3" s="25" t="s">
        <v>90</v>
      </c>
      <c r="K3" s="25" t="s">
        <v>88</v>
      </c>
      <c r="L3" s="25" t="s">
        <v>89</v>
      </c>
      <c r="M3" s="25" t="s">
        <v>90</v>
      </c>
    </row>
    <row r="4" spans="1:13">
      <c r="A4" s="24" t="s">
        <v>91</v>
      </c>
      <c r="B4" s="26">
        <v>0.69</v>
      </c>
      <c r="C4" s="26">
        <v>0.56000000000000005</v>
      </c>
      <c r="D4" s="26">
        <v>0.48</v>
      </c>
      <c r="E4" s="26">
        <v>0.56999999999999995</v>
      </c>
      <c r="F4" s="26">
        <v>0.53</v>
      </c>
      <c r="G4" s="26">
        <v>0.47</v>
      </c>
      <c r="H4" s="26">
        <v>0.66</v>
      </c>
      <c r="I4" s="26">
        <v>0.56999999999999995</v>
      </c>
      <c r="J4" s="26">
        <v>0.5</v>
      </c>
      <c r="K4" s="26">
        <v>0.64</v>
      </c>
      <c r="L4" s="26">
        <v>0.55000000000000004</v>
      </c>
      <c r="M4" s="26">
        <v>0.48</v>
      </c>
    </row>
    <row r="5" spans="1:13">
      <c r="A5" s="24" t="s">
        <v>92</v>
      </c>
      <c r="B5" s="26">
        <v>0.16</v>
      </c>
      <c r="C5" s="26">
        <v>0.2</v>
      </c>
      <c r="D5" s="26">
        <v>0.21</v>
      </c>
      <c r="E5" s="26">
        <v>0.18</v>
      </c>
      <c r="F5" s="26">
        <v>0.25</v>
      </c>
      <c r="G5" s="26">
        <v>0.26</v>
      </c>
      <c r="H5" s="26">
        <v>0.16</v>
      </c>
      <c r="I5" s="26">
        <v>0.23</v>
      </c>
      <c r="J5" s="26">
        <v>0.26</v>
      </c>
      <c r="K5" s="26">
        <v>0.17</v>
      </c>
      <c r="L5" s="26">
        <v>0.23</v>
      </c>
      <c r="M5" s="26">
        <v>0.24</v>
      </c>
    </row>
    <row r="6" spans="1:13">
      <c r="A6" s="24" t="s">
        <v>93</v>
      </c>
      <c r="B6" s="26">
        <v>0.11</v>
      </c>
      <c r="C6" s="26">
        <v>0.17</v>
      </c>
      <c r="D6" s="26">
        <v>0.2</v>
      </c>
      <c r="E6" s="26">
        <v>0.14000000000000001</v>
      </c>
      <c r="F6" s="26">
        <v>0.18</v>
      </c>
      <c r="G6" s="26">
        <v>0.24</v>
      </c>
      <c r="H6" s="26">
        <v>0.13</v>
      </c>
      <c r="I6" s="26">
        <v>0.11</v>
      </c>
      <c r="J6" s="26">
        <v>0.16</v>
      </c>
      <c r="K6" s="26">
        <v>0.13</v>
      </c>
      <c r="L6" s="26">
        <v>0.15</v>
      </c>
      <c r="M6" s="26">
        <v>0.2</v>
      </c>
    </row>
    <row r="7" spans="1:13">
      <c r="A7" s="24" t="s">
        <v>94</v>
      </c>
      <c r="B7" s="26">
        <v>0.03</v>
      </c>
      <c r="C7" s="26">
        <v>0.08</v>
      </c>
      <c r="D7" s="26">
        <v>0.11</v>
      </c>
      <c r="E7" s="26">
        <v>0.1</v>
      </c>
      <c r="F7" s="26">
        <v>0.05</v>
      </c>
      <c r="G7" s="26">
        <v>0.03</v>
      </c>
      <c r="H7" s="26">
        <v>0.06</v>
      </c>
      <c r="I7" s="26">
        <v>0.08</v>
      </c>
      <c r="J7" s="26">
        <v>0.09</v>
      </c>
      <c r="K7" s="26">
        <v>0.06</v>
      </c>
      <c r="L7" s="26">
        <v>7.0000000000000007E-2</v>
      </c>
      <c r="M7" s="26">
        <v>0.08</v>
      </c>
    </row>
    <row r="10" spans="1:13">
      <c r="A10" s="37" t="s">
        <v>133</v>
      </c>
      <c r="B10" s="37"/>
      <c r="C10" s="37"/>
      <c r="D10" s="37"/>
      <c r="E10" s="37"/>
      <c r="F10" s="37"/>
      <c r="G10" s="37"/>
      <c r="H10" s="37"/>
    </row>
    <row r="11" spans="1:13">
      <c r="A11" s="10"/>
      <c r="B11" s="11" t="s">
        <v>15</v>
      </c>
      <c r="C11" s="11" t="s">
        <v>16</v>
      </c>
      <c r="D11" s="11" t="s">
        <v>17</v>
      </c>
      <c r="E11" s="11" t="s">
        <v>18</v>
      </c>
      <c r="F11" s="11" t="s">
        <v>19</v>
      </c>
      <c r="G11" s="11" t="s">
        <v>20</v>
      </c>
      <c r="H11" s="11" t="s">
        <v>21</v>
      </c>
    </row>
    <row r="12" spans="1:13">
      <c r="A12" s="10" t="s">
        <v>22</v>
      </c>
      <c r="B12" s="12">
        <v>0.30708661417322836</v>
      </c>
      <c r="C12" s="12">
        <v>0.4264</v>
      </c>
      <c r="D12" s="12">
        <v>0.34365781710914456</v>
      </c>
      <c r="E12" s="12">
        <f>AVERAGE(B12:D12)</f>
        <v>0.35904814376079103</v>
      </c>
      <c r="F12" s="12">
        <f>STDEV(B12:D12)</f>
        <v>6.1127470299328211E-2</v>
      </c>
      <c r="G12" s="10"/>
      <c r="H12" s="10"/>
    </row>
    <row r="13" spans="1:13">
      <c r="A13" s="10" t="s">
        <v>23</v>
      </c>
      <c r="B13" s="12">
        <v>0.44350580781414994</v>
      </c>
      <c r="C13" s="12">
        <v>0.47055098163394554</v>
      </c>
      <c r="D13" s="12">
        <v>0.42924901185770753</v>
      </c>
      <c r="E13" s="12">
        <f t="shared" ref="E13:E14" si="0">AVERAGE(B13:D13)</f>
        <v>0.44776860043526767</v>
      </c>
      <c r="F13" s="12">
        <f t="shared" ref="F13:F14" si="1">STDEV(B13:D13)</f>
        <v>2.0978363319079762E-2</v>
      </c>
      <c r="G13" s="10"/>
      <c r="H13" s="10"/>
    </row>
    <row r="14" spans="1:13">
      <c r="A14" s="10" t="s">
        <v>24</v>
      </c>
      <c r="B14" s="12">
        <v>0.52131603336422616</v>
      </c>
      <c r="C14" s="12">
        <v>0.53178807947019868</v>
      </c>
      <c r="D14" s="12">
        <v>0.50394944707740918</v>
      </c>
      <c r="E14" s="12">
        <f t="shared" si="0"/>
        <v>0.51901785330394468</v>
      </c>
      <c r="F14" s="12">
        <f t="shared" si="1"/>
        <v>1.4060888558954009E-2</v>
      </c>
      <c r="G14" s="10">
        <f>TTEST(B12:D12,B14:D14,2,2)</f>
        <v>1.153421057127566E-2</v>
      </c>
      <c r="H14" s="10">
        <f>TTEST(B13:D13,B14:D14,2,2)</f>
        <v>8.1224404490792285E-3</v>
      </c>
    </row>
    <row r="17" spans="1:13">
      <c r="A17" s="67" t="s">
        <v>134</v>
      </c>
      <c r="B17" s="67"/>
      <c r="C17" s="67"/>
      <c r="D17" s="67"/>
      <c r="E17" s="67"/>
      <c r="F17" s="67"/>
      <c r="G17" s="67"/>
      <c r="H17" s="67"/>
      <c r="I17" s="67"/>
      <c r="J17" s="67"/>
      <c r="K17" s="67"/>
      <c r="L17" s="67"/>
      <c r="M17" s="67"/>
    </row>
    <row r="18" spans="1:13">
      <c r="A18" s="27"/>
      <c r="B18" s="48" t="s">
        <v>15</v>
      </c>
      <c r="C18" s="48"/>
      <c r="D18" s="48"/>
      <c r="E18" s="48" t="s">
        <v>16</v>
      </c>
      <c r="F18" s="48"/>
      <c r="G18" s="48"/>
      <c r="H18" s="48" t="s">
        <v>17</v>
      </c>
      <c r="I18" s="48"/>
      <c r="J18" s="48"/>
      <c r="K18" s="48" t="s">
        <v>18</v>
      </c>
      <c r="L18" s="48"/>
      <c r="M18" s="48"/>
    </row>
    <row r="19" spans="1:13">
      <c r="A19" s="28"/>
      <c r="B19" s="11" t="s">
        <v>27</v>
      </c>
      <c r="C19" s="11" t="s">
        <v>28</v>
      </c>
      <c r="D19" s="11" t="s">
        <v>29</v>
      </c>
      <c r="E19" s="11" t="s">
        <v>27</v>
      </c>
      <c r="F19" s="11" t="s">
        <v>28</v>
      </c>
      <c r="G19" s="11" t="s">
        <v>29</v>
      </c>
      <c r="H19" s="11" t="s">
        <v>27</v>
      </c>
      <c r="I19" s="11" t="s">
        <v>28</v>
      </c>
      <c r="J19" s="11" t="s">
        <v>29</v>
      </c>
      <c r="K19" s="11" t="s">
        <v>27</v>
      </c>
      <c r="L19" s="11" t="s">
        <v>28</v>
      </c>
      <c r="M19" s="11" t="s">
        <v>29</v>
      </c>
    </row>
    <row r="20" spans="1:13">
      <c r="A20" s="27" t="s">
        <v>95</v>
      </c>
      <c r="B20" s="12">
        <v>0.54859437751004014</v>
      </c>
      <c r="C20" s="12">
        <v>0.38629518072289154</v>
      </c>
      <c r="D20" s="12">
        <v>0.66210045662100458</v>
      </c>
      <c r="E20" s="12">
        <v>0.67844925883694418</v>
      </c>
      <c r="F20" s="12">
        <v>0.55524239007891774</v>
      </c>
      <c r="G20" s="12">
        <v>0.57929724596391263</v>
      </c>
      <c r="H20" s="12">
        <v>0.58557902403495998</v>
      </c>
      <c r="I20" s="12">
        <v>0.58452012383900931</v>
      </c>
      <c r="J20" s="12">
        <v>0.67089410272669625</v>
      </c>
      <c r="K20" s="12">
        <v>0.60420755346064814</v>
      </c>
      <c r="L20" s="12">
        <v>0.5086858982136061</v>
      </c>
      <c r="M20" s="12">
        <v>0.6374306017705379</v>
      </c>
    </row>
    <row r="21" spans="1:13">
      <c r="A21" s="27" t="s">
        <v>96</v>
      </c>
      <c r="B21" s="12">
        <v>9.6385542168674704E-2</v>
      </c>
      <c r="C21" s="12">
        <v>6.0240963855421686E-2</v>
      </c>
      <c r="D21" s="12">
        <v>0.1495433789954338</v>
      </c>
      <c r="E21" s="12">
        <v>9.7491448118586094E-2</v>
      </c>
      <c r="F21" s="12">
        <v>0.12232243517474634</v>
      </c>
      <c r="G21" s="12">
        <v>0.14529914529914531</v>
      </c>
      <c r="H21" s="12">
        <v>0.11871813546977422</v>
      </c>
      <c r="I21" s="12">
        <v>0.18328173374613002</v>
      </c>
      <c r="J21" s="12">
        <v>0.12492073557387444</v>
      </c>
      <c r="K21" s="12">
        <v>0.104198375252345</v>
      </c>
      <c r="L21" s="12">
        <v>0.12194837759209935</v>
      </c>
      <c r="M21" s="12">
        <v>0.13992108662281785</v>
      </c>
    </row>
    <row r="22" spans="1:13">
      <c r="A22" s="27" t="s">
        <v>97</v>
      </c>
      <c r="B22" s="12">
        <v>0.11726907630522089</v>
      </c>
      <c r="C22" s="12">
        <v>0.15662650602409639</v>
      </c>
      <c r="D22" s="12">
        <v>0.12671232876712329</v>
      </c>
      <c r="E22" s="12">
        <v>0.13112884834663627</v>
      </c>
      <c r="F22" s="12">
        <v>0.18320180383314544</v>
      </c>
      <c r="G22" s="12">
        <v>0.12773029439696107</v>
      </c>
      <c r="H22" s="12">
        <v>0.19737800436999273</v>
      </c>
      <c r="I22" s="12">
        <v>0.1256965944272446</v>
      </c>
      <c r="J22" s="12">
        <v>0.14077362079898542</v>
      </c>
      <c r="K22" s="12">
        <v>0.14859197634061663</v>
      </c>
      <c r="L22" s="12">
        <v>0.15517496809482881</v>
      </c>
      <c r="M22" s="12">
        <v>0.13173874798768995</v>
      </c>
    </row>
    <row r="23" spans="1:13">
      <c r="A23" s="27" t="s">
        <v>98</v>
      </c>
      <c r="B23" s="12">
        <v>0.23775100401606425</v>
      </c>
      <c r="C23" s="12">
        <v>0.39683734939759036</v>
      </c>
      <c r="D23" s="12">
        <v>6.1643835616438353E-2</v>
      </c>
      <c r="E23" s="12">
        <v>9.2930444697833528E-2</v>
      </c>
      <c r="F23" s="12">
        <v>0.13923337091319052</v>
      </c>
      <c r="G23" s="12">
        <v>0.14767331433998102</v>
      </c>
      <c r="H23" s="12">
        <v>9.8324836125273124E-2</v>
      </c>
      <c r="I23" s="12">
        <v>0.1065015479876161</v>
      </c>
      <c r="J23" s="12">
        <v>6.3411540900443875E-2</v>
      </c>
      <c r="K23" s="12">
        <v>0.1430020949463903</v>
      </c>
      <c r="L23" s="12">
        <v>0.21419075609946567</v>
      </c>
      <c r="M23" s="12">
        <v>9.0909563618954414E-2</v>
      </c>
    </row>
    <row r="26" spans="1:13">
      <c r="A26" s="37" t="s">
        <v>135</v>
      </c>
      <c r="B26" s="37"/>
      <c r="C26" s="37"/>
      <c r="D26" s="37"/>
      <c r="E26" s="37"/>
      <c r="F26" s="37"/>
      <c r="G26" s="37"/>
      <c r="H26" s="37"/>
    </row>
    <row r="27" spans="1:13">
      <c r="A27" s="11"/>
      <c r="B27" s="11" t="s">
        <v>15</v>
      </c>
      <c r="C27" s="11" t="s">
        <v>16</v>
      </c>
      <c r="D27" s="11" t="s">
        <v>17</v>
      </c>
      <c r="E27" s="11" t="s">
        <v>18</v>
      </c>
      <c r="F27" s="11" t="s">
        <v>19</v>
      </c>
      <c r="G27" s="11" t="s">
        <v>25</v>
      </c>
      <c r="H27" s="11" t="s">
        <v>26</v>
      </c>
    </row>
    <row r="28" spans="1:13">
      <c r="A28" s="10" t="s">
        <v>27</v>
      </c>
      <c r="B28" s="12">
        <v>0.45140562248995986</v>
      </c>
      <c r="C28" s="12">
        <v>0.32155074116305588</v>
      </c>
      <c r="D28" s="12">
        <v>0.41442097596504007</v>
      </c>
      <c r="E28" s="12">
        <f>AVERAGE(B28:D28)</f>
        <v>0.39579244653935192</v>
      </c>
      <c r="F28" s="12">
        <f>STDEV(B28:D28)</f>
        <v>6.6901712478298028E-2</v>
      </c>
      <c r="G28" s="10"/>
      <c r="H28" s="10"/>
    </row>
    <row r="29" spans="1:13">
      <c r="A29" s="10" t="s">
        <v>28</v>
      </c>
      <c r="B29" s="12">
        <v>0.6137048192771084</v>
      </c>
      <c r="C29" s="12">
        <v>0.44475760992108232</v>
      </c>
      <c r="D29" s="12">
        <v>0.41547987616099069</v>
      </c>
      <c r="E29" s="12">
        <f t="shared" ref="E29:E30" si="2">AVERAGE(B29:D29)</f>
        <v>0.49131410178639384</v>
      </c>
      <c r="F29" s="12">
        <f t="shared" ref="F29:F30" si="3">STDEV(B29:D29)</f>
        <v>0.10699958980973059</v>
      </c>
      <c r="G29" s="10"/>
      <c r="H29" s="10"/>
    </row>
    <row r="30" spans="1:13">
      <c r="A30" s="10" t="s">
        <v>29</v>
      </c>
      <c r="B30" s="12">
        <v>0.33789954337899542</v>
      </c>
      <c r="C30" s="12">
        <v>0.42070275403608737</v>
      </c>
      <c r="D30" s="12">
        <v>0.32910589727330375</v>
      </c>
      <c r="E30" s="12">
        <f t="shared" si="2"/>
        <v>0.36256939822946216</v>
      </c>
      <c r="F30" s="12">
        <f t="shared" si="3"/>
        <v>5.0536594127056508E-2</v>
      </c>
      <c r="G30" s="10">
        <f>TTEST(B28:D28,B30:D30,2,2)</f>
        <v>0.53022460654158232</v>
      </c>
      <c r="H30" s="10">
        <f>TTEST(B29:D29,B30:D30,2,2)</f>
        <v>0.13259969399559277</v>
      </c>
    </row>
  </sheetData>
  <mergeCells count="12">
    <mergeCell ref="A26:H26"/>
    <mergeCell ref="A1:M1"/>
    <mergeCell ref="B2:D2"/>
    <mergeCell ref="E2:G2"/>
    <mergeCell ref="H2:J2"/>
    <mergeCell ref="K2:M2"/>
    <mergeCell ref="A10:H10"/>
    <mergeCell ref="A17:M17"/>
    <mergeCell ref="B18:D18"/>
    <mergeCell ref="E18:G18"/>
    <mergeCell ref="H18:J18"/>
    <mergeCell ref="K18:M18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297D5A-C95B-F74D-87C5-D6796F6A839A}">
  <dimension ref="A1:I12"/>
  <sheetViews>
    <sheetView zoomScale="138" workbookViewId="0">
      <selection activeCell="F22" sqref="F22"/>
    </sheetView>
  </sheetViews>
  <sheetFormatPr baseColWidth="10" defaultRowHeight="16"/>
  <cols>
    <col min="1" max="1" width="12.33203125" bestFit="1" customWidth="1"/>
    <col min="7" max="8" width="22" bestFit="1" customWidth="1"/>
  </cols>
  <sheetData>
    <row r="1" spans="1:9">
      <c r="A1" s="68" t="s">
        <v>104</v>
      </c>
      <c r="B1" s="68"/>
      <c r="C1" s="68"/>
      <c r="D1" s="68"/>
      <c r="E1" s="68"/>
      <c r="F1" s="68"/>
      <c r="G1" s="68"/>
      <c r="H1" s="68"/>
      <c r="I1" s="30"/>
    </row>
    <row r="2" spans="1:9">
      <c r="A2" s="10"/>
      <c r="B2" s="10" t="s">
        <v>61</v>
      </c>
      <c r="C2" s="10" t="s">
        <v>62</v>
      </c>
      <c r="D2" s="10" t="s">
        <v>63</v>
      </c>
      <c r="E2" s="10" t="s">
        <v>53</v>
      </c>
      <c r="F2" s="10" t="s">
        <v>54</v>
      </c>
      <c r="G2" s="10" t="s">
        <v>99</v>
      </c>
      <c r="H2" s="10" t="s">
        <v>100</v>
      </c>
    </row>
    <row r="3" spans="1:9">
      <c r="A3" s="10" t="s">
        <v>101</v>
      </c>
      <c r="B3" s="10">
        <v>159</v>
      </c>
      <c r="C3" s="10">
        <v>147</v>
      </c>
      <c r="D3" s="10">
        <v>130</v>
      </c>
      <c r="E3" s="29">
        <f t="shared" ref="E3:E5" si="0">AVERAGE(B3:D3)</f>
        <v>145.33333333333334</v>
      </c>
      <c r="F3" s="29">
        <f t="shared" ref="F3:F5" si="1">STDEV(B3:D3)</f>
        <v>14.571661996262929</v>
      </c>
      <c r="G3" s="10"/>
      <c r="H3" s="10"/>
    </row>
    <row r="4" spans="1:9">
      <c r="A4" s="10" t="s">
        <v>102</v>
      </c>
      <c r="B4" s="10">
        <v>88</v>
      </c>
      <c r="C4" s="10">
        <v>104</v>
      </c>
      <c r="D4" s="10">
        <v>84</v>
      </c>
      <c r="E4" s="29">
        <f t="shared" si="0"/>
        <v>92</v>
      </c>
      <c r="F4" s="29">
        <f t="shared" si="1"/>
        <v>10.583005244258363</v>
      </c>
      <c r="G4" s="10">
        <f>_xlfn.T.TEST(B3:D3,B4:D4,2,2)</f>
        <v>6.8415216400263303E-3</v>
      </c>
      <c r="H4" s="10"/>
    </row>
    <row r="5" spans="1:9">
      <c r="A5" s="10" t="s">
        <v>103</v>
      </c>
      <c r="B5" s="10">
        <v>54</v>
      </c>
      <c r="C5" s="10">
        <v>56</v>
      </c>
      <c r="D5" s="10">
        <v>53</v>
      </c>
      <c r="E5" s="29">
        <f t="shared" si="0"/>
        <v>54.333333333333336</v>
      </c>
      <c r="F5" s="29">
        <f t="shared" si="1"/>
        <v>1.5275252316519465</v>
      </c>
      <c r="G5" s="10"/>
      <c r="H5" s="10">
        <f>_xlfn.T.TEST(B3:D3,B5:D5,2,2)</f>
        <v>4.2331099327741337E-4</v>
      </c>
    </row>
    <row r="8" spans="1:9">
      <c r="A8" s="57" t="s">
        <v>105</v>
      </c>
      <c r="B8" s="57"/>
      <c r="C8" s="57"/>
      <c r="D8" s="57"/>
      <c r="E8" s="57"/>
      <c r="F8" s="57"/>
      <c r="G8" s="57"/>
      <c r="H8" s="57"/>
    </row>
    <row r="9" spans="1:9">
      <c r="A9" s="10"/>
      <c r="B9" s="10" t="s">
        <v>61</v>
      </c>
      <c r="C9" s="10" t="s">
        <v>62</v>
      </c>
      <c r="D9" s="10" t="s">
        <v>63</v>
      </c>
      <c r="E9" s="10" t="s">
        <v>53</v>
      </c>
      <c r="F9" s="10" t="s">
        <v>54</v>
      </c>
      <c r="G9" s="10" t="s">
        <v>99</v>
      </c>
      <c r="H9" s="10" t="s">
        <v>100</v>
      </c>
    </row>
    <row r="10" spans="1:9">
      <c r="A10" s="10" t="s">
        <v>106</v>
      </c>
      <c r="B10" s="10">
        <v>127</v>
      </c>
      <c r="C10" s="10">
        <v>125</v>
      </c>
      <c r="D10" s="10">
        <v>96</v>
      </c>
      <c r="E10" s="29">
        <f>AVERAGE(B10:D10)</f>
        <v>116</v>
      </c>
      <c r="F10" s="29">
        <f>STDEV(B10:D10)</f>
        <v>17.349351572897472</v>
      </c>
      <c r="G10" s="10"/>
      <c r="H10" s="10"/>
    </row>
    <row r="11" spans="1:9">
      <c r="A11" s="10" t="s">
        <v>107</v>
      </c>
      <c r="B11" s="10">
        <v>137</v>
      </c>
      <c r="C11" s="10">
        <v>107</v>
      </c>
      <c r="D11" s="10">
        <v>78</v>
      </c>
      <c r="E11" s="29">
        <f t="shared" ref="E11:E12" si="2">AVERAGE(B11:D11)</f>
        <v>107.33333333333333</v>
      </c>
      <c r="F11" s="29">
        <f t="shared" ref="F11:F12" si="3">STDEV(B11:D11)</f>
        <v>29.501412395567304</v>
      </c>
      <c r="G11" s="10">
        <f>_xlfn.T.TEST(B10:D10,B11:D11,2,2)</f>
        <v>0.68359766947363276</v>
      </c>
      <c r="H11" s="10"/>
    </row>
    <row r="12" spans="1:9">
      <c r="A12" s="10" t="s">
        <v>108</v>
      </c>
      <c r="B12" s="10">
        <v>150</v>
      </c>
      <c r="C12" s="10">
        <v>92</v>
      </c>
      <c r="D12" s="10">
        <v>85</v>
      </c>
      <c r="E12" s="29">
        <f t="shared" si="2"/>
        <v>109</v>
      </c>
      <c r="F12" s="29">
        <f t="shared" si="3"/>
        <v>35.679125549822544</v>
      </c>
      <c r="G12" s="10"/>
      <c r="H12" s="10">
        <f>_xlfn.T.TEST(B10:D10,B12:D12,2,2)</f>
        <v>0.77515131015783467</v>
      </c>
    </row>
  </sheetData>
  <mergeCells count="2">
    <mergeCell ref="A1:H1"/>
    <mergeCell ref="A8:H8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EB0537-1C2B-C543-A2CB-DB6A1F53C3B0}">
  <dimension ref="A1:G10"/>
  <sheetViews>
    <sheetView zoomScale="133" workbookViewId="0">
      <selection activeCell="E16" sqref="E16"/>
    </sheetView>
  </sheetViews>
  <sheetFormatPr baseColWidth="10" defaultRowHeight="16"/>
  <sheetData>
    <row r="1" spans="1:7">
      <c r="A1" s="37" t="s">
        <v>136</v>
      </c>
      <c r="B1" s="37"/>
      <c r="C1" s="37"/>
      <c r="D1" s="37"/>
      <c r="E1" s="37"/>
      <c r="F1" s="37"/>
      <c r="G1" s="37"/>
    </row>
    <row r="2" spans="1:7">
      <c r="A2" s="11"/>
      <c r="B2" s="11" t="s">
        <v>15</v>
      </c>
      <c r="C2" s="11" t="s">
        <v>16</v>
      </c>
      <c r="D2" s="11" t="s">
        <v>17</v>
      </c>
      <c r="E2" s="11" t="s">
        <v>18</v>
      </c>
      <c r="F2" s="11" t="s">
        <v>19</v>
      </c>
      <c r="G2" s="11" t="s">
        <v>38</v>
      </c>
    </row>
    <row r="3" spans="1:7">
      <c r="A3" s="10" t="s">
        <v>109</v>
      </c>
      <c r="B3" s="10">
        <v>256</v>
      </c>
      <c r="C3" s="10">
        <v>192</v>
      </c>
      <c r="D3" s="10">
        <v>304</v>
      </c>
      <c r="E3" s="12">
        <f>AVERAGE(B3:D3)</f>
        <v>250.66666666666666</v>
      </c>
      <c r="F3" s="12">
        <f>STDEV(B3:D3)</f>
        <v>56.190153348547895</v>
      </c>
      <c r="G3" s="10"/>
    </row>
    <row r="4" spans="1:7">
      <c r="A4" s="10" t="s">
        <v>110</v>
      </c>
      <c r="B4" s="10">
        <v>149</v>
      </c>
      <c r="C4" s="10">
        <v>135</v>
      </c>
      <c r="D4" s="10">
        <v>160</v>
      </c>
      <c r="E4" s="12">
        <f>AVERAGE(B4:D4)</f>
        <v>148</v>
      </c>
      <c r="F4" s="12">
        <f>STDEV(B4:D4)</f>
        <v>12.529964086141668</v>
      </c>
      <c r="G4" s="10">
        <f>TTEST(B3:D3,B4:D4,2,2)</f>
        <v>3.6616427362562896E-2</v>
      </c>
    </row>
    <row r="7" spans="1:7">
      <c r="A7" s="37" t="s">
        <v>137</v>
      </c>
      <c r="B7" s="37"/>
      <c r="C7" s="37"/>
      <c r="D7" s="37"/>
      <c r="E7" s="37"/>
      <c r="F7" s="37"/>
      <c r="G7" s="37"/>
    </row>
    <row r="8" spans="1:7">
      <c r="A8" s="11"/>
      <c r="B8" s="11" t="s">
        <v>15</v>
      </c>
      <c r="C8" s="11" t="s">
        <v>16</v>
      </c>
      <c r="D8" s="11" t="s">
        <v>17</v>
      </c>
      <c r="E8" s="11" t="s">
        <v>111</v>
      </c>
      <c r="F8" s="11" t="s">
        <v>112</v>
      </c>
      <c r="G8" s="11" t="s">
        <v>38</v>
      </c>
    </row>
    <row r="9" spans="1:7">
      <c r="A9" s="10" t="s">
        <v>109</v>
      </c>
      <c r="B9" s="12">
        <v>88.248148148148132</v>
      </c>
      <c r="C9" s="12">
        <v>70.595348837209301</v>
      </c>
      <c r="D9" s="12">
        <v>77.278409090909065</v>
      </c>
      <c r="E9" s="12">
        <f>AVERAGE(B9:D9)</f>
        <v>78.707302025422166</v>
      </c>
      <c r="F9" s="12">
        <f>STDEV(B9:D9)</f>
        <v>8.9127230486421336</v>
      </c>
      <c r="G9" s="10"/>
    </row>
    <row r="10" spans="1:7">
      <c r="A10" s="10" t="s">
        <v>110</v>
      </c>
      <c r="B10" s="12">
        <v>55.167605633802815</v>
      </c>
      <c r="C10" s="12">
        <v>42.88600000000001</v>
      </c>
      <c r="D10" s="12">
        <v>48.852459016393432</v>
      </c>
      <c r="E10" s="12">
        <f>AVERAGE(B10:D10)</f>
        <v>48.968688216732083</v>
      </c>
      <c r="F10" s="12">
        <f>STDEV(B10:D10)</f>
        <v>6.1416277285686673</v>
      </c>
      <c r="G10" s="10">
        <f>TTEST(B9:D9,B10:D10,2,2)</f>
        <v>8.9129638639332508E-3</v>
      </c>
    </row>
  </sheetData>
  <mergeCells count="2">
    <mergeCell ref="A1:G1"/>
    <mergeCell ref="A7:G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Figure 1</vt:lpstr>
      <vt:lpstr>Figure 3</vt:lpstr>
      <vt:lpstr>Figure 4</vt:lpstr>
      <vt:lpstr>Supplementary Figure 2</vt:lpstr>
      <vt:lpstr>Supplementary Figure 4</vt:lpstr>
      <vt:lpstr>Supplementary Figure 5</vt:lpstr>
      <vt:lpstr>Supplementary Figure 10</vt:lpstr>
      <vt:lpstr>Supplementary Figure 11</vt:lpstr>
      <vt:lpstr>Supplementary Figure 15</vt:lpstr>
      <vt:lpstr>Supplementary Figure 16</vt:lpstr>
      <vt:lpstr>Supplementary Figure 17</vt:lpstr>
      <vt:lpstr>Supplementary Figure 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Liu Jifeng</dc:creator>
  <cp:lastModifiedBy>Microsoft Office User</cp:lastModifiedBy>
  <dcterms:created xsi:type="dcterms:W3CDTF">2021-04-19T18:56:38Z</dcterms:created>
  <dcterms:modified xsi:type="dcterms:W3CDTF">2021-04-23T12:59:18Z</dcterms:modified>
</cp:coreProperties>
</file>