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anuscripts\FGT3\Revision 3\"/>
    </mc:Choice>
  </mc:AlternateContent>
  <bookViews>
    <workbookView xWindow="0" yWindow="0" windowWidth="38400" windowHeight="15940"/>
  </bookViews>
  <sheets>
    <sheet name="Fig.1" sheetId="1" r:id="rId1"/>
    <sheet name="Fig.2" sheetId="2" r:id="rId2"/>
    <sheet name="Fig.3" sheetId="3" r:id="rId3"/>
    <sheet name="Fig.4" sheetId="4" r:id="rId4"/>
    <sheet name="Fig.5" sheetId="5" r:id="rId5"/>
    <sheet name="Fig.6-Link to data" sheetId="12" r:id="rId6"/>
    <sheet name="Fig.7" sheetId="6" r:id="rId7"/>
    <sheet name="Fig.8" sheetId="7" r:id="rId8"/>
    <sheet name="Fig.9" sheetId="8" r:id="rId9"/>
    <sheet name="Fig.10" sheetId="9" r:id="rId10"/>
    <sheet name="Sup_Fig.1" sheetId="11" r:id="rId11"/>
    <sheet name="Sup_ Fig.2" sheetId="13" r:id="rId12"/>
    <sheet name="Sup_Fig.3" sheetId="14" r:id="rId13"/>
    <sheet name="Sup_Fig.4" sheetId="10" r:id="rId14"/>
    <sheet name="Sup_Fig.5" sheetId="15" r:id="rId15"/>
    <sheet name="Sup_Fig.6" sheetId="16" r:id="rId16"/>
    <sheet name="Sup_Fig.7" sheetId="18" r:id="rId17"/>
    <sheet name="Sup_Fig.8" sheetId="17" r:id="rId18"/>
  </sheets>
  <calcPr calcId="162913"/>
</workbook>
</file>

<file path=xl/calcChain.xml><?xml version="1.0" encoding="utf-8"?>
<calcChain xmlns="http://schemas.openxmlformats.org/spreadsheetml/2006/main">
  <c r="AP17" i="18" l="1"/>
  <c r="AP16" i="18"/>
  <c r="AP15" i="18"/>
  <c r="AP14" i="18"/>
  <c r="AP13" i="18"/>
  <c r="AP12" i="18"/>
  <c r="AP11" i="18"/>
  <c r="AP10" i="18"/>
  <c r="AP9" i="18"/>
  <c r="AI17" i="18"/>
  <c r="AI16" i="18"/>
  <c r="AI15" i="18"/>
  <c r="AI14" i="18"/>
  <c r="AI13" i="18"/>
  <c r="AI12" i="18"/>
  <c r="AI11" i="18"/>
  <c r="AI10" i="18"/>
  <c r="AI9" i="18"/>
  <c r="AB17" i="18"/>
  <c r="AB16" i="18"/>
  <c r="AB15" i="18"/>
  <c r="AB14" i="18"/>
  <c r="AB13" i="18"/>
  <c r="AB12" i="18"/>
  <c r="AB11" i="18"/>
  <c r="AB10" i="18"/>
  <c r="AB9" i="18"/>
  <c r="U17" i="18"/>
  <c r="U16" i="18"/>
  <c r="U15" i="18"/>
  <c r="U14" i="18"/>
  <c r="U13" i="18"/>
  <c r="U12" i="18"/>
  <c r="U11" i="18"/>
  <c r="U10" i="18"/>
  <c r="U9" i="18"/>
  <c r="N17" i="18"/>
  <c r="N16" i="18"/>
  <c r="N15" i="18"/>
  <c r="N14" i="18"/>
  <c r="N13" i="18"/>
  <c r="N12" i="18"/>
  <c r="N11" i="18"/>
  <c r="N10" i="18"/>
  <c r="N9" i="18"/>
  <c r="G17" i="18"/>
  <c r="G16" i="18"/>
  <c r="G15" i="18"/>
  <c r="G14" i="18"/>
  <c r="G13" i="18"/>
  <c r="G12" i="18"/>
  <c r="G11" i="18"/>
  <c r="G10" i="18"/>
  <c r="G9" i="18"/>
  <c r="AC24" i="15" l="1"/>
  <c r="AB24" i="15"/>
  <c r="F24" i="15"/>
  <c r="G24" i="15"/>
  <c r="H24" i="15"/>
  <c r="M24" i="15"/>
  <c r="N24" i="15"/>
  <c r="O24" i="15"/>
  <c r="T24" i="15"/>
  <c r="U24" i="15"/>
  <c r="V24" i="15"/>
  <c r="AA24" i="15"/>
  <c r="AX18" i="5" l="1"/>
  <c r="AX14" i="5" l="1"/>
  <c r="BL22" i="5"/>
  <c r="BL18" i="5"/>
  <c r="BL14" i="5"/>
  <c r="BL10" i="5"/>
  <c r="BE22" i="5"/>
  <c r="BE18" i="5"/>
  <c r="BE14" i="5"/>
  <c r="BE10" i="5"/>
  <c r="AX22" i="5"/>
  <c r="AX10" i="5"/>
  <c r="H31" i="8" l="1"/>
  <c r="H26" i="8" l="1"/>
  <c r="T16" i="8" l="1"/>
  <c r="T15" i="8"/>
  <c r="T14" i="8"/>
  <c r="T12" i="8"/>
  <c r="T11" i="8"/>
  <c r="T10" i="8"/>
  <c r="T8" i="8"/>
  <c r="T7" i="8"/>
  <c r="T6" i="8"/>
  <c r="N14" i="8" l="1"/>
  <c r="AT18" i="7" l="1"/>
  <c r="AT17" i="7"/>
  <c r="AT16" i="7"/>
  <c r="AT15" i="7"/>
  <c r="AT12" i="7"/>
  <c r="AT11" i="7"/>
  <c r="AT10" i="7"/>
  <c r="AT9" i="7"/>
  <c r="AN18" i="7"/>
  <c r="AN17" i="7"/>
  <c r="AN16" i="7"/>
  <c r="AN15" i="7"/>
  <c r="AN12" i="7"/>
  <c r="AN11" i="7"/>
  <c r="AN10" i="7"/>
  <c r="AN9" i="7"/>
  <c r="AH18" i="7"/>
  <c r="AH17" i="7"/>
  <c r="AH16" i="7"/>
  <c r="AH15" i="7"/>
  <c r="AH12" i="7"/>
  <c r="AH11" i="7"/>
  <c r="AH10" i="7"/>
  <c r="AH9" i="7"/>
  <c r="AA18" i="7" l="1"/>
  <c r="AA17" i="7"/>
  <c r="AA16" i="7"/>
  <c r="AA15" i="7"/>
  <c r="AA12" i="7"/>
  <c r="AA11" i="7"/>
  <c r="AA10" i="7"/>
  <c r="AA9" i="7"/>
  <c r="U18" i="7"/>
  <c r="U17" i="7"/>
  <c r="U16" i="7"/>
  <c r="U15" i="7"/>
  <c r="U12" i="7"/>
  <c r="U11" i="7"/>
  <c r="U10" i="7"/>
  <c r="U9" i="7"/>
  <c r="O18" i="7"/>
  <c r="O17" i="7"/>
  <c r="O16" i="7"/>
  <c r="O15" i="7"/>
  <c r="O12" i="7"/>
  <c r="O11" i="7"/>
  <c r="O10" i="7"/>
  <c r="O9" i="7"/>
  <c r="I12" i="7"/>
  <c r="I18" i="7"/>
  <c r="I17" i="7"/>
  <c r="I16" i="7"/>
  <c r="I15" i="7"/>
  <c r="I11" i="7"/>
  <c r="I10" i="7"/>
  <c r="I9" i="7"/>
  <c r="BK14" i="16" l="1"/>
  <c r="BK9" i="16"/>
  <c r="BK10" i="16"/>
  <c r="BK11" i="16"/>
  <c r="BK12" i="16"/>
  <c r="BK13" i="16"/>
  <c r="BK15" i="16"/>
  <c r="BK16" i="16"/>
  <c r="BK17" i="16"/>
  <c r="BK18" i="16"/>
  <c r="BK19" i="16"/>
  <c r="BK8" i="16"/>
  <c r="BE9" i="16"/>
  <c r="BE10" i="16"/>
  <c r="BE11" i="16"/>
  <c r="BE12" i="16"/>
  <c r="BE13" i="16"/>
  <c r="BE14" i="16"/>
  <c r="BE15" i="16"/>
  <c r="BE16" i="16"/>
  <c r="BE17" i="16"/>
  <c r="BE18" i="16"/>
  <c r="BE19" i="16"/>
  <c r="BE8" i="16"/>
  <c r="AR8" i="16"/>
  <c r="AR19" i="16"/>
  <c r="AR18" i="16"/>
  <c r="AR17" i="16"/>
  <c r="AR16" i="16"/>
  <c r="AR15" i="16"/>
  <c r="AR14" i="16"/>
  <c r="AR13" i="16"/>
  <c r="AR12" i="16"/>
  <c r="AR11" i="16"/>
  <c r="AR10" i="16"/>
  <c r="AR9" i="16"/>
  <c r="AK8" i="16"/>
  <c r="AK19" i="16"/>
  <c r="AK18" i="16"/>
  <c r="AK17" i="16"/>
  <c r="AK16" i="16"/>
  <c r="AK15" i="16"/>
  <c r="AK14" i="16"/>
  <c r="AK13" i="16"/>
  <c r="AK12" i="16"/>
  <c r="AK11" i="16"/>
  <c r="AK10" i="16"/>
  <c r="AK9" i="16"/>
  <c r="W9" i="16"/>
  <c r="W10" i="16"/>
  <c r="W11" i="16"/>
  <c r="W12" i="16"/>
  <c r="W13" i="16"/>
  <c r="W14" i="16"/>
  <c r="W15" i="16"/>
  <c r="W16" i="16"/>
  <c r="W17" i="16"/>
  <c r="W18" i="16"/>
  <c r="W19" i="16"/>
  <c r="W8" i="16"/>
  <c r="P8" i="16"/>
  <c r="P13" i="16"/>
  <c r="P12" i="16"/>
  <c r="P11" i="16"/>
  <c r="P10" i="16"/>
  <c r="P9" i="16"/>
  <c r="P15" i="16"/>
  <c r="P16" i="16"/>
  <c r="P17" i="16"/>
  <c r="P18" i="16"/>
  <c r="P19" i="16"/>
  <c r="P14" i="16"/>
  <c r="BD19" i="16"/>
  <c r="BC19" i="16"/>
  <c r="AX19" i="16"/>
  <c r="AW19" i="16"/>
  <c r="BD18" i="16"/>
  <c r="BC18" i="16"/>
  <c r="AX18" i="16"/>
  <c r="AW18" i="16"/>
  <c r="BD17" i="16"/>
  <c r="BC17" i="16"/>
  <c r="AX17" i="16"/>
  <c r="AW17" i="16"/>
  <c r="BD16" i="16"/>
  <c r="BC16" i="16"/>
  <c r="AX16" i="16"/>
  <c r="AW16" i="16"/>
  <c r="BJ16" i="16" s="1"/>
  <c r="BD15" i="16"/>
  <c r="BC15" i="16"/>
  <c r="AX15" i="16"/>
  <c r="AW15" i="16"/>
  <c r="BD14" i="16"/>
  <c r="BC14" i="16"/>
  <c r="AX14" i="16"/>
  <c r="AW14" i="16"/>
  <c r="BD13" i="16"/>
  <c r="BC13" i="16"/>
  <c r="AX13" i="16"/>
  <c r="AW13" i="16"/>
  <c r="BJ13" i="16" s="1"/>
  <c r="BD12" i="16"/>
  <c r="BC12" i="16"/>
  <c r="AX12" i="16"/>
  <c r="AW12" i="16"/>
  <c r="BI12" i="16" s="1"/>
  <c r="BD11" i="16"/>
  <c r="BC11" i="16"/>
  <c r="AX11" i="16"/>
  <c r="AW11" i="16"/>
  <c r="BJ11" i="16" s="1"/>
  <c r="BD10" i="16"/>
  <c r="BC10" i="16"/>
  <c r="AX10" i="16"/>
  <c r="AW10" i="16"/>
  <c r="BD9" i="16"/>
  <c r="BC9" i="16"/>
  <c r="AX9" i="16"/>
  <c r="AW9" i="16"/>
  <c r="BD8" i="16"/>
  <c r="BC8" i="16"/>
  <c r="AX8" i="16"/>
  <c r="AW8" i="16"/>
  <c r="BJ19" i="16" l="1"/>
  <c r="BJ12" i="16"/>
  <c r="BI8" i="16"/>
  <c r="BJ9" i="16"/>
  <c r="BJ15" i="16"/>
  <c r="BJ14" i="16"/>
  <c r="BJ18" i="16"/>
  <c r="BI11" i="16"/>
  <c r="BI15" i="16"/>
  <c r="BI17" i="16"/>
  <c r="BI19" i="16"/>
  <c r="BJ8" i="16"/>
  <c r="BJ17" i="16"/>
  <c r="BJ10" i="16"/>
  <c r="BI16" i="16"/>
  <c r="BI10" i="16"/>
  <c r="BI14" i="16"/>
  <c r="BI18" i="16"/>
  <c r="BI9" i="16"/>
  <c r="BI13" i="16"/>
  <c r="BA36" i="16"/>
  <c r="BA35" i="16"/>
  <c r="BA34" i="16"/>
  <c r="BA33" i="16"/>
  <c r="BA32" i="16"/>
  <c r="BA31" i="16"/>
  <c r="AU36" i="16"/>
  <c r="AU35" i="16"/>
  <c r="AU34" i="16"/>
  <c r="AU33" i="16"/>
  <c r="AU32" i="16"/>
  <c r="AU31" i="16"/>
  <c r="AO36" i="16"/>
  <c r="AO35" i="16"/>
  <c r="AO34" i="16"/>
  <c r="AO33" i="16"/>
  <c r="AO32" i="16"/>
  <c r="AO31" i="16"/>
  <c r="AI36" i="16"/>
  <c r="AI35" i="16"/>
  <c r="AI34" i="16"/>
  <c r="AI33" i="16"/>
  <c r="AI32" i="16"/>
  <c r="AC36" i="16"/>
  <c r="AC35" i="16"/>
  <c r="AC34" i="16"/>
  <c r="AC33" i="16"/>
  <c r="AC32" i="16"/>
  <c r="AC31" i="16"/>
  <c r="V36" i="16"/>
  <c r="V35" i="16"/>
  <c r="V34" i="16"/>
  <c r="V33" i="16"/>
  <c r="V32" i="16"/>
  <c r="V31" i="16"/>
  <c r="P36" i="16"/>
  <c r="P35" i="16"/>
  <c r="P34" i="16"/>
  <c r="P33" i="16"/>
  <c r="P32" i="16"/>
  <c r="P31" i="16"/>
  <c r="I31" i="16"/>
  <c r="I36" i="16"/>
  <c r="I35" i="16"/>
  <c r="I34" i="16"/>
  <c r="I33" i="16"/>
  <c r="I32" i="16"/>
  <c r="AO36" i="7" l="1"/>
  <c r="AO35" i="7"/>
  <c r="AO34" i="7"/>
  <c r="AO33" i="7"/>
  <c r="AO32" i="7"/>
  <c r="AO31" i="7"/>
  <c r="AI36" i="7"/>
  <c r="AI35" i="7"/>
  <c r="AI34" i="7"/>
  <c r="AI33" i="7"/>
  <c r="AI32" i="7"/>
  <c r="AI31" i="7"/>
  <c r="AC36" i="7"/>
  <c r="AC35" i="7"/>
  <c r="AC34" i="7"/>
  <c r="AC33" i="7"/>
  <c r="AC32" i="7"/>
  <c r="AC31" i="7"/>
  <c r="J32" i="14" l="1"/>
  <c r="S32" i="14"/>
  <c r="R31" i="14"/>
  <c r="P31" i="14"/>
  <c r="O31" i="14"/>
  <c r="N31" i="14"/>
  <c r="S30" i="14"/>
  <c r="R30" i="14"/>
  <c r="Q30" i="14"/>
  <c r="P30" i="14"/>
  <c r="R29" i="14"/>
  <c r="Q29" i="14"/>
  <c r="P29" i="14"/>
  <c r="O29" i="14"/>
  <c r="S28" i="14"/>
  <c r="I32" i="14"/>
  <c r="H32" i="14"/>
  <c r="AG32" i="14"/>
  <c r="AF32" i="14"/>
  <c r="AF30" i="14"/>
  <c r="AE30" i="14"/>
  <c r="AE29" i="14"/>
  <c r="AF28" i="14"/>
  <c r="AA32" i="14"/>
  <c r="Z32" i="14"/>
  <c r="Y32" i="14"/>
  <c r="X31" i="14"/>
  <c r="Y30" i="14"/>
  <c r="X30" i="14"/>
  <c r="X29" i="14"/>
  <c r="Y28" i="14"/>
  <c r="AC93" i="15" l="1"/>
  <c r="AC92" i="15"/>
  <c r="AC91" i="15"/>
  <c r="AC90" i="15"/>
  <c r="AC89" i="15"/>
  <c r="AC88" i="15"/>
  <c r="AC87" i="15"/>
  <c r="AC86" i="15"/>
  <c r="AC85" i="15"/>
  <c r="AC84" i="15"/>
  <c r="AC83" i="15"/>
  <c r="AC82" i="15"/>
  <c r="AC81" i="15"/>
  <c r="AC80" i="15"/>
  <c r="AC79" i="15"/>
  <c r="AC78" i="15"/>
  <c r="AC77" i="15"/>
  <c r="AC76" i="15"/>
  <c r="AC75" i="15"/>
  <c r="AC74" i="15"/>
  <c r="AC73" i="15"/>
  <c r="AC72" i="15"/>
  <c r="AC71" i="15"/>
  <c r="AC70" i="15"/>
  <c r="AC69" i="15"/>
  <c r="AC68" i="15"/>
  <c r="AC67" i="15"/>
  <c r="AC66" i="15"/>
  <c r="AC65" i="15"/>
  <c r="AC64" i="15"/>
  <c r="V93" i="15"/>
  <c r="V92" i="15"/>
  <c r="V91" i="15"/>
  <c r="V90" i="15"/>
  <c r="V89" i="15"/>
  <c r="V88" i="15"/>
  <c r="V87" i="15"/>
  <c r="V86" i="15"/>
  <c r="V85" i="15"/>
  <c r="V84" i="15"/>
  <c r="V83" i="15"/>
  <c r="V82" i="15"/>
  <c r="V81" i="15"/>
  <c r="V80" i="15"/>
  <c r="V79" i="15"/>
  <c r="V78" i="15"/>
  <c r="V77" i="15"/>
  <c r="V76" i="15"/>
  <c r="V75" i="15"/>
  <c r="V74" i="15"/>
  <c r="V73" i="15"/>
  <c r="V72" i="15"/>
  <c r="V71" i="15"/>
  <c r="V70" i="15"/>
  <c r="V69" i="15"/>
  <c r="V68" i="15"/>
  <c r="V67" i="15"/>
  <c r="V66" i="15"/>
  <c r="V65" i="15"/>
  <c r="V64" i="15"/>
  <c r="O93" i="15"/>
  <c r="O92" i="15"/>
  <c r="O91" i="15"/>
  <c r="O90" i="15"/>
  <c r="O89" i="15"/>
  <c r="O88" i="15"/>
  <c r="O87" i="15"/>
  <c r="O86" i="15"/>
  <c r="O85" i="15"/>
  <c r="O84" i="15"/>
  <c r="O83" i="15"/>
  <c r="O82" i="15"/>
  <c r="O81" i="15"/>
  <c r="O80" i="15"/>
  <c r="O79" i="15"/>
  <c r="O78" i="15"/>
  <c r="O77" i="15"/>
  <c r="O76" i="15"/>
  <c r="O75" i="15"/>
  <c r="O74" i="15"/>
  <c r="O73" i="15"/>
  <c r="O72" i="15"/>
  <c r="O71" i="15"/>
  <c r="O70" i="15"/>
  <c r="O69" i="15"/>
  <c r="O68" i="15"/>
  <c r="O67" i="15"/>
  <c r="O66" i="15"/>
  <c r="O65" i="15"/>
  <c r="O64" i="15"/>
  <c r="H93" i="15"/>
  <c r="H92" i="15"/>
  <c r="H91" i="15"/>
  <c r="H90" i="15"/>
  <c r="H89" i="15"/>
  <c r="H88" i="15"/>
  <c r="H87" i="15"/>
  <c r="H86" i="15"/>
  <c r="H85" i="15"/>
  <c r="H84" i="15"/>
  <c r="H83" i="15"/>
  <c r="H82" i="15"/>
  <c r="H81" i="15"/>
  <c r="H80" i="15"/>
  <c r="H79" i="15"/>
  <c r="H78" i="15"/>
  <c r="H77" i="15"/>
  <c r="H76" i="15"/>
  <c r="H75" i="15"/>
  <c r="H74" i="15"/>
  <c r="H73" i="15"/>
  <c r="H72" i="15"/>
  <c r="H71" i="15"/>
  <c r="H70" i="15"/>
  <c r="H69" i="15"/>
  <c r="H68" i="15"/>
  <c r="H67" i="15"/>
  <c r="H66" i="15"/>
  <c r="H65" i="15"/>
  <c r="H64" i="15"/>
  <c r="AA65" i="15"/>
  <c r="AB93" i="15"/>
  <c r="AA93" i="15"/>
  <c r="AB92" i="15"/>
  <c r="AA92" i="15"/>
  <c r="AB91" i="15"/>
  <c r="AA91" i="15"/>
  <c r="AB90" i="15"/>
  <c r="AA90" i="15"/>
  <c r="AB89" i="15"/>
  <c r="AA89" i="15"/>
  <c r="AB88" i="15"/>
  <c r="AA88" i="15"/>
  <c r="AB87" i="15"/>
  <c r="AA87" i="15"/>
  <c r="AB86" i="15"/>
  <c r="AA86" i="15"/>
  <c r="AB85" i="15"/>
  <c r="AA85" i="15"/>
  <c r="AB84" i="15"/>
  <c r="AA84" i="15"/>
  <c r="AB83" i="15"/>
  <c r="AA83" i="15"/>
  <c r="AB82" i="15"/>
  <c r="AA82" i="15"/>
  <c r="AB81" i="15"/>
  <c r="AA81" i="15"/>
  <c r="AB80" i="15"/>
  <c r="AA80" i="15"/>
  <c r="AB79" i="15"/>
  <c r="AA79" i="15"/>
  <c r="AB78" i="15"/>
  <c r="AA78" i="15"/>
  <c r="AB77" i="15"/>
  <c r="AA77" i="15"/>
  <c r="AB76" i="15"/>
  <c r="AA76" i="15"/>
  <c r="AB75" i="15"/>
  <c r="AA75" i="15"/>
  <c r="AB74" i="15"/>
  <c r="AA74" i="15"/>
  <c r="AB73" i="15"/>
  <c r="AA73" i="15"/>
  <c r="AB72" i="15"/>
  <c r="AA72" i="15"/>
  <c r="AB71" i="15"/>
  <c r="AA71" i="15"/>
  <c r="AB70" i="15"/>
  <c r="AA70" i="15"/>
  <c r="AB69" i="15"/>
  <c r="AA69" i="15"/>
  <c r="AB68" i="15"/>
  <c r="AA68" i="15"/>
  <c r="AB67" i="15"/>
  <c r="AA67" i="15"/>
  <c r="AB66" i="15"/>
  <c r="AA66" i="15"/>
  <c r="AB65" i="15"/>
  <c r="AB64" i="15"/>
  <c r="AA64" i="15"/>
  <c r="AB63" i="15"/>
  <c r="AA63" i="15"/>
  <c r="AB62" i="15"/>
  <c r="AA62" i="15"/>
  <c r="AB61" i="15"/>
  <c r="AA61" i="15"/>
  <c r="AB60" i="15"/>
  <c r="AA60" i="15"/>
  <c r="AB59" i="15"/>
  <c r="AA59" i="15"/>
  <c r="AB58" i="15"/>
  <c r="AA58" i="15"/>
  <c r="AB57" i="15"/>
  <c r="AA57" i="15"/>
  <c r="AB56" i="15"/>
  <c r="AA56" i="15"/>
  <c r="AB55" i="15"/>
  <c r="AA55" i="15"/>
  <c r="AB54" i="15"/>
  <c r="AA54" i="15"/>
  <c r="V46" i="15" l="1"/>
  <c r="U46" i="15"/>
  <c r="T46" i="15"/>
  <c r="V45" i="15"/>
  <c r="U45" i="15"/>
  <c r="T45" i="15"/>
  <c r="V44" i="15"/>
  <c r="U44" i="15"/>
  <c r="T44" i="15"/>
  <c r="V43" i="15"/>
  <c r="U43" i="15"/>
  <c r="T43" i="15"/>
  <c r="V42" i="15"/>
  <c r="U42" i="15"/>
  <c r="T42" i="15"/>
  <c r="V41" i="15"/>
  <c r="U41" i="15"/>
  <c r="T41" i="15"/>
  <c r="V40" i="15"/>
  <c r="U40" i="15"/>
  <c r="T40" i="15"/>
  <c r="V39" i="15"/>
  <c r="U39" i="15"/>
  <c r="T39" i="15"/>
  <c r="V38" i="15"/>
  <c r="U38" i="15"/>
  <c r="T38" i="15"/>
  <c r="V37" i="15"/>
  <c r="U37" i="15"/>
  <c r="T37" i="15"/>
  <c r="V36" i="15"/>
  <c r="U36" i="15"/>
  <c r="T36" i="15"/>
  <c r="V35" i="15"/>
  <c r="U35" i="15"/>
  <c r="T35" i="15"/>
  <c r="V34" i="15"/>
  <c r="U34" i="15"/>
  <c r="T34" i="15"/>
  <c r="V33" i="15"/>
  <c r="U33" i="15"/>
  <c r="T33" i="15"/>
  <c r="V32" i="15"/>
  <c r="U32" i="15"/>
  <c r="T32" i="15"/>
  <c r="V31" i="15"/>
  <c r="U31" i="15"/>
  <c r="T31" i="15"/>
  <c r="V30" i="15"/>
  <c r="U30" i="15"/>
  <c r="T30" i="15"/>
  <c r="V29" i="15"/>
  <c r="U29" i="15"/>
  <c r="T29" i="15"/>
  <c r="V28" i="15"/>
  <c r="U28" i="15"/>
  <c r="T28" i="15"/>
  <c r="V27" i="15"/>
  <c r="U27" i="15"/>
  <c r="T27" i="15"/>
  <c r="V26" i="15"/>
  <c r="U26" i="15"/>
  <c r="T26" i="15"/>
  <c r="V25" i="15"/>
  <c r="U25" i="15"/>
  <c r="T25" i="15"/>
  <c r="V23" i="15"/>
  <c r="U23" i="15"/>
  <c r="T23" i="15"/>
  <c r="V22" i="15"/>
  <c r="U22" i="15"/>
  <c r="T22" i="15"/>
  <c r="V21" i="15"/>
  <c r="U21" i="15"/>
  <c r="T21" i="15"/>
  <c r="V20" i="15"/>
  <c r="U20" i="15"/>
  <c r="T20" i="15"/>
  <c r="V19" i="15"/>
  <c r="U19" i="15"/>
  <c r="T19" i="15"/>
  <c r="V18" i="15"/>
  <c r="U18" i="15"/>
  <c r="T18" i="15"/>
  <c r="V17" i="15"/>
  <c r="U17" i="15"/>
  <c r="T17" i="15"/>
  <c r="U16" i="15"/>
  <c r="T16" i="15"/>
  <c r="U15" i="15"/>
  <c r="T15" i="15"/>
  <c r="U14" i="15"/>
  <c r="T14" i="15"/>
  <c r="U13" i="15"/>
  <c r="T13" i="15"/>
  <c r="U12" i="15"/>
  <c r="T12" i="15"/>
  <c r="U11" i="15"/>
  <c r="T11" i="15"/>
  <c r="U10" i="15"/>
  <c r="T10" i="15"/>
  <c r="U9" i="15"/>
  <c r="T9" i="15"/>
  <c r="U8" i="15"/>
  <c r="T8" i="15"/>
  <c r="U7" i="15"/>
  <c r="T7" i="15"/>
  <c r="AC46" i="15"/>
  <c r="AC45" i="15"/>
  <c r="AC44" i="15"/>
  <c r="AC43" i="15"/>
  <c r="AC42" i="15"/>
  <c r="AC41" i="15"/>
  <c r="AC40" i="15"/>
  <c r="AC39" i="15"/>
  <c r="AC38" i="15"/>
  <c r="AC37" i="15"/>
  <c r="AC36" i="15"/>
  <c r="AC35" i="15"/>
  <c r="AC34" i="15"/>
  <c r="AC33" i="15"/>
  <c r="AC32" i="15"/>
  <c r="AC31" i="15"/>
  <c r="AC30" i="15"/>
  <c r="AC29" i="15"/>
  <c r="AC28" i="15"/>
  <c r="AC27" i="15"/>
  <c r="AC26" i="15"/>
  <c r="AC25" i="15"/>
  <c r="AC23" i="15"/>
  <c r="AC22" i="15"/>
  <c r="AC21" i="15"/>
  <c r="AC20" i="15"/>
  <c r="AC19" i="15"/>
  <c r="AC18" i="15"/>
  <c r="AC17" i="15"/>
  <c r="O46" i="15"/>
  <c r="O45" i="15"/>
  <c r="O44" i="15"/>
  <c r="O43" i="15"/>
  <c r="O42" i="15"/>
  <c r="O41" i="15"/>
  <c r="O40" i="15"/>
  <c r="O39" i="15"/>
  <c r="O38" i="15"/>
  <c r="O37" i="15"/>
  <c r="O36" i="15"/>
  <c r="O35" i="15"/>
  <c r="O34" i="15"/>
  <c r="O33" i="15"/>
  <c r="O32" i="15"/>
  <c r="O31" i="15"/>
  <c r="O30" i="15"/>
  <c r="O29" i="15"/>
  <c r="O28" i="15"/>
  <c r="O27" i="15"/>
  <c r="O26" i="15"/>
  <c r="O25" i="15"/>
  <c r="O23" i="15"/>
  <c r="O22" i="15"/>
  <c r="O21" i="15"/>
  <c r="O20" i="15"/>
  <c r="O19" i="15"/>
  <c r="O18" i="15"/>
  <c r="O17" i="15"/>
  <c r="H17" i="15"/>
  <c r="H46" i="15"/>
  <c r="H45" i="15"/>
  <c r="H44" i="15"/>
  <c r="H43" i="15"/>
  <c r="H42" i="15"/>
  <c r="H41" i="15"/>
  <c r="H40" i="15"/>
  <c r="H39" i="15"/>
  <c r="H38" i="15"/>
  <c r="H37" i="15"/>
  <c r="H36" i="15"/>
  <c r="H35" i="15"/>
  <c r="H34" i="15"/>
  <c r="H33" i="15"/>
  <c r="H32" i="15"/>
  <c r="H31" i="15"/>
  <c r="H30" i="15"/>
  <c r="H29" i="15"/>
  <c r="H28" i="15"/>
  <c r="H27" i="15"/>
  <c r="H26" i="15"/>
  <c r="H25" i="15"/>
  <c r="H23" i="15"/>
  <c r="H22" i="15"/>
  <c r="H21" i="15"/>
  <c r="H20" i="15"/>
  <c r="H19" i="15"/>
  <c r="H18" i="15"/>
  <c r="AB46" i="15"/>
  <c r="AA46" i="15"/>
  <c r="AB45" i="15"/>
  <c r="AA45" i="15"/>
  <c r="AB44" i="15"/>
  <c r="AA44" i="15"/>
  <c r="AB43" i="15"/>
  <c r="AA43" i="15"/>
  <c r="AB42" i="15"/>
  <c r="AA42" i="15"/>
  <c r="AB41" i="15"/>
  <c r="AA41" i="15"/>
  <c r="AB40" i="15"/>
  <c r="AA40" i="15"/>
  <c r="AB39" i="15"/>
  <c r="AA39" i="15"/>
  <c r="AB38" i="15"/>
  <c r="AA38" i="15"/>
  <c r="AB37" i="15"/>
  <c r="AA37" i="15"/>
  <c r="AB36" i="15"/>
  <c r="AA36" i="15"/>
  <c r="AB35" i="15"/>
  <c r="AA35" i="15"/>
  <c r="AB34" i="15"/>
  <c r="AA34" i="15"/>
  <c r="AB33" i="15"/>
  <c r="AA33" i="15"/>
  <c r="AB32" i="15"/>
  <c r="AA32" i="15"/>
  <c r="AB31" i="15"/>
  <c r="AA31" i="15"/>
  <c r="AB30" i="15"/>
  <c r="AA30" i="15"/>
  <c r="AB29" i="15"/>
  <c r="AA29" i="15"/>
  <c r="AB28" i="15"/>
  <c r="AA28" i="15"/>
  <c r="AB27" i="15"/>
  <c r="AA27" i="15"/>
  <c r="AB26" i="15"/>
  <c r="AA26" i="15"/>
  <c r="AB25" i="15"/>
  <c r="AA25" i="15"/>
  <c r="AB23" i="15"/>
  <c r="AA23" i="15"/>
  <c r="AB22" i="15"/>
  <c r="AA22" i="15"/>
  <c r="AB21" i="15"/>
  <c r="AA21" i="15"/>
  <c r="AB20" i="15"/>
  <c r="AA20" i="15"/>
  <c r="AB19" i="15"/>
  <c r="AA19" i="15"/>
  <c r="AB18" i="15"/>
  <c r="AA18" i="15"/>
  <c r="AB17" i="15"/>
  <c r="AA17" i="15"/>
  <c r="AB16" i="15"/>
  <c r="AA16" i="15"/>
  <c r="AB15" i="15"/>
  <c r="AA15" i="15"/>
  <c r="AB14" i="15"/>
  <c r="AA14" i="15"/>
  <c r="AB13" i="15"/>
  <c r="AA13" i="15"/>
  <c r="AB12" i="15"/>
  <c r="AA12" i="15"/>
  <c r="AB11" i="15"/>
  <c r="AA11" i="15"/>
  <c r="AB10" i="15"/>
  <c r="AA10" i="15"/>
  <c r="AB9" i="15"/>
  <c r="AA9" i="15"/>
  <c r="AB8" i="15"/>
  <c r="AA8" i="15"/>
  <c r="AB7" i="15"/>
  <c r="AA7" i="15"/>
  <c r="Q74" i="9" l="1"/>
  <c r="Q70" i="9"/>
  <c r="Q66" i="9"/>
  <c r="H66" i="9"/>
  <c r="H70" i="9"/>
  <c r="H74" i="9"/>
  <c r="Q55" i="9" l="1"/>
  <c r="Q47" i="9"/>
  <c r="Q51" i="9"/>
  <c r="H55" i="9" l="1"/>
  <c r="H51" i="9"/>
  <c r="H47" i="9"/>
  <c r="I32" i="2"/>
  <c r="H32" i="2"/>
  <c r="G32" i="2"/>
  <c r="F32" i="2"/>
  <c r="E32" i="2"/>
  <c r="D32" i="2"/>
  <c r="C32" i="2"/>
  <c r="I30" i="2"/>
  <c r="H30" i="2"/>
  <c r="G30" i="2"/>
  <c r="F30" i="2"/>
  <c r="E30" i="2"/>
  <c r="D30" i="2"/>
  <c r="G28" i="2"/>
  <c r="F28" i="2"/>
  <c r="E28" i="2"/>
  <c r="D28" i="2"/>
  <c r="C28" i="2"/>
  <c r="I26" i="2"/>
  <c r="H26" i="2"/>
  <c r="G26" i="2"/>
  <c r="F26" i="2"/>
  <c r="E26" i="2"/>
  <c r="AB65" i="2"/>
  <c r="AB64" i="2"/>
  <c r="AB63" i="2"/>
  <c r="AB62" i="2"/>
  <c r="AB61" i="2"/>
  <c r="AB60" i="2"/>
  <c r="AB59" i="2"/>
  <c r="AB58" i="2"/>
  <c r="AB57" i="2"/>
  <c r="AB56" i="2"/>
  <c r="U65" i="2"/>
  <c r="U64" i="2"/>
  <c r="U63" i="2"/>
  <c r="U62" i="2"/>
  <c r="U61" i="2"/>
  <c r="U60" i="2"/>
  <c r="U59" i="2"/>
  <c r="U58" i="2"/>
  <c r="U57" i="2"/>
  <c r="U56" i="2"/>
  <c r="N57" i="2"/>
  <c r="N58" i="2"/>
  <c r="N59" i="2"/>
  <c r="N60" i="2"/>
  <c r="N61" i="2"/>
  <c r="N62" i="2"/>
  <c r="N63" i="2"/>
  <c r="N64" i="2"/>
  <c r="N65" i="2"/>
  <c r="N56" i="2"/>
  <c r="N16" i="8"/>
  <c r="N15" i="8"/>
  <c r="N12" i="8"/>
  <c r="N11" i="8"/>
  <c r="N10" i="8"/>
  <c r="N8" i="8"/>
  <c r="N7" i="8"/>
  <c r="N6" i="8"/>
  <c r="T31" i="8"/>
  <c r="T30" i="8"/>
  <c r="T29" i="8"/>
  <c r="T27" i="8"/>
  <c r="T26" i="8"/>
  <c r="T25" i="8"/>
  <c r="T23" i="8"/>
  <c r="T22" i="8"/>
  <c r="T21" i="8"/>
  <c r="N31" i="8"/>
  <c r="N30" i="8"/>
  <c r="N29" i="8"/>
  <c r="N27" i="8"/>
  <c r="N26" i="8"/>
  <c r="N25" i="8"/>
  <c r="N23" i="8"/>
  <c r="N22" i="8"/>
  <c r="N21" i="8"/>
  <c r="H30" i="8"/>
  <c r="H29" i="8"/>
  <c r="H27" i="8"/>
  <c r="H25" i="8"/>
  <c r="H23" i="8"/>
  <c r="H22" i="8"/>
  <c r="H21" i="8"/>
  <c r="H16" i="8"/>
  <c r="H15" i="8"/>
  <c r="H14" i="8"/>
  <c r="H12" i="8"/>
  <c r="H11" i="8"/>
  <c r="H10" i="8"/>
  <c r="H8" i="8"/>
  <c r="H7" i="8"/>
  <c r="H6" i="8"/>
  <c r="M90" i="3"/>
  <c r="L90" i="3"/>
  <c r="K90" i="3"/>
  <c r="J90" i="3"/>
  <c r="I90" i="3"/>
  <c r="H90" i="3"/>
  <c r="G90" i="3"/>
  <c r="F90" i="3"/>
  <c r="E90" i="3"/>
  <c r="M82" i="3"/>
  <c r="L82" i="3"/>
  <c r="K82" i="3"/>
  <c r="J82" i="3"/>
  <c r="I82" i="3"/>
  <c r="H82" i="3"/>
  <c r="G82" i="3"/>
  <c r="F82" i="3"/>
  <c r="E82" i="3"/>
  <c r="F74" i="3"/>
  <c r="G74" i="3"/>
  <c r="H74" i="3"/>
  <c r="I74" i="3"/>
  <c r="J74" i="3"/>
  <c r="K74" i="3"/>
  <c r="L74" i="3"/>
  <c r="M74" i="3"/>
  <c r="E74" i="3"/>
  <c r="AS47" i="4" l="1"/>
  <c r="AR47" i="4"/>
  <c r="AQ47" i="4"/>
  <c r="AS46" i="4"/>
  <c r="AR46" i="4"/>
  <c r="AQ46" i="4"/>
  <c r="AS45" i="4"/>
  <c r="AR45" i="4"/>
  <c r="AQ45" i="4"/>
  <c r="AS44" i="4"/>
  <c r="AR44" i="4"/>
  <c r="AQ44" i="4"/>
  <c r="AS43" i="4"/>
  <c r="AR43" i="4"/>
  <c r="AQ43" i="4"/>
  <c r="AS42" i="4"/>
  <c r="AR42" i="4"/>
  <c r="AQ42" i="4"/>
  <c r="AS41" i="4"/>
  <c r="AR41" i="4"/>
  <c r="AQ41" i="4"/>
  <c r="AS40" i="4"/>
  <c r="AR40" i="4"/>
  <c r="AQ40" i="4"/>
  <c r="AS39" i="4"/>
  <c r="AR39" i="4"/>
  <c r="AQ39" i="4"/>
  <c r="AS38" i="4"/>
  <c r="AR38" i="4"/>
  <c r="AQ38" i="4"/>
  <c r="AS37" i="4"/>
  <c r="AR37" i="4"/>
  <c r="AQ37" i="4"/>
  <c r="AS36" i="4"/>
  <c r="AR36" i="4"/>
  <c r="AQ36" i="4"/>
  <c r="AS35" i="4"/>
  <c r="AR35" i="4"/>
  <c r="AQ35" i="4"/>
  <c r="AS34" i="4"/>
  <c r="AR34" i="4"/>
  <c r="AQ34" i="4"/>
  <c r="AS33" i="4"/>
  <c r="AR33" i="4"/>
  <c r="AQ33" i="4"/>
  <c r="AS32" i="4"/>
  <c r="AR32" i="4"/>
  <c r="AQ32" i="4"/>
  <c r="AS31" i="4"/>
  <c r="AR31" i="4"/>
  <c r="AQ31" i="4"/>
  <c r="AS30" i="4"/>
  <c r="AR30" i="4"/>
  <c r="AQ30" i="4"/>
  <c r="AS29" i="4"/>
  <c r="AR29" i="4"/>
  <c r="AQ29" i="4"/>
  <c r="AS28" i="4"/>
  <c r="AR28" i="4"/>
  <c r="AQ28" i="4"/>
  <c r="AS27" i="4"/>
  <c r="AR27" i="4"/>
  <c r="AQ27" i="4"/>
  <c r="AS26" i="4"/>
  <c r="AR26" i="4"/>
  <c r="AQ26" i="4"/>
  <c r="AS25" i="4"/>
  <c r="AR25" i="4"/>
  <c r="AQ25" i="4"/>
  <c r="AS24" i="4"/>
  <c r="AR24" i="4"/>
  <c r="AQ24" i="4"/>
  <c r="AS23" i="4"/>
  <c r="AR23" i="4"/>
  <c r="AQ23" i="4"/>
  <c r="AS22" i="4"/>
  <c r="AR22" i="4"/>
  <c r="AQ22" i="4"/>
  <c r="AS21" i="4"/>
  <c r="AR21" i="4"/>
  <c r="AQ21" i="4"/>
  <c r="AS20" i="4"/>
  <c r="AR20" i="4"/>
  <c r="AQ20" i="4"/>
  <c r="AS19" i="4"/>
  <c r="AR19" i="4"/>
  <c r="AQ19" i="4"/>
  <c r="AS18" i="4"/>
  <c r="AR18" i="4"/>
  <c r="AQ18" i="4"/>
  <c r="AR17" i="4"/>
  <c r="AQ17" i="4"/>
  <c r="AR16" i="4"/>
  <c r="AQ16" i="4"/>
  <c r="AR15" i="4"/>
  <c r="AQ15" i="4"/>
  <c r="AR14" i="4"/>
  <c r="AQ14" i="4"/>
  <c r="AR13" i="4"/>
  <c r="AQ13" i="4"/>
  <c r="AR12" i="4"/>
  <c r="AQ12" i="4"/>
  <c r="AR11" i="4"/>
  <c r="AQ11" i="4"/>
  <c r="AR10" i="4"/>
  <c r="AQ10" i="4"/>
  <c r="AR9" i="4"/>
  <c r="AQ9" i="4"/>
  <c r="AR8" i="4"/>
  <c r="AQ8" i="4"/>
  <c r="AL47" i="4"/>
  <c r="AK47" i="4"/>
  <c r="AJ47" i="4"/>
  <c r="AL46" i="4"/>
  <c r="AK46" i="4"/>
  <c r="AJ46" i="4"/>
  <c r="AL45" i="4"/>
  <c r="AK45" i="4"/>
  <c r="AJ45" i="4"/>
  <c r="AL44" i="4"/>
  <c r="AK44" i="4"/>
  <c r="AJ44" i="4"/>
  <c r="AL43" i="4"/>
  <c r="AK43" i="4"/>
  <c r="AJ43" i="4"/>
  <c r="AL42" i="4"/>
  <c r="AK42" i="4"/>
  <c r="AJ42" i="4"/>
  <c r="AL41" i="4"/>
  <c r="AK41" i="4"/>
  <c r="AJ41" i="4"/>
  <c r="AL40" i="4"/>
  <c r="AK40" i="4"/>
  <c r="AJ40" i="4"/>
  <c r="AL39" i="4"/>
  <c r="AK39" i="4"/>
  <c r="AJ39" i="4"/>
  <c r="AL38" i="4"/>
  <c r="AK38" i="4"/>
  <c r="AJ38" i="4"/>
  <c r="AL37" i="4"/>
  <c r="AK37" i="4"/>
  <c r="AJ37" i="4"/>
  <c r="AL36" i="4"/>
  <c r="AK36" i="4"/>
  <c r="AJ36" i="4"/>
  <c r="AL35" i="4"/>
  <c r="AK35" i="4"/>
  <c r="AJ35" i="4"/>
  <c r="AL34" i="4"/>
  <c r="AK34" i="4"/>
  <c r="AJ34" i="4"/>
  <c r="AL33" i="4"/>
  <c r="AK33" i="4"/>
  <c r="AJ33" i="4"/>
  <c r="AL32" i="4"/>
  <c r="AK32" i="4"/>
  <c r="AJ32" i="4"/>
  <c r="AL31" i="4"/>
  <c r="AK31" i="4"/>
  <c r="AJ31" i="4"/>
  <c r="AL30" i="4"/>
  <c r="AK30" i="4"/>
  <c r="AJ30" i="4"/>
  <c r="AL29" i="4"/>
  <c r="AK29" i="4"/>
  <c r="AJ29" i="4"/>
  <c r="AL28" i="4"/>
  <c r="AK28" i="4"/>
  <c r="AJ28" i="4"/>
  <c r="AL27" i="4"/>
  <c r="AK27" i="4"/>
  <c r="AJ27" i="4"/>
  <c r="AL26" i="4"/>
  <c r="AK26" i="4"/>
  <c r="AJ26" i="4"/>
  <c r="AL25" i="4"/>
  <c r="AK25" i="4"/>
  <c r="AJ25" i="4"/>
  <c r="AL24" i="4"/>
  <c r="AK24" i="4"/>
  <c r="AJ24" i="4"/>
  <c r="AL23" i="4"/>
  <c r="AK23" i="4"/>
  <c r="AJ23" i="4"/>
  <c r="AL22" i="4"/>
  <c r="AK22" i="4"/>
  <c r="AJ22" i="4"/>
  <c r="AL21" i="4"/>
  <c r="AK21" i="4"/>
  <c r="AJ21" i="4"/>
  <c r="AL20" i="4"/>
  <c r="AK20" i="4"/>
  <c r="AJ20" i="4"/>
  <c r="AL19" i="4"/>
  <c r="AK19" i="4"/>
  <c r="AJ19" i="4"/>
  <c r="AL18" i="4"/>
  <c r="AK18" i="4"/>
  <c r="AJ18" i="4"/>
  <c r="AK17" i="4"/>
  <c r="AJ17" i="4"/>
  <c r="AK16" i="4"/>
  <c r="AJ16" i="4"/>
  <c r="AK15" i="4"/>
  <c r="AJ15" i="4"/>
  <c r="AK14" i="4"/>
  <c r="AJ14" i="4"/>
  <c r="AK13" i="4"/>
  <c r="AJ13" i="4"/>
  <c r="AK12" i="4"/>
  <c r="AJ12" i="4"/>
  <c r="AK11" i="4"/>
  <c r="AJ11" i="4"/>
  <c r="AK10" i="4"/>
  <c r="AJ10" i="4"/>
  <c r="AK9" i="4"/>
  <c r="AJ9" i="4"/>
  <c r="AK8" i="4"/>
  <c r="AJ8" i="4"/>
  <c r="AE45" i="4"/>
  <c r="AE47" i="4"/>
  <c r="AE46" i="4"/>
  <c r="AE44" i="4"/>
  <c r="AE43" i="4"/>
  <c r="AE42" i="4"/>
  <c r="AE41" i="4"/>
  <c r="AE40" i="4"/>
  <c r="AE39" i="4"/>
  <c r="AE38" i="4"/>
  <c r="AE37" i="4"/>
  <c r="AE36" i="4"/>
  <c r="AE35" i="4"/>
  <c r="AE34" i="4"/>
  <c r="AE33" i="4"/>
  <c r="AE32" i="4"/>
  <c r="AE31" i="4"/>
  <c r="AE30" i="4"/>
  <c r="AE29" i="4"/>
  <c r="AE28" i="4"/>
  <c r="AE27" i="4"/>
  <c r="AE26" i="4"/>
  <c r="AE25" i="4"/>
  <c r="AE24" i="4"/>
  <c r="AE23" i="4"/>
  <c r="AE22" i="4"/>
  <c r="AE21" i="4"/>
  <c r="AE20" i="4"/>
  <c r="AE19" i="4"/>
  <c r="AE18" i="4"/>
  <c r="X47" i="4"/>
  <c r="X46" i="4"/>
  <c r="X45" i="4"/>
  <c r="X44" i="4"/>
  <c r="X43" i="4"/>
  <c r="X42" i="4"/>
  <c r="X41" i="4"/>
  <c r="X40" i="4"/>
  <c r="X39" i="4"/>
  <c r="X38" i="4"/>
  <c r="X37" i="4"/>
  <c r="X36" i="4"/>
  <c r="X35" i="4"/>
  <c r="X34" i="4"/>
  <c r="X33" i="4"/>
  <c r="X32" i="4"/>
  <c r="X31" i="4"/>
  <c r="X30" i="4"/>
  <c r="X29" i="4"/>
  <c r="X28" i="4"/>
  <c r="X27" i="4"/>
  <c r="X26" i="4"/>
  <c r="X25" i="4"/>
  <c r="X24" i="4"/>
  <c r="X23" i="4"/>
  <c r="X22" i="4"/>
  <c r="X21" i="4"/>
  <c r="X20" i="4"/>
  <c r="X19" i="4"/>
  <c r="X1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J39" i="4"/>
  <c r="J40" i="4"/>
  <c r="J41" i="4"/>
  <c r="J42" i="4"/>
  <c r="J43" i="4"/>
  <c r="J44" i="4"/>
  <c r="J45" i="4"/>
  <c r="J46" i="4"/>
  <c r="J47" i="4"/>
  <c r="J38" i="4"/>
  <c r="J29" i="4"/>
  <c r="J30" i="4"/>
  <c r="J31" i="4"/>
  <c r="J32" i="4"/>
  <c r="J33" i="4"/>
  <c r="J34" i="4"/>
  <c r="J35" i="4"/>
  <c r="J36" i="4"/>
  <c r="J37" i="4"/>
  <c r="J28" i="4"/>
  <c r="J19" i="4"/>
  <c r="J20" i="4"/>
  <c r="J21" i="4"/>
  <c r="J22" i="4"/>
  <c r="J23" i="4"/>
  <c r="J24" i="4"/>
  <c r="J25" i="4"/>
  <c r="J26" i="4"/>
  <c r="J27" i="4"/>
  <c r="J18" i="4"/>
  <c r="AC9" i="4"/>
  <c r="AD9" i="4"/>
  <c r="AC10" i="4"/>
  <c r="AD10" i="4"/>
  <c r="AC11" i="4"/>
  <c r="AD11" i="4"/>
  <c r="AC12" i="4"/>
  <c r="AD12" i="4"/>
  <c r="AC13" i="4"/>
  <c r="AD13" i="4"/>
  <c r="AC14" i="4"/>
  <c r="AD14" i="4"/>
  <c r="AC15" i="4"/>
  <c r="AD15" i="4"/>
  <c r="AC16" i="4"/>
  <c r="AD16" i="4"/>
  <c r="AC17" i="4"/>
  <c r="AD17" i="4"/>
  <c r="AC18" i="4"/>
  <c r="AD18" i="4"/>
  <c r="AC19" i="4"/>
  <c r="AD19" i="4"/>
  <c r="AC20" i="4"/>
  <c r="AD20" i="4"/>
  <c r="AC21" i="4"/>
  <c r="AD21" i="4"/>
  <c r="AC22" i="4"/>
  <c r="AD22" i="4"/>
  <c r="AC23" i="4"/>
  <c r="AD23" i="4"/>
  <c r="AC24" i="4"/>
  <c r="AD24" i="4"/>
  <c r="AC25" i="4"/>
  <c r="AD25" i="4"/>
  <c r="AC26" i="4"/>
  <c r="AD26" i="4"/>
  <c r="AC27" i="4"/>
  <c r="AD27" i="4"/>
  <c r="AC28" i="4"/>
  <c r="AD28" i="4"/>
  <c r="AC29" i="4"/>
  <c r="AD29" i="4"/>
  <c r="AC30" i="4"/>
  <c r="AD30" i="4"/>
  <c r="AC31" i="4"/>
  <c r="AD31" i="4"/>
  <c r="AC32" i="4"/>
  <c r="AD32" i="4"/>
  <c r="AC33" i="4"/>
  <c r="AD33" i="4"/>
  <c r="AC34" i="4"/>
  <c r="AD34" i="4"/>
  <c r="AC35" i="4"/>
  <c r="AD35" i="4"/>
  <c r="AC36" i="4"/>
  <c r="AD36" i="4"/>
  <c r="AC37" i="4"/>
  <c r="AD37" i="4"/>
  <c r="AC38" i="4"/>
  <c r="AD38" i="4"/>
  <c r="AC39" i="4"/>
  <c r="AD39" i="4"/>
  <c r="AC40" i="4"/>
  <c r="AD40" i="4"/>
  <c r="AC41" i="4"/>
  <c r="AD41" i="4"/>
  <c r="AC42" i="4"/>
  <c r="AD42" i="4"/>
  <c r="AC43" i="4"/>
  <c r="AD43" i="4"/>
  <c r="AC44" i="4"/>
  <c r="AD44" i="4"/>
  <c r="AC45" i="4"/>
  <c r="AD45" i="4"/>
  <c r="AC46" i="4"/>
  <c r="AD46" i="4"/>
  <c r="AC47" i="4"/>
  <c r="AD47" i="4"/>
  <c r="AD8" i="4"/>
  <c r="AC8" i="4"/>
  <c r="T65" i="2" l="1"/>
  <c r="S65" i="2"/>
  <c r="T64" i="2"/>
  <c r="S64" i="2"/>
  <c r="T63" i="2"/>
  <c r="S63" i="2"/>
  <c r="T62" i="2"/>
  <c r="S62" i="2"/>
  <c r="T61" i="2"/>
  <c r="S61" i="2"/>
  <c r="T60" i="2"/>
  <c r="S60" i="2"/>
  <c r="T59" i="2"/>
  <c r="S59" i="2"/>
  <c r="T58" i="2"/>
  <c r="S58" i="2"/>
  <c r="T57" i="2"/>
  <c r="S57" i="2"/>
  <c r="T56" i="2"/>
  <c r="S56" i="2"/>
  <c r="M65" i="2"/>
  <c r="L65" i="2"/>
  <c r="M64" i="2"/>
  <c r="L64" i="2"/>
  <c r="M63" i="2"/>
  <c r="L63" i="2"/>
  <c r="M62" i="2"/>
  <c r="L62" i="2"/>
  <c r="M61" i="2"/>
  <c r="L61" i="2"/>
  <c r="M60" i="2"/>
  <c r="L60" i="2"/>
  <c r="M59" i="2"/>
  <c r="L59" i="2"/>
  <c r="M58" i="2"/>
  <c r="L58" i="2"/>
  <c r="M57" i="2"/>
  <c r="L57" i="2"/>
  <c r="M56" i="2"/>
  <c r="L56" i="2"/>
  <c r="M24" i="3"/>
  <c r="M33" i="3"/>
  <c r="M32" i="3"/>
  <c r="M31" i="3"/>
  <c r="M30" i="3"/>
  <c r="M29" i="3"/>
  <c r="M28" i="3"/>
  <c r="M27" i="3"/>
  <c r="M26" i="3"/>
  <c r="M25" i="3"/>
  <c r="L33" i="3"/>
  <c r="K33" i="3"/>
  <c r="L32" i="3"/>
  <c r="K32" i="3"/>
  <c r="L31" i="3"/>
  <c r="K31" i="3"/>
  <c r="L30" i="3"/>
  <c r="K30" i="3"/>
  <c r="L29" i="3"/>
  <c r="K29" i="3"/>
  <c r="L28" i="3"/>
  <c r="K28" i="3"/>
  <c r="L27" i="3"/>
  <c r="K27" i="3"/>
  <c r="L26" i="3"/>
  <c r="K26" i="3"/>
  <c r="L25" i="3"/>
  <c r="K25" i="3"/>
  <c r="L24" i="3"/>
  <c r="K24" i="3"/>
  <c r="F33" i="3"/>
  <c r="E33" i="3"/>
  <c r="F32" i="3"/>
  <c r="E32" i="3"/>
  <c r="F31" i="3"/>
  <c r="E31" i="3"/>
  <c r="F30" i="3"/>
  <c r="E30" i="3"/>
  <c r="F29" i="3"/>
  <c r="E29" i="3"/>
  <c r="F28" i="3"/>
  <c r="E28" i="3"/>
  <c r="F27" i="3"/>
  <c r="E27" i="3"/>
  <c r="F26" i="3"/>
  <c r="E26" i="3"/>
  <c r="F25" i="3"/>
  <c r="E25" i="3"/>
  <c r="F24" i="3"/>
  <c r="E24" i="3"/>
  <c r="U36" i="7" l="1"/>
  <c r="U35" i="7"/>
  <c r="U34" i="7"/>
  <c r="U33" i="7"/>
  <c r="U32" i="7"/>
  <c r="U31" i="7"/>
  <c r="O36" i="7"/>
  <c r="O35" i="7"/>
  <c r="O34" i="7"/>
  <c r="O33" i="7"/>
  <c r="O32" i="7"/>
  <c r="O31" i="7"/>
  <c r="I32" i="7"/>
  <c r="I33" i="7"/>
  <c r="I34" i="7"/>
  <c r="I35" i="7"/>
  <c r="I36" i="7"/>
  <c r="I31" i="7"/>
  <c r="AA16" i="3"/>
  <c r="AA15" i="3"/>
  <c r="AA14" i="3"/>
  <c r="AA13" i="3"/>
  <c r="AA12" i="3"/>
  <c r="AA11" i="3"/>
  <c r="AA10" i="3"/>
  <c r="AA9" i="3"/>
  <c r="AA8" i="3"/>
  <c r="AA7" i="3"/>
  <c r="T16" i="3"/>
  <c r="T15" i="3"/>
  <c r="T14" i="3"/>
  <c r="T13" i="3"/>
  <c r="T12" i="3"/>
  <c r="T11" i="3"/>
  <c r="T10" i="3"/>
  <c r="T9" i="3"/>
  <c r="T8" i="3"/>
  <c r="T7" i="3"/>
  <c r="M8" i="3"/>
  <c r="M9" i="3"/>
  <c r="M10" i="3"/>
  <c r="M11" i="3"/>
  <c r="M12" i="3"/>
  <c r="M13" i="3"/>
  <c r="M14" i="3"/>
  <c r="M15" i="3"/>
  <c r="M16" i="3"/>
  <c r="M7" i="3"/>
  <c r="H22" i="5" l="1"/>
  <c r="H14" i="5"/>
  <c r="H10" i="5"/>
  <c r="H18" i="5"/>
  <c r="AQ22" i="5"/>
  <c r="AQ18" i="5"/>
  <c r="AQ14" i="5"/>
  <c r="AQ10" i="5"/>
  <c r="AJ22" i="5"/>
  <c r="AJ18" i="5"/>
  <c r="AJ14" i="5"/>
  <c r="AJ10" i="5"/>
  <c r="AC22" i="5"/>
  <c r="AC18" i="5"/>
  <c r="AC14" i="5"/>
  <c r="AC10" i="5"/>
  <c r="V22" i="5"/>
  <c r="V18" i="5"/>
  <c r="V14" i="5"/>
  <c r="V10" i="5"/>
  <c r="O22" i="5"/>
  <c r="O18" i="5"/>
  <c r="O14" i="5"/>
  <c r="O10" i="5"/>
  <c r="AP22" i="5" l="1"/>
  <c r="AO22" i="5"/>
  <c r="AI22" i="5"/>
  <c r="AH22" i="5"/>
  <c r="AB22" i="5"/>
  <c r="AA22" i="5"/>
  <c r="U22" i="5"/>
  <c r="T22" i="5"/>
  <c r="N22" i="5"/>
  <c r="M22" i="5"/>
  <c r="G22" i="5"/>
  <c r="F22" i="5"/>
  <c r="AP21" i="5"/>
  <c r="AO21" i="5"/>
  <c r="AI21" i="5"/>
  <c r="AH21" i="5"/>
  <c r="AB21" i="5"/>
  <c r="AA21" i="5"/>
  <c r="U21" i="5"/>
  <c r="T21" i="5"/>
  <c r="N21" i="5"/>
  <c r="M21" i="5"/>
  <c r="G21" i="5"/>
  <c r="F21" i="5"/>
  <c r="AP20" i="5"/>
  <c r="AO20" i="5"/>
  <c r="AI20" i="5"/>
  <c r="AH20" i="5"/>
  <c r="AB20" i="5"/>
  <c r="AA20" i="5"/>
  <c r="U20" i="5"/>
  <c r="T20" i="5"/>
  <c r="N20" i="5"/>
  <c r="M20" i="5"/>
  <c r="G20" i="5"/>
  <c r="F20" i="5"/>
  <c r="AP19" i="5"/>
  <c r="AO19" i="5"/>
  <c r="AI19" i="5"/>
  <c r="AH19" i="5"/>
  <c r="AB19" i="5"/>
  <c r="AA19" i="5"/>
  <c r="U19" i="5"/>
  <c r="T19" i="5"/>
  <c r="N19" i="5"/>
  <c r="M19" i="5"/>
  <c r="G19" i="5"/>
  <c r="F19" i="5"/>
  <c r="AP18" i="5"/>
  <c r="AO18" i="5"/>
  <c r="AI18" i="5"/>
  <c r="AH18" i="5"/>
  <c r="AB18" i="5"/>
  <c r="AA18" i="5"/>
  <c r="U18" i="5"/>
  <c r="T18" i="5"/>
  <c r="N18" i="5"/>
  <c r="M18" i="5"/>
  <c r="G18" i="5"/>
  <c r="F18" i="5"/>
  <c r="AP17" i="5"/>
  <c r="AO17" i="5"/>
  <c r="AI17" i="5"/>
  <c r="AH17" i="5"/>
  <c r="AB17" i="5"/>
  <c r="AA17" i="5"/>
  <c r="U17" i="5"/>
  <c r="T17" i="5"/>
  <c r="N17" i="5"/>
  <c r="M17" i="5"/>
  <c r="G17" i="5"/>
  <c r="F17" i="5"/>
  <c r="AP16" i="5"/>
  <c r="AO16" i="5"/>
  <c r="AI16" i="5"/>
  <c r="AH16" i="5"/>
  <c r="AB16" i="5"/>
  <c r="AA16" i="5"/>
  <c r="U16" i="5"/>
  <c r="T16" i="5"/>
  <c r="N16" i="5"/>
  <c r="M16" i="5"/>
  <c r="G16" i="5"/>
  <c r="F16" i="5"/>
  <c r="AP15" i="5"/>
  <c r="AO15" i="5"/>
  <c r="AI15" i="5"/>
  <c r="AH15" i="5"/>
  <c r="AB15" i="5"/>
  <c r="AA15" i="5"/>
  <c r="U15" i="5"/>
  <c r="T15" i="5"/>
  <c r="N15" i="5"/>
  <c r="M15" i="5"/>
  <c r="G15" i="5"/>
  <c r="F15" i="5"/>
  <c r="AP14" i="5"/>
  <c r="AO14" i="5"/>
  <c r="AI14" i="5"/>
  <c r="AH14" i="5"/>
  <c r="AB14" i="5"/>
  <c r="AA14" i="5"/>
  <c r="U14" i="5"/>
  <c r="T14" i="5"/>
  <c r="N14" i="5"/>
  <c r="M14" i="5"/>
  <c r="G14" i="5"/>
  <c r="F14" i="5"/>
  <c r="AP13" i="5"/>
  <c r="AO13" i="5"/>
  <c r="AI13" i="5"/>
  <c r="AH13" i="5"/>
  <c r="AB13" i="5"/>
  <c r="AA13" i="5"/>
  <c r="U13" i="5"/>
  <c r="T13" i="5"/>
  <c r="N13" i="5"/>
  <c r="M13" i="5"/>
  <c r="G13" i="5"/>
  <c r="F13" i="5"/>
  <c r="AP12" i="5"/>
  <c r="AO12" i="5"/>
  <c r="AI12" i="5"/>
  <c r="AH12" i="5"/>
  <c r="AB12" i="5"/>
  <c r="AA12" i="5"/>
  <c r="U12" i="5"/>
  <c r="T12" i="5"/>
  <c r="N12" i="5"/>
  <c r="M12" i="5"/>
  <c r="G12" i="5"/>
  <c r="F12" i="5"/>
  <c r="AP11" i="5"/>
  <c r="AO11" i="5"/>
  <c r="AI11" i="5"/>
  <c r="AH11" i="5"/>
  <c r="AB11" i="5"/>
  <c r="AA11" i="5"/>
  <c r="U11" i="5"/>
  <c r="T11" i="5"/>
  <c r="N11" i="5"/>
  <c r="M11" i="5"/>
  <c r="G11" i="5"/>
  <c r="F11" i="5"/>
  <c r="AP10" i="5"/>
  <c r="AO10" i="5"/>
  <c r="AI10" i="5"/>
  <c r="AH10" i="5"/>
  <c r="AB10" i="5"/>
  <c r="AA10" i="5"/>
  <c r="U10" i="5"/>
  <c r="T10" i="5"/>
  <c r="N10" i="5"/>
  <c r="M10" i="5"/>
  <c r="G10" i="5"/>
  <c r="F10" i="5"/>
  <c r="AP9" i="5"/>
  <c r="AO9" i="5"/>
  <c r="AI9" i="5"/>
  <c r="AH9" i="5"/>
  <c r="AB9" i="5"/>
  <c r="AA9" i="5"/>
  <c r="U9" i="5"/>
  <c r="T9" i="5"/>
  <c r="N9" i="5"/>
  <c r="M9" i="5"/>
  <c r="G9" i="5"/>
  <c r="F9" i="5"/>
  <c r="AP8" i="5"/>
  <c r="AO8" i="5"/>
  <c r="AI8" i="5"/>
  <c r="AH8" i="5"/>
  <c r="AB8" i="5"/>
  <c r="AA8" i="5"/>
  <c r="U8" i="5"/>
  <c r="T8" i="5"/>
  <c r="N8" i="5"/>
  <c r="M8" i="5"/>
  <c r="G8" i="5"/>
  <c r="F8" i="5"/>
  <c r="AP7" i="5"/>
  <c r="AO7" i="5"/>
  <c r="AI7" i="5"/>
  <c r="AH7" i="5"/>
  <c r="AB7" i="5"/>
  <c r="AA7" i="5"/>
  <c r="U7" i="5"/>
  <c r="T7" i="5"/>
  <c r="N7" i="5"/>
  <c r="M7" i="5"/>
  <c r="G7" i="5"/>
  <c r="F7" i="5"/>
  <c r="T36" i="7" l="1"/>
  <c r="S36" i="7"/>
  <c r="N36" i="7"/>
  <c r="M36" i="7"/>
  <c r="T35" i="7"/>
  <c r="S35" i="7"/>
  <c r="N35" i="7"/>
  <c r="M35" i="7"/>
  <c r="T34" i="7"/>
  <c r="S34" i="7"/>
  <c r="N34" i="7"/>
  <c r="M34" i="7"/>
  <c r="T33" i="7"/>
  <c r="S33" i="7"/>
  <c r="N33" i="7"/>
  <c r="M33" i="7"/>
  <c r="T32" i="7"/>
  <c r="S32" i="7"/>
  <c r="N32" i="7"/>
  <c r="M32" i="7"/>
  <c r="T31" i="7"/>
  <c r="S31" i="7"/>
  <c r="N31" i="7"/>
  <c r="M31" i="7"/>
  <c r="T30" i="7"/>
  <c r="S30" i="7"/>
  <c r="N30" i="7"/>
  <c r="M30" i="7"/>
  <c r="T29" i="7"/>
  <c r="S29" i="7"/>
  <c r="N29" i="7"/>
  <c r="M29" i="7"/>
  <c r="T28" i="7"/>
  <c r="S28" i="7"/>
  <c r="N28" i="7"/>
  <c r="M28" i="7"/>
  <c r="T27" i="7"/>
  <c r="S27" i="7"/>
  <c r="N27" i="7"/>
  <c r="M27" i="7"/>
  <c r="T26" i="7"/>
  <c r="S26" i="7"/>
  <c r="N26" i="7"/>
  <c r="M26" i="7"/>
  <c r="T25" i="7"/>
  <c r="S25" i="7"/>
  <c r="N25" i="7"/>
  <c r="M25" i="7"/>
  <c r="H36" i="7"/>
  <c r="G36" i="7"/>
  <c r="H35" i="7"/>
  <c r="G35" i="7"/>
  <c r="H34" i="7"/>
  <c r="G34" i="7"/>
  <c r="H33" i="7"/>
  <c r="G33" i="7"/>
  <c r="H32" i="7"/>
  <c r="G32" i="7"/>
  <c r="H31" i="7"/>
  <c r="G31" i="7"/>
  <c r="H30" i="7"/>
  <c r="G30" i="7"/>
  <c r="H29" i="7"/>
  <c r="G29" i="7"/>
  <c r="H28" i="7"/>
  <c r="G28" i="7"/>
  <c r="H27" i="7"/>
  <c r="G27" i="7"/>
  <c r="H26" i="7"/>
  <c r="G26" i="7"/>
  <c r="H25" i="7"/>
  <c r="G25" i="7"/>
  <c r="C66" i="10" l="1"/>
  <c r="F65" i="10"/>
  <c r="D65" i="10"/>
  <c r="B65" i="10"/>
  <c r="F64" i="10"/>
  <c r="E64" i="10"/>
  <c r="D64" i="10"/>
  <c r="C64" i="10"/>
  <c r="B64" i="10"/>
  <c r="F63" i="10"/>
  <c r="E63" i="10"/>
  <c r="D63" i="10"/>
  <c r="C63" i="10"/>
  <c r="B63" i="10"/>
  <c r="G62" i="10"/>
  <c r="F62" i="10"/>
  <c r="E62" i="10"/>
  <c r="D62" i="10"/>
  <c r="C62" i="10"/>
  <c r="B62" i="10"/>
  <c r="G61" i="10"/>
  <c r="F61" i="10"/>
  <c r="E61" i="10"/>
  <c r="D61" i="10"/>
  <c r="C61" i="10"/>
  <c r="B61" i="10"/>
  <c r="G60" i="10"/>
  <c r="F60" i="10"/>
  <c r="E60" i="10"/>
  <c r="D60" i="10"/>
  <c r="C60" i="10"/>
  <c r="B60" i="10"/>
  <c r="G59" i="10"/>
  <c r="F59" i="10"/>
  <c r="E59" i="10"/>
  <c r="C59" i="10"/>
  <c r="B59" i="10"/>
  <c r="G58" i="10"/>
  <c r="F58" i="10"/>
  <c r="F30" i="10"/>
  <c r="D30" i="10"/>
  <c r="C30" i="10"/>
  <c r="B30" i="10"/>
  <c r="F29" i="10"/>
  <c r="E29" i="10"/>
  <c r="D29" i="10"/>
  <c r="C29" i="10"/>
  <c r="B29" i="10"/>
  <c r="F28" i="10"/>
  <c r="E28" i="10"/>
  <c r="D28" i="10"/>
  <c r="C28" i="10"/>
  <c r="B28" i="10"/>
  <c r="G27" i="10"/>
  <c r="B27" i="10"/>
  <c r="G26" i="10"/>
  <c r="Z16" i="3" l="1"/>
  <c r="Y16" i="3"/>
  <c r="Z15" i="3"/>
  <c r="Y15" i="3"/>
  <c r="Z14" i="3"/>
  <c r="Y14" i="3"/>
  <c r="Z13" i="3"/>
  <c r="Y13" i="3"/>
  <c r="Z12" i="3"/>
  <c r="Y12" i="3"/>
  <c r="Z11" i="3"/>
  <c r="Y11" i="3"/>
  <c r="Z10" i="3"/>
  <c r="Y10" i="3"/>
  <c r="Z9" i="3"/>
  <c r="Y9" i="3"/>
  <c r="Z8" i="3"/>
  <c r="Y8" i="3"/>
  <c r="Z7" i="3"/>
  <c r="Y7" i="3"/>
  <c r="S16" i="3"/>
  <c r="R16" i="3"/>
  <c r="S15" i="3"/>
  <c r="R15" i="3"/>
  <c r="S14" i="3"/>
  <c r="R14" i="3"/>
  <c r="S13" i="3"/>
  <c r="R13" i="3"/>
  <c r="S12" i="3"/>
  <c r="R12" i="3"/>
  <c r="S11" i="3"/>
  <c r="R11" i="3"/>
  <c r="S10" i="3"/>
  <c r="R10" i="3"/>
  <c r="S9" i="3"/>
  <c r="R9" i="3"/>
  <c r="S8" i="3"/>
  <c r="R8" i="3"/>
  <c r="S7" i="3"/>
  <c r="R7" i="3"/>
  <c r="L16" i="3"/>
  <c r="K16" i="3"/>
  <c r="L15" i="3"/>
  <c r="K15" i="3"/>
  <c r="L14" i="3"/>
  <c r="K14" i="3"/>
  <c r="L13" i="3"/>
  <c r="K13" i="3"/>
  <c r="L12" i="3"/>
  <c r="K12" i="3"/>
  <c r="L11" i="3"/>
  <c r="K11" i="3"/>
  <c r="L10" i="3"/>
  <c r="K10" i="3"/>
  <c r="L9" i="3"/>
  <c r="K9" i="3"/>
  <c r="L8" i="3"/>
  <c r="K8" i="3"/>
  <c r="L7" i="3"/>
  <c r="K7" i="3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F9" i="3"/>
  <c r="E9" i="3"/>
  <c r="F8" i="3"/>
  <c r="E8" i="3"/>
  <c r="F7" i="3"/>
  <c r="E7" i="3"/>
  <c r="AA65" i="2"/>
  <c r="Z65" i="2"/>
  <c r="AA64" i="2"/>
  <c r="Z64" i="2"/>
  <c r="AA63" i="2"/>
  <c r="Z63" i="2"/>
  <c r="AA62" i="2"/>
  <c r="Z62" i="2"/>
  <c r="AA61" i="2"/>
  <c r="Z61" i="2"/>
  <c r="AA60" i="2"/>
  <c r="Z60" i="2"/>
  <c r="AA59" i="2"/>
  <c r="Z59" i="2"/>
  <c r="AA58" i="2"/>
  <c r="Z58" i="2"/>
  <c r="AA57" i="2"/>
  <c r="Z57" i="2"/>
  <c r="AA56" i="2"/>
  <c r="Z56" i="2"/>
  <c r="F65" i="2"/>
  <c r="E65" i="2"/>
  <c r="F64" i="2"/>
  <c r="E64" i="2"/>
  <c r="F63" i="2"/>
  <c r="E63" i="2"/>
  <c r="F62" i="2"/>
  <c r="E62" i="2"/>
  <c r="F61" i="2"/>
  <c r="E61" i="2"/>
  <c r="F60" i="2"/>
  <c r="E60" i="2"/>
  <c r="F59" i="2"/>
  <c r="E59" i="2"/>
  <c r="F58" i="2"/>
  <c r="E58" i="2"/>
  <c r="F57" i="2"/>
  <c r="E57" i="2"/>
  <c r="F56" i="2"/>
  <c r="E56" i="2"/>
  <c r="I31" i="2" l="1"/>
  <c r="H31" i="2"/>
  <c r="G31" i="2"/>
  <c r="F31" i="2"/>
  <c r="E31" i="2"/>
  <c r="I29" i="2"/>
  <c r="H29" i="2"/>
  <c r="G29" i="2"/>
  <c r="F29" i="2"/>
  <c r="E29" i="2"/>
  <c r="I27" i="2"/>
  <c r="H27" i="2"/>
  <c r="G27" i="2"/>
  <c r="F27" i="2"/>
  <c r="E27" i="2"/>
  <c r="D27" i="2"/>
  <c r="C27" i="2"/>
  <c r="I25" i="2"/>
  <c r="H25" i="2"/>
  <c r="F25" i="2"/>
  <c r="E25" i="2"/>
</calcChain>
</file>

<file path=xl/sharedStrings.xml><?xml version="1.0" encoding="utf-8"?>
<sst xmlns="http://schemas.openxmlformats.org/spreadsheetml/2006/main" count="1363" uniqueCount="290">
  <si>
    <t>Luciferase Assays with pHSA32::HSA32-LUC reporter</t>
  </si>
  <si>
    <t>day1 after ACC:</t>
  </si>
  <si>
    <t>day2 after ACC:</t>
  </si>
  <si>
    <t>day3 after ACC:</t>
  </si>
  <si>
    <t>boxed areas were used for the figure</t>
  </si>
  <si>
    <t>Figure 2</t>
  </si>
  <si>
    <t>(lines #6 and #4 were not used for the figure but also show complementation of the hsfa3-1 phenotype)</t>
  </si>
  <si>
    <r>
      <rPr>
        <b/>
        <u/>
        <sz val="11"/>
        <color theme="1"/>
        <rFont val="Arial"/>
        <family val="2"/>
      </rPr>
      <t>panel B:</t>
    </r>
    <r>
      <rPr>
        <sz val="11"/>
        <color theme="1"/>
        <rFont val="Arial"/>
        <family val="2"/>
      </rPr>
      <t xml:space="preserve"> survival assay with hsfa3-1 and pHSFA3::3xFLAG-HSFA3 complementation lines - ACC followed by 44°C treatments of different duration after 3days:</t>
    </r>
  </si>
  <si>
    <t>ACC</t>
  </si>
  <si>
    <t>70 min</t>
  </si>
  <si>
    <t>80 min</t>
  </si>
  <si>
    <t>90 min</t>
  </si>
  <si>
    <t>100 min</t>
  </si>
  <si>
    <t>110 min</t>
  </si>
  <si>
    <t>120 min</t>
  </si>
  <si>
    <t>130 min</t>
  </si>
  <si>
    <t>Col</t>
  </si>
  <si>
    <t>hsfa3</t>
  </si>
  <si>
    <t>line12</t>
  </si>
  <si>
    <t>line1</t>
  </si>
  <si>
    <t>StDEV</t>
  </si>
  <si>
    <t>Average</t>
  </si>
  <si>
    <t>NoHS 0h</t>
  </si>
  <si>
    <t>NoHS 28h</t>
  </si>
  <si>
    <t>NoHS 52h</t>
  </si>
  <si>
    <t>NoHS 76h</t>
  </si>
  <si>
    <t>ACC + 0h</t>
  </si>
  <si>
    <t>ACC + 2h</t>
  </si>
  <si>
    <t>ACC + 4h</t>
  </si>
  <si>
    <t>ACC + 28h</t>
  </si>
  <si>
    <t>ACC + 52h</t>
  </si>
  <si>
    <t>ACC + 76h</t>
  </si>
  <si>
    <t>rep1</t>
  </si>
  <si>
    <t>rep2</t>
  </si>
  <si>
    <t>rep3</t>
  </si>
  <si>
    <r>
      <rPr>
        <b/>
        <sz val="11"/>
        <color theme="1"/>
        <rFont val="Arial"/>
        <family val="2"/>
      </rPr>
      <t>panel e:</t>
    </r>
    <r>
      <rPr>
        <sz val="11"/>
        <color theme="1"/>
        <rFont val="Arial"/>
        <family val="2"/>
      </rPr>
      <t xml:space="preserve"> Expression of HSFA3 after ACC treatment: expression levels relative to the reference gene AT4G26410 of independent biological replicates</t>
    </r>
  </si>
  <si>
    <r>
      <rPr>
        <b/>
        <u/>
        <sz val="11"/>
        <color theme="1"/>
        <rFont val="Arial"/>
        <family val="2"/>
      </rPr>
      <t>panel c:</t>
    </r>
    <r>
      <rPr>
        <sz val="11"/>
        <color theme="1"/>
        <rFont val="Arial"/>
        <family val="2"/>
      </rPr>
      <t xml:space="preserve"> survival rates (in % of plants) of independent survival assays with  hsfa3-1 and pHSFA3::3xFLAG-HSFA3 complementation lines - ACC followed by 44°C treatments of different duration after 3days: </t>
    </r>
  </si>
  <si>
    <t>normal</t>
  </si>
  <si>
    <t>slightly affected</t>
  </si>
  <si>
    <t>severely affected</t>
  </si>
  <si>
    <t>dead</t>
  </si>
  <si>
    <r>
      <rPr>
        <b/>
        <u/>
        <sz val="11"/>
        <color theme="1"/>
        <rFont val="Arial"/>
        <family val="2"/>
      </rPr>
      <t>panel d:</t>
    </r>
    <r>
      <rPr>
        <sz val="11"/>
        <color theme="1"/>
        <rFont val="Arial"/>
        <family val="2"/>
      </rPr>
      <t xml:space="preserve"> phenotype classes for panel b</t>
    </r>
  </si>
  <si>
    <t xml:space="preserve"> -</t>
  </si>
  <si>
    <t>ACC control</t>
  </si>
  <si>
    <t>line 1</t>
  </si>
  <si>
    <t>44°C for 70min</t>
  </si>
  <si>
    <t>44°C for 90min</t>
  </si>
  <si>
    <t>44°C for 110min</t>
  </si>
  <si>
    <t>44°C for 130min</t>
  </si>
  <si>
    <t>(in order to be able to display the data on a logarythmic scale without low expression levels represented as negative values, 1 was added to each value before making the graph)</t>
  </si>
  <si>
    <t>fgt3 phenotype and complementation crosses:</t>
  </si>
  <si>
    <t>Figure 3:</t>
  </si>
  <si>
    <r>
      <rPr>
        <b/>
        <u/>
        <sz val="11"/>
        <color theme="1"/>
        <rFont val="Arial"/>
        <family val="2"/>
      </rPr>
      <t>panel a:</t>
    </r>
    <r>
      <rPr>
        <sz val="11"/>
        <color theme="1"/>
        <rFont val="Arial"/>
        <family val="2"/>
      </rPr>
      <t xml:space="preserve"> Expression of HSFA2 after ACC:  expression levels relative to the reference gene AT4G26410 of independent biological replicates</t>
    </r>
  </si>
  <si>
    <t>hsfa2</t>
  </si>
  <si>
    <r>
      <rPr>
        <b/>
        <u/>
        <sz val="11"/>
        <color theme="1"/>
        <rFont val="Arial"/>
        <family val="2"/>
      </rPr>
      <t>panel b:</t>
    </r>
    <r>
      <rPr>
        <sz val="11"/>
        <color theme="1"/>
        <rFont val="Arial"/>
        <family val="2"/>
      </rPr>
      <t xml:space="preserve"> Expression of HSFA3 after ACC:  expression levels relative to the reference gene AT4G26410 of independent biological replicates</t>
    </r>
  </si>
  <si>
    <r>
      <rPr>
        <b/>
        <u/>
        <sz val="11"/>
        <color theme="1"/>
        <rFont val="Arial"/>
        <family val="2"/>
      </rPr>
      <t>panel c:</t>
    </r>
    <r>
      <rPr>
        <sz val="11"/>
        <color theme="1"/>
        <rFont val="Arial"/>
        <family val="2"/>
      </rPr>
      <t xml:space="preserve"> survival assay with hsfa2, hsfa3-1 and hsfa2,3 double mutant lines - ACC followed by 44°C treatments of different duration after 3days:</t>
    </r>
  </si>
  <si>
    <t>Panel a:</t>
  </si>
  <si>
    <t>hsfa2,3</t>
  </si>
  <si>
    <t>Flag-A3 #12</t>
  </si>
  <si>
    <t>hsp101</t>
  </si>
  <si>
    <t>Basal thermotolerance assay</t>
  </si>
  <si>
    <t>survival rates (in % of plants) for the different geneotypes in the basal thermotolerance assay</t>
  </si>
  <si>
    <t>survival rates (in % of plants) for the different geneotypes in the acquired thermotolerance assay</t>
  </si>
  <si>
    <t>Panel b:</t>
  </si>
  <si>
    <t>Acquired thermotolerance assay</t>
  </si>
  <si>
    <t>NoHS</t>
  </si>
  <si>
    <r>
      <rPr>
        <b/>
        <u/>
        <sz val="11"/>
        <color theme="1"/>
        <rFont val="Calibri"/>
        <family val="2"/>
        <scheme val="minor"/>
      </rPr>
      <t>panel a:</t>
    </r>
    <r>
      <rPr>
        <sz val="11"/>
        <color theme="1"/>
        <rFont val="Calibri"/>
        <family val="2"/>
        <scheme val="minor"/>
      </rPr>
      <t xml:space="preserve"> survival assays for promoter swap lines - ACC followed by 44°C treatments three days after ACC</t>
    </r>
  </si>
  <si>
    <t>line11</t>
  </si>
  <si>
    <t>A2-YFP</t>
  </si>
  <si>
    <t>line2</t>
  </si>
  <si>
    <t>line5</t>
  </si>
  <si>
    <t>Flag-A3</t>
  </si>
  <si>
    <t>line10</t>
  </si>
  <si>
    <t>line4</t>
  </si>
  <si>
    <t>line8</t>
  </si>
  <si>
    <t>strongly affected</t>
  </si>
  <si>
    <t>Phenotype classes (number of plants per class are given)</t>
  </si>
  <si>
    <t>Figure 4</t>
  </si>
  <si>
    <t>Expression of memory genes and the non-memory gene HSP101 in response to ACC treatments:  expression levels relative to the reference gene AT4G26410 of independent biological replicates</t>
  </si>
  <si>
    <t>Figure 5</t>
  </si>
  <si>
    <t>Expression in response to a recurring HS of memory genes and the non-memory gene HSP101: expression levels relative to the reference gene AT4G26410 of independent biological replicates</t>
  </si>
  <si>
    <t>panel a: Yeast Two-hybrid assay:</t>
  </si>
  <si>
    <t>panel b: FLAG-HSFA3 Co-IP - boxed areas were used for the Figure</t>
  </si>
  <si>
    <t>panel c: HSFA2-YFP Co-IP - boxed areas were used for the Figure</t>
  </si>
  <si>
    <t>panel d: Unique peptide numbers for HSFA proteins identified in 3xFLAG-HSFA3 IP/MS:</t>
  </si>
  <si>
    <t>Protein IDs</t>
  </si>
  <si>
    <t>Gene name</t>
  </si>
  <si>
    <t>AT5G03720</t>
  </si>
  <si>
    <t>HSFA3</t>
  </si>
  <si>
    <t>AT2G26150.1</t>
  </si>
  <si>
    <t>HSFA2</t>
  </si>
  <si>
    <t>AT1G32330.1</t>
  </si>
  <si>
    <t>HSFA1D</t>
  </si>
  <si>
    <t>AT5G16820.2</t>
  </si>
  <si>
    <t>ATHSFA1B</t>
  </si>
  <si>
    <t>AT3G22830.1</t>
  </si>
  <si>
    <t>HSFA6B</t>
  </si>
  <si>
    <t>AT3G51910.1</t>
  </si>
  <si>
    <t>HSFA7A</t>
  </si>
  <si>
    <t>AT4G17750.1</t>
  </si>
  <si>
    <t>HSFA1A</t>
  </si>
  <si>
    <t>37°C +4h</t>
  </si>
  <si>
    <t>panel e: Unique peptide numbers for HSFA proteins identified in HSFA2-YFP IP/MS:</t>
  </si>
  <si>
    <t>Rep</t>
  </si>
  <si>
    <t>A1B</t>
  </si>
  <si>
    <t>A7A</t>
  </si>
  <si>
    <t>A7B</t>
  </si>
  <si>
    <t>R1</t>
  </si>
  <si>
    <t>0,45</t>
  </si>
  <si>
    <t>R2</t>
  </si>
  <si>
    <t>R3</t>
  </si>
  <si>
    <t>Col control</t>
  </si>
  <si>
    <t>No HS</t>
  </si>
  <si>
    <t>hours at 37°C</t>
  </si>
  <si>
    <t>panel f: In-Vitro Pulldown of  FLAG-HSFA2 with HALO-HSFAs (boxed areas were used in the figure)</t>
  </si>
  <si>
    <t>panel a: ChIP-qPCR data for FLAG-HSFA2 and FLAG-HSFA3 ChIP. Recovered chromatin is given as % of Input material.</t>
  </si>
  <si>
    <r>
      <t xml:space="preserve">panel b: ChIP-qPCR data for FLAG-HSFA3 and FLAG-HSFA3 in </t>
    </r>
    <r>
      <rPr>
        <i/>
        <sz val="11"/>
        <color theme="1"/>
        <rFont val="Calibri"/>
        <family val="2"/>
        <scheme val="minor"/>
      </rPr>
      <t>hsfa2</t>
    </r>
    <r>
      <rPr>
        <sz val="11"/>
        <color theme="1"/>
        <rFont val="Calibri"/>
        <family val="2"/>
        <scheme val="minor"/>
      </rPr>
      <t xml:space="preserve"> ChIP. Recovered chromatin is given as % of Input material.</t>
    </r>
  </si>
  <si>
    <t>HSP101-1</t>
  </si>
  <si>
    <t>Av</t>
  </si>
  <si>
    <t>StDev</t>
  </si>
  <si>
    <t>HSP101-2</t>
  </si>
  <si>
    <t>HSP101-3</t>
  </si>
  <si>
    <t>HSP22-1</t>
  </si>
  <si>
    <t>HSP22-2</t>
  </si>
  <si>
    <t>HSP22-3</t>
  </si>
  <si>
    <t>WT</t>
  </si>
  <si>
    <t>0h</t>
  </si>
  <si>
    <t>2h</t>
  </si>
  <si>
    <t>4h</t>
  </si>
  <si>
    <t>28h</t>
  </si>
  <si>
    <t>rep 1</t>
  </si>
  <si>
    <t>rep 2</t>
  </si>
  <si>
    <t>rep 3</t>
  </si>
  <si>
    <t>APX2-2</t>
  </si>
  <si>
    <t>ACC +28h</t>
  </si>
  <si>
    <t>pHSFA2::3xFLAG-HSFA3 in hsfa2</t>
  </si>
  <si>
    <t>pHSFA2::3xFLAG-HSFA3 in hsfa3</t>
  </si>
  <si>
    <t>pHSFA3::HSFA2-YFP in hsfa3</t>
  </si>
  <si>
    <t>pHSFA3::HSFA2-YFP in hsfa2</t>
  </si>
  <si>
    <t>44°C - 25'</t>
  </si>
  <si>
    <t>44°C - 30'</t>
  </si>
  <si>
    <t>44°C - 35'</t>
  </si>
  <si>
    <t>44°C - 40'</t>
  </si>
  <si>
    <t>44°C - 45'</t>
  </si>
  <si>
    <t>44°C - 160'</t>
  </si>
  <si>
    <t>44°C - 180'</t>
  </si>
  <si>
    <t>44°C - 190'</t>
  </si>
  <si>
    <t>44°C - 200'</t>
  </si>
  <si>
    <t>44°C - 210'</t>
  </si>
  <si>
    <t>44°C - 220'</t>
  </si>
  <si>
    <t>44°C - 230'</t>
  </si>
  <si>
    <t>44°C - 240'</t>
  </si>
  <si>
    <t>44°C - 250'</t>
  </si>
  <si>
    <t>ACC + d3:44°C for 70 min</t>
  </si>
  <si>
    <t>panel b: basal thermotolerance assay of fgt3.</t>
  </si>
  <si>
    <t>panel a: rescue of the HS memory phenotype of fgt3 by a genomic HSFA3 fragment (gHSFA3) and pHSFA3::3xFLAG-HSFA3</t>
  </si>
  <si>
    <t>Figure 6.</t>
  </si>
  <si>
    <t>Figure 7:</t>
  </si>
  <si>
    <t>Figure 8</t>
  </si>
  <si>
    <t>Figure 9: ChIP data for H3K4me3 enrichment at HSP22,  APX2 and HSP101, values given are chromatin recovery relative to Input and H3.</t>
  </si>
  <si>
    <t>APX2</t>
  </si>
  <si>
    <r>
      <t xml:space="preserve">pA2::3xFLAG-A3  in </t>
    </r>
    <r>
      <rPr>
        <i/>
        <sz val="11"/>
        <color theme="1"/>
        <rFont val="Calibri"/>
        <family val="2"/>
        <scheme val="minor"/>
      </rPr>
      <t>hsfa2</t>
    </r>
    <r>
      <rPr>
        <sz val="11"/>
        <color theme="1"/>
        <rFont val="Calibri"/>
        <family val="2"/>
        <scheme val="minor"/>
      </rPr>
      <t xml:space="preserve"> #1</t>
    </r>
  </si>
  <si>
    <t>d4 control</t>
  </si>
  <si>
    <t>d6</t>
  </si>
  <si>
    <t>d4 + d6</t>
  </si>
  <si>
    <t>Supplementary Figure 1</t>
  </si>
  <si>
    <t>Supplementary Figure 2: complementation of fgt3 mutants</t>
  </si>
  <si>
    <t>panel a: complementation cross of hsfa3 and fgt3</t>
  </si>
  <si>
    <t>panel b: complementation of the fgt3 LUC-phenotype by a genomic HSFA3 fragment and pHSFA3::3xFLAG-HSFA3</t>
  </si>
  <si>
    <r>
      <t xml:space="preserve">Supplementary Figure 3: Long-term HS memory assay for </t>
    </r>
    <r>
      <rPr>
        <i/>
        <sz val="11"/>
        <color theme="1"/>
        <rFont val="Calibri"/>
        <family val="2"/>
        <scheme val="minor"/>
      </rPr>
      <t xml:space="preserve">hsfa2, hsfa3-1, hsfa2,3-1 </t>
    </r>
    <r>
      <rPr>
        <sz val="11"/>
        <color theme="1"/>
        <rFont val="Calibri"/>
        <family val="2"/>
        <scheme val="minor"/>
      </rPr>
      <t>and FLAG-HSFA3 overexpressing line #12. Influence of Dreb2a on HSFA3</t>
    </r>
  </si>
  <si>
    <r>
      <t xml:space="preserve">panel a: Survival assay for </t>
    </r>
    <r>
      <rPr>
        <i/>
        <sz val="11"/>
        <color theme="1"/>
        <rFont val="Calibri"/>
        <family val="2"/>
        <scheme val="minor"/>
      </rPr>
      <t xml:space="preserve">hsfa2, hsfa3-1, hsfa2,3-1 and FLAG-HSFA3 overexpressing line #12 </t>
    </r>
    <r>
      <rPr>
        <sz val="11"/>
        <color theme="1"/>
        <rFont val="Calibri"/>
        <family val="2"/>
        <scheme val="minor"/>
      </rPr>
      <t>on day 3-6 after ACC</t>
    </r>
  </si>
  <si>
    <t>panel c: Expression of HSFA2 and HSFA3 in response to ACC treatments in dreb2a-1 mutant backgrounds</t>
  </si>
  <si>
    <t>NTC</t>
  </si>
  <si>
    <t>dreb2a-1</t>
  </si>
  <si>
    <t>p value (unpaired T-test, Welch corrected against Col value)</t>
  </si>
  <si>
    <t xml:space="preserve"> </t>
  </si>
  <si>
    <t>Supplementary Figure 5: Sustained Expression of memory genes after ACC in hsfa3-1 and two independent pHSFA3::3xFLAG-HSFA3 rescue lines and unspliced transcripts of memory genes after ACC</t>
  </si>
  <si>
    <t>panel a:</t>
  </si>
  <si>
    <t>panel c: acquired thermotolerance assay of fgt3.</t>
  </si>
  <si>
    <t>ACC + 2 days</t>
  </si>
  <si>
    <t>ACC + 1 day</t>
  </si>
  <si>
    <t>ACC + 3 days</t>
  </si>
  <si>
    <t>HSP101</t>
  </si>
  <si>
    <t>MIPS2</t>
  </si>
  <si>
    <t>HSFA1E</t>
  </si>
  <si>
    <t>LACS9</t>
  </si>
  <si>
    <t>LPAT5</t>
  </si>
  <si>
    <t>Rep1</t>
  </si>
  <si>
    <t>Rep2</t>
  </si>
  <si>
    <t>Rep3</t>
  </si>
  <si>
    <t>d4 only</t>
  </si>
  <si>
    <t>d4+6</t>
  </si>
  <si>
    <t>hsfa3-1</t>
  </si>
  <si>
    <t>hsfa2, hsfa3-1</t>
  </si>
  <si>
    <t>p-Value (unpaired T-Test, d4+d6  vs. d6 Timepoint)</t>
  </si>
  <si>
    <t>p-value(unpaired T-Test vs Col value)</t>
  </si>
  <si>
    <t>p-value (unpaired T-test vs WT background)</t>
  </si>
  <si>
    <t>HSP22</t>
  </si>
  <si>
    <t>HSP21</t>
  </si>
  <si>
    <t>HSP18</t>
  </si>
  <si>
    <t>52h</t>
  </si>
  <si>
    <t>76h</t>
  </si>
  <si>
    <t>NHS d4</t>
  </si>
  <si>
    <t>NHS d5</t>
  </si>
  <si>
    <t>NHS d6</t>
  </si>
  <si>
    <t>NHS d7</t>
  </si>
  <si>
    <t>p-value (unpaired T-Test vs Col value</t>
  </si>
  <si>
    <t>HSA32</t>
  </si>
  <si>
    <t>HSP70</t>
  </si>
  <si>
    <t>Mu1C</t>
  </si>
  <si>
    <t>StDEv</t>
  </si>
  <si>
    <t>HS duration on d3</t>
  </si>
  <si>
    <t>hsfa2,3-1</t>
  </si>
  <si>
    <r>
      <rPr>
        <b/>
        <u/>
        <sz val="11"/>
        <color theme="1"/>
        <rFont val="Arial"/>
        <family val="2"/>
      </rPr>
      <t>panel d:</t>
    </r>
    <r>
      <rPr>
        <sz val="11"/>
        <color theme="1"/>
        <rFont val="Arial"/>
        <family val="2"/>
      </rPr>
      <t xml:space="preserve"> survival rates (in % of 28 plants/timepoint) of independent survival assays with hsfa2, hsfa3-1 and hsfa2,hsfa3-1 double mutant lines - ACC followed by 44°C treatments of different duration after 3days: </t>
    </r>
  </si>
  <si>
    <t>APX2-1</t>
  </si>
  <si>
    <t>p-Value (unpaired T-Test,  vs. Col Timepoint)</t>
  </si>
  <si>
    <t>p-value (Fisher's exact test, 2x4 extension, vs. Col)</t>
  </si>
  <si>
    <t>p-value (Fisher's exact test, 2x4 extension, vs. hsfa3)</t>
  </si>
  <si>
    <t>Col - assay2</t>
  </si>
  <si>
    <t>hsfa3 - assay2</t>
  </si>
  <si>
    <t>line12 - assay2</t>
  </si>
  <si>
    <t>line1 - assay2</t>
  </si>
  <si>
    <r>
      <t xml:space="preserve">pA3::A2-YFP  in </t>
    </r>
    <r>
      <rPr>
        <i/>
        <sz val="11"/>
        <color theme="1"/>
        <rFont val="Calibri"/>
        <family val="2"/>
        <scheme val="minor"/>
      </rPr>
      <t>hsfa2</t>
    </r>
    <r>
      <rPr>
        <sz val="11"/>
        <color theme="1"/>
        <rFont val="Calibri"/>
        <family val="2"/>
        <scheme val="minor"/>
      </rPr>
      <t xml:space="preserve"> #4</t>
    </r>
  </si>
  <si>
    <t>endogenous HSFA3</t>
  </si>
  <si>
    <t>3xFLAG-HSFA3</t>
  </si>
  <si>
    <t>Day +5 assay</t>
  </si>
  <si>
    <t>Day +3 assay</t>
  </si>
  <si>
    <t>Day +4 assay</t>
  </si>
  <si>
    <t>Day +6 assay</t>
  </si>
  <si>
    <t>pHSFA3::3xFLAG in hsfa3, line #1</t>
  </si>
  <si>
    <t>pHSFA3::3xFLAG in hsfa3, line #12</t>
  </si>
  <si>
    <t>panel b:</t>
  </si>
  <si>
    <t>Supplementary Fig. 6</t>
  </si>
  <si>
    <r>
      <t xml:space="preserve">panel d: pHSFA3::HSFA2-YFP lines in </t>
    </r>
    <r>
      <rPr>
        <i/>
        <sz val="11"/>
        <color theme="1"/>
        <rFont val="Calibri"/>
        <family val="2"/>
        <scheme val="minor"/>
      </rPr>
      <t>hsfa3-1</t>
    </r>
    <r>
      <rPr>
        <sz val="11"/>
        <color theme="1"/>
        <rFont val="Calibri"/>
        <family val="2"/>
        <scheme val="minor"/>
      </rPr>
      <t xml:space="preserve"> mutants</t>
    </r>
  </si>
  <si>
    <r>
      <t xml:space="preserve">panel a: pHSFA2::3xFLAG-HSFA3 lines in </t>
    </r>
    <r>
      <rPr>
        <i/>
        <sz val="11"/>
        <color theme="1"/>
        <rFont val="Calibri"/>
        <family val="2"/>
        <scheme val="minor"/>
      </rPr>
      <t>hsfa2</t>
    </r>
    <r>
      <rPr>
        <sz val="11"/>
        <color theme="1"/>
        <rFont val="Calibri"/>
        <family val="2"/>
        <scheme val="minor"/>
      </rPr>
      <t xml:space="preserve"> mutants</t>
    </r>
  </si>
  <si>
    <r>
      <t xml:space="preserve">panel b: pHSFA2::3xFLAG-HSFA3 lines in </t>
    </r>
    <r>
      <rPr>
        <i/>
        <sz val="11"/>
        <color theme="1"/>
        <rFont val="Calibri"/>
        <family val="2"/>
        <scheme val="minor"/>
      </rPr>
      <t>hsfa3-1</t>
    </r>
    <r>
      <rPr>
        <sz val="11"/>
        <color theme="1"/>
        <rFont val="Calibri"/>
        <family val="2"/>
        <scheme val="minor"/>
      </rPr>
      <t xml:space="preserve"> mutants</t>
    </r>
  </si>
  <si>
    <r>
      <t xml:space="preserve">panel c: pHSFA3::HSFA2-YFP lines in </t>
    </r>
    <r>
      <rPr>
        <i/>
        <sz val="11"/>
        <color theme="1"/>
        <rFont val="Calibri"/>
        <family val="2"/>
        <scheme val="minor"/>
      </rPr>
      <t>hsfa2</t>
    </r>
    <r>
      <rPr>
        <sz val="11"/>
        <color theme="1"/>
        <rFont val="Calibri"/>
        <family val="2"/>
        <scheme val="minor"/>
      </rPr>
      <t xml:space="preserve"> mutants</t>
    </r>
  </si>
  <si>
    <t>panel e: survival assay for hsfa3-1 and pHSFA3::HSFA1D rescue lines</t>
  </si>
  <si>
    <t>panel f: phenotype categories for survival assay in panel e</t>
  </si>
  <si>
    <t>line14</t>
  </si>
  <si>
    <t>0.0000019866585674793276</t>
  </si>
  <si>
    <t>panel g: pHSFA3::3xFLAG-HSFA3 lines</t>
  </si>
  <si>
    <t>panel f: In-Vitro Pulldown of  FLAG-HSFA3 with HALO-HSFAs (boxed areas were used in the figure)</t>
  </si>
  <si>
    <t>#12</t>
  </si>
  <si>
    <t>panel b: survival rates (in % of plants) of the backgrounds tested in panel a on days 3-6 after ACC</t>
  </si>
  <si>
    <t xml:space="preserve"> day +3 after ACC</t>
  </si>
  <si>
    <t>44°C (min)</t>
  </si>
  <si>
    <t>day +4 after ACC</t>
  </si>
  <si>
    <t>day +5 after ACC</t>
  </si>
  <si>
    <t>day +6 after ACC</t>
  </si>
  <si>
    <t>HSA32 - 1</t>
  </si>
  <si>
    <t>HSA32 - 2</t>
  </si>
  <si>
    <t>HSA32 - 3</t>
  </si>
  <si>
    <t>APX2 - 1</t>
  </si>
  <si>
    <t>APX2 - 3</t>
  </si>
  <si>
    <t>HSP18 - 1</t>
  </si>
  <si>
    <t>HSP18 - 2</t>
  </si>
  <si>
    <t>HSP18 - 3</t>
  </si>
  <si>
    <t>HSA32 unspliced</t>
  </si>
  <si>
    <t>HSP21 unspliced</t>
  </si>
  <si>
    <t>HSP101 unspliced</t>
  </si>
  <si>
    <t>APX2 unspliced</t>
  </si>
  <si>
    <t>wrong averages (+1)</t>
  </si>
  <si>
    <t>p-value (unpaired T-test vs negative amplicon)</t>
  </si>
  <si>
    <t>3xFLAG-HSFA2</t>
  </si>
  <si>
    <t>APX2 - 2</t>
  </si>
  <si>
    <t>0.5h</t>
  </si>
  <si>
    <t>p-value (unpaired T-test vs NoHS)</t>
  </si>
  <si>
    <t>HSP101 - 1</t>
  </si>
  <si>
    <t>RNA sequencing data have been deposited at NCBI SRA under accession number GSE162434</t>
  </si>
  <si>
    <r>
      <t xml:space="preserve">RNAseq of Col, </t>
    </r>
    <r>
      <rPr>
        <i/>
        <sz val="11"/>
        <color theme="1"/>
        <rFont val="Arial"/>
        <family val="2"/>
      </rPr>
      <t>hsfa2, hsfa3-1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hsfa2,3-1</t>
    </r>
  </si>
  <si>
    <t>MYB86</t>
  </si>
  <si>
    <t>TPR1</t>
  </si>
  <si>
    <t>DGS1</t>
  </si>
  <si>
    <t>Col-0_No HS</t>
  </si>
  <si>
    <t>Col-0_HS_28h</t>
  </si>
  <si>
    <t>Col-0_HS_52h</t>
  </si>
  <si>
    <t>hsfa2_No HS</t>
  </si>
  <si>
    <t>hsfa2_HS_28h</t>
  </si>
  <si>
    <t>hsfa2_HS_52h</t>
  </si>
  <si>
    <t>hsfa3_No HS</t>
  </si>
  <si>
    <t>hsfa3_HS_28h</t>
  </si>
  <si>
    <t>hsfa3_HS_52h</t>
  </si>
  <si>
    <t>hsfa2_3_No HS</t>
  </si>
  <si>
    <t>hsfa2_3_HS_28h</t>
  </si>
  <si>
    <t>hsfa2_3_HS_52h</t>
  </si>
  <si>
    <t>Supplementary Figure 7: ChIP data for H3 enrichment at HSP22,  APX2 and HSP101, values given are chromatin recovery relative to Input and normalized to NoHS control of Col of the negative amplicon.</t>
  </si>
  <si>
    <t>Supplementary Figure 8</t>
  </si>
  <si>
    <r>
      <rPr>
        <b/>
        <u/>
        <sz val="11"/>
        <color theme="1"/>
        <rFont val="Calibri"/>
        <family val="2"/>
        <scheme val="minor"/>
      </rPr>
      <t>panel b:</t>
    </r>
    <r>
      <rPr>
        <sz val="11"/>
        <color theme="1"/>
        <rFont val="Calibri"/>
        <family val="2"/>
        <scheme val="minor"/>
      </rPr>
      <t xml:space="preserve"> expression of APX2 in enhanced re-induction assays with pHSFA2::FLAG-HSFA3 and pHSFA3::HSFA2-YFP (expression levels relative to the reference gene AT4G26410 of 3 independent biological replicates)</t>
    </r>
  </si>
  <si>
    <r>
      <rPr>
        <b/>
        <u/>
        <sz val="11"/>
        <color theme="1"/>
        <rFont val="Calibri"/>
        <family val="2"/>
        <scheme val="minor"/>
      </rPr>
      <t>panel c:</t>
    </r>
    <r>
      <rPr>
        <sz val="11"/>
        <color theme="1"/>
        <rFont val="Calibri"/>
        <family val="2"/>
        <scheme val="minor"/>
      </rPr>
      <t xml:space="preserve"> expression of FLAG-HSFA3 and endogenous HSFA3 in the pHSFA2::3xFLAG-HSFA3 line 1 in enhanced re-induction assays  (expression levels relative to the reference gene AT4G26410 of 3 independent biological replicates)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</si>
</sst>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Calibri"/>
      <family val="2"/>
    </font>
    <font>
      <sz val="9"/>
      <color rgb="FFFF0000"/>
      <name val="Calibri"/>
      <family val="2"/>
    </font>
    <font>
      <sz val="9"/>
      <name val="Calibri"/>
      <family val="2"/>
    </font>
    <font>
      <sz val="11"/>
      <name val="Calibri"/>
      <family val="2"/>
      <scheme val="minor"/>
    </font>
    <font>
      <sz val="11"/>
      <name val="Arial"/>
      <family val="2"/>
    </font>
    <font>
      <i/>
      <sz val="11"/>
      <color theme="1"/>
      <name val="Arial"/>
      <family val="2"/>
    </font>
    <font>
      <sz val="11"/>
      <color theme="3"/>
      <name val="Calibri"/>
      <family val="2"/>
      <scheme val="minor"/>
    </font>
    <font>
      <i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8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1" fillId="0" borderId="12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13" applyNumberFormat="0" applyAlignment="0" applyProtection="0"/>
    <xf numFmtId="0" fontId="16" fillId="9" borderId="14" applyNumberFormat="0" applyAlignment="0" applyProtection="0"/>
    <xf numFmtId="0" fontId="17" fillId="9" borderId="13" applyNumberFormat="0" applyAlignment="0" applyProtection="0"/>
    <xf numFmtId="0" fontId="18" fillId="0" borderId="15" applyNumberFormat="0" applyFill="0" applyAlignment="0" applyProtection="0"/>
    <xf numFmtId="0" fontId="19" fillId="10" borderId="16" applyNumberFormat="0" applyAlignment="0" applyProtection="0"/>
    <xf numFmtId="0" fontId="20" fillId="0" borderId="0" applyNumberFormat="0" applyFill="0" applyBorder="0" applyAlignment="0" applyProtection="0"/>
    <xf numFmtId="0" fontId="7" fillId="11" borderId="17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18" applyNumberFormat="0" applyFill="0" applyAlignment="0" applyProtection="0"/>
    <xf numFmtId="0" fontId="22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2" fillId="35" borderId="0" applyNumberFormat="0" applyBorder="0" applyAlignment="0" applyProtection="0"/>
  </cellStyleXfs>
  <cellXfs count="321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0" fillId="3" borderId="0" xfId="0" applyFill="1"/>
    <xf numFmtId="0" fontId="0" fillId="2" borderId="0" xfId="0" applyFont="1" applyFill="1"/>
    <xf numFmtId="0" fontId="1" fillId="0" borderId="0" xfId="0" applyFont="1" applyFill="1"/>
    <xf numFmtId="0" fontId="3" fillId="0" borderId="0" xfId="0" applyFont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3" xfId="0" applyFont="1" applyBorder="1"/>
    <xf numFmtId="0" fontId="0" fillId="0" borderId="2" xfId="0" applyBorder="1"/>
    <xf numFmtId="0" fontId="5" fillId="0" borderId="2" xfId="0" applyFont="1" applyBorder="1"/>
    <xf numFmtId="0" fontId="3" fillId="0" borderId="2" xfId="0" applyFont="1" applyBorder="1"/>
    <xf numFmtId="0" fontId="0" fillId="0" borderId="3" xfId="0" applyBorder="1"/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0" fillId="0" borderId="5" xfId="0" applyBorder="1"/>
    <xf numFmtId="0" fontId="3" fillId="0" borderId="6" xfId="0" applyFont="1" applyBorder="1"/>
    <xf numFmtId="0" fontId="0" fillId="0" borderId="1" xfId="0" applyBorder="1"/>
    <xf numFmtId="0" fontId="0" fillId="0" borderId="8" xfId="0" applyBorder="1"/>
    <xf numFmtId="0" fontId="0" fillId="0" borderId="8" xfId="0" applyFill="1" applyBorder="1"/>
    <xf numFmtId="0" fontId="0" fillId="0" borderId="8" xfId="0" applyBorder="1" applyAlignment="1">
      <alignment horizontal="center"/>
    </xf>
    <xf numFmtId="0" fontId="0" fillId="0" borderId="0" xfId="0" applyFont="1"/>
    <xf numFmtId="0" fontId="0" fillId="3" borderId="0" xfId="0" applyFont="1" applyFill="1"/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/>
    <xf numFmtId="0" fontId="0" fillId="0" borderId="6" xfId="0" applyBorder="1"/>
    <xf numFmtId="0" fontId="0" fillId="0" borderId="23" xfId="0" applyFont="1" applyFill="1" applyBorder="1"/>
    <xf numFmtId="0" fontId="23" fillId="0" borderId="0" xfId="0" applyFont="1" applyBorder="1" applyAlignment="1">
      <alignment horizontal="right" vertical="center" wrapText="1" readingOrder="1"/>
    </xf>
    <xf numFmtId="0" fontId="0" fillId="0" borderId="23" xfId="0" applyFill="1" applyBorder="1"/>
    <xf numFmtId="0" fontId="23" fillId="0" borderId="0" xfId="0" applyFont="1" applyBorder="1" applyAlignment="1">
      <alignment horizontal="left" vertical="center" wrapText="1" readingOrder="1"/>
    </xf>
    <xf numFmtId="0" fontId="23" fillId="0" borderId="0" xfId="0" applyFont="1" applyBorder="1" applyAlignment="1">
      <alignment horizontal="right" wrapText="1" readingOrder="1"/>
    </xf>
    <xf numFmtId="0" fontId="24" fillId="0" borderId="0" xfId="0" applyFont="1" applyBorder="1" applyAlignment="1">
      <alignment horizontal="right" vertical="center" wrapText="1" readingOrder="1"/>
    </xf>
    <xf numFmtId="0" fontId="0" fillId="0" borderId="24" xfId="0" applyFill="1" applyBorder="1"/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9" xfId="0" applyBorder="1"/>
    <xf numFmtId="0" fontId="25" fillId="0" borderId="25" xfId="0" applyFont="1" applyBorder="1" applyAlignment="1">
      <alignment horizontal="left" vertical="center" wrapText="1" readingOrder="1"/>
    </xf>
    <xf numFmtId="0" fontId="25" fillId="0" borderId="19" xfId="0" applyFont="1" applyBorder="1" applyAlignment="1">
      <alignment horizontal="left" vertical="center" wrapText="1" readingOrder="1"/>
    </xf>
    <xf numFmtId="0" fontId="26" fillId="0" borderId="23" xfId="0" applyFont="1" applyBorder="1"/>
    <xf numFmtId="0" fontId="26" fillId="0" borderId="24" xfId="0" applyFont="1" applyBorder="1"/>
    <xf numFmtId="0" fontId="25" fillId="0" borderId="6" xfId="0" applyFont="1" applyBorder="1" applyAlignment="1">
      <alignment horizontal="center" vertical="center" wrapText="1" readingOrder="1"/>
    </xf>
    <xf numFmtId="0" fontId="25" fillId="0" borderId="4" xfId="0" applyFont="1" applyBorder="1" applyAlignment="1">
      <alignment horizontal="center" vertical="center" wrapText="1" readingOrder="1"/>
    </xf>
    <xf numFmtId="0" fontId="25" fillId="0" borderId="0" xfId="0" applyFont="1" applyBorder="1" applyAlignment="1">
      <alignment horizontal="center" vertical="center" wrapText="1" readingOrder="1"/>
    </xf>
    <xf numFmtId="0" fontId="25" fillId="0" borderId="1" xfId="0" applyFont="1" applyBorder="1" applyAlignment="1">
      <alignment horizontal="center" vertical="center" wrapText="1" readingOrder="1"/>
    </xf>
    <xf numFmtId="0" fontId="25" fillId="0" borderId="2" xfId="0" applyFont="1" applyBorder="1" applyAlignment="1">
      <alignment horizontal="center" vertical="center" wrapText="1" readingOrder="1"/>
    </xf>
    <xf numFmtId="0" fontId="25" fillId="0" borderId="3" xfId="0" applyFont="1" applyBorder="1" applyAlignment="1">
      <alignment horizontal="center" vertical="center" wrapText="1" readingOrder="1"/>
    </xf>
    <xf numFmtId="0" fontId="25" fillId="0" borderId="6" xfId="0" applyFont="1" applyBorder="1" applyAlignment="1">
      <alignment horizontal="center" wrapText="1" readingOrder="1"/>
    </xf>
    <xf numFmtId="0" fontId="25" fillId="0" borderId="4" xfId="0" applyFont="1" applyBorder="1" applyAlignment="1">
      <alignment horizontal="center" wrapText="1" readingOrder="1"/>
    </xf>
    <xf numFmtId="0" fontId="25" fillId="0" borderId="0" xfId="0" applyFont="1" applyBorder="1" applyAlignment="1">
      <alignment horizontal="center" wrapText="1" readingOrder="1"/>
    </xf>
    <xf numFmtId="0" fontId="25" fillId="0" borderId="1" xfId="0" applyFont="1" applyBorder="1" applyAlignment="1">
      <alignment horizontal="center" wrapText="1" readingOrder="1"/>
    </xf>
    <xf numFmtId="0" fontId="25" fillId="0" borderId="2" xfId="0" applyFont="1" applyBorder="1" applyAlignment="1">
      <alignment horizontal="center" wrapText="1" readingOrder="1"/>
    </xf>
    <xf numFmtId="0" fontId="25" fillId="0" borderId="3" xfId="0" applyFont="1" applyBorder="1" applyAlignment="1">
      <alignment horizontal="center" wrapText="1" readingOrder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5" fillId="0" borderId="26" xfId="0" applyFont="1" applyBorder="1" applyAlignment="1">
      <alignment horizontal="left" vertical="center" wrapText="1" readingOrder="1"/>
    </xf>
    <xf numFmtId="0" fontId="25" fillId="0" borderId="20" xfId="0" applyFont="1" applyBorder="1" applyAlignment="1">
      <alignment horizontal="center" vertical="center" wrapText="1" readingOrder="1"/>
    </xf>
    <xf numFmtId="0" fontId="25" fillId="0" borderId="21" xfId="0" applyFont="1" applyBorder="1" applyAlignment="1">
      <alignment horizontal="center" vertical="center" wrapText="1" readingOrder="1"/>
    </xf>
    <xf numFmtId="0" fontId="25" fillId="0" borderId="22" xfId="0" applyFont="1" applyBorder="1" applyAlignment="1">
      <alignment horizontal="center" vertical="center" wrapText="1" readingOrder="1"/>
    </xf>
    <xf numFmtId="0" fontId="25" fillId="0" borderId="19" xfId="0" applyFont="1" applyBorder="1" applyAlignment="1">
      <alignment horizontal="center" vertical="center" wrapText="1" readingOrder="1"/>
    </xf>
    <xf numFmtId="0" fontId="25" fillId="0" borderId="23" xfId="0" applyFont="1" applyBorder="1" applyAlignment="1">
      <alignment horizontal="center" vertical="center" wrapText="1" readingOrder="1"/>
    </xf>
    <xf numFmtId="0" fontId="25" fillId="0" borderId="24" xfId="0" applyFont="1" applyBorder="1" applyAlignment="1">
      <alignment horizontal="center" vertical="center" wrapText="1" readingOrder="1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ont="1" applyFill="1"/>
    <xf numFmtId="0" fontId="0" fillId="0" borderId="8" xfId="0" applyFont="1" applyFill="1" applyBorder="1"/>
    <xf numFmtId="0" fontId="0" fillId="0" borderId="0" xfId="0" applyFont="1" applyFill="1" applyBorder="1"/>
    <xf numFmtId="0" fontId="0" fillId="0" borderId="1" xfId="0" applyFont="1" applyFill="1" applyBorder="1"/>
    <xf numFmtId="0" fontId="0" fillId="0" borderId="5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7" xfId="0" applyFont="1" applyFill="1" applyBorder="1"/>
    <xf numFmtId="0" fontId="0" fillId="0" borderId="6" xfId="0" applyFont="1" applyFill="1" applyBorder="1"/>
    <xf numFmtId="0" fontId="0" fillId="0" borderId="4" xfId="0" applyFont="1" applyFill="1" applyBorder="1"/>
    <xf numFmtId="0" fontId="0" fillId="0" borderId="19" xfId="0" applyBorder="1"/>
    <xf numFmtId="0" fontId="5" fillId="0" borderId="23" xfId="0" applyFont="1" applyBorder="1"/>
    <xf numFmtId="0" fontId="0" fillId="0" borderId="23" xfId="0" applyBorder="1"/>
    <xf numFmtId="0" fontId="5" fillId="0" borderId="24" xfId="0" applyFont="1" applyBorder="1"/>
    <xf numFmtId="0" fontId="20" fillId="0" borderId="0" xfId="0" applyFont="1"/>
    <xf numFmtId="0" fontId="0" fillId="0" borderId="0" xfId="0" applyAlignment="1">
      <alignment horizontal="right"/>
    </xf>
    <xf numFmtId="0" fontId="0" fillId="0" borderId="0" xfId="0"/>
    <xf numFmtId="0" fontId="20" fillId="0" borderId="0" xfId="0" applyFont="1" applyFill="1"/>
    <xf numFmtId="0" fontId="26" fillId="0" borderId="0" xfId="0" applyFont="1" applyFill="1"/>
    <xf numFmtId="0" fontId="0" fillId="0" borderId="19" xfId="0" applyFont="1" applyFill="1" applyBorder="1"/>
    <xf numFmtId="0" fontId="0" fillId="0" borderId="24" xfId="0" applyFont="1" applyFill="1" applyBorder="1"/>
    <xf numFmtId="0" fontId="0" fillId="0" borderId="9" xfId="0" applyFont="1" applyFill="1" applyBorder="1"/>
    <xf numFmtId="0" fontId="0" fillId="0" borderId="20" xfId="0" applyFont="1" applyFill="1" applyBorder="1"/>
    <xf numFmtId="0" fontId="0" fillId="0" borderId="22" xfId="0" applyFont="1" applyFill="1" applyBorder="1"/>
    <xf numFmtId="0" fontId="0" fillId="0" borderId="21" xfId="0" applyFont="1" applyFill="1" applyBorder="1"/>
    <xf numFmtId="0" fontId="0" fillId="0" borderId="0" xfId="0" applyFill="1" applyBorder="1" applyAlignment="1">
      <alignment horizontal="left"/>
    </xf>
    <xf numFmtId="0" fontId="1" fillId="0" borderId="0" xfId="0" applyFont="1"/>
    <xf numFmtId="0" fontId="26" fillId="0" borderId="0" xfId="0" applyFont="1"/>
    <xf numFmtId="0" fontId="27" fillId="0" borderId="0" xfId="0" applyFont="1"/>
    <xf numFmtId="0" fontId="26" fillId="2" borderId="0" xfId="0" applyFont="1" applyFill="1"/>
    <xf numFmtId="0" fontId="26" fillId="3" borderId="0" xfId="0" applyFont="1" applyFill="1"/>
    <xf numFmtId="0" fontId="3" fillId="0" borderId="0" xfId="0" applyFont="1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6" xfId="0" applyFont="1" applyBorder="1"/>
    <xf numFmtId="0" fontId="0" fillId="0" borderId="0" xfId="0" applyFont="1" applyBorder="1"/>
    <xf numFmtId="0" fontId="0" fillId="0" borderId="2" xfId="0" applyFont="1" applyBorder="1"/>
    <xf numFmtId="0" fontId="0" fillId="0" borderId="24" xfId="0" applyBorder="1"/>
    <xf numFmtId="0" fontId="0" fillId="0" borderId="19" xfId="0" applyFont="1" applyBorder="1"/>
    <xf numFmtId="0" fontId="0" fillId="0" borderId="23" xfId="0" applyFont="1" applyBorder="1"/>
    <xf numFmtId="0" fontId="0" fillId="0" borderId="24" xfId="0" applyFont="1" applyBorder="1"/>
    <xf numFmtId="0" fontId="26" fillId="0" borderId="7" xfId="0" applyFont="1" applyFill="1" applyBorder="1"/>
    <xf numFmtId="0" fontId="26" fillId="0" borderId="6" xfId="0" applyFont="1" applyFill="1" applyBorder="1"/>
    <xf numFmtId="0" fontId="26" fillId="0" borderId="4" xfId="0" applyFont="1" applyFill="1" applyBorder="1"/>
    <xf numFmtId="0" fontId="26" fillId="0" borderId="8" xfId="0" applyFont="1" applyFill="1" applyBorder="1"/>
    <xf numFmtId="0" fontId="26" fillId="0" borderId="0" xfId="0" applyFont="1" applyFill="1" applyBorder="1"/>
    <xf numFmtId="0" fontId="26" fillId="0" borderId="1" xfId="0" applyFont="1" applyFill="1" applyBorder="1"/>
    <xf numFmtId="0" fontId="26" fillId="0" borderId="5" xfId="0" applyFont="1" applyFill="1" applyBorder="1"/>
    <xf numFmtId="0" fontId="26" fillId="0" borderId="2" xfId="0" applyFont="1" applyFill="1" applyBorder="1"/>
    <xf numFmtId="0" fontId="26" fillId="0" borderId="3" xfId="0" applyFont="1" applyFill="1" applyBorder="1"/>
    <xf numFmtId="0" fontId="26" fillId="0" borderId="19" xfId="0" applyFont="1" applyFill="1" applyBorder="1"/>
    <xf numFmtId="0" fontId="26" fillId="0" borderId="23" xfId="0" applyFont="1" applyFill="1" applyBorder="1"/>
    <xf numFmtId="0" fontId="26" fillId="0" borderId="24" xfId="0" applyFont="1" applyFill="1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Border="1"/>
    <xf numFmtId="0" fontId="3" fillId="0" borderId="19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9" xfId="0" applyFont="1" applyBorder="1"/>
    <xf numFmtId="0" fontId="26" fillId="0" borderId="21" xfId="0" applyFont="1" applyFill="1" applyBorder="1"/>
    <xf numFmtId="0" fontId="20" fillId="0" borderId="21" xfId="0" applyFont="1" applyFill="1" applyBorder="1"/>
    <xf numFmtId="0" fontId="20" fillId="0" borderId="22" xfId="0" applyFont="1" applyFill="1" applyBorder="1"/>
    <xf numFmtId="0" fontId="26" fillId="0" borderId="22" xfId="0" applyFont="1" applyFill="1" applyBorder="1"/>
    <xf numFmtId="0" fontId="0" fillId="0" borderId="7" xfId="0" applyFill="1" applyBorder="1"/>
    <xf numFmtId="0" fontId="0" fillId="0" borderId="6" xfId="0" applyFill="1" applyBorder="1"/>
    <xf numFmtId="0" fontId="0" fillId="0" borderId="4" xfId="0" applyFill="1" applyBorder="1"/>
    <xf numFmtId="0" fontId="0" fillId="0" borderId="1" xfId="0" applyFill="1" applyBorder="1"/>
    <xf numFmtId="0" fontId="0" fillId="0" borderId="5" xfId="0" applyFill="1" applyBorder="1"/>
    <xf numFmtId="0" fontId="0" fillId="0" borderId="2" xfId="0" applyFill="1" applyBorder="1"/>
    <xf numFmtId="0" fontId="0" fillId="0" borderId="3" xfId="0" applyFill="1" applyBorder="1"/>
    <xf numFmtId="0" fontId="20" fillId="0" borderId="0" xfId="0" applyFont="1" applyFill="1" applyBorder="1"/>
    <xf numFmtId="0" fontId="1" fillId="0" borderId="8" xfId="0" applyFont="1" applyFill="1" applyBorder="1"/>
    <xf numFmtId="0" fontId="1" fillId="0" borderId="0" xfId="0" applyFont="1" applyFill="1" applyBorder="1"/>
    <xf numFmtId="0" fontId="0" fillId="0" borderId="19" xfId="0" applyFill="1" applyBorder="1"/>
    <xf numFmtId="0" fontId="1" fillId="0" borderId="7" xfId="0" applyFont="1" applyFill="1" applyBorder="1"/>
    <xf numFmtId="0" fontId="1" fillId="0" borderId="6" xfId="0" applyFont="1" applyFill="1" applyBorder="1"/>
    <xf numFmtId="0" fontId="1" fillId="0" borderId="4" xfId="0" applyFont="1" applyFill="1" applyBorder="1"/>
    <xf numFmtId="0" fontId="20" fillId="0" borderId="1" xfId="0" applyFont="1" applyFill="1" applyBorder="1"/>
    <xf numFmtId="0" fontId="20" fillId="0" borderId="3" xfId="0" applyFont="1" applyFill="1" applyBorder="1"/>
    <xf numFmtId="0" fontId="3" fillId="0" borderId="19" xfId="0" applyFont="1" applyFill="1" applyBorder="1"/>
    <xf numFmtId="0" fontId="3" fillId="0" borderId="23" xfId="0" applyFont="1" applyFill="1" applyBorder="1"/>
    <xf numFmtId="0" fontId="3" fillId="0" borderId="24" xfId="0" applyFont="1" applyFill="1" applyBorder="1"/>
    <xf numFmtId="0" fontId="3" fillId="36" borderId="0" xfId="0" applyFont="1" applyFill="1"/>
    <xf numFmtId="11" fontId="3" fillId="36" borderId="0" xfId="0" applyNumberFormat="1" applyFont="1" applyFill="1"/>
    <xf numFmtId="0" fontId="29" fillId="0" borderId="0" xfId="0" applyFont="1"/>
    <xf numFmtId="0" fontId="0" fillId="0" borderId="0" xfId="0" applyFill="1" applyBorder="1" applyAlignment="1">
      <alignment horizontal="center" wrapText="1"/>
    </xf>
    <xf numFmtId="11" fontId="20" fillId="0" borderId="0" xfId="0" applyNumberFormat="1" applyFont="1" applyBorder="1"/>
    <xf numFmtId="0" fontId="20" fillId="0" borderId="0" xfId="0" applyFont="1" applyBorder="1"/>
    <xf numFmtId="11" fontId="20" fillId="0" borderId="0" xfId="0" applyNumberFormat="1" applyFont="1" applyFill="1" applyBorder="1"/>
    <xf numFmtId="0" fontId="0" fillId="0" borderId="9" xfId="0" applyFill="1" applyBorder="1"/>
    <xf numFmtId="0" fontId="20" fillId="0" borderId="4" xfId="0" applyFont="1" applyFill="1" applyBorder="1"/>
    <xf numFmtId="0" fontId="1" fillId="0" borderId="19" xfId="0" applyFont="1" applyFill="1" applyBorder="1"/>
    <xf numFmtId="0" fontId="1" fillId="0" borderId="23" xfId="0" applyFont="1" applyFill="1" applyBorder="1"/>
    <xf numFmtId="0" fontId="0" fillId="0" borderId="7" xfId="0" applyFont="1" applyBorder="1"/>
    <xf numFmtId="0" fontId="0" fillId="0" borderId="8" xfId="0" applyFont="1" applyBorder="1"/>
    <xf numFmtId="0" fontId="0" fillId="0" borderId="5" xfId="0" applyFont="1" applyBorder="1"/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9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2" xfId="0" applyFont="1" applyFill="1" applyBorder="1"/>
    <xf numFmtId="0" fontId="3" fillId="0" borderId="8" xfId="0" applyFont="1" applyBorder="1"/>
    <xf numFmtId="0" fontId="0" fillId="0" borderId="20" xfId="0" applyFill="1" applyBorder="1"/>
    <xf numFmtId="0" fontId="0" fillId="0" borderId="21" xfId="0" applyFill="1" applyBorder="1"/>
    <xf numFmtId="0" fontId="0" fillId="0" borderId="22" xfId="0" applyBorder="1"/>
    <xf numFmtId="0" fontId="0" fillId="0" borderId="20" xfId="0" applyBorder="1"/>
    <xf numFmtId="0" fontId="0" fillId="0" borderId="21" xfId="0" applyBorder="1"/>
    <xf numFmtId="0" fontId="26" fillId="0" borderId="20" xfId="0" applyFont="1" applyFill="1" applyBorder="1"/>
    <xf numFmtId="0" fontId="0" fillId="0" borderId="19" xfId="0" applyFill="1" applyBorder="1" applyAlignment="1">
      <alignment horizontal="left"/>
    </xf>
    <xf numFmtId="0" fontId="20" fillId="0" borderId="24" xfId="0" applyFont="1" applyFill="1" applyBorder="1"/>
    <xf numFmtId="0" fontId="20" fillId="0" borderId="23" xfId="0" applyFont="1" applyFill="1" applyBorder="1"/>
    <xf numFmtId="0" fontId="0" fillId="0" borderId="9" xfId="0" applyFill="1" applyBorder="1" applyAlignment="1">
      <alignment horizontal="left"/>
    </xf>
    <xf numFmtId="0" fontId="0" fillId="37" borderId="7" xfId="0" applyFill="1" applyBorder="1"/>
    <xf numFmtId="0" fontId="0" fillId="37" borderId="6" xfId="0" applyFill="1" applyBorder="1"/>
    <xf numFmtId="0" fontId="0" fillId="37" borderId="4" xfId="0" applyFill="1" applyBorder="1"/>
    <xf numFmtId="0" fontId="0" fillId="37" borderId="8" xfId="0" applyFill="1" applyBorder="1"/>
    <xf numFmtId="0" fontId="0" fillId="37" borderId="0" xfId="0" applyFill="1" applyBorder="1"/>
    <xf numFmtId="0" fontId="0" fillId="37" borderId="1" xfId="0" applyFill="1" applyBorder="1"/>
    <xf numFmtId="0" fontId="0" fillId="37" borderId="5" xfId="0" applyFill="1" applyBorder="1"/>
    <xf numFmtId="0" fontId="0" fillId="37" borderId="2" xfId="0" applyFill="1" applyBorder="1"/>
    <xf numFmtId="0" fontId="0" fillId="37" borderId="3" xfId="0" applyFill="1" applyBorder="1"/>
    <xf numFmtId="0" fontId="26" fillId="0" borderId="19" xfId="0" applyFont="1" applyBorder="1"/>
    <xf numFmtId="0" fontId="26" fillId="0" borderId="19" xfId="0" applyFont="1" applyFill="1" applyBorder="1" applyAlignment="1">
      <alignment horizontal="left"/>
    </xf>
    <xf numFmtId="0" fontId="20" fillId="0" borderId="8" xfId="0" applyFont="1" applyFill="1" applyBorder="1"/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26" fillId="0" borderId="9" xfId="0" applyFont="1" applyFill="1" applyBorder="1" applyAlignment="1">
      <alignment horizontal="left"/>
    </xf>
    <xf numFmtId="0" fontId="26" fillId="37" borderId="8" xfId="0" applyFont="1" applyFill="1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0" xfId="0" applyFont="1" applyBorder="1" applyAlignment="1"/>
    <xf numFmtId="0" fontId="0" fillId="0" borderId="22" xfId="0" applyBorder="1" applyAlignment="1"/>
    <xf numFmtId="0" fontId="28" fillId="0" borderId="1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5" fillId="0" borderId="19" xfId="0" applyFont="1" applyBorder="1" applyAlignment="1">
      <alignment horizontal="left" vertical="center" wrapText="1" readingOrder="1"/>
    </xf>
    <xf numFmtId="0" fontId="25" fillId="0" borderId="23" xfId="0" applyFont="1" applyBorder="1" applyAlignment="1">
      <alignment horizontal="left" vertical="center" wrapText="1" readingOrder="1"/>
    </xf>
    <xf numFmtId="0" fontId="25" fillId="0" borderId="24" xfId="0" applyFont="1" applyBorder="1" applyAlignment="1">
      <alignment horizontal="left" vertical="center" wrapText="1" readingOrder="1"/>
    </xf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0" borderId="7" xfId="0" applyFill="1" applyBorder="1" applyAlignment="1"/>
    <xf numFmtId="0" fontId="0" fillId="0" borderId="6" xfId="0" applyBorder="1" applyAlignment="1"/>
    <xf numFmtId="0" fontId="0" fillId="0" borderId="4" xfId="0" applyBorder="1" applyAlignment="1"/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/>
    </xf>
    <xf numFmtId="0" fontId="26" fillId="0" borderId="21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6" Type="http://schemas.openxmlformats.org/officeDocument/2006/relationships/image" Target="../media/image14.jpeg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13" Type="http://schemas.openxmlformats.org/officeDocument/2006/relationships/image" Target="../media/image25.jpeg"/><Relationship Id="rId18" Type="http://schemas.openxmlformats.org/officeDocument/2006/relationships/image" Target="../media/image28.jpeg"/><Relationship Id="rId26" Type="http://schemas.microsoft.com/office/2007/relationships/hdphoto" Target="../media/hdphoto7.wdp"/><Relationship Id="rId3" Type="http://schemas.openxmlformats.org/officeDocument/2006/relationships/image" Target="../media/image17.jpeg"/><Relationship Id="rId21" Type="http://schemas.openxmlformats.org/officeDocument/2006/relationships/image" Target="../media/image30.png"/><Relationship Id="rId7" Type="http://schemas.openxmlformats.org/officeDocument/2006/relationships/image" Target="../media/image20.jpeg"/><Relationship Id="rId12" Type="http://schemas.microsoft.com/office/2007/relationships/hdphoto" Target="../media/hdphoto2.wdp"/><Relationship Id="rId17" Type="http://schemas.microsoft.com/office/2007/relationships/hdphoto" Target="../media/hdphoto4.wdp"/><Relationship Id="rId25" Type="http://schemas.openxmlformats.org/officeDocument/2006/relationships/image" Target="../media/image33.png"/><Relationship Id="rId2" Type="http://schemas.openxmlformats.org/officeDocument/2006/relationships/image" Target="../media/image16.jpeg"/><Relationship Id="rId16" Type="http://schemas.openxmlformats.org/officeDocument/2006/relationships/image" Target="../media/image27.jpeg"/><Relationship Id="rId20" Type="http://schemas.openxmlformats.org/officeDocument/2006/relationships/image" Target="../media/image29.jpeg"/><Relationship Id="rId1" Type="http://schemas.openxmlformats.org/officeDocument/2006/relationships/image" Target="../media/image15.jpeg"/><Relationship Id="rId6" Type="http://schemas.microsoft.com/office/2007/relationships/hdphoto" Target="../media/hdphoto1.wdp"/><Relationship Id="rId11" Type="http://schemas.openxmlformats.org/officeDocument/2006/relationships/image" Target="../media/image24.jpeg"/><Relationship Id="rId24" Type="http://schemas.openxmlformats.org/officeDocument/2006/relationships/image" Target="../media/image32.jpeg"/><Relationship Id="rId5" Type="http://schemas.openxmlformats.org/officeDocument/2006/relationships/image" Target="../media/image19.png"/><Relationship Id="rId15" Type="http://schemas.microsoft.com/office/2007/relationships/hdphoto" Target="../media/hdphoto3.wdp"/><Relationship Id="rId23" Type="http://schemas.openxmlformats.org/officeDocument/2006/relationships/image" Target="../media/image31.jpeg"/><Relationship Id="rId10" Type="http://schemas.openxmlformats.org/officeDocument/2006/relationships/image" Target="../media/image23.jpeg"/><Relationship Id="rId19" Type="http://schemas.microsoft.com/office/2007/relationships/hdphoto" Target="../media/hdphoto5.wdp"/><Relationship Id="rId4" Type="http://schemas.openxmlformats.org/officeDocument/2006/relationships/image" Target="../media/image18.jpeg"/><Relationship Id="rId9" Type="http://schemas.openxmlformats.org/officeDocument/2006/relationships/image" Target="../media/image22.jpeg"/><Relationship Id="rId14" Type="http://schemas.openxmlformats.org/officeDocument/2006/relationships/image" Target="../media/image26.jpeg"/><Relationship Id="rId22" Type="http://schemas.microsoft.com/office/2007/relationships/hdphoto" Target="../media/hdphoto6.wdp"/><Relationship Id="rId27" Type="http://schemas.openxmlformats.org/officeDocument/2006/relationships/image" Target="../media/image34.jpeg"/></Relationships>
</file>

<file path=xl/drawings/_rels/drawing5.xml.rels><?xml version="1.0" encoding="UTF-8" standalone="yes"?>
<Relationships xmlns="http://schemas.openxmlformats.org/package/2006/relationships"><Relationship Id="rId8" Type="http://schemas.microsoft.com/office/2007/relationships/hdphoto" Target="../media/hdphoto11.wdp"/><Relationship Id="rId13" Type="http://schemas.openxmlformats.org/officeDocument/2006/relationships/image" Target="../media/image42.jpeg"/><Relationship Id="rId18" Type="http://schemas.microsoft.com/office/2007/relationships/hdphoto" Target="../media/hdphoto15.wdp"/><Relationship Id="rId3" Type="http://schemas.openxmlformats.org/officeDocument/2006/relationships/image" Target="../media/image36.jpeg"/><Relationship Id="rId7" Type="http://schemas.openxmlformats.org/officeDocument/2006/relationships/image" Target="../media/image38.jpeg"/><Relationship Id="rId12" Type="http://schemas.openxmlformats.org/officeDocument/2006/relationships/image" Target="../media/image41.jpeg"/><Relationship Id="rId17" Type="http://schemas.openxmlformats.org/officeDocument/2006/relationships/image" Target="../media/image44.jpeg"/><Relationship Id="rId2" Type="http://schemas.microsoft.com/office/2007/relationships/hdphoto" Target="../media/hdphoto8.wdp"/><Relationship Id="rId16" Type="http://schemas.microsoft.com/office/2007/relationships/hdphoto" Target="../media/hdphoto14.wdp"/><Relationship Id="rId1" Type="http://schemas.openxmlformats.org/officeDocument/2006/relationships/image" Target="../media/image35.jpeg"/><Relationship Id="rId6" Type="http://schemas.microsoft.com/office/2007/relationships/hdphoto" Target="../media/hdphoto10.wdp"/><Relationship Id="rId11" Type="http://schemas.openxmlformats.org/officeDocument/2006/relationships/image" Target="../media/image40.jpeg"/><Relationship Id="rId5" Type="http://schemas.openxmlformats.org/officeDocument/2006/relationships/image" Target="../media/image37.jpeg"/><Relationship Id="rId15" Type="http://schemas.openxmlformats.org/officeDocument/2006/relationships/image" Target="../media/image43.jpeg"/><Relationship Id="rId10" Type="http://schemas.microsoft.com/office/2007/relationships/hdphoto" Target="../media/hdphoto12.wdp"/><Relationship Id="rId4" Type="http://schemas.microsoft.com/office/2007/relationships/hdphoto" Target="../media/hdphoto9.wdp"/><Relationship Id="rId9" Type="http://schemas.openxmlformats.org/officeDocument/2006/relationships/image" Target="../media/image39.jpeg"/><Relationship Id="rId14" Type="http://schemas.microsoft.com/office/2007/relationships/hdphoto" Target="../media/hdphoto13.wdp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jpeg"/><Relationship Id="rId3" Type="http://schemas.openxmlformats.org/officeDocument/2006/relationships/image" Target="../media/image46.jpeg"/><Relationship Id="rId7" Type="http://schemas.openxmlformats.org/officeDocument/2006/relationships/image" Target="../media/image49.jpeg"/><Relationship Id="rId12" Type="http://schemas.openxmlformats.org/officeDocument/2006/relationships/image" Target="../media/image54.jpeg"/><Relationship Id="rId2" Type="http://schemas.microsoft.com/office/2007/relationships/hdphoto" Target="../media/hdphoto16.wdp"/><Relationship Id="rId1" Type="http://schemas.openxmlformats.org/officeDocument/2006/relationships/image" Target="../media/image45.jpeg"/><Relationship Id="rId6" Type="http://schemas.openxmlformats.org/officeDocument/2006/relationships/image" Target="../media/image48.jpeg"/><Relationship Id="rId11" Type="http://schemas.openxmlformats.org/officeDocument/2006/relationships/image" Target="../media/image53.jpeg"/><Relationship Id="rId5" Type="http://schemas.openxmlformats.org/officeDocument/2006/relationships/image" Target="../media/image47.jpeg"/><Relationship Id="rId10" Type="http://schemas.openxmlformats.org/officeDocument/2006/relationships/image" Target="../media/image52.jpeg"/><Relationship Id="rId4" Type="http://schemas.microsoft.com/office/2007/relationships/hdphoto" Target="../media/hdphoto17.wdp"/><Relationship Id="rId9" Type="http://schemas.openxmlformats.org/officeDocument/2006/relationships/image" Target="../media/image5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jpeg"/><Relationship Id="rId7" Type="http://schemas.openxmlformats.org/officeDocument/2006/relationships/image" Target="../media/image59.png"/><Relationship Id="rId2" Type="http://schemas.microsoft.com/office/2007/relationships/hdphoto" Target="../media/hdphoto18.wdp"/><Relationship Id="rId1" Type="http://schemas.openxmlformats.org/officeDocument/2006/relationships/image" Target="../media/image55.jpeg"/><Relationship Id="rId6" Type="http://schemas.openxmlformats.org/officeDocument/2006/relationships/image" Target="../media/image58.png"/><Relationship Id="rId5" Type="http://schemas.openxmlformats.org/officeDocument/2006/relationships/image" Target="../media/image57.png"/><Relationship Id="rId4" Type="http://schemas.microsoft.com/office/2007/relationships/hdphoto" Target="../media/hdphoto19.wdp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jpeg"/><Relationship Id="rId13" Type="http://schemas.openxmlformats.org/officeDocument/2006/relationships/image" Target="../media/image72.jpeg"/><Relationship Id="rId3" Type="http://schemas.openxmlformats.org/officeDocument/2006/relationships/image" Target="../media/image62.jpeg"/><Relationship Id="rId7" Type="http://schemas.openxmlformats.org/officeDocument/2006/relationships/image" Target="../media/image66.jpeg"/><Relationship Id="rId12" Type="http://schemas.openxmlformats.org/officeDocument/2006/relationships/image" Target="../media/image71.jpeg"/><Relationship Id="rId2" Type="http://schemas.openxmlformats.org/officeDocument/2006/relationships/image" Target="../media/image61.jpeg"/><Relationship Id="rId1" Type="http://schemas.openxmlformats.org/officeDocument/2006/relationships/image" Target="../media/image60.jpeg"/><Relationship Id="rId6" Type="http://schemas.openxmlformats.org/officeDocument/2006/relationships/image" Target="../media/image65.jpeg"/><Relationship Id="rId11" Type="http://schemas.openxmlformats.org/officeDocument/2006/relationships/image" Target="../media/image70.jpeg"/><Relationship Id="rId5" Type="http://schemas.openxmlformats.org/officeDocument/2006/relationships/image" Target="../media/image64.jpeg"/><Relationship Id="rId10" Type="http://schemas.openxmlformats.org/officeDocument/2006/relationships/image" Target="../media/image69.jpeg"/><Relationship Id="rId4" Type="http://schemas.openxmlformats.org/officeDocument/2006/relationships/image" Target="../media/image63.jpeg"/><Relationship Id="rId9" Type="http://schemas.openxmlformats.org/officeDocument/2006/relationships/image" Target="../media/image68.jpeg"/></Relationships>
</file>

<file path=xl/drawings/_rels/drawing9.xml.rels><?xml version="1.0" encoding="UTF-8" standalone="yes"?>
<Relationships xmlns="http://schemas.openxmlformats.org/package/2006/relationships"><Relationship Id="rId8" Type="http://schemas.microsoft.com/office/2007/relationships/hdphoto" Target="../media/hdphoto23.wdp"/><Relationship Id="rId13" Type="http://schemas.openxmlformats.org/officeDocument/2006/relationships/image" Target="../media/image79.jpeg"/><Relationship Id="rId18" Type="http://schemas.openxmlformats.org/officeDocument/2006/relationships/image" Target="../media/image84.jpeg"/><Relationship Id="rId3" Type="http://schemas.openxmlformats.org/officeDocument/2006/relationships/image" Target="../media/image74.jpeg"/><Relationship Id="rId21" Type="http://schemas.openxmlformats.org/officeDocument/2006/relationships/image" Target="../media/image87.jpeg"/><Relationship Id="rId7" Type="http://schemas.openxmlformats.org/officeDocument/2006/relationships/image" Target="../media/image76.jpeg"/><Relationship Id="rId12" Type="http://schemas.microsoft.com/office/2007/relationships/hdphoto" Target="../media/hdphoto25.wdp"/><Relationship Id="rId17" Type="http://schemas.openxmlformats.org/officeDocument/2006/relationships/image" Target="../media/image83.jpeg"/><Relationship Id="rId2" Type="http://schemas.microsoft.com/office/2007/relationships/hdphoto" Target="../media/hdphoto20.wdp"/><Relationship Id="rId16" Type="http://schemas.openxmlformats.org/officeDocument/2006/relationships/image" Target="../media/image82.jpeg"/><Relationship Id="rId20" Type="http://schemas.openxmlformats.org/officeDocument/2006/relationships/image" Target="../media/image86.jpeg"/><Relationship Id="rId1" Type="http://schemas.openxmlformats.org/officeDocument/2006/relationships/image" Target="../media/image73.jpeg"/><Relationship Id="rId6" Type="http://schemas.microsoft.com/office/2007/relationships/hdphoto" Target="../media/hdphoto22.wdp"/><Relationship Id="rId11" Type="http://schemas.openxmlformats.org/officeDocument/2006/relationships/image" Target="../media/image78.jpeg"/><Relationship Id="rId5" Type="http://schemas.openxmlformats.org/officeDocument/2006/relationships/image" Target="../media/image75.jpeg"/><Relationship Id="rId15" Type="http://schemas.openxmlformats.org/officeDocument/2006/relationships/image" Target="../media/image81.jpeg"/><Relationship Id="rId10" Type="http://schemas.microsoft.com/office/2007/relationships/hdphoto" Target="../media/hdphoto24.wdp"/><Relationship Id="rId19" Type="http://schemas.openxmlformats.org/officeDocument/2006/relationships/image" Target="../media/image85.jpeg"/><Relationship Id="rId4" Type="http://schemas.microsoft.com/office/2007/relationships/hdphoto" Target="../media/hdphoto21.wdp"/><Relationship Id="rId9" Type="http://schemas.openxmlformats.org/officeDocument/2006/relationships/image" Target="../media/image77.jpeg"/><Relationship Id="rId14" Type="http://schemas.openxmlformats.org/officeDocument/2006/relationships/image" Target="../media/image80.jpeg"/><Relationship Id="rId22" Type="http://schemas.openxmlformats.org/officeDocument/2006/relationships/image" Target="../media/image88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96.tiff"/><Relationship Id="rId3" Type="http://schemas.openxmlformats.org/officeDocument/2006/relationships/image" Target="../media/image91.jpeg"/><Relationship Id="rId7" Type="http://schemas.openxmlformats.org/officeDocument/2006/relationships/image" Target="../media/image95.jpeg"/><Relationship Id="rId12" Type="http://schemas.openxmlformats.org/officeDocument/2006/relationships/image" Target="../media/image100.pn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6" Type="http://schemas.openxmlformats.org/officeDocument/2006/relationships/image" Target="../media/image94.jpeg"/><Relationship Id="rId11" Type="http://schemas.openxmlformats.org/officeDocument/2006/relationships/image" Target="../media/image99.png"/><Relationship Id="rId5" Type="http://schemas.openxmlformats.org/officeDocument/2006/relationships/image" Target="../media/image93.jpeg"/><Relationship Id="rId10" Type="http://schemas.openxmlformats.org/officeDocument/2006/relationships/image" Target="../media/image98.jpeg"/><Relationship Id="rId4" Type="http://schemas.openxmlformats.org/officeDocument/2006/relationships/image" Target="../media/image92.jpeg"/><Relationship Id="rId9" Type="http://schemas.openxmlformats.org/officeDocument/2006/relationships/image" Target="../media/image9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41413</xdr:colOff>
      <xdr:row>5</xdr:row>
      <xdr:rowOff>115956</xdr:rowOff>
    </xdr:from>
    <xdr:to>
      <xdr:col>7</xdr:col>
      <xdr:colOff>302957</xdr:colOff>
      <xdr:row>28</xdr:row>
      <xdr:rowOff>167911</xdr:rowOff>
    </xdr:to>
    <xdr:grpSp>
      <xdr:nvGrpSpPr>
        <xdr:cNvPr id="29" name="Group 28"/>
        <xdr:cNvGrpSpPr/>
      </xdr:nvGrpSpPr>
      <xdr:grpSpPr>
        <a:xfrm>
          <a:off x="654001" y="1049780"/>
          <a:ext cx="3937074" cy="4347543"/>
          <a:chOff x="91440" y="152400"/>
          <a:chExt cx="3939022" cy="4433455"/>
        </a:xfrm>
      </xdr:grpSpPr>
      <xdr:pic>
        <xdr:nvPicPr>
          <xdr:cNvPr id="30" name="Picture 29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230" r="-1"/>
          <a:stretch/>
        </xdr:blipFill>
        <xdr:spPr bwMode="auto">
          <a:xfrm>
            <a:off x="91440" y="152400"/>
            <a:ext cx="3939022" cy="44334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1" name="Rectangle 30"/>
          <xdr:cNvSpPr/>
        </xdr:nvSpPr>
        <xdr:spPr>
          <a:xfrm>
            <a:off x="764381" y="2071694"/>
            <a:ext cx="533400" cy="533400"/>
          </a:xfrm>
          <a:prstGeom prst="rect">
            <a:avLst/>
          </a:prstGeom>
          <a:noFill/>
          <a:ln>
            <a:solidFill>
              <a:schemeClr val="bg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2" name="Rectangle 31"/>
          <xdr:cNvSpPr/>
        </xdr:nvSpPr>
        <xdr:spPr>
          <a:xfrm>
            <a:off x="1352544" y="2071694"/>
            <a:ext cx="533400" cy="533400"/>
          </a:xfrm>
          <a:prstGeom prst="rect">
            <a:avLst/>
          </a:prstGeom>
          <a:noFill/>
          <a:ln>
            <a:solidFill>
              <a:schemeClr val="bg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3" name="TextBox 4"/>
          <xdr:cNvSpPr txBox="1"/>
        </xdr:nvSpPr>
        <xdr:spPr>
          <a:xfrm>
            <a:off x="1867130" y="2176790"/>
            <a:ext cx="507210" cy="25455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fgt3</a:t>
            </a:r>
            <a:endPara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TextBox 7"/>
          <xdr:cNvSpPr txBox="1"/>
        </xdr:nvSpPr>
        <xdr:spPr>
          <a:xfrm>
            <a:off x="199341" y="2066364"/>
            <a:ext cx="601447" cy="4308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fgt3</a:t>
            </a:r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x </a:t>
            </a:r>
          </a:p>
          <a:p>
            <a:pPr algn="r"/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Col F1</a:t>
            </a:r>
          </a:p>
        </xdr:txBody>
      </xdr:sp>
      <xdr:sp macro="" textlink="">
        <xdr:nvSpPr>
          <xdr:cNvPr id="35" name="TextBox 8"/>
          <xdr:cNvSpPr txBox="1"/>
        </xdr:nvSpPr>
        <xdr:spPr>
          <a:xfrm>
            <a:off x="1390743" y="1036866"/>
            <a:ext cx="677402" cy="4308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Col x </a:t>
            </a:r>
          </a:p>
          <a:p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fgt3</a:t>
            </a:r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F1</a:t>
            </a:r>
          </a:p>
        </xdr:txBody>
      </xdr:sp>
      <xdr:sp macro="" textlink="">
        <xdr:nvSpPr>
          <xdr:cNvPr id="36" name="TextBox 9"/>
          <xdr:cNvSpPr txBox="1"/>
        </xdr:nvSpPr>
        <xdr:spPr>
          <a:xfrm>
            <a:off x="525832" y="1007395"/>
            <a:ext cx="817992" cy="430887"/>
          </a:xfrm>
          <a:prstGeom prst="rect">
            <a:avLst/>
          </a:prstGeom>
          <a:noFill/>
          <a:effectLst>
            <a:outerShdw dist="2540000" dir="8100000" sx="181000" sy="181000" algn="tr" rotWithShape="0">
              <a:prstClr val="black"/>
            </a:outerShdw>
          </a:effectLst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fgt3 x </a:t>
            </a:r>
          </a:p>
          <a:p>
            <a:pPr algn="r"/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 </a:t>
            </a:r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F1</a:t>
            </a:r>
          </a:p>
        </xdr:txBody>
      </xdr:sp>
      <xdr:sp macro="" textlink="">
        <xdr:nvSpPr>
          <xdr:cNvPr id="37" name="TextBox 11"/>
          <xdr:cNvSpPr txBox="1"/>
        </xdr:nvSpPr>
        <xdr:spPr>
          <a:xfrm>
            <a:off x="738584" y="3200400"/>
            <a:ext cx="583814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parent</a:t>
            </a:r>
          </a:p>
        </xdr:txBody>
      </xdr:sp>
      <xdr:sp macro="" textlink="">
        <xdr:nvSpPr>
          <xdr:cNvPr id="38" name="Rectangle 37"/>
          <xdr:cNvSpPr/>
        </xdr:nvSpPr>
        <xdr:spPr>
          <a:xfrm>
            <a:off x="764375" y="2667000"/>
            <a:ext cx="533400" cy="533400"/>
          </a:xfrm>
          <a:prstGeom prst="rect">
            <a:avLst/>
          </a:prstGeom>
          <a:noFill/>
          <a:ln>
            <a:solidFill>
              <a:schemeClr val="bg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9" name="Rectangle 38"/>
          <xdr:cNvSpPr/>
        </xdr:nvSpPr>
        <xdr:spPr>
          <a:xfrm>
            <a:off x="788998" y="1438282"/>
            <a:ext cx="533400" cy="533400"/>
          </a:xfrm>
          <a:prstGeom prst="rect">
            <a:avLst/>
          </a:prstGeom>
          <a:noFill/>
          <a:ln>
            <a:solidFill>
              <a:schemeClr val="bg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8</xdr:col>
      <xdr:colOff>16565</xdr:colOff>
      <xdr:row>5</xdr:row>
      <xdr:rowOff>115957</xdr:rowOff>
    </xdr:from>
    <xdr:to>
      <xdr:col>14</xdr:col>
      <xdr:colOff>278107</xdr:colOff>
      <xdr:row>28</xdr:row>
      <xdr:rowOff>167912</xdr:rowOff>
    </xdr:to>
    <xdr:grpSp>
      <xdr:nvGrpSpPr>
        <xdr:cNvPr id="40" name="Group 39"/>
        <xdr:cNvGrpSpPr/>
      </xdr:nvGrpSpPr>
      <xdr:grpSpPr>
        <a:xfrm>
          <a:off x="4917271" y="1049781"/>
          <a:ext cx="3937071" cy="4347543"/>
          <a:chOff x="91440" y="152400"/>
          <a:chExt cx="3939021" cy="4433455"/>
        </a:xfrm>
      </xdr:grpSpPr>
      <xdr:pic>
        <xdr:nvPicPr>
          <xdr:cNvPr id="41" name="Picture 40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326"/>
          <a:stretch/>
        </xdr:blipFill>
        <xdr:spPr bwMode="auto">
          <a:xfrm>
            <a:off x="91440" y="152400"/>
            <a:ext cx="3939021" cy="44334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2" name="Rectangle 41"/>
          <xdr:cNvSpPr/>
        </xdr:nvSpPr>
        <xdr:spPr>
          <a:xfrm>
            <a:off x="764381" y="2071694"/>
            <a:ext cx="533400" cy="533400"/>
          </a:xfrm>
          <a:prstGeom prst="rect">
            <a:avLst/>
          </a:prstGeom>
          <a:noFill/>
          <a:ln>
            <a:solidFill>
              <a:schemeClr val="bg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3" name="Rectangle 42"/>
          <xdr:cNvSpPr/>
        </xdr:nvSpPr>
        <xdr:spPr>
          <a:xfrm>
            <a:off x="1352544" y="2071694"/>
            <a:ext cx="533400" cy="533400"/>
          </a:xfrm>
          <a:prstGeom prst="rect">
            <a:avLst/>
          </a:prstGeom>
          <a:noFill/>
          <a:ln>
            <a:solidFill>
              <a:schemeClr val="bg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4" name="TextBox 14"/>
          <xdr:cNvSpPr txBox="1"/>
        </xdr:nvSpPr>
        <xdr:spPr>
          <a:xfrm>
            <a:off x="1867131" y="2176790"/>
            <a:ext cx="464313" cy="25455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fgt3</a:t>
            </a:r>
            <a:endPara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5" name="TextBox 15"/>
          <xdr:cNvSpPr txBox="1"/>
        </xdr:nvSpPr>
        <xdr:spPr>
          <a:xfrm>
            <a:off x="176661" y="2010335"/>
            <a:ext cx="601447" cy="4308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fgt3</a:t>
            </a:r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x </a:t>
            </a:r>
          </a:p>
          <a:p>
            <a:pPr algn="r"/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Col F1</a:t>
            </a:r>
          </a:p>
        </xdr:txBody>
      </xdr:sp>
      <xdr:sp macro="" textlink="">
        <xdr:nvSpPr>
          <xdr:cNvPr id="46" name="TextBox 16"/>
          <xdr:cNvSpPr txBox="1"/>
        </xdr:nvSpPr>
        <xdr:spPr>
          <a:xfrm>
            <a:off x="1390743" y="1036866"/>
            <a:ext cx="679868" cy="4308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Col x </a:t>
            </a:r>
          </a:p>
          <a:p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fgt3</a:t>
            </a:r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F1</a:t>
            </a:r>
          </a:p>
        </xdr:txBody>
      </xdr:sp>
      <xdr:sp macro="" textlink="">
        <xdr:nvSpPr>
          <xdr:cNvPr id="47" name="TextBox 17"/>
          <xdr:cNvSpPr txBox="1"/>
        </xdr:nvSpPr>
        <xdr:spPr>
          <a:xfrm>
            <a:off x="494276" y="1007395"/>
            <a:ext cx="849546" cy="430887"/>
          </a:xfrm>
          <a:prstGeom prst="rect">
            <a:avLst/>
          </a:prstGeom>
          <a:noFill/>
          <a:effectLst>
            <a:outerShdw dist="2540000" dir="8100000" sx="181000" sy="181000" algn="tr" rotWithShape="0">
              <a:prstClr val="black"/>
            </a:outerShdw>
          </a:effectLst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fgt3 x </a:t>
            </a:r>
          </a:p>
          <a:p>
            <a:pPr algn="r"/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 </a:t>
            </a:r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F1</a:t>
            </a:r>
          </a:p>
        </xdr:txBody>
      </xdr:sp>
      <xdr:sp macro="" textlink="">
        <xdr:nvSpPr>
          <xdr:cNvPr id="48" name="TextBox 18"/>
          <xdr:cNvSpPr txBox="1"/>
        </xdr:nvSpPr>
        <xdr:spPr>
          <a:xfrm>
            <a:off x="653044" y="3200399"/>
            <a:ext cx="669355" cy="25455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parent</a:t>
            </a:r>
          </a:p>
        </xdr:txBody>
      </xdr:sp>
      <xdr:sp macro="" textlink="">
        <xdr:nvSpPr>
          <xdr:cNvPr id="49" name="Rectangle 48"/>
          <xdr:cNvSpPr/>
        </xdr:nvSpPr>
        <xdr:spPr>
          <a:xfrm>
            <a:off x="764375" y="2667000"/>
            <a:ext cx="533400" cy="533400"/>
          </a:xfrm>
          <a:prstGeom prst="rect">
            <a:avLst/>
          </a:prstGeom>
          <a:noFill/>
          <a:ln>
            <a:solidFill>
              <a:schemeClr val="bg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0" name="Rectangle 49"/>
          <xdr:cNvSpPr/>
        </xdr:nvSpPr>
        <xdr:spPr>
          <a:xfrm>
            <a:off x="788998" y="1438282"/>
            <a:ext cx="533400" cy="533400"/>
          </a:xfrm>
          <a:prstGeom prst="rect">
            <a:avLst/>
          </a:prstGeom>
          <a:noFill/>
          <a:ln>
            <a:solidFill>
              <a:schemeClr val="bg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14</xdr:col>
      <xdr:colOff>604630</xdr:colOff>
      <xdr:row>5</xdr:row>
      <xdr:rowOff>107674</xdr:rowOff>
    </xdr:from>
    <xdr:to>
      <xdr:col>21</xdr:col>
      <xdr:colOff>253259</xdr:colOff>
      <xdr:row>28</xdr:row>
      <xdr:rowOff>159629</xdr:rowOff>
    </xdr:to>
    <xdr:grpSp>
      <xdr:nvGrpSpPr>
        <xdr:cNvPr id="51" name="Group 50"/>
        <xdr:cNvGrpSpPr/>
      </xdr:nvGrpSpPr>
      <xdr:grpSpPr>
        <a:xfrm>
          <a:off x="9180865" y="1041498"/>
          <a:ext cx="3936747" cy="4347543"/>
          <a:chOff x="91440" y="152400"/>
          <a:chExt cx="3939020" cy="4433455"/>
        </a:xfrm>
      </xdr:grpSpPr>
      <xdr:pic>
        <xdr:nvPicPr>
          <xdr:cNvPr id="52" name="Picture 51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41"/>
          <a:stretch/>
        </xdr:blipFill>
        <xdr:spPr bwMode="auto">
          <a:xfrm>
            <a:off x="91440" y="152400"/>
            <a:ext cx="3939020" cy="44334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3" name="Rectangle 52"/>
          <xdr:cNvSpPr/>
        </xdr:nvSpPr>
        <xdr:spPr>
          <a:xfrm>
            <a:off x="764381" y="2071694"/>
            <a:ext cx="533400" cy="533400"/>
          </a:xfrm>
          <a:prstGeom prst="rect">
            <a:avLst/>
          </a:prstGeom>
          <a:noFill/>
          <a:ln>
            <a:solidFill>
              <a:schemeClr val="bg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4" name="Rectangle 53"/>
          <xdr:cNvSpPr/>
        </xdr:nvSpPr>
        <xdr:spPr>
          <a:xfrm>
            <a:off x="1352544" y="2071694"/>
            <a:ext cx="533400" cy="533400"/>
          </a:xfrm>
          <a:prstGeom prst="rect">
            <a:avLst/>
          </a:prstGeom>
          <a:noFill/>
          <a:ln>
            <a:solidFill>
              <a:schemeClr val="bg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5" name="TextBox 14"/>
          <xdr:cNvSpPr txBox="1"/>
        </xdr:nvSpPr>
        <xdr:spPr>
          <a:xfrm>
            <a:off x="1867131" y="2176790"/>
            <a:ext cx="497463" cy="25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fgt3</a:t>
            </a:r>
            <a:endPara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" name="TextBox 15"/>
          <xdr:cNvSpPr txBox="1"/>
        </xdr:nvSpPr>
        <xdr:spPr>
          <a:xfrm>
            <a:off x="199273" y="2043952"/>
            <a:ext cx="601447" cy="4308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fgt3</a:t>
            </a:r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x </a:t>
            </a:r>
          </a:p>
          <a:p>
            <a:pPr algn="r"/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Col F1</a:t>
            </a:r>
          </a:p>
        </xdr:txBody>
      </xdr:sp>
      <xdr:sp macro="" textlink="">
        <xdr:nvSpPr>
          <xdr:cNvPr id="57" name="TextBox 16"/>
          <xdr:cNvSpPr txBox="1"/>
        </xdr:nvSpPr>
        <xdr:spPr>
          <a:xfrm>
            <a:off x="1390743" y="1036866"/>
            <a:ext cx="622286" cy="4308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Col x </a:t>
            </a:r>
          </a:p>
          <a:p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fgt3</a:t>
            </a:r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F1</a:t>
            </a:r>
          </a:p>
        </xdr:txBody>
      </xdr:sp>
      <xdr:sp macro="" textlink="">
        <xdr:nvSpPr>
          <xdr:cNvPr id="58" name="TextBox 17"/>
          <xdr:cNvSpPr txBox="1"/>
        </xdr:nvSpPr>
        <xdr:spPr>
          <a:xfrm>
            <a:off x="610930" y="1007395"/>
            <a:ext cx="732893" cy="430887"/>
          </a:xfrm>
          <a:prstGeom prst="rect">
            <a:avLst/>
          </a:prstGeom>
          <a:noFill/>
          <a:effectLst>
            <a:outerShdw dist="2540000" dir="8100000" sx="181000" sy="181000" algn="tr" rotWithShape="0">
              <a:prstClr val="black"/>
            </a:outerShdw>
          </a:effectLst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fgt3 x </a:t>
            </a:r>
          </a:p>
          <a:p>
            <a:pPr algn="r"/>
            <a:r>
              <a:rPr lang="en-US" sz="11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 </a:t>
            </a:r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F1</a:t>
            </a:r>
          </a:p>
        </xdr:txBody>
      </xdr:sp>
      <xdr:sp macro="" textlink="">
        <xdr:nvSpPr>
          <xdr:cNvPr id="59" name="TextBox 18"/>
          <xdr:cNvSpPr txBox="1"/>
        </xdr:nvSpPr>
        <xdr:spPr>
          <a:xfrm>
            <a:off x="624949" y="3200400"/>
            <a:ext cx="682857" cy="25455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parent</a:t>
            </a:r>
          </a:p>
        </xdr:txBody>
      </xdr:sp>
      <xdr:sp macro="" textlink="">
        <xdr:nvSpPr>
          <xdr:cNvPr id="60" name="Rectangle 59"/>
          <xdr:cNvSpPr/>
        </xdr:nvSpPr>
        <xdr:spPr>
          <a:xfrm>
            <a:off x="764375" y="2667000"/>
            <a:ext cx="533400" cy="533400"/>
          </a:xfrm>
          <a:prstGeom prst="rect">
            <a:avLst/>
          </a:prstGeom>
          <a:noFill/>
          <a:ln>
            <a:solidFill>
              <a:schemeClr val="bg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1" name="Rectangle 60"/>
          <xdr:cNvSpPr/>
        </xdr:nvSpPr>
        <xdr:spPr>
          <a:xfrm>
            <a:off x="788998" y="1438282"/>
            <a:ext cx="533400" cy="533400"/>
          </a:xfrm>
          <a:prstGeom prst="rect">
            <a:avLst/>
          </a:prstGeom>
          <a:noFill/>
          <a:ln>
            <a:solidFill>
              <a:schemeClr val="bg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7</xdr:col>
      <xdr:colOff>183823</xdr:colOff>
      <xdr:row>18</xdr:row>
      <xdr:rowOff>184665</xdr:rowOff>
    </xdr:to>
    <xdr:grpSp>
      <xdr:nvGrpSpPr>
        <xdr:cNvPr id="63" name="Group 62"/>
        <xdr:cNvGrpSpPr/>
      </xdr:nvGrpSpPr>
      <xdr:grpSpPr>
        <a:xfrm>
          <a:off x="1068294" y="717176"/>
          <a:ext cx="3949000" cy="2688433"/>
          <a:chOff x="4173919" y="273727"/>
          <a:chExt cx="3827136" cy="2851665"/>
        </a:xfrm>
      </xdr:grpSpPr>
      <xdr:pic>
        <xdr:nvPicPr>
          <xdr:cNvPr id="64" name="Picture 63" descr="Z:\Heat\HSFA3\20170328-survivalAssayFlagLines\DSC_0850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98" t="14513" r="39471" b="24321"/>
          <a:stretch/>
        </xdr:blipFill>
        <xdr:spPr bwMode="auto">
          <a:xfrm>
            <a:off x="4191000" y="273728"/>
            <a:ext cx="3727882" cy="279646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65" name="Straight Connector 64"/>
          <xdr:cNvCxnSpPr/>
        </xdr:nvCxnSpPr>
        <xdr:spPr>
          <a:xfrm>
            <a:off x="6237271" y="426128"/>
            <a:ext cx="7923" cy="2514599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" name="Straight Connector 65"/>
          <xdr:cNvCxnSpPr/>
        </xdr:nvCxnSpPr>
        <xdr:spPr>
          <a:xfrm flipH="1">
            <a:off x="5235542" y="1035727"/>
            <a:ext cx="2057400" cy="12192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" name="Straight Connector 66"/>
          <xdr:cNvCxnSpPr/>
        </xdr:nvCxnSpPr>
        <xdr:spPr>
          <a:xfrm>
            <a:off x="5181600" y="1064303"/>
            <a:ext cx="2111342" cy="1190624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8" name="TextBox 64"/>
          <xdr:cNvSpPr txBox="1"/>
        </xdr:nvSpPr>
        <xdr:spPr>
          <a:xfrm>
            <a:off x="6683342" y="349927"/>
            <a:ext cx="41389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69" name="TextBox 65"/>
          <xdr:cNvSpPr txBox="1"/>
        </xdr:nvSpPr>
        <xdr:spPr>
          <a:xfrm>
            <a:off x="5311742" y="358886"/>
            <a:ext cx="7216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70" name="TextBox 66"/>
          <xdr:cNvSpPr txBox="1"/>
        </xdr:nvSpPr>
        <xdr:spPr>
          <a:xfrm>
            <a:off x="5006942" y="2663727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#6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71" name="TextBox 67"/>
          <xdr:cNvSpPr txBox="1"/>
        </xdr:nvSpPr>
        <xdr:spPr>
          <a:xfrm>
            <a:off x="6378542" y="2663727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#4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72" name="TextBox 68"/>
          <xdr:cNvSpPr txBox="1"/>
        </xdr:nvSpPr>
        <xdr:spPr>
          <a:xfrm>
            <a:off x="7204042" y="1066865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#1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73" name="TextBox 69"/>
          <xdr:cNvSpPr txBox="1"/>
        </xdr:nvSpPr>
        <xdr:spPr>
          <a:xfrm>
            <a:off x="4209929" y="1264327"/>
            <a:ext cx="88197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#12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74" name="TextBox 70"/>
          <xdr:cNvSpPr txBox="1"/>
        </xdr:nvSpPr>
        <xdr:spPr>
          <a:xfrm>
            <a:off x="4173919" y="273727"/>
            <a:ext cx="83227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u="sng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ACC only</a:t>
            </a:r>
          </a:p>
        </xdr:txBody>
      </xdr:sp>
    </xdr:grp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144141</xdr:colOff>
      <xdr:row>18</xdr:row>
      <xdr:rowOff>139537</xdr:rowOff>
    </xdr:to>
    <xdr:grpSp>
      <xdr:nvGrpSpPr>
        <xdr:cNvPr id="75" name="Group 74"/>
        <xdr:cNvGrpSpPr/>
      </xdr:nvGrpSpPr>
      <xdr:grpSpPr>
        <a:xfrm>
          <a:off x="5475941" y="717176"/>
          <a:ext cx="3998965" cy="2649655"/>
          <a:chOff x="4190185" y="3293928"/>
          <a:chExt cx="3858891" cy="2806537"/>
        </a:xfrm>
      </xdr:grpSpPr>
      <xdr:pic>
        <xdr:nvPicPr>
          <xdr:cNvPr id="76" name="Picture 75" descr="Z:\Heat\HSFA3\20170328-survivalAssayFlagLines\DSC_0852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4" t="12527" r="42577" b="26114"/>
          <a:stretch/>
        </xdr:blipFill>
        <xdr:spPr bwMode="auto">
          <a:xfrm>
            <a:off x="4236476" y="3293928"/>
            <a:ext cx="3793545" cy="280534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77" name="Straight Connector 76"/>
          <xdr:cNvCxnSpPr/>
        </xdr:nvCxnSpPr>
        <xdr:spPr>
          <a:xfrm>
            <a:off x="6261460" y="3477400"/>
            <a:ext cx="0" cy="25146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" name="Straight Connector 77"/>
          <xdr:cNvCxnSpPr/>
        </xdr:nvCxnSpPr>
        <xdr:spPr>
          <a:xfrm flipH="1">
            <a:off x="5251808" y="4087000"/>
            <a:ext cx="2057400" cy="12192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" name="Straight Connector 78"/>
          <xdr:cNvCxnSpPr/>
        </xdr:nvCxnSpPr>
        <xdr:spPr>
          <a:xfrm>
            <a:off x="5251808" y="4115575"/>
            <a:ext cx="2057400" cy="12192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0" name="TextBox 56"/>
          <xdr:cNvSpPr txBox="1"/>
        </xdr:nvSpPr>
        <xdr:spPr>
          <a:xfrm>
            <a:off x="6699608" y="3401200"/>
            <a:ext cx="41389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81" name="TextBox 57"/>
          <xdr:cNvSpPr txBox="1"/>
        </xdr:nvSpPr>
        <xdr:spPr>
          <a:xfrm>
            <a:off x="5328008" y="3410159"/>
            <a:ext cx="7216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82" name="TextBox 58"/>
          <xdr:cNvSpPr txBox="1"/>
        </xdr:nvSpPr>
        <xdr:spPr>
          <a:xfrm>
            <a:off x="5146587" y="5638800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#6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83" name="TextBox 59"/>
          <xdr:cNvSpPr txBox="1"/>
        </xdr:nvSpPr>
        <xdr:spPr>
          <a:xfrm>
            <a:off x="6518187" y="5638800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#4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84" name="TextBox 60"/>
          <xdr:cNvSpPr txBox="1"/>
        </xdr:nvSpPr>
        <xdr:spPr>
          <a:xfrm>
            <a:off x="7252063" y="4403884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#1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85" name="TextBox 61"/>
          <xdr:cNvSpPr txBox="1"/>
        </xdr:nvSpPr>
        <xdr:spPr>
          <a:xfrm>
            <a:off x="4226195" y="4315600"/>
            <a:ext cx="763351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#12 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86" name="TextBox 62"/>
          <xdr:cNvSpPr txBox="1"/>
        </xdr:nvSpPr>
        <xdr:spPr>
          <a:xfrm>
            <a:off x="4190185" y="3325000"/>
            <a:ext cx="824265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u="sng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44°C </a:t>
            </a:r>
          </a:p>
          <a:p>
            <a:r>
              <a:rPr lang="en-US" sz="1200" u="sng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for 70min</a:t>
            </a:r>
          </a:p>
        </xdr:txBody>
      </xdr:sp>
    </xdr:grpSp>
    <xdr:clientData/>
  </xdr:twoCellAnchor>
  <xdr:twoCellAnchor>
    <xdr:from>
      <xdr:col>15</xdr:col>
      <xdr:colOff>0</xdr:colOff>
      <xdr:row>4</xdr:row>
      <xdr:rowOff>0</xdr:rowOff>
    </xdr:from>
    <xdr:to>
      <xdr:col>21</xdr:col>
      <xdr:colOff>125086</xdr:colOff>
      <xdr:row>18</xdr:row>
      <xdr:rowOff>187199</xdr:rowOff>
    </xdr:to>
    <xdr:grpSp>
      <xdr:nvGrpSpPr>
        <xdr:cNvPr id="87" name="Group 86"/>
        <xdr:cNvGrpSpPr/>
      </xdr:nvGrpSpPr>
      <xdr:grpSpPr>
        <a:xfrm>
          <a:off x="9973235" y="717176"/>
          <a:ext cx="4002322" cy="2690967"/>
          <a:chOff x="162862" y="3290656"/>
          <a:chExt cx="3839836" cy="2854199"/>
        </a:xfrm>
      </xdr:grpSpPr>
      <xdr:pic>
        <xdr:nvPicPr>
          <xdr:cNvPr id="88" name="Picture 87" descr="Z:\Heat\HSFA3\20170328-survivalAssayFlagLines\DSC_0854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705" t="6042" r="40755" b="32599"/>
          <a:stretch/>
        </xdr:blipFill>
        <xdr:spPr bwMode="auto">
          <a:xfrm>
            <a:off x="164735" y="3290656"/>
            <a:ext cx="3803826" cy="280534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9" name="Straight Connector 88"/>
          <xdr:cNvCxnSpPr/>
        </xdr:nvCxnSpPr>
        <xdr:spPr>
          <a:xfrm>
            <a:off x="2234137" y="3477400"/>
            <a:ext cx="0" cy="25146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0" name="Straight Connector 89"/>
          <xdr:cNvCxnSpPr/>
        </xdr:nvCxnSpPr>
        <xdr:spPr>
          <a:xfrm flipH="1">
            <a:off x="1224485" y="4087000"/>
            <a:ext cx="2057400" cy="12192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1" name="Straight Connector 90"/>
          <xdr:cNvCxnSpPr/>
        </xdr:nvCxnSpPr>
        <xdr:spPr>
          <a:xfrm>
            <a:off x="1224485" y="4115575"/>
            <a:ext cx="2057400" cy="12192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2" name="TextBox 44"/>
          <xdr:cNvSpPr txBox="1"/>
        </xdr:nvSpPr>
        <xdr:spPr>
          <a:xfrm>
            <a:off x="2672285" y="3401200"/>
            <a:ext cx="41389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93" name="TextBox 45"/>
          <xdr:cNvSpPr txBox="1"/>
        </xdr:nvSpPr>
        <xdr:spPr>
          <a:xfrm>
            <a:off x="1300685" y="3410159"/>
            <a:ext cx="7216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94" name="TextBox 46"/>
          <xdr:cNvSpPr txBox="1"/>
        </xdr:nvSpPr>
        <xdr:spPr>
          <a:xfrm>
            <a:off x="995885" y="5683190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#6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95" name="TextBox 47"/>
          <xdr:cNvSpPr txBox="1"/>
        </xdr:nvSpPr>
        <xdr:spPr>
          <a:xfrm>
            <a:off x="2367485" y="5683190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#4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96" name="TextBox 48"/>
          <xdr:cNvSpPr txBox="1"/>
        </xdr:nvSpPr>
        <xdr:spPr>
          <a:xfrm>
            <a:off x="3205685" y="4273035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#1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97" name="TextBox 49"/>
          <xdr:cNvSpPr txBox="1"/>
        </xdr:nvSpPr>
        <xdr:spPr>
          <a:xfrm>
            <a:off x="198872" y="4315600"/>
            <a:ext cx="88197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#12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98" name="TextBox 50"/>
          <xdr:cNvSpPr txBox="1"/>
        </xdr:nvSpPr>
        <xdr:spPr>
          <a:xfrm>
            <a:off x="162862" y="3325000"/>
            <a:ext cx="824265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u="sng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44°C </a:t>
            </a:r>
          </a:p>
          <a:p>
            <a:r>
              <a:rPr lang="en-US" sz="1200" u="sng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for 90min</a:t>
            </a:r>
          </a:p>
        </xdr:txBody>
      </xdr:sp>
    </xdr:grpSp>
    <xdr:clientData/>
  </xdr:twoCellAnchor>
  <xdr:twoCellAnchor>
    <xdr:from>
      <xdr:col>22</xdr:col>
      <xdr:colOff>0</xdr:colOff>
      <xdr:row>4</xdr:row>
      <xdr:rowOff>0</xdr:rowOff>
    </xdr:from>
    <xdr:to>
      <xdr:col>28</xdr:col>
      <xdr:colOff>137165</xdr:colOff>
      <xdr:row>18</xdr:row>
      <xdr:rowOff>188078</xdr:rowOff>
    </xdr:to>
    <xdr:grpSp>
      <xdr:nvGrpSpPr>
        <xdr:cNvPr id="99" name="Group 98"/>
        <xdr:cNvGrpSpPr/>
      </xdr:nvGrpSpPr>
      <xdr:grpSpPr>
        <a:xfrm>
          <a:off x="14492941" y="717176"/>
          <a:ext cx="3991989" cy="2685496"/>
          <a:chOff x="4267200" y="921428"/>
          <a:chExt cx="3851915" cy="2855078"/>
        </a:xfrm>
      </xdr:grpSpPr>
      <xdr:pic>
        <xdr:nvPicPr>
          <xdr:cNvPr id="100" name="Picture 99" descr="Z:\Heat\HSFA3\20170328-survivalAssayFlagLines\DSC_0857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58" t="11823" r="41680" b="26818"/>
          <a:stretch/>
        </xdr:blipFill>
        <xdr:spPr bwMode="auto">
          <a:xfrm>
            <a:off x="4267200" y="921428"/>
            <a:ext cx="3791673" cy="280534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01" name="Straight Connector 100"/>
          <xdr:cNvCxnSpPr/>
        </xdr:nvCxnSpPr>
        <xdr:spPr>
          <a:xfrm>
            <a:off x="6350554" y="1077241"/>
            <a:ext cx="0" cy="25146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2" name="Straight Connector 101"/>
          <xdr:cNvCxnSpPr/>
        </xdr:nvCxnSpPr>
        <xdr:spPr>
          <a:xfrm flipH="1">
            <a:off x="5340902" y="1686841"/>
            <a:ext cx="2057400" cy="12192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3" name="Straight Connector 102"/>
          <xdr:cNvCxnSpPr/>
        </xdr:nvCxnSpPr>
        <xdr:spPr>
          <a:xfrm>
            <a:off x="5340902" y="1752600"/>
            <a:ext cx="2057400" cy="11430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4" name="TextBox 30"/>
          <xdr:cNvSpPr txBox="1"/>
        </xdr:nvSpPr>
        <xdr:spPr>
          <a:xfrm>
            <a:off x="6788702" y="1001041"/>
            <a:ext cx="41389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05" name="TextBox 31"/>
          <xdr:cNvSpPr txBox="1"/>
        </xdr:nvSpPr>
        <xdr:spPr>
          <a:xfrm>
            <a:off x="5417102" y="1010000"/>
            <a:ext cx="7216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06" name="TextBox 32"/>
          <xdr:cNvSpPr txBox="1"/>
        </xdr:nvSpPr>
        <xdr:spPr>
          <a:xfrm>
            <a:off x="5112302" y="3314841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#6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07" name="TextBox 33"/>
          <xdr:cNvSpPr txBox="1"/>
        </xdr:nvSpPr>
        <xdr:spPr>
          <a:xfrm>
            <a:off x="6483902" y="3314841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#4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08" name="TextBox 34"/>
          <xdr:cNvSpPr txBox="1"/>
        </xdr:nvSpPr>
        <xdr:spPr>
          <a:xfrm>
            <a:off x="7322102" y="1872876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#1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09" name="TextBox 35"/>
          <xdr:cNvSpPr txBox="1"/>
        </xdr:nvSpPr>
        <xdr:spPr>
          <a:xfrm>
            <a:off x="4315289" y="1915441"/>
            <a:ext cx="88197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#12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10" name="TextBox 36"/>
          <xdr:cNvSpPr txBox="1"/>
        </xdr:nvSpPr>
        <xdr:spPr>
          <a:xfrm>
            <a:off x="4279279" y="924841"/>
            <a:ext cx="90922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u="sng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44°C </a:t>
            </a:r>
          </a:p>
          <a:p>
            <a:r>
              <a:rPr lang="en-US" sz="1200" u="sng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for 110min</a:t>
            </a:r>
          </a:p>
        </xdr:txBody>
      </xdr:sp>
    </xdr:grpSp>
    <xdr:clientData/>
  </xdr:twoCellAnchor>
  <xdr:twoCellAnchor>
    <xdr:from>
      <xdr:col>29</xdr:col>
      <xdr:colOff>0</xdr:colOff>
      <xdr:row>4</xdr:row>
      <xdr:rowOff>0</xdr:rowOff>
    </xdr:from>
    <xdr:to>
      <xdr:col>35</xdr:col>
      <xdr:colOff>125086</xdr:colOff>
      <xdr:row>18</xdr:row>
      <xdr:rowOff>184665</xdr:rowOff>
    </xdr:to>
    <xdr:grpSp>
      <xdr:nvGrpSpPr>
        <xdr:cNvPr id="111" name="Group 110"/>
        <xdr:cNvGrpSpPr/>
      </xdr:nvGrpSpPr>
      <xdr:grpSpPr>
        <a:xfrm>
          <a:off x="18990235" y="717176"/>
          <a:ext cx="3979910" cy="2688433"/>
          <a:chOff x="128725" y="273728"/>
          <a:chExt cx="3839836" cy="2851665"/>
        </a:xfrm>
      </xdr:grpSpPr>
      <xdr:pic>
        <xdr:nvPicPr>
          <xdr:cNvPr id="112" name="Picture 111" descr="Z:\Heat\HSFA3\20170328-survivalAssayFlagLines\DSC_0859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27" t="11756" r="41813" b="26886"/>
          <a:stretch/>
        </xdr:blipFill>
        <xdr:spPr bwMode="auto">
          <a:xfrm>
            <a:off x="164734" y="273728"/>
            <a:ext cx="3791673" cy="280534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13" name="Straight Connector 112"/>
          <xdr:cNvCxnSpPr/>
        </xdr:nvCxnSpPr>
        <xdr:spPr>
          <a:xfrm>
            <a:off x="2200000" y="426128"/>
            <a:ext cx="0" cy="25146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Straight Connector 113"/>
          <xdr:cNvCxnSpPr/>
        </xdr:nvCxnSpPr>
        <xdr:spPr>
          <a:xfrm flipH="1">
            <a:off x="1190348" y="1035728"/>
            <a:ext cx="2057400" cy="12192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5" name="Straight Connector 114"/>
          <xdr:cNvCxnSpPr/>
        </xdr:nvCxnSpPr>
        <xdr:spPr>
          <a:xfrm>
            <a:off x="1190348" y="1064303"/>
            <a:ext cx="2057400" cy="1219200"/>
          </a:xfrm>
          <a:prstGeom prst="line">
            <a:avLst/>
          </a:prstGeom>
          <a:ln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6" name="TextBox 17"/>
          <xdr:cNvSpPr txBox="1"/>
        </xdr:nvSpPr>
        <xdr:spPr>
          <a:xfrm>
            <a:off x="2638148" y="349928"/>
            <a:ext cx="41389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17" name="TextBox 19"/>
          <xdr:cNvSpPr txBox="1"/>
        </xdr:nvSpPr>
        <xdr:spPr>
          <a:xfrm>
            <a:off x="1266548" y="358887"/>
            <a:ext cx="7216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18" name="TextBox 20"/>
          <xdr:cNvSpPr txBox="1"/>
        </xdr:nvSpPr>
        <xdr:spPr>
          <a:xfrm>
            <a:off x="961748" y="2663728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#6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19" name="TextBox 21"/>
          <xdr:cNvSpPr txBox="1"/>
        </xdr:nvSpPr>
        <xdr:spPr>
          <a:xfrm>
            <a:off x="2333348" y="2663728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#4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20" name="TextBox 22"/>
          <xdr:cNvSpPr txBox="1"/>
        </xdr:nvSpPr>
        <xdr:spPr>
          <a:xfrm>
            <a:off x="3171548" y="1221763"/>
            <a:ext cx="79701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#1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21" name="TextBox 23"/>
          <xdr:cNvSpPr txBox="1"/>
        </xdr:nvSpPr>
        <xdr:spPr>
          <a:xfrm>
            <a:off x="164735" y="1264328"/>
            <a:ext cx="88197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line #12 in</a:t>
            </a:r>
          </a:p>
          <a:p>
            <a:r>
              <a:rPr lang="en-US" sz="12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22" name="TextBox 24"/>
          <xdr:cNvSpPr txBox="1"/>
        </xdr:nvSpPr>
        <xdr:spPr>
          <a:xfrm>
            <a:off x="128725" y="273728"/>
            <a:ext cx="90922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u="sng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44°C </a:t>
            </a:r>
          </a:p>
          <a:p>
            <a:r>
              <a:rPr lang="en-US" sz="1200" u="sng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for 130min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809823</xdr:colOff>
      <xdr:row>37</xdr:row>
      <xdr:rowOff>0</xdr:rowOff>
    </xdr:from>
    <xdr:to>
      <xdr:col>7</xdr:col>
      <xdr:colOff>523875</xdr:colOff>
      <xdr:row>54</xdr:row>
      <xdr:rowOff>157639</xdr:rowOff>
    </xdr:to>
    <xdr:grpSp>
      <xdr:nvGrpSpPr>
        <xdr:cNvPr id="5" name="Group 4"/>
        <xdr:cNvGrpSpPr/>
      </xdr:nvGrpSpPr>
      <xdr:grpSpPr>
        <a:xfrm>
          <a:off x="809823" y="6996545"/>
          <a:ext cx="4164825" cy="3396139"/>
          <a:chOff x="354666" y="218371"/>
          <a:chExt cx="6444742" cy="4995420"/>
        </a:xfrm>
      </xdr:grpSpPr>
      <xdr:pic>
        <xdr:nvPicPr>
          <xdr:cNvPr id="6" name="Picture 5" descr="Z:\Heat\HSFA3\20190705_survivalAssaya2a3FLAG-A3atx3-4-5\DSC_1537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240" t="3600" r="26116" b="4167"/>
          <a:stretch/>
        </xdr:blipFill>
        <xdr:spPr bwMode="auto">
          <a:xfrm>
            <a:off x="1309303" y="541537"/>
            <a:ext cx="4358936" cy="4216893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TextBox 20"/>
          <xdr:cNvSpPr txBox="1"/>
        </xdr:nvSpPr>
        <xdr:spPr>
          <a:xfrm>
            <a:off x="3385783" y="3486833"/>
            <a:ext cx="1524001" cy="9648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Unrelated </a:t>
            </a:r>
          </a:p>
        </xdr:txBody>
      </xdr:sp>
      <xdr:sp macro="" textlink="">
        <xdr:nvSpPr>
          <xdr:cNvPr id="8" name="TextBox 21"/>
          <xdr:cNvSpPr txBox="1"/>
        </xdr:nvSpPr>
        <xdr:spPr>
          <a:xfrm>
            <a:off x="2025435" y="322217"/>
            <a:ext cx="1191240" cy="396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9" name="TextBox 23"/>
          <xdr:cNvSpPr txBox="1"/>
        </xdr:nvSpPr>
        <xdr:spPr>
          <a:xfrm>
            <a:off x="4064926" y="304800"/>
            <a:ext cx="1191240" cy="396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0" name="TextBox 24"/>
          <xdr:cNvSpPr txBox="1"/>
        </xdr:nvSpPr>
        <xdr:spPr>
          <a:xfrm>
            <a:off x="5608168" y="2560093"/>
            <a:ext cx="1191240" cy="396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1" name="TextBox 25"/>
          <xdr:cNvSpPr txBox="1"/>
        </xdr:nvSpPr>
        <xdr:spPr>
          <a:xfrm>
            <a:off x="354666" y="1914101"/>
            <a:ext cx="1191240" cy="6566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2" name="TextBox 26"/>
          <xdr:cNvSpPr txBox="1"/>
        </xdr:nvSpPr>
        <xdr:spPr>
          <a:xfrm>
            <a:off x="1524000" y="4296766"/>
            <a:ext cx="1425658" cy="9170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FLAG-HSFA3</a:t>
            </a:r>
          </a:p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#12</a:t>
            </a:r>
          </a:p>
        </xdr:txBody>
      </xdr:sp>
      <xdr:sp macro="" textlink="">
        <xdr:nvSpPr>
          <xdr:cNvPr id="13" name="TextBox 27"/>
          <xdr:cNvSpPr txBox="1"/>
        </xdr:nvSpPr>
        <xdr:spPr>
          <a:xfrm>
            <a:off x="369009" y="218371"/>
            <a:ext cx="1191240" cy="396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No HS</a:t>
            </a:r>
          </a:p>
        </xdr:txBody>
      </xdr:sp>
      <xdr:sp macro="" textlink="">
        <xdr:nvSpPr>
          <xdr:cNvPr id="14" name="Isosceles Triangle 13"/>
          <xdr:cNvSpPr/>
        </xdr:nvSpPr>
        <xdr:spPr>
          <a:xfrm rot="20463466">
            <a:off x="2926628" y="2450853"/>
            <a:ext cx="1957867" cy="1770458"/>
          </a:xfrm>
          <a:prstGeom prst="triangle">
            <a:avLst>
              <a:gd name="adj" fmla="val 42549"/>
            </a:avLst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cxnSp macro="">
        <xdr:nvCxnSpPr>
          <xdr:cNvPr id="15" name="Straight Connector 14"/>
          <xdr:cNvCxnSpPr/>
        </xdr:nvCxnSpPr>
        <xdr:spPr>
          <a:xfrm flipH="1">
            <a:off x="3216676" y="725631"/>
            <a:ext cx="517124" cy="3765518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Straight Connector 15"/>
          <xdr:cNvCxnSpPr/>
        </xdr:nvCxnSpPr>
        <xdr:spPr>
          <a:xfrm flipH="1">
            <a:off x="1648442" y="1914101"/>
            <a:ext cx="3607727" cy="1392242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Straight Connector 16"/>
          <xdr:cNvCxnSpPr/>
        </xdr:nvCxnSpPr>
        <xdr:spPr>
          <a:xfrm flipH="1" flipV="1">
            <a:off x="2025436" y="1447801"/>
            <a:ext cx="3093404" cy="2362198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TextBox 39"/>
          <xdr:cNvSpPr txBox="1"/>
        </xdr:nvSpPr>
        <xdr:spPr>
          <a:xfrm>
            <a:off x="3283249" y="3310768"/>
            <a:ext cx="1919546" cy="6885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Unrelated mutant</a:t>
            </a:r>
          </a:p>
        </xdr:txBody>
      </xdr:sp>
    </xdr:grpSp>
    <xdr:clientData/>
  </xdr:twoCellAnchor>
  <xdr:twoCellAnchor>
    <xdr:from>
      <xdr:col>8</xdr:col>
      <xdr:colOff>0</xdr:colOff>
      <xdr:row>36</xdr:row>
      <xdr:rowOff>190499</xdr:rowOff>
    </xdr:from>
    <xdr:to>
      <xdr:col>15</xdr:col>
      <xdr:colOff>85725</xdr:colOff>
      <xdr:row>54</xdr:row>
      <xdr:rowOff>9524</xdr:rowOff>
    </xdr:to>
    <xdr:grpSp>
      <xdr:nvGrpSpPr>
        <xdr:cNvPr id="19" name="Group 18"/>
        <xdr:cNvGrpSpPr/>
      </xdr:nvGrpSpPr>
      <xdr:grpSpPr>
        <a:xfrm>
          <a:off x="5056909" y="6996544"/>
          <a:ext cx="4328680" cy="3248025"/>
          <a:chOff x="369009" y="218371"/>
          <a:chExt cx="6225330" cy="4524798"/>
        </a:xfrm>
      </xdr:grpSpPr>
      <xdr:pic>
        <xdr:nvPicPr>
          <xdr:cNvPr id="20" name="Picture 19" descr="Z:\Heat\HSFA3\20190705_survivalAssaya2a3FLAG-A3atx3-4-5\DSC_1538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406" t="4610" r="28313" b="4167"/>
          <a:stretch/>
        </xdr:blipFill>
        <xdr:spPr bwMode="auto">
          <a:xfrm>
            <a:off x="1340184" y="543536"/>
            <a:ext cx="4128549" cy="4170727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1" name="TextBox 21"/>
          <xdr:cNvSpPr txBox="1"/>
        </xdr:nvSpPr>
        <xdr:spPr>
          <a:xfrm>
            <a:off x="1908252" y="294287"/>
            <a:ext cx="1191241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22" name="TextBox 23"/>
          <xdr:cNvSpPr txBox="1"/>
        </xdr:nvSpPr>
        <xdr:spPr>
          <a:xfrm>
            <a:off x="3947743" y="290834"/>
            <a:ext cx="1191241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23" name="TextBox 24"/>
          <xdr:cNvSpPr txBox="1"/>
        </xdr:nvSpPr>
        <xdr:spPr>
          <a:xfrm>
            <a:off x="5403098" y="2267180"/>
            <a:ext cx="1191241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24" name="TextBox 25"/>
          <xdr:cNvSpPr txBox="1"/>
        </xdr:nvSpPr>
        <xdr:spPr>
          <a:xfrm>
            <a:off x="398609" y="2081686"/>
            <a:ext cx="1191241" cy="4464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25" name="TextBox 26"/>
          <xdr:cNvSpPr txBox="1"/>
        </xdr:nvSpPr>
        <xdr:spPr>
          <a:xfrm>
            <a:off x="1524000" y="4296765"/>
            <a:ext cx="1425658" cy="4464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FLAG-HSFA3</a:t>
            </a:r>
          </a:p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#12</a:t>
            </a:r>
          </a:p>
        </xdr:txBody>
      </xdr:sp>
      <xdr:sp macro="" textlink="">
        <xdr:nvSpPr>
          <xdr:cNvPr id="26" name="TextBox 27"/>
          <xdr:cNvSpPr txBox="1"/>
        </xdr:nvSpPr>
        <xdr:spPr>
          <a:xfrm>
            <a:off x="369009" y="218371"/>
            <a:ext cx="1191241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ACC</a:t>
            </a:r>
          </a:p>
        </xdr:txBody>
      </xdr:sp>
      <xdr:sp macro="" textlink="">
        <xdr:nvSpPr>
          <xdr:cNvPr id="27" name="Isosceles Triangle 26"/>
          <xdr:cNvSpPr/>
        </xdr:nvSpPr>
        <xdr:spPr>
          <a:xfrm rot="20017214">
            <a:off x="2877574" y="2429508"/>
            <a:ext cx="1957867" cy="1674009"/>
          </a:xfrm>
          <a:prstGeom prst="triangle">
            <a:avLst>
              <a:gd name="adj" fmla="val 45278"/>
            </a:avLst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200"/>
          </a:p>
        </xdr:txBody>
      </xdr:sp>
      <xdr:cxnSp macro="">
        <xdr:nvCxnSpPr>
          <xdr:cNvPr id="28" name="Straight Connector 27"/>
          <xdr:cNvCxnSpPr>
            <a:endCxn id="27" idx="2"/>
          </xdr:cNvCxnSpPr>
        </xdr:nvCxnSpPr>
        <xdr:spPr>
          <a:xfrm flipH="1">
            <a:off x="3351408" y="691550"/>
            <a:ext cx="53050" cy="3759767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Straight Connector 28"/>
          <xdr:cNvCxnSpPr/>
        </xdr:nvCxnSpPr>
        <xdr:spPr>
          <a:xfrm flipH="1">
            <a:off x="1981200" y="1600200"/>
            <a:ext cx="3048000" cy="1886634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Straight Connector 29"/>
          <xdr:cNvCxnSpPr/>
        </xdr:nvCxnSpPr>
        <xdr:spPr>
          <a:xfrm flipH="1" flipV="1">
            <a:off x="1828800" y="1600200"/>
            <a:ext cx="3276600" cy="1981200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TextBox 20"/>
          <xdr:cNvSpPr txBox="1"/>
        </xdr:nvSpPr>
        <xdr:spPr>
          <a:xfrm>
            <a:off x="3385784" y="3352800"/>
            <a:ext cx="1524000" cy="2802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Unrelated mutant</a:t>
            </a:r>
          </a:p>
        </xdr:txBody>
      </xdr:sp>
    </xdr:grpSp>
    <xdr:clientData/>
  </xdr:twoCellAnchor>
  <xdr:twoCellAnchor>
    <xdr:from>
      <xdr:col>15</xdr:col>
      <xdr:colOff>0</xdr:colOff>
      <xdr:row>37</xdr:row>
      <xdr:rowOff>0</xdr:rowOff>
    </xdr:from>
    <xdr:to>
      <xdr:col>22</xdr:col>
      <xdr:colOff>417740</xdr:colOff>
      <xdr:row>55</xdr:row>
      <xdr:rowOff>43654</xdr:rowOff>
    </xdr:to>
    <xdr:grpSp>
      <xdr:nvGrpSpPr>
        <xdr:cNvPr id="32" name="Group 31"/>
        <xdr:cNvGrpSpPr/>
      </xdr:nvGrpSpPr>
      <xdr:grpSpPr>
        <a:xfrm>
          <a:off x="9299864" y="6996545"/>
          <a:ext cx="4660694" cy="3472654"/>
          <a:chOff x="369009" y="218371"/>
          <a:chExt cx="6271301" cy="4959939"/>
        </a:xfrm>
      </xdr:grpSpPr>
      <xdr:pic>
        <xdr:nvPicPr>
          <xdr:cNvPr id="33" name="Picture 32" descr="Z:\Heat\HSFA3\20190705_survivalAssaya2a3FLAG-A3atx3-4-5\DSC_1540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795" t="2842" r="28312" b="6692"/>
          <a:stretch/>
        </xdr:blipFill>
        <xdr:spPr bwMode="auto">
          <a:xfrm>
            <a:off x="1437815" y="523497"/>
            <a:ext cx="4101916" cy="4136137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4" name="Isosceles Triangle 33"/>
          <xdr:cNvSpPr/>
        </xdr:nvSpPr>
        <xdr:spPr>
          <a:xfrm rot="20017214">
            <a:off x="2877574" y="2429508"/>
            <a:ext cx="1957867" cy="1674009"/>
          </a:xfrm>
          <a:prstGeom prst="triangle">
            <a:avLst>
              <a:gd name="adj" fmla="val 45862"/>
            </a:avLst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200"/>
          </a:p>
        </xdr:txBody>
      </xdr:sp>
      <xdr:cxnSp macro="">
        <xdr:nvCxnSpPr>
          <xdr:cNvPr id="35" name="Straight Connector 34"/>
          <xdr:cNvCxnSpPr>
            <a:endCxn id="34" idx="2"/>
          </xdr:cNvCxnSpPr>
        </xdr:nvCxnSpPr>
        <xdr:spPr>
          <a:xfrm flipH="1">
            <a:off x="3351408" y="685800"/>
            <a:ext cx="137368" cy="3765517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Straight Connector 35"/>
          <xdr:cNvCxnSpPr/>
        </xdr:nvCxnSpPr>
        <xdr:spPr>
          <a:xfrm flipH="1">
            <a:off x="1981200" y="1600200"/>
            <a:ext cx="3048000" cy="1886634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Straight Connector 36"/>
          <xdr:cNvCxnSpPr/>
        </xdr:nvCxnSpPr>
        <xdr:spPr>
          <a:xfrm flipH="1" flipV="1">
            <a:off x="1828800" y="1600200"/>
            <a:ext cx="3276600" cy="1981200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8" name="TextBox 20"/>
          <xdr:cNvSpPr txBox="1"/>
        </xdr:nvSpPr>
        <xdr:spPr>
          <a:xfrm>
            <a:off x="3360287" y="3337185"/>
            <a:ext cx="1524000" cy="6685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Unrelated mutant</a:t>
            </a:r>
          </a:p>
        </xdr:txBody>
      </xdr:sp>
      <xdr:sp macro="" textlink="">
        <xdr:nvSpPr>
          <xdr:cNvPr id="39" name="TextBox 21"/>
          <xdr:cNvSpPr txBox="1"/>
        </xdr:nvSpPr>
        <xdr:spPr>
          <a:xfrm>
            <a:off x="2025434" y="322217"/>
            <a:ext cx="1191241" cy="3847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40" name="TextBox 23"/>
          <xdr:cNvSpPr txBox="1"/>
        </xdr:nvSpPr>
        <xdr:spPr>
          <a:xfrm>
            <a:off x="4064926" y="304799"/>
            <a:ext cx="1191241" cy="3847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41" name="TextBox 24"/>
          <xdr:cNvSpPr txBox="1"/>
        </xdr:nvSpPr>
        <xdr:spPr>
          <a:xfrm>
            <a:off x="5449069" y="2322349"/>
            <a:ext cx="1191241" cy="3847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42" name="TextBox 25"/>
          <xdr:cNvSpPr txBox="1"/>
        </xdr:nvSpPr>
        <xdr:spPr>
          <a:xfrm>
            <a:off x="520943" y="2145376"/>
            <a:ext cx="1191241" cy="6375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43" name="TextBox 26"/>
          <xdr:cNvSpPr txBox="1"/>
        </xdr:nvSpPr>
        <xdr:spPr>
          <a:xfrm>
            <a:off x="1560250" y="4287860"/>
            <a:ext cx="1425658" cy="89045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FLAG-HSFA3</a:t>
            </a:r>
          </a:p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#12</a:t>
            </a:r>
          </a:p>
        </xdr:txBody>
      </xdr:sp>
      <xdr:sp macro="" textlink="">
        <xdr:nvSpPr>
          <xdr:cNvPr id="44" name="TextBox 27"/>
          <xdr:cNvSpPr txBox="1"/>
        </xdr:nvSpPr>
        <xdr:spPr>
          <a:xfrm>
            <a:off x="369009" y="218371"/>
            <a:ext cx="1191241" cy="89045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T d+3 </a:t>
            </a:r>
          </a:p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44°C 30min</a:t>
            </a:r>
          </a:p>
        </xdr:txBody>
      </xdr:sp>
    </xdr:grpSp>
    <xdr:clientData/>
  </xdr:twoCellAnchor>
  <xdr:twoCellAnchor>
    <xdr:from>
      <xdr:col>23</xdr:col>
      <xdr:colOff>1</xdr:colOff>
      <xdr:row>37</xdr:row>
      <xdr:rowOff>1</xdr:rowOff>
    </xdr:from>
    <xdr:to>
      <xdr:col>30</xdr:col>
      <xdr:colOff>571501</xdr:colOff>
      <xdr:row>55</xdr:row>
      <xdr:rowOff>12518</xdr:rowOff>
    </xdr:to>
    <xdr:grpSp>
      <xdr:nvGrpSpPr>
        <xdr:cNvPr id="45" name="Group 44"/>
        <xdr:cNvGrpSpPr/>
      </xdr:nvGrpSpPr>
      <xdr:grpSpPr>
        <a:xfrm>
          <a:off x="14148956" y="6996546"/>
          <a:ext cx="4814454" cy="3441517"/>
          <a:chOff x="369009" y="218371"/>
          <a:chExt cx="6366886" cy="4875611"/>
        </a:xfrm>
      </xdr:grpSpPr>
      <xdr:pic>
        <xdr:nvPicPr>
          <xdr:cNvPr id="46" name="Picture 45" descr="Z:\Heat\HSFA3\20190705_survivalAssaya2a3FLAG-A3atx3-4-5\DSC_1541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84" t="4672" r="26570" b="6329"/>
          <a:stretch/>
        </xdr:blipFill>
        <xdr:spPr bwMode="auto">
          <a:xfrm>
            <a:off x="1434814" y="556258"/>
            <a:ext cx="4064571" cy="406908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7" name="Isosceles Triangle 46"/>
          <xdr:cNvSpPr/>
        </xdr:nvSpPr>
        <xdr:spPr>
          <a:xfrm rot="20017214">
            <a:off x="2888312" y="2475330"/>
            <a:ext cx="1957867" cy="1625670"/>
          </a:xfrm>
          <a:prstGeom prst="triangle">
            <a:avLst>
              <a:gd name="adj" fmla="val 45862"/>
            </a:avLst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200"/>
          </a:p>
        </xdr:txBody>
      </xdr:sp>
      <xdr:cxnSp macro="">
        <xdr:nvCxnSpPr>
          <xdr:cNvPr id="48" name="Straight Connector 47"/>
          <xdr:cNvCxnSpPr>
            <a:endCxn id="47" idx="2"/>
          </xdr:cNvCxnSpPr>
        </xdr:nvCxnSpPr>
        <xdr:spPr>
          <a:xfrm flipH="1">
            <a:off x="3351408" y="685800"/>
            <a:ext cx="137368" cy="3765517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Straight Connector 48"/>
          <xdr:cNvCxnSpPr/>
        </xdr:nvCxnSpPr>
        <xdr:spPr>
          <a:xfrm flipH="1">
            <a:off x="1981200" y="1600200"/>
            <a:ext cx="3048000" cy="1886634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" name="Straight Connector 49"/>
          <xdr:cNvCxnSpPr/>
        </xdr:nvCxnSpPr>
        <xdr:spPr>
          <a:xfrm flipH="1" flipV="1">
            <a:off x="1828800" y="1676400"/>
            <a:ext cx="3276600" cy="1905000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" name="TextBox 20"/>
          <xdr:cNvSpPr txBox="1"/>
        </xdr:nvSpPr>
        <xdr:spPr>
          <a:xfrm>
            <a:off x="3385784" y="3486834"/>
            <a:ext cx="1524000" cy="66312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Unrelated mutant</a:t>
            </a:r>
          </a:p>
        </xdr:txBody>
      </xdr:sp>
      <xdr:sp macro="" textlink="">
        <xdr:nvSpPr>
          <xdr:cNvPr id="52" name="TextBox 21"/>
          <xdr:cNvSpPr txBox="1"/>
        </xdr:nvSpPr>
        <xdr:spPr>
          <a:xfrm>
            <a:off x="2025435" y="322218"/>
            <a:ext cx="1191240" cy="3816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53" name="TextBox 23"/>
          <xdr:cNvSpPr txBox="1"/>
        </xdr:nvSpPr>
        <xdr:spPr>
          <a:xfrm>
            <a:off x="4064926" y="304800"/>
            <a:ext cx="1191240" cy="3816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54" name="TextBox 24"/>
          <xdr:cNvSpPr txBox="1"/>
        </xdr:nvSpPr>
        <xdr:spPr>
          <a:xfrm>
            <a:off x="5544655" y="2383017"/>
            <a:ext cx="1191240" cy="3816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55" name="TextBox 25"/>
          <xdr:cNvSpPr txBox="1"/>
        </xdr:nvSpPr>
        <xdr:spPr>
          <a:xfrm>
            <a:off x="544418" y="2145428"/>
            <a:ext cx="1191240" cy="6324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56" name="TextBox 26"/>
          <xdr:cNvSpPr txBox="1"/>
        </xdr:nvSpPr>
        <xdr:spPr>
          <a:xfrm>
            <a:off x="1612579" y="4210752"/>
            <a:ext cx="1425658" cy="8832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FLAG-HSFA3</a:t>
            </a:r>
          </a:p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#12</a:t>
            </a:r>
          </a:p>
        </xdr:txBody>
      </xdr:sp>
      <xdr:sp macro="" textlink="">
        <xdr:nvSpPr>
          <xdr:cNvPr id="57" name="TextBox 27"/>
          <xdr:cNvSpPr txBox="1"/>
        </xdr:nvSpPr>
        <xdr:spPr>
          <a:xfrm>
            <a:off x="369009" y="218371"/>
            <a:ext cx="1191240" cy="11340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ACC+</a:t>
            </a:r>
          </a:p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T d+3 </a:t>
            </a:r>
          </a:p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44°C 70min</a:t>
            </a:r>
          </a:p>
        </xdr:txBody>
      </xdr:sp>
    </xdr:grpSp>
    <xdr:clientData/>
  </xdr:twoCellAnchor>
  <xdr:twoCellAnchor>
    <xdr:from>
      <xdr:col>30</xdr:col>
      <xdr:colOff>606135</xdr:colOff>
      <xdr:row>37</xdr:row>
      <xdr:rowOff>0</xdr:rowOff>
    </xdr:from>
    <xdr:to>
      <xdr:col>39</xdr:col>
      <xdr:colOff>173181</xdr:colOff>
      <xdr:row>55</xdr:row>
      <xdr:rowOff>186927</xdr:rowOff>
    </xdr:to>
    <xdr:grpSp>
      <xdr:nvGrpSpPr>
        <xdr:cNvPr id="58" name="Group 57"/>
        <xdr:cNvGrpSpPr/>
      </xdr:nvGrpSpPr>
      <xdr:grpSpPr>
        <a:xfrm>
          <a:off x="18998044" y="6996545"/>
          <a:ext cx="5022273" cy="3615927"/>
          <a:chOff x="369009" y="218371"/>
          <a:chExt cx="6488991" cy="4917306"/>
        </a:xfrm>
      </xdr:grpSpPr>
      <xdr:pic>
        <xdr:nvPicPr>
          <xdr:cNvPr id="59" name="Picture 58" descr="Z:\Heat\HSFA3\20190705_survivalAssaya2a3FLAG-A3atx3-4-5\DSC_1542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128" t="2461" r="27348" b="6578"/>
          <a:stretch/>
        </xdr:blipFill>
        <xdr:spPr bwMode="auto">
          <a:xfrm>
            <a:off x="1347434" y="506884"/>
            <a:ext cx="4076700" cy="415873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0" name="Isosceles Triangle 59"/>
          <xdr:cNvSpPr/>
        </xdr:nvSpPr>
        <xdr:spPr>
          <a:xfrm rot="20017214">
            <a:off x="2888312" y="2475330"/>
            <a:ext cx="1957867" cy="1625670"/>
          </a:xfrm>
          <a:prstGeom prst="triangle">
            <a:avLst>
              <a:gd name="adj" fmla="val 45862"/>
            </a:avLst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200"/>
          </a:p>
        </xdr:txBody>
      </xdr:sp>
      <xdr:cxnSp macro="">
        <xdr:nvCxnSpPr>
          <xdr:cNvPr id="61" name="Straight Connector 60"/>
          <xdr:cNvCxnSpPr>
            <a:endCxn id="60" idx="2"/>
          </xdr:cNvCxnSpPr>
        </xdr:nvCxnSpPr>
        <xdr:spPr>
          <a:xfrm flipH="1">
            <a:off x="3351408" y="685800"/>
            <a:ext cx="137368" cy="3765517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Straight Connector 61"/>
          <xdr:cNvCxnSpPr/>
        </xdr:nvCxnSpPr>
        <xdr:spPr>
          <a:xfrm flipH="1">
            <a:off x="1981200" y="1600200"/>
            <a:ext cx="3048000" cy="1886634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" name="Straight Connector 62"/>
          <xdr:cNvCxnSpPr/>
        </xdr:nvCxnSpPr>
        <xdr:spPr>
          <a:xfrm flipH="1" flipV="1">
            <a:off x="1828800" y="1676400"/>
            <a:ext cx="3276600" cy="1905000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4" name="TextBox 20"/>
          <xdr:cNvSpPr txBox="1"/>
        </xdr:nvSpPr>
        <xdr:spPr>
          <a:xfrm>
            <a:off x="3385784" y="3486834"/>
            <a:ext cx="1524001" cy="6365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Unrelated mutant</a:t>
            </a:r>
          </a:p>
        </xdr:txBody>
      </xdr:sp>
      <xdr:sp macro="" textlink="">
        <xdr:nvSpPr>
          <xdr:cNvPr id="65" name="TextBox 21"/>
          <xdr:cNvSpPr txBox="1"/>
        </xdr:nvSpPr>
        <xdr:spPr>
          <a:xfrm>
            <a:off x="1667421" y="439974"/>
            <a:ext cx="1191241" cy="3663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66" name="TextBox 23"/>
          <xdr:cNvSpPr txBox="1"/>
        </xdr:nvSpPr>
        <xdr:spPr>
          <a:xfrm>
            <a:off x="4132052" y="469656"/>
            <a:ext cx="1191241" cy="3663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67" name="TextBox 24"/>
          <xdr:cNvSpPr txBox="1"/>
        </xdr:nvSpPr>
        <xdr:spPr>
          <a:xfrm>
            <a:off x="5666759" y="2672177"/>
            <a:ext cx="1191241" cy="3663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68" name="TextBox 25"/>
          <xdr:cNvSpPr txBox="1"/>
        </xdr:nvSpPr>
        <xdr:spPr>
          <a:xfrm>
            <a:off x="457200" y="2055407"/>
            <a:ext cx="1191241" cy="6070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69" name="TextBox 26"/>
          <xdr:cNvSpPr txBox="1"/>
        </xdr:nvSpPr>
        <xdr:spPr>
          <a:xfrm>
            <a:off x="1560250" y="4287860"/>
            <a:ext cx="1425658" cy="8478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FLAG-HSFA3</a:t>
            </a:r>
          </a:p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#12</a:t>
            </a:r>
          </a:p>
        </xdr:txBody>
      </xdr:sp>
      <xdr:sp macro="" textlink="">
        <xdr:nvSpPr>
          <xdr:cNvPr id="70" name="TextBox 27"/>
          <xdr:cNvSpPr txBox="1"/>
        </xdr:nvSpPr>
        <xdr:spPr>
          <a:xfrm>
            <a:off x="369009" y="218371"/>
            <a:ext cx="1191241" cy="10885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ACC+</a:t>
            </a:r>
          </a:p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T d+3 </a:t>
            </a:r>
          </a:p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44°C 80min</a:t>
            </a:r>
          </a:p>
        </xdr:txBody>
      </xdr:sp>
    </xdr:grpSp>
    <xdr:clientData/>
  </xdr:twoCellAnchor>
  <xdr:twoCellAnchor>
    <xdr:from>
      <xdr:col>40</xdr:col>
      <xdr:colOff>0</xdr:colOff>
      <xdr:row>37</xdr:row>
      <xdr:rowOff>1</xdr:rowOff>
    </xdr:from>
    <xdr:to>
      <xdr:col>48</xdr:col>
      <xdr:colOff>163285</xdr:colOff>
      <xdr:row>56</xdr:row>
      <xdr:rowOff>64987</xdr:rowOff>
    </xdr:to>
    <xdr:grpSp>
      <xdr:nvGrpSpPr>
        <xdr:cNvPr id="71" name="Group 70"/>
        <xdr:cNvGrpSpPr/>
      </xdr:nvGrpSpPr>
      <xdr:grpSpPr>
        <a:xfrm>
          <a:off x="24453273" y="6996546"/>
          <a:ext cx="5012376" cy="3684486"/>
          <a:chOff x="369009" y="218371"/>
          <a:chExt cx="6488991" cy="4898316"/>
        </a:xfrm>
      </xdr:grpSpPr>
      <xdr:pic>
        <xdr:nvPicPr>
          <xdr:cNvPr id="72" name="Picture 71" descr="Z:\Heat\HSFA3\20190705_survivalAssaya2a3FLAG-A3atx3-4-5\DSC_1544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50" t="2461" r="27348" b="6410"/>
          <a:stretch/>
        </xdr:blipFill>
        <xdr:spPr bwMode="auto">
          <a:xfrm>
            <a:off x="1355072" y="460340"/>
            <a:ext cx="4130040" cy="416635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3" name="Isosceles Triangle 72"/>
          <xdr:cNvSpPr/>
        </xdr:nvSpPr>
        <xdr:spPr>
          <a:xfrm rot="19870447">
            <a:off x="2915161" y="2486424"/>
            <a:ext cx="1908834" cy="1657861"/>
          </a:xfrm>
          <a:prstGeom prst="triangle">
            <a:avLst>
              <a:gd name="adj" fmla="val 47203"/>
            </a:avLst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200"/>
          </a:p>
        </xdr:txBody>
      </xdr:sp>
      <xdr:cxnSp macro="">
        <xdr:nvCxnSpPr>
          <xdr:cNvPr id="74" name="Straight Connector 73"/>
          <xdr:cNvCxnSpPr/>
        </xdr:nvCxnSpPr>
        <xdr:spPr>
          <a:xfrm>
            <a:off x="3420092" y="674132"/>
            <a:ext cx="0" cy="3777185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Straight Connector 74"/>
          <xdr:cNvCxnSpPr/>
        </xdr:nvCxnSpPr>
        <xdr:spPr>
          <a:xfrm flipH="1">
            <a:off x="1981200" y="1600200"/>
            <a:ext cx="3048000" cy="1886634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" name="Straight Connector 75"/>
          <xdr:cNvCxnSpPr/>
        </xdr:nvCxnSpPr>
        <xdr:spPr>
          <a:xfrm flipH="1" flipV="1">
            <a:off x="1828800" y="1676400"/>
            <a:ext cx="3276600" cy="1905000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7" name="TextBox 20"/>
          <xdr:cNvSpPr txBox="1"/>
        </xdr:nvSpPr>
        <xdr:spPr>
          <a:xfrm>
            <a:off x="3385784" y="3486833"/>
            <a:ext cx="1524000" cy="62228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Unrelated mutant</a:t>
            </a:r>
          </a:p>
        </xdr:txBody>
      </xdr:sp>
      <xdr:sp macro="" textlink="">
        <xdr:nvSpPr>
          <xdr:cNvPr id="78" name="TextBox 21"/>
          <xdr:cNvSpPr txBox="1"/>
        </xdr:nvSpPr>
        <xdr:spPr>
          <a:xfrm>
            <a:off x="2025435" y="322218"/>
            <a:ext cx="1191240" cy="35811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79" name="TextBox 23"/>
          <xdr:cNvSpPr txBox="1"/>
        </xdr:nvSpPr>
        <xdr:spPr>
          <a:xfrm>
            <a:off x="4064926" y="304799"/>
            <a:ext cx="1191240" cy="35811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80" name="TextBox 24"/>
          <xdr:cNvSpPr txBox="1"/>
        </xdr:nvSpPr>
        <xdr:spPr>
          <a:xfrm>
            <a:off x="5666760" y="2672177"/>
            <a:ext cx="1191240" cy="35811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81" name="TextBox 25"/>
          <xdr:cNvSpPr txBox="1"/>
        </xdr:nvSpPr>
        <xdr:spPr>
          <a:xfrm>
            <a:off x="457200" y="1914100"/>
            <a:ext cx="1191240" cy="5934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82" name="TextBox 26"/>
          <xdr:cNvSpPr txBox="1"/>
        </xdr:nvSpPr>
        <xdr:spPr>
          <a:xfrm>
            <a:off x="1560249" y="4287859"/>
            <a:ext cx="1425658" cy="8288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FLAG-HSFA3</a:t>
            </a:r>
          </a:p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#12</a:t>
            </a:r>
          </a:p>
        </xdr:txBody>
      </xdr:sp>
      <xdr:sp macro="" textlink="">
        <xdr:nvSpPr>
          <xdr:cNvPr id="83" name="TextBox 27"/>
          <xdr:cNvSpPr txBox="1"/>
        </xdr:nvSpPr>
        <xdr:spPr>
          <a:xfrm>
            <a:off x="369009" y="218371"/>
            <a:ext cx="1191240" cy="10641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ACC+</a:t>
            </a:r>
          </a:p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T d+3 </a:t>
            </a:r>
          </a:p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44°C 90min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527756</xdr:colOff>
      <xdr:row>57</xdr:row>
      <xdr:rowOff>166512</xdr:rowOff>
    </xdr:from>
    <xdr:to>
      <xdr:col>31</xdr:col>
      <xdr:colOff>203028</xdr:colOff>
      <xdr:row>82</xdr:row>
      <xdr:rowOff>91922</xdr:rowOff>
    </xdr:to>
    <xdr:grpSp>
      <xdr:nvGrpSpPr>
        <xdr:cNvPr id="401" name="Group 400"/>
        <xdr:cNvGrpSpPr/>
      </xdr:nvGrpSpPr>
      <xdr:grpSpPr>
        <a:xfrm>
          <a:off x="13545256" y="11208456"/>
          <a:ext cx="6466244" cy="4705549"/>
          <a:chOff x="1055882" y="355430"/>
          <a:chExt cx="6632179" cy="4367491"/>
        </a:xfrm>
      </xdr:grpSpPr>
      <xdr:sp macro="" textlink="">
        <xdr:nvSpPr>
          <xdr:cNvPr id="402" name="Textfeld 4"/>
          <xdr:cNvSpPr txBox="1"/>
        </xdr:nvSpPr>
        <xdr:spPr>
          <a:xfrm rot="16200000">
            <a:off x="2394466" y="1436079"/>
            <a:ext cx="609600" cy="27711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Col</a:t>
            </a:r>
          </a:p>
        </xdr:txBody>
      </xdr:sp>
      <xdr:sp macro="" textlink="">
        <xdr:nvSpPr>
          <xdr:cNvPr id="403" name="Textfeld 5"/>
          <xdr:cNvSpPr txBox="1"/>
        </xdr:nvSpPr>
        <xdr:spPr>
          <a:xfrm rot="16200000">
            <a:off x="2394465" y="978875"/>
            <a:ext cx="1524001" cy="27711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HSFA2-YFP</a:t>
            </a:r>
          </a:p>
        </xdr:txBody>
      </xdr:sp>
      <xdr:sp macro="" textlink="">
        <xdr:nvSpPr>
          <xdr:cNvPr id="404" name="Textfeld 6"/>
          <xdr:cNvSpPr txBox="1"/>
        </xdr:nvSpPr>
        <xdr:spPr>
          <a:xfrm rot="16200000">
            <a:off x="2851666" y="978875"/>
            <a:ext cx="1524001" cy="27711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FLAG-HSFA3</a:t>
            </a:r>
          </a:p>
        </xdr:txBody>
      </xdr:sp>
      <xdr:sp macro="" textlink="">
        <xdr:nvSpPr>
          <xdr:cNvPr id="405" name="Textfeld 7"/>
          <xdr:cNvSpPr txBox="1"/>
        </xdr:nvSpPr>
        <xdr:spPr>
          <a:xfrm rot="16200000">
            <a:off x="3347426" y="978875"/>
            <a:ext cx="1524001" cy="27711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NTC d4</a:t>
            </a:r>
          </a:p>
        </xdr:txBody>
      </xdr:sp>
      <xdr:sp macro="" textlink="">
        <xdr:nvSpPr>
          <xdr:cNvPr id="406" name="Textfeld 8"/>
          <xdr:cNvSpPr txBox="1"/>
        </xdr:nvSpPr>
        <xdr:spPr>
          <a:xfrm rot="16200000">
            <a:off x="3777734" y="978875"/>
            <a:ext cx="1524001" cy="27711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NTC d7</a:t>
            </a:r>
          </a:p>
        </xdr:txBody>
      </xdr:sp>
      <xdr:sp macro="" textlink="">
        <xdr:nvSpPr>
          <xdr:cNvPr id="407" name="Textfeld 9"/>
          <xdr:cNvSpPr txBox="1"/>
        </xdr:nvSpPr>
        <xdr:spPr>
          <a:xfrm>
            <a:off x="4770573" y="1607388"/>
            <a:ext cx="451367" cy="229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0h</a:t>
            </a:r>
          </a:p>
        </xdr:txBody>
      </xdr:sp>
      <xdr:sp macro="" textlink="">
        <xdr:nvSpPr>
          <xdr:cNvPr id="408" name="Textfeld 10"/>
          <xdr:cNvSpPr txBox="1"/>
        </xdr:nvSpPr>
        <xdr:spPr>
          <a:xfrm>
            <a:off x="5209843" y="1604685"/>
            <a:ext cx="451367" cy="229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2h</a:t>
            </a:r>
          </a:p>
        </xdr:txBody>
      </xdr:sp>
      <xdr:sp macro="" textlink="">
        <xdr:nvSpPr>
          <xdr:cNvPr id="409" name="Textfeld 11"/>
          <xdr:cNvSpPr txBox="1"/>
        </xdr:nvSpPr>
        <xdr:spPr>
          <a:xfrm>
            <a:off x="5656730" y="1604685"/>
            <a:ext cx="451367" cy="229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4h</a:t>
            </a:r>
          </a:p>
        </xdr:txBody>
      </xdr:sp>
      <xdr:sp macro="" textlink="">
        <xdr:nvSpPr>
          <xdr:cNvPr id="410" name="Textfeld 12"/>
          <xdr:cNvSpPr txBox="1"/>
        </xdr:nvSpPr>
        <xdr:spPr>
          <a:xfrm>
            <a:off x="6096000" y="1604685"/>
            <a:ext cx="609600" cy="229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28h</a:t>
            </a:r>
          </a:p>
        </xdr:txBody>
      </xdr:sp>
      <xdr:sp macro="" textlink="">
        <xdr:nvSpPr>
          <xdr:cNvPr id="411" name="Textfeld 13"/>
          <xdr:cNvSpPr txBox="1"/>
        </xdr:nvSpPr>
        <xdr:spPr>
          <a:xfrm>
            <a:off x="6539755" y="1604685"/>
            <a:ext cx="609600" cy="229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52h</a:t>
            </a:r>
          </a:p>
        </xdr:txBody>
      </xdr:sp>
      <xdr:sp macro="" textlink="">
        <xdr:nvSpPr>
          <xdr:cNvPr id="412" name="Textfeld 14"/>
          <xdr:cNvSpPr txBox="1"/>
        </xdr:nvSpPr>
        <xdr:spPr>
          <a:xfrm>
            <a:off x="7010400" y="1604685"/>
            <a:ext cx="609600" cy="229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76h</a:t>
            </a:r>
          </a:p>
        </xdr:txBody>
      </xdr:sp>
      <xdr:cxnSp macro="">
        <xdr:nvCxnSpPr>
          <xdr:cNvPr id="413" name="Gerade Verbindung 16"/>
          <xdr:cNvCxnSpPr/>
        </xdr:nvCxnSpPr>
        <xdr:spPr>
          <a:xfrm>
            <a:off x="4015125" y="1362277"/>
            <a:ext cx="3352799" cy="1588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4" name="Textfeld 17"/>
          <xdr:cNvSpPr txBox="1"/>
        </xdr:nvSpPr>
        <xdr:spPr>
          <a:xfrm>
            <a:off x="4006159" y="1116361"/>
            <a:ext cx="3429000" cy="229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1100"/>
              <a:t>HSFA2-YFP, FLAG-HSFA3 in </a:t>
            </a:r>
            <a:r>
              <a:rPr lang="de-DE" sz="1100" i="1"/>
              <a:t>hsfa2,3</a:t>
            </a:r>
          </a:p>
        </xdr:txBody>
      </xdr:sp>
      <xdr:pic>
        <xdr:nvPicPr>
          <xdr:cNvPr id="415" name="Picture 414" descr="D:\Bäurle Lab\Heat\HSFA3\20190117_GFP-IP-western\GFP-IP-IP-GFPblot.jpg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/>
          <a:srcRect l="17197" t="10904" r="8903" b="632"/>
          <a:stretch/>
        </xdr:blipFill>
        <xdr:spPr bwMode="auto">
          <a:xfrm rot="10800000">
            <a:off x="1775531" y="1828800"/>
            <a:ext cx="5912530" cy="2894121"/>
          </a:xfrm>
          <a:prstGeom prst="rect">
            <a:avLst/>
          </a:prstGeom>
          <a:noFill/>
        </xdr:spPr>
      </xdr:pic>
      <xdr:sp macro="" textlink="">
        <xdr:nvSpPr>
          <xdr:cNvPr id="416" name="Rectangle 415"/>
          <xdr:cNvSpPr/>
        </xdr:nvSpPr>
        <xdr:spPr>
          <a:xfrm>
            <a:off x="2514600" y="2316920"/>
            <a:ext cx="5048880" cy="311402"/>
          </a:xfrm>
          <a:prstGeom prst="rect">
            <a:avLst/>
          </a:prstGeom>
          <a:noFill/>
          <a:ln w="34925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100"/>
          </a:p>
        </xdr:txBody>
      </xdr:sp>
      <xdr:cxnSp macro="">
        <xdr:nvCxnSpPr>
          <xdr:cNvPr id="417" name="Straight Connector 416"/>
          <xdr:cNvCxnSpPr/>
        </xdr:nvCxnSpPr>
        <xdr:spPr>
          <a:xfrm>
            <a:off x="2057400" y="2195627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8" name="Straight Connector 417"/>
          <xdr:cNvCxnSpPr/>
        </xdr:nvCxnSpPr>
        <xdr:spPr>
          <a:xfrm>
            <a:off x="2066556" y="235505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9" name="Straight Connector 418"/>
          <xdr:cNvCxnSpPr/>
        </xdr:nvCxnSpPr>
        <xdr:spPr>
          <a:xfrm>
            <a:off x="2071702" y="2494619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0" name="TextBox 18"/>
          <xdr:cNvSpPr txBox="1"/>
        </xdr:nvSpPr>
        <xdr:spPr>
          <a:xfrm>
            <a:off x="1055882" y="2059648"/>
            <a:ext cx="1075958" cy="229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250 kD</a:t>
            </a:r>
          </a:p>
        </xdr:txBody>
      </xdr:sp>
      <xdr:sp macro="" textlink="">
        <xdr:nvSpPr>
          <xdr:cNvPr id="421" name="TextBox 61"/>
          <xdr:cNvSpPr txBox="1"/>
        </xdr:nvSpPr>
        <xdr:spPr>
          <a:xfrm>
            <a:off x="1065038" y="2233577"/>
            <a:ext cx="1075958" cy="229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130 kD</a:t>
            </a:r>
          </a:p>
        </xdr:txBody>
      </xdr:sp>
      <xdr:sp macro="" textlink="">
        <xdr:nvSpPr>
          <xdr:cNvPr id="422" name="TextBox 62"/>
          <xdr:cNvSpPr txBox="1"/>
        </xdr:nvSpPr>
        <xdr:spPr>
          <a:xfrm>
            <a:off x="1063834" y="2375922"/>
            <a:ext cx="1075958" cy="229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100 kD</a:t>
            </a:r>
          </a:p>
        </xdr:txBody>
      </xdr:sp>
      <xdr:cxnSp macro="">
        <xdr:nvCxnSpPr>
          <xdr:cNvPr id="423" name="Straight Connector 422"/>
          <xdr:cNvCxnSpPr/>
        </xdr:nvCxnSpPr>
        <xdr:spPr>
          <a:xfrm>
            <a:off x="2066556" y="2628322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4" name="TextBox 64"/>
          <xdr:cNvSpPr txBox="1"/>
        </xdr:nvSpPr>
        <xdr:spPr>
          <a:xfrm>
            <a:off x="1149923" y="2513659"/>
            <a:ext cx="991073" cy="229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70 kD</a:t>
            </a:r>
          </a:p>
        </xdr:txBody>
      </xdr:sp>
      <xdr:cxnSp macro="">
        <xdr:nvCxnSpPr>
          <xdr:cNvPr id="425" name="Straight Connector 424"/>
          <xdr:cNvCxnSpPr/>
        </xdr:nvCxnSpPr>
        <xdr:spPr>
          <a:xfrm>
            <a:off x="2076081" y="278477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6" name="TextBox 66"/>
          <xdr:cNvSpPr txBox="1"/>
        </xdr:nvSpPr>
        <xdr:spPr>
          <a:xfrm>
            <a:off x="1284283" y="2664019"/>
            <a:ext cx="866238" cy="229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55 kD</a:t>
            </a:r>
          </a:p>
        </xdr:txBody>
      </xdr:sp>
    </xdr:grpSp>
    <xdr:clientData/>
  </xdr:twoCellAnchor>
  <xdr:twoCellAnchor>
    <xdr:from>
      <xdr:col>1</xdr:col>
      <xdr:colOff>0</xdr:colOff>
      <xdr:row>24</xdr:row>
      <xdr:rowOff>0</xdr:rowOff>
    </xdr:from>
    <xdr:to>
      <xdr:col>10</xdr:col>
      <xdr:colOff>103909</xdr:colOff>
      <xdr:row>48</xdr:row>
      <xdr:rowOff>110530</xdr:rowOff>
    </xdr:to>
    <xdr:grpSp>
      <xdr:nvGrpSpPr>
        <xdr:cNvPr id="81" name="Group 80"/>
        <xdr:cNvGrpSpPr/>
      </xdr:nvGrpSpPr>
      <xdr:grpSpPr>
        <a:xfrm>
          <a:off x="1040694" y="4656667"/>
          <a:ext cx="5907104" cy="4767196"/>
          <a:chOff x="94260" y="-76200"/>
          <a:chExt cx="7762232" cy="6748491"/>
        </a:xfrm>
      </xdr:grpSpPr>
      <xdr:grpSp>
        <xdr:nvGrpSpPr>
          <xdr:cNvPr id="82" name="Group 81"/>
          <xdr:cNvGrpSpPr/>
        </xdr:nvGrpSpPr>
        <xdr:grpSpPr>
          <a:xfrm>
            <a:off x="94260" y="-76200"/>
            <a:ext cx="7762232" cy="6748491"/>
            <a:chOff x="94260" y="-76200"/>
            <a:chExt cx="7762232" cy="6748491"/>
          </a:xfrm>
        </xdr:grpSpPr>
        <xdr:sp macro="" textlink="">
          <xdr:nvSpPr>
            <xdr:cNvPr id="84" name="TextBox 30"/>
            <xdr:cNvSpPr txBox="1"/>
          </xdr:nvSpPr>
          <xdr:spPr>
            <a:xfrm rot="16200000">
              <a:off x="2021278" y="565915"/>
              <a:ext cx="1653636" cy="36940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FLAG-HSFA3</a:t>
              </a:r>
            </a:p>
          </xdr:txBody>
        </xdr:sp>
        <xdr:grpSp>
          <xdr:nvGrpSpPr>
            <xdr:cNvPr id="85" name="Group 84"/>
            <xdr:cNvGrpSpPr/>
          </xdr:nvGrpSpPr>
          <xdr:grpSpPr>
            <a:xfrm>
              <a:off x="94260" y="304704"/>
              <a:ext cx="7762232" cy="6367587"/>
              <a:chOff x="94260" y="304704"/>
              <a:chExt cx="7762232" cy="6367587"/>
            </a:xfrm>
          </xdr:grpSpPr>
          <xdr:pic>
            <xdr:nvPicPr>
              <xdr:cNvPr id="86" name="Picture 85" descr="E:\20190516_FlagCo-IP\20190516FlagIP-Input-GFPblot.jpg"/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t="6130" r="478" b="9376"/>
              <a:stretch/>
            </xdr:blipFill>
            <xdr:spPr bwMode="auto">
              <a:xfrm rot="10800000">
                <a:off x="914400" y="1591811"/>
                <a:ext cx="6942092" cy="504597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87" name="TextBox 28"/>
              <xdr:cNvSpPr txBox="1"/>
            </xdr:nvSpPr>
            <xdr:spPr>
              <a:xfrm>
                <a:off x="945159" y="6268458"/>
                <a:ext cx="2021086" cy="40383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INPUT – </a:t>
                </a:r>
                <a:r>
                  <a:rPr lang="el-GR" sz="1200"/>
                  <a:t>α</a:t>
                </a:r>
                <a:r>
                  <a:rPr lang="en-US" sz="1200"/>
                  <a:t>YFP blot</a:t>
                </a:r>
                <a:endParaRPr lang="en-US" sz="1200" i="1"/>
              </a:p>
            </xdr:txBody>
          </xdr:sp>
          <xdr:sp macro="" textlink="">
            <xdr:nvSpPr>
              <xdr:cNvPr id="88" name="TextBox 33"/>
              <xdr:cNvSpPr txBox="1"/>
            </xdr:nvSpPr>
            <xdr:spPr>
              <a:xfrm rot="16200000">
                <a:off x="1306782" y="1061215"/>
                <a:ext cx="663036" cy="36940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Col</a:t>
                </a:r>
              </a:p>
            </xdr:txBody>
          </xdr:sp>
          <xdr:sp macro="" textlink="">
            <xdr:nvSpPr>
              <xdr:cNvPr id="89" name="TextBox 34"/>
              <xdr:cNvSpPr txBox="1"/>
            </xdr:nvSpPr>
            <xdr:spPr>
              <a:xfrm rot="16200000">
                <a:off x="1611585" y="756414"/>
                <a:ext cx="1272635" cy="36940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HSFA2-YFP</a:t>
                </a:r>
              </a:p>
            </xdr:txBody>
          </xdr:sp>
          <xdr:sp macro="" textlink="">
            <xdr:nvSpPr>
              <xdr:cNvPr id="90" name="TextBox 35"/>
              <xdr:cNvSpPr txBox="1"/>
            </xdr:nvSpPr>
            <xdr:spPr>
              <a:xfrm rot="16200000">
                <a:off x="2802090" y="756414"/>
                <a:ext cx="1272635" cy="36940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NTC d4</a:t>
                </a:r>
              </a:p>
            </xdr:txBody>
          </xdr:sp>
          <xdr:sp macro="" textlink="">
            <xdr:nvSpPr>
              <xdr:cNvPr id="91" name="TextBox 36"/>
              <xdr:cNvSpPr txBox="1"/>
            </xdr:nvSpPr>
            <xdr:spPr>
              <a:xfrm rot="16200000">
                <a:off x="3411690" y="756414"/>
                <a:ext cx="1272635" cy="36940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NTC d7</a:t>
                </a:r>
              </a:p>
            </xdr:txBody>
          </xdr:sp>
          <xdr:sp macro="" textlink="">
            <xdr:nvSpPr>
              <xdr:cNvPr id="92" name="TextBox 37"/>
              <xdr:cNvSpPr txBox="1"/>
            </xdr:nvSpPr>
            <xdr:spPr>
              <a:xfrm rot="16200000">
                <a:off x="3967950" y="756414"/>
                <a:ext cx="1272635" cy="36940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0h</a:t>
                </a:r>
              </a:p>
            </xdr:txBody>
          </xdr:sp>
          <xdr:sp macro="" textlink="">
            <xdr:nvSpPr>
              <xdr:cNvPr id="93" name="TextBox 38"/>
              <xdr:cNvSpPr txBox="1"/>
            </xdr:nvSpPr>
            <xdr:spPr>
              <a:xfrm rot="16200000">
                <a:off x="4558738" y="756414"/>
                <a:ext cx="1272635" cy="36940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2h</a:t>
                </a:r>
              </a:p>
            </xdr:txBody>
          </xdr:sp>
          <xdr:sp macro="" textlink="">
            <xdr:nvSpPr>
              <xdr:cNvPr id="94" name="TextBox 39"/>
              <xdr:cNvSpPr txBox="1"/>
            </xdr:nvSpPr>
            <xdr:spPr>
              <a:xfrm rot="16200000">
                <a:off x="5187149" y="756414"/>
                <a:ext cx="1272635" cy="36940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4h</a:t>
                </a:r>
              </a:p>
            </xdr:txBody>
          </xdr:sp>
          <xdr:sp macro="" textlink="">
            <xdr:nvSpPr>
              <xdr:cNvPr id="95" name="TextBox 40"/>
              <xdr:cNvSpPr txBox="1"/>
            </xdr:nvSpPr>
            <xdr:spPr>
              <a:xfrm rot="16200000">
                <a:off x="5732217" y="756319"/>
                <a:ext cx="1272635" cy="36940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28h</a:t>
                </a:r>
              </a:p>
            </xdr:txBody>
          </xdr:sp>
          <xdr:sp macro="" textlink="">
            <xdr:nvSpPr>
              <xdr:cNvPr id="96" name="TextBox 41"/>
              <xdr:cNvSpPr txBox="1"/>
            </xdr:nvSpPr>
            <xdr:spPr>
              <a:xfrm rot="16200000">
                <a:off x="6330149" y="756415"/>
                <a:ext cx="1272635" cy="36940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52h</a:t>
                </a:r>
              </a:p>
            </xdr:txBody>
          </xdr:sp>
          <xdr:sp macro="" textlink="">
            <xdr:nvSpPr>
              <xdr:cNvPr id="97" name="TextBox 42"/>
              <xdr:cNvSpPr txBox="1"/>
            </xdr:nvSpPr>
            <xdr:spPr>
              <a:xfrm rot="16200000">
                <a:off x="6939749" y="756415"/>
                <a:ext cx="1272635" cy="36940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76h</a:t>
                </a:r>
              </a:p>
            </xdr:txBody>
          </xdr:sp>
          <xdr:cxnSp macro="">
            <xdr:nvCxnSpPr>
              <xdr:cNvPr id="98" name="Straight Connector 97"/>
              <xdr:cNvCxnSpPr/>
            </xdr:nvCxnSpPr>
            <xdr:spPr>
              <a:xfrm>
                <a:off x="3253741" y="750618"/>
                <a:ext cx="4506993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9" name="TextBox 44"/>
              <xdr:cNvSpPr txBox="1"/>
            </xdr:nvSpPr>
            <xdr:spPr>
              <a:xfrm>
                <a:off x="3733801" y="392669"/>
                <a:ext cx="3569732" cy="38128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HSFA2-YFP, FLAG-HSFA3 in </a:t>
                </a:r>
                <a:r>
                  <a:rPr lang="en-US" sz="1100" i="1"/>
                  <a:t>hsfa2,3</a:t>
                </a:r>
              </a:p>
            </xdr:txBody>
          </xdr:sp>
          <xdr:cxnSp macro="">
            <xdr:nvCxnSpPr>
              <xdr:cNvPr id="100" name="Straight Connector 99"/>
              <xdr:cNvCxnSpPr/>
            </xdr:nvCxnSpPr>
            <xdr:spPr>
              <a:xfrm>
                <a:off x="986928" y="1676400"/>
                <a:ext cx="197841" cy="0"/>
              </a:xfrm>
              <a:prstGeom prst="line">
                <a:avLst/>
              </a:prstGeom>
              <a:ln w="317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1" name="Straight Connector 100"/>
              <xdr:cNvCxnSpPr/>
            </xdr:nvCxnSpPr>
            <xdr:spPr>
              <a:xfrm>
                <a:off x="986928" y="2133600"/>
                <a:ext cx="197841" cy="0"/>
              </a:xfrm>
              <a:prstGeom prst="line">
                <a:avLst/>
              </a:prstGeom>
              <a:ln w="317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2" name="Straight Connector 101"/>
              <xdr:cNvCxnSpPr/>
            </xdr:nvCxnSpPr>
            <xdr:spPr>
              <a:xfrm>
                <a:off x="986928" y="2590800"/>
                <a:ext cx="197841" cy="0"/>
              </a:xfrm>
              <a:prstGeom prst="line">
                <a:avLst/>
              </a:prstGeom>
              <a:ln w="317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3" name="TextBox 18"/>
              <xdr:cNvSpPr txBox="1"/>
            </xdr:nvSpPr>
            <xdr:spPr>
              <a:xfrm>
                <a:off x="94260" y="1485901"/>
                <a:ext cx="959840" cy="38128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1100"/>
                  <a:t>250 kD</a:t>
                </a:r>
              </a:p>
            </xdr:txBody>
          </xdr:sp>
          <xdr:sp macro="" textlink="">
            <xdr:nvSpPr>
              <xdr:cNvPr id="104" name="TextBox 61"/>
              <xdr:cNvSpPr txBox="1"/>
            </xdr:nvSpPr>
            <xdr:spPr>
              <a:xfrm>
                <a:off x="94260" y="1948934"/>
                <a:ext cx="959840" cy="38128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1100"/>
                  <a:t>130 kD</a:t>
                </a:r>
              </a:p>
            </xdr:txBody>
          </xdr:sp>
          <xdr:sp macro="" textlink="">
            <xdr:nvSpPr>
              <xdr:cNvPr id="105" name="TextBox 62"/>
              <xdr:cNvSpPr txBox="1"/>
            </xdr:nvSpPr>
            <xdr:spPr>
              <a:xfrm>
                <a:off x="94260" y="2406134"/>
                <a:ext cx="959840" cy="38128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1100"/>
                  <a:t>100 kD</a:t>
                </a:r>
              </a:p>
            </xdr:txBody>
          </xdr:sp>
          <xdr:cxnSp macro="">
            <xdr:nvCxnSpPr>
              <xdr:cNvPr id="106" name="Straight Connector 105"/>
              <xdr:cNvCxnSpPr/>
            </xdr:nvCxnSpPr>
            <xdr:spPr>
              <a:xfrm>
                <a:off x="986928" y="2939534"/>
                <a:ext cx="197841" cy="0"/>
              </a:xfrm>
              <a:prstGeom prst="line">
                <a:avLst/>
              </a:prstGeom>
              <a:ln w="317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7" name="TextBox 64"/>
              <xdr:cNvSpPr txBox="1"/>
            </xdr:nvSpPr>
            <xdr:spPr>
              <a:xfrm>
                <a:off x="94260" y="2754868"/>
                <a:ext cx="959840" cy="38128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1100"/>
                  <a:t>70 kD</a:t>
                </a:r>
              </a:p>
            </xdr:txBody>
          </xdr:sp>
          <xdr:cxnSp macro="">
            <xdr:nvCxnSpPr>
              <xdr:cNvPr id="108" name="Straight Connector 107"/>
              <xdr:cNvCxnSpPr/>
            </xdr:nvCxnSpPr>
            <xdr:spPr>
              <a:xfrm>
                <a:off x="986928" y="3472934"/>
                <a:ext cx="197841" cy="0"/>
              </a:xfrm>
              <a:prstGeom prst="line">
                <a:avLst/>
              </a:prstGeom>
              <a:ln w="317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9" name="TextBox 66"/>
              <xdr:cNvSpPr txBox="1"/>
            </xdr:nvSpPr>
            <xdr:spPr>
              <a:xfrm>
                <a:off x="94260" y="3288268"/>
                <a:ext cx="959840" cy="38128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1100"/>
                  <a:t>55 kD</a:t>
                </a:r>
              </a:p>
            </xdr:txBody>
          </xdr:sp>
        </xdr:grpSp>
      </xdr:grpSp>
      <xdr:sp macro="" textlink="">
        <xdr:nvSpPr>
          <xdr:cNvPr id="83" name="Rectangle 82"/>
          <xdr:cNvSpPr/>
        </xdr:nvSpPr>
        <xdr:spPr>
          <a:xfrm>
            <a:off x="1295400" y="2406134"/>
            <a:ext cx="6561092" cy="489466"/>
          </a:xfrm>
          <a:prstGeom prst="rect">
            <a:avLst/>
          </a:prstGeom>
          <a:noFill/>
          <a:ln w="3175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100"/>
          </a:p>
        </xdr:txBody>
      </xdr:sp>
    </xdr:grpSp>
    <xdr:clientData/>
  </xdr:twoCellAnchor>
  <xdr:twoCellAnchor>
    <xdr:from>
      <xdr:col>10</xdr:col>
      <xdr:colOff>560294</xdr:colOff>
      <xdr:row>26</xdr:row>
      <xdr:rowOff>67234</xdr:rowOff>
    </xdr:from>
    <xdr:to>
      <xdr:col>19</xdr:col>
      <xdr:colOff>593912</xdr:colOff>
      <xdr:row>48</xdr:row>
      <xdr:rowOff>89647</xdr:rowOff>
    </xdr:to>
    <xdr:grpSp>
      <xdr:nvGrpSpPr>
        <xdr:cNvPr id="110" name="Group 109"/>
        <xdr:cNvGrpSpPr/>
      </xdr:nvGrpSpPr>
      <xdr:grpSpPr>
        <a:xfrm>
          <a:off x="7404183" y="5111956"/>
          <a:ext cx="5589868" cy="4291024"/>
          <a:chOff x="304800" y="-228603"/>
          <a:chExt cx="7985125" cy="7062189"/>
        </a:xfrm>
      </xdr:grpSpPr>
      <xdr:pic>
        <xdr:nvPicPr>
          <xdr:cNvPr id="111" name="Picture 110" descr="Z:\A3-Manuscript\FiguresAndData\Figure4-ProteinInteraction\Data\20190516_FlagCo-IP\20190516FlagIP-Input-Flagblot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358"/>
          <a:stretch/>
        </xdr:blipFill>
        <xdr:spPr bwMode="auto">
          <a:xfrm>
            <a:off x="841189" y="1367905"/>
            <a:ext cx="7448736" cy="546568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12" name="TextBox 5"/>
          <xdr:cNvSpPr txBox="1"/>
        </xdr:nvSpPr>
        <xdr:spPr>
          <a:xfrm rot="16200000">
            <a:off x="2402277" y="405453"/>
            <a:ext cx="1653636" cy="3855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FLAG-HSFA3</a:t>
            </a:r>
          </a:p>
        </xdr:txBody>
      </xdr:sp>
      <xdr:sp macro="" textlink="">
        <xdr:nvSpPr>
          <xdr:cNvPr id="113" name="TextBox 6"/>
          <xdr:cNvSpPr txBox="1"/>
        </xdr:nvSpPr>
        <xdr:spPr>
          <a:xfrm rot="16200000">
            <a:off x="1867410" y="769276"/>
            <a:ext cx="663035" cy="3855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Col</a:t>
            </a:r>
          </a:p>
        </xdr:txBody>
      </xdr:sp>
      <xdr:sp macro="" textlink="">
        <xdr:nvSpPr>
          <xdr:cNvPr id="114" name="TextBox 7"/>
          <xdr:cNvSpPr txBox="1"/>
        </xdr:nvSpPr>
        <xdr:spPr>
          <a:xfrm rot="16200000">
            <a:off x="1914361" y="414845"/>
            <a:ext cx="1559723" cy="3855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HSFA2-YFP</a:t>
            </a:r>
          </a:p>
        </xdr:txBody>
      </xdr:sp>
      <xdr:sp macro="" textlink="">
        <xdr:nvSpPr>
          <xdr:cNvPr id="115" name="TextBox 8"/>
          <xdr:cNvSpPr txBox="1"/>
        </xdr:nvSpPr>
        <xdr:spPr>
          <a:xfrm rot="16200000">
            <a:off x="3183089" y="595955"/>
            <a:ext cx="1272637" cy="3855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NTC d4</a:t>
            </a:r>
          </a:p>
        </xdr:txBody>
      </xdr:sp>
      <xdr:sp macro="" textlink="">
        <xdr:nvSpPr>
          <xdr:cNvPr id="116" name="TextBox 9"/>
          <xdr:cNvSpPr txBox="1"/>
        </xdr:nvSpPr>
        <xdr:spPr>
          <a:xfrm rot="16200000">
            <a:off x="3792688" y="595955"/>
            <a:ext cx="1272637" cy="3855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NTC d7</a:t>
            </a:r>
          </a:p>
        </xdr:txBody>
      </xdr:sp>
      <xdr:sp macro="" textlink="">
        <xdr:nvSpPr>
          <xdr:cNvPr id="117" name="TextBox 10"/>
          <xdr:cNvSpPr txBox="1"/>
        </xdr:nvSpPr>
        <xdr:spPr>
          <a:xfrm rot="16200000">
            <a:off x="4348949" y="595957"/>
            <a:ext cx="1272637" cy="3855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0h</a:t>
            </a:r>
          </a:p>
        </xdr:txBody>
      </xdr:sp>
      <xdr:sp macro="" textlink="">
        <xdr:nvSpPr>
          <xdr:cNvPr id="118" name="TextBox 11"/>
          <xdr:cNvSpPr txBox="1"/>
        </xdr:nvSpPr>
        <xdr:spPr>
          <a:xfrm rot="16200000">
            <a:off x="4939738" y="595957"/>
            <a:ext cx="1272637" cy="3855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2h</a:t>
            </a:r>
          </a:p>
        </xdr:txBody>
      </xdr:sp>
      <xdr:sp macro="" textlink="">
        <xdr:nvSpPr>
          <xdr:cNvPr id="119" name="TextBox 12"/>
          <xdr:cNvSpPr txBox="1"/>
        </xdr:nvSpPr>
        <xdr:spPr>
          <a:xfrm rot="16200000">
            <a:off x="5568149" y="595957"/>
            <a:ext cx="1272637" cy="3855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4h</a:t>
            </a:r>
          </a:p>
        </xdr:txBody>
      </xdr:sp>
      <xdr:sp macro="" textlink="">
        <xdr:nvSpPr>
          <xdr:cNvPr id="120" name="TextBox 13"/>
          <xdr:cNvSpPr txBox="1"/>
        </xdr:nvSpPr>
        <xdr:spPr>
          <a:xfrm rot="16200000">
            <a:off x="6113217" y="595859"/>
            <a:ext cx="1272637" cy="3855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28h</a:t>
            </a:r>
          </a:p>
        </xdr:txBody>
      </xdr:sp>
      <xdr:sp macro="" textlink="">
        <xdr:nvSpPr>
          <xdr:cNvPr id="121" name="TextBox 14"/>
          <xdr:cNvSpPr txBox="1"/>
        </xdr:nvSpPr>
        <xdr:spPr>
          <a:xfrm rot="16200000">
            <a:off x="6711150" y="595957"/>
            <a:ext cx="1272637" cy="3855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52h</a:t>
            </a:r>
          </a:p>
        </xdr:txBody>
      </xdr:sp>
      <xdr:sp macro="" textlink="">
        <xdr:nvSpPr>
          <xdr:cNvPr id="122" name="TextBox 15"/>
          <xdr:cNvSpPr txBox="1"/>
        </xdr:nvSpPr>
        <xdr:spPr>
          <a:xfrm rot="16200000">
            <a:off x="7320749" y="595957"/>
            <a:ext cx="1272637" cy="3855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76h</a:t>
            </a:r>
          </a:p>
        </xdr:txBody>
      </xdr:sp>
      <xdr:cxnSp macro="">
        <xdr:nvCxnSpPr>
          <xdr:cNvPr id="123" name="Straight Connector 122"/>
          <xdr:cNvCxnSpPr/>
        </xdr:nvCxnSpPr>
        <xdr:spPr>
          <a:xfrm>
            <a:off x="3634741" y="485522"/>
            <a:ext cx="450699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4" name="TextBox 17"/>
          <xdr:cNvSpPr txBox="1"/>
        </xdr:nvSpPr>
        <xdr:spPr>
          <a:xfrm>
            <a:off x="4114801" y="127573"/>
            <a:ext cx="3569732" cy="4434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HSFA2-YFP, FLAG-HSFA3 in </a:t>
            </a:r>
            <a:r>
              <a:rPr lang="en-US" sz="1100" i="1"/>
              <a:t>hsfa2,3</a:t>
            </a:r>
          </a:p>
        </xdr:txBody>
      </xdr:sp>
      <xdr:sp macro="" textlink="">
        <xdr:nvSpPr>
          <xdr:cNvPr id="125" name="Rectangle 124"/>
          <xdr:cNvSpPr/>
        </xdr:nvSpPr>
        <xdr:spPr>
          <a:xfrm>
            <a:off x="1752600" y="2819400"/>
            <a:ext cx="6537325" cy="381000"/>
          </a:xfrm>
          <a:prstGeom prst="rect">
            <a:avLst/>
          </a:prstGeom>
          <a:noFill/>
          <a:ln w="34925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100"/>
          </a:p>
        </xdr:txBody>
      </xdr:sp>
      <xdr:cxnSp macro="">
        <xdr:nvCxnSpPr>
          <xdr:cNvPr id="126" name="Straight Connector 125"/>
          <xdr:cNvCxnSpPr/>
        </xdr:nvCxnSpPr>
        <xdr:spPr>
          <a:xfrm>
            <a:off x="1408323" y="1732381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7" name="Straight Connector 126"/>
          <xdr:cNvCxnSpPr/>
        </xdr:nvCxnSpPr>
        <xdr:spPr>
          <a:xfrm>
            <a:off x="1408323" y="214963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8" name="Straight Connector 127"/>
          <xdr:cNvCxnSpPr/>
        </xdr:nvCxnSpPr>
        <xdr:spPr>
          <a:xfrm>
            <a:off x="1408323" y="2572414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9" name="TextBox 18"/>
          <xdr:cNvSpPr txBox="1"/>
        </xdr:nvSpPr>
        <xdr:spPr>
          <a:xfrm>
            <a:off x="304800" y="1475502"/>
            <a:ext cx="1075958" cy="4434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250 kD</a:t>
            </a:r>
          </a:p>
        </xdr:txBody>
      </xdr:sp>
      <xdr:sp macro="" textlink="">
        <xdr:nvSpPr>
          <xdr:cNvPr id="130" name="TextBox 61"/>
          <xdr:cNvSpPr txBox="1"/>
        </xdr:nvSpPr>
        <xdr:spPr>
          <a:xfrm>
            <a:off x="304800" y="1971936"/>
            <a:ext cx="1075958" cy="4434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130 kD</a:t>
            </a:r>
          </a:p>
        </xdr:txBody>
      </xdr:sp>
      <xdr:sp macro="" textlink="">
        <xdr:nvSpPr>
          <xdr:cNvPr id="131" name="TextBox 62"/>
          <xdr:cNvSpPr txBox="1"/>
        </xdr:nvSpPr>
        <xdr:spPr>
          <a:xfrm>
            <a:off x="337459" y="2338369"/>
            <a:ext cx="1075958" cy="4434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100 kD</a:t>
            </a:r>
          </a:p>
        </xdr:txBody>
      </xdr:sp>
      <xdr:cxnSp macro="">
        <xdr:nvCxnSpPr>
          <xdr:cNvPr id="132" name="Straight Connector 131"/>
          <xdr:cNvCxnSpPr/>
        </xdr:nvCxnSpPr>
        <xdr:spPr>
          <a:xfrm>
            <a:off x="1323438" y="332853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3" name="TextBox 64"/>
          <xdr:cNvSpPr txBox="1"/>
        </xdr:nvSpPr>
        <xdr:spPr>
          <a:xfrm>
            <a:off x="389685" y="3150835"/>
            <a:ext cx="991074" cy="4434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70 kD</a:t>
            </a:r>
          </a:p>
        </xdr:txBody>
      </xdr:sp>
      <xdr:cxnSp macro="">
        <xdr:nvCxnSpPr>
          <xdr:cNvPr id="134" name="Straight Connector 133"/>
          <xdr:cNvCxnSpPr/>
        </xdr:nvCxnSpPr>
        <xdr:spPr>
          <a:xfrm>
            <a:off x="1313714" y="431913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5" name="TextBox 66"/>
          <xdr:cNvSpPr txBox="1"/>
        </xdr:nvSpPr>
        <xdr:spPr>
          <a:xfrm>
            <a:off x="514520" y="4141434"/>
            <a:ext cx="866237" cy="4434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55 kD</a:t>
            </a:r>
          </a:p>
        </xdr:txBody>
      </xdr:sp>
    </xdr:grpSp>
    <xdr:clientData/>
  </xdr:twoCellAnchor>
  <xdr:twoCellAnchor>
    <xdr:from>
      <xdr:col>11</xdr:col>
      <xdr:colOff>291354</xdr:colOff>
      <xdr:row>47</xdr:row>
      <xdr:rowOff>0</xdr:rowOff>
    </xdr:from>
    <xdr:to>
      <xdr:col>13</xdr:col>
      <xdr:colOff>526187</xdr:colOff>
      <xdr:row>48</xdr:row>
      <xdr:rowOff>74060</xdr:rowOff>
    </xdr:to>
    <xdr:sp macro="" textlink="">
      <xdr:nvSpPr>
        <xdr:cNvPr id="136" name="TextBox 28"/>
        <xdr:cNvSpPr txBox="1"/>
      </xdr:nvSpPr>
      <xdr:spPr>
        <a:xfrm>
          <a:off x="6947648" y="8001000"/>
          <a:ext cx="1445068" cy="2645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INPUT – </a:t>
          </a:r>
          <a:r>
            <a:rPr lang="el-GR" sz="1200"/>
            <a:t>α</a:t>
          </a:r>
          <a:r>
            <a:rPr lang="en-US" sz="1200"/>
            <a:t>FLAG blot</a:t>
          </a:r>
          <a:endParaRPr lang="en-US" sz="1200" i="1"/>
        </a:p>
      </xdr:txBody>
    </xdr:sp>
    <xdr:clientData/>
  </xdr:twoCellAnchor>
  <xdr:twoCellAnchor>
    <xdr:from>
      <xdr:col>20</xdr:col>
      <xdr:colOff>145680</xdr:colOff>
      <xdr:row>24</xdr:row>
      <xdr:rowOff>145676</xdr:rowOff>
    </xdr:from>
    <xdr:to>
      <xdr:col>29</xdr:col>
      <xdr:colOff>425827</xdr:colOff>
      <xdr:row>48</xdr:row>
      <xdr:rowOff>136838</xdr:rowOff>
    </xdr:to>
    <xdr:grpSp>
      <xdr:nvGrpSpPr>
        <xdr:cNvPr id="58" name="Group 57"/>
        <xdr:cNvGrpSpPr/>
      </xdr:nvGrpSpPr>
      <xdr:grpSpPr>
        <a:xfrm>
          <a:off x="13163180" y="4802343"/>
          <a:ext cx="5836397" cy="4647828"/>
          <a:chOff x="304800" y="152305"/>
          <a:chExt cx="7945065" cy="6900847"/>
        </a:xfrm>
      </xdr:grpSpPr>
      <xdr:pic>
        <xdr:nvPicPr>
          <xdr:cNvPr id="59" name="Picture 58" descr="Z:\A3-Manuscript\FiguresAndData\Figure4-ProteinInteraction\Data\20190516_FlagCo-IP\20190516FlagIP-IP-FlagblotRotated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5975" y="1400889"/>
            <a:ext cx="7133890" cy="559491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0" name="TextBox 6"/>
          <xdr:cNvSpPr txBox="1"/>
        </xdr:nvSpPr>
        <xdr:spPr>
          <a:xfrm rot="16200000">
            <a:off x="1687783" y="909979"/>
            <a:ext cx="663035" cy="3670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Col</a:t>
            </a:r>
          </a:p>
        </xdr:txBody>
      </xdr:sp>
      <xdr:sp macro="" textlink="">
        <xdr:nvSpPr>
          <xdr:cNvPr id="61" name="TextBox 7"/>
          <xdr:cNvSpPr txBox="1"/>
        </xdr:nvSpPr>
        <xdr:spPr>
          <a:xfrm rot="16200000">
            <a:off x="1992584" y="605179"/>
            <a:ext cx="1272636" cy="3670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HSFA2-YFP</a:t>
            </a:r>
          </a:p>
        </xdr:txBody>
      </xdr:sp>
      <xdr:sp macro="" textlink="">
        <xdr:nvSpPr>
          <xdr:cNvPr id="62" name="TextBox 8"/>
          <xdr:cNvSpPr txBox="1"/>
        </xdr:nvSpPr>
        <xdr:spPr>
          <a:xfrm rot="16200000">
            <a:off x="3183090" y="605182"/>
            <a:ext cx="1272636" cy="3670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NTC d4</a:t>
            </a:r>
          </a:p>
        </xdr:txBody>
      </xdr:sp>
      <xdr:sp macro="" textlink="">
        <xdr:nvSpPr>
          <xdr:cNvPr id="63" name="TextBox 9"/>
          <xdr:cNvSpPr txBox="1"/>
        </xdr:nvSpPr>
        <xdr:spPr>
          <a:xfrm rot="16200000">
            <a:off x="3792688" y="605182"/>
            <a:ext cx="1272636" cy="3670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NTC d7</a:t>
            </a:r>
          </a:p>
        </xdr:txBody>
      </xdr:sp>
      <xdr:sp macro="" textlink="">
        <xdr:nvSpPr>
          <xdr:cNvPr id="64" name="TextBox 10"/>
          <xdr:cNvSpPr txBox="1"/>
        </xdr:nvSpPr>
        <xdr:spPr>
          <a:xfrm rot="16200000">
            <a:off x="4348949" y="605181"/>
            <a:ext cx="1272636" cy="3670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0h</a:t>
            </a:r>
          </a:p>
        </xdr:txBody>
      </xdr:sp>
      <xdr:sp macro="" textlink="">
        <xdr:nvSpPr>
          <xdr:cNvPr id="65" name="TextBox 11"/>
          <xdr:cNvSpPr txBox="1"/>
        </xdr:nvSpPr>
        <xdr:spPr>
          <a:xfrm rot="16200000">
            <a:off x="4939738" y="605181"/>
            <a:ext cx="1272636" cy="3670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2h</a:t>
            </a:r>
          </a:p>
        </xdr:txBody>
      </xdr:sp>
      <xdr:sp macro="" textlink="">
        <xdr:nvSpPr>
          <xdr:cNvPr id="66" name="TextBox 12"/>
          <xdr:cNvSpPr txBox="1"/>
        </xdr:nvSpPr>
        <xdr:spPr>
          <a:xfrm rot="16200000">
            <a:off x="5568150" y="605181"/>
            <a:ext cx="1272636" cy="3670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4h</a:t>
            </a:r>
          </a:p>
        </xdr:txBody>
      </xdr:sp>
      <xdr:sp macro="" textlink="">
        <xdr:nvSpPr>
          <xdr:cNvPr id="67" name="TextBox 13"/>
          <xdr:cNvSpPr txBox="1"/>
        </xdr:nvSpPr>
        <xdr:spPr>
          <a:xfrm rot="16200000">
            <a:off x="6113217" y="605085"/>
            <a:ext cx="1272636" cy="3670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28h</a:t>
            </a:r>
          </a:p>
        </xdr:txBody>
      </xdr:sp>
      <xdr:sp macro="" textlink="">
        <xdr:nvSpPr>
          <xdr:cNvPr id="68" name="TextBox 14"/>
          <xdr:cNvSpPr txBox="1"/>
        </xdr:nvSpPr>
        <xdr:spPr>
          <a:xfrm rot="16200000">
            <a:off x="6711149" y="605181"/>
            <a:ext cx="1272636" cy="3670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52h</a:t>
            </a:r>
          </a:p>
        </xdr:txBody>
      </xdr:sp>
      <xdr:sp macro="" textlink="">
        <xdr:nvSpPr>
          <xdr:cNvPr id="69" name="TextBox 15"/>
          <xdr:cNvSpPr txBox="1"/>
        </xdr:nvSpPr>
        <xdr:spPr>
          <a:xfrm rot="16200000">
            <a:off x="7320749" y="605181"/>
            <a:ext cx="1272636" cy="3670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76h</a:t>
            </a:r>
          </a:p>
        </xdr:txBody>
      </xdr:sp>
      <xdr:cxnSp macro="">
        <xdr:nvCxnSpPr>
          <xdr:cNvPr id="70" name="Straight Connector 69"/>
          <xdr:cNvCxnSpPr/>
        </xdr:nvCxnSpPr>
        <xdr:spPr>
          <a:xfrm>
            <a:off x="3634741" y="598217"/>
            <a:ext cx="450699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1" name="TextBox 17"/>
          <xdr:cNvSpPr txBox="1"/>
        </xdr:nvSpPr>
        <xdr:spPr>
          <a:xfrm>
            <a:off x="4114802" y="240269"/>
            <a:ext cx="3569732" cy="4000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HSFA2-YFP, FLAG-HSFA3 in </a:t>
            </a:r>
            <a:r>
              <a:rPr lang="en-US" sz="1100" i="1"/>
              <a:t>hsfa2,3</a:t>
            </a:r>
          </a:p>
        </xdr:txBody>
      </xdr:sp>
      <xdr:sp macro="" textlink="">
        <xdr:nvSpPr>
          <xdr:cNvPr id="72" name="Rectangle 71"/>
          <xdr:cNvSpPr/>
        </xdr:nvSpPr>
        <xdr:spPr>
          <a:xfrm>
            <a:off x="1828799" y="2819400"/>
            <a:ext cx="6324601" cy="443367"/>
          </a:xfrm>
          <a:prstGeom prst="rect">
            <a:avLst/>
          </a:prstGeom>
          <a:noFill/>
          <a:ln w="34925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100"/>
          </a:p>
        </xdr:txBody>
      </xdr:sp>
      <xdr:cxnSp macro="">
        <xdr:nvCxnSpPr>
          <xdr:cNvPr id="73" name="Straight Connector 72"/>
          <xdr:cNvCxnSpPr/>
        </xdr:nvCxnSpPr>
        <xdr:spPr>
          <a:xfrm>
            <a:off x="1408323" y="1732381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Straight Connector 73"/>
          <xdr:cNvCxnSpPr/>
        </xdr:nvCxnSpPr>
        <xdr:spPr>
          <a:xfrm>
            <a:off x="1408323" y="214963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Straight Connector 74"/>
          <xdr:cNvCxnSpPr/>
        </xdr:nvCxnSpPr>
        <xdr:spPr>
          <a:xfrm>
            <a:off x="1408323" y="2572414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6" name="TextBox 18"/>
          <xdr:cNvSpPr txBox="1"/>
        </xdr:nvSpPr>
        <xdr:spPr>
          <a:xfrm>
            <a:off x="304800" y="1550633"/>
            <a:ext cx="1075958" cy="4000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250 kD</a:t>
            </a:r>
          </a:p>
        </xdr:txBody>
      </xdr:sp>
      <xdr:sp macro="" textlink="">
        <xdr:nvSpPr>
          <xdr:cNvPr id="77" name="TextBox 61"/>
          <xdr:cNvSpPr txBox="1"/>
        </xdr:nvSpPr>
        <xdr:spPr>
          <a:xfrm>
            <a:off x="304800" y="1971935"/>
            <a:ext cx="1075958" cy="4000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130 kD</a:t>
            </a:r>
          </a:p>
        </xdr:txBody>
      </xdr:sp>
      <xdr:sp macro="" textlink="">
        <xdr:nvSpPr>
          <xdr:cNvPr id="78" name="TextBox 62"/>
          <xdr:cNvSpPr txBox="1"/>
        </xdr:nvSpPr>
        <xdr:spPr>
          <a:xfrm>
            <a:off x="304800" y="2394713"/>
            <a:ext cx="1075958" cy="4000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100 kD</a:t>
            </a:r>
          </a:p>
        </xdr:txBody>
      </xdr:sp>
      <xdr:cxnSp macro="">
        <xdr:nvCxnSpPr>
          <xdr:cNvPr id="79" name="Straight Connector 78"/>
          <xdr:cNvCxnSpPr/>
        </xdr:nvCxnSpPr>
        <xdr:spPr>
          <a:xfrm>
            <a:off x="1385855" y="296033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0" name="TextBox 64"/>
          <xdr:cNvSpPr txBox="1"/>
        </xdr:nvSpPr>
        <xdr:spPr>
          <a:xfrm>
            <a:off x="452102" y="2782634"/>
            <a:ext cx="991073" cy="4000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70 kD</a:t>
            </a:r>
          </a:p>
        </xdr:txBody>
      </xdr:sp>
      <xdr:cxnSp macro="">
        <xdr:nvCxnSpPr>
          <xdr:cNvPr id="137" name="Straight Connector 136"/>
          <xdr:cNvCxnSpPr/>
        </xdr:nvCxnSpPr>
        <xdr:spPr>
          <a:xfrm>
            <a:off x="1355454" y="3378099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8" name="TextBox 66"/>
          <xdr:cNvSpPr txBox="1"/>
        </xdr:nvSpPr>
        <xdr:spPr>
          <a:xfrm>
            <a:off x="556259" y="3200401"/>
            <a:ext cx="866238" cy="4000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55 kD</a:t>
            </a:r>
          </a:p>
        </xdr:txBody>
      </xdr:sp>
      <xdr:sp macro="" textlink="">
        <xdr:nvSpPr>
          <xdr:cNvPr id="139" name="TextBox 28"/>
          <xdr:cNvSpPr txBox="1"/>
        </xdr:nvSpPr>
        <xdr:spPr>
          <a:xfrm>
            <a:off x="1165565" y="6629399"/>
            <a:ext cx="2415834" cy="4237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FLAG-IP – </a:t>
            </a:r>
            <a:r>
              <a:rPr lang="el-GR" sz="1200"/>
              <a:t>α</a:t>
            </a:r>
            <a:r>
              <a:rPr lang="en-US" sz="1200"/>
              <a:t>FLAG blot</a:t>
            </a:r>
            <a:endParaRPr lang="en-US" sz="1200" i="1"/>
          </a:p>
        </xdr:txBody>
      </xdr:sp>
    </xdr:grpSp>
    <xdr:clientData/>
  </xdr:twoCellAnchor>
  <xdr:twoCellAnchor>
    <xdr:from>
      <xdr:col>30</xdr:col>
      <xdr:colOff>190500</xdr:colOff>
      <xdr:row>24</xdr:row>
      <xdr:rowOff>33617</xdr:rowOff>
    </xdr:from>
    <xdr:to>
      <xdr:col>39</xdr:col>
      <xdr:colOff>54428</xdr:colOff>
      <xdr:row>48</xdr:row>
      <xdr:rowOff>117169</xdr:rowOff>
    </xdr:to>
    <xdr:grpSp>
      <xdr:nvGrpSpPr>
        <xdr:cNvPr id="140" name="Group 139"/>
        <xdr:cNvGrpSpPr/>
      </xdr:nvGrpSpPr>
      <xdr:grpSpPr>
        <a:xfrm>
          <a:off x="19381611" y="4690284"/>
          <a:ext cx="5420178" cy="4740218"/>
          <a:chOff x="1683060" y="1086793"/>
          <a:chExt cx="5860740" cy="5663770"/>
        </a:xfrm>
      </xdr:grpSpPr>
      <xdr:pic>
        <xdr:nvPicPr>
          <xdr:cNvPr id="141" name="Picture 140" descr="Z:\A3-Manuscript\FiguresAndData\Figure4-ProteinInteraction\Data\20190516_FlagCo-IP\20190516FlagIP-IP-GFPblot.tif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grayscl/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10800000">
            <a:off x="2092608" y="2209800"/>
            <a:ext cx="5451192" cy="446443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42" name="TextBox 30"/>
          <xdr:cNvSpPr txBox="1"/>
        </xdr:nvSpPr>
        <xdr:spPr>
          <a:xfrm rot="16200000">
            <a:off x="3182111" y="1525016"/>
            <a:ext cx="1147397" cy="2884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FLAG-HSFA3</a:t>
            </a:r>
          </a:p>
        </xdr:txBody>
      </xdr:sp>
      <xdr:sp macro="" textlink="">
        <xdr:nvSpPr>
          <xdr:cNvPr id="143" name="TextBox 28"/>
          <xdr:cNvSpPr txBox="1"/>
        </xdr:nvSpPr>
        <xdr:spPr>
          <a:xfrm>
            <a:off x="2517276" y="6409676"/>
            <a:ext cx="1821664" cy="3408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FLAG-IP – </a:t>
            </a:r>
            <a:r>
              <a:rPr lang="el-GR" sz="1200"/>
              <a:t>α</a:t>
            </a:r>
            <a:r>
              <a:rPr lang="en-US" sz="1200"/>
              <a:t>YFP blot</a:t>
            </a:r>
            <a:endParaRPr lang="en-US" sz="1200" i="1"/>
          </a:p>
        </xdr:txBody>
      </xdr:sp>
      <xdr:sp macro="" textlink="">
        <xdr:nvSpPr>
          <xdr:cNvPr id="144" name="TextBox 33"/>
          <xdr:cNvSpPr txBox="1"/>
        </xdr:nvSpPr>
        <xdr:spPr>
          <a:xfrm rot="16200000">
            <a:off x="2649848" y="1868687"/>
            <a:ext cx="460056" cy="2884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Col</a:t>
            </a:r>
          </a:p>
        </xdr:txBody>
      </xdr:sp>
      <xdr:sp macro="" textlink="">
        <xdr:nvSpPr>
          <xdr:cNvPr id="145" name="TextBox 34"/>
          <xdr:cNvSpPr txBox="1"/>
        </xdr:nvSpPr>
        <xdr:spPr>
          <a:xfrm rot="16200000">
            <a:off x="2743170" y="1518873"/>
            <a:ext cx="1156159" cy="292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HSFA2-YFP</a:t>
            </a:r>
          </a:p>
        </xdr:txBody>
      </xdr:sp>
      <xdr:sp macro="" textlink="">
        <xdr:nvSpPr>
          <xdr:cNvPr id="146" name="TextBox 35"/>
          <xdr:cNvSpPr txBox="1"/>
        </xdr:nvSpPr>
        <xdr:spPr>
          <a:xfrm rot="16200000">
            <a:off x="3741699" y="1657195"/>
            <a:ext cx="883035" cy="2884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NTC d4</a:t>
            </a:r>
          </a:p>
        </xdr:txBody>
      </xdr:sp>
      <xdr:sp macro="" textlink="">
        <xdr:nvSpPr>
          <xdr:cNvPr id="147" name="TextBox 36"/>
          <xdr:cNvSpPr txBox="1"/>
        </xdr:nvSpPr>
        <xdr:spPr>
          <a:xfrm rot="16200000">
            <a:off x="4183070" y="1657195"/>
            <a:ext cx="883035" cy="2884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NTC d7</a:t>
            </a:r>
          </a:p>
        </xdr:txBody>
      </xdr:sp>
      <xdr:sp macro="" textlink="">
        <xdr:nvSpPr>
          <xdr:cNvPr id="148" name="TextBox 37"/>
          <xdr:cNvSpPr txBox="1"/>
        </xdr:nvSpPr>
        <xdr:spPr>
          <a:xfrm rot="16200000">
            <a:off x="4585822" y="1657195"/>
            <a:ext cx="883035" cy="2884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0h</a:t>
            </a:r>
          </a:p>
        </xdr:txBody>
      </xdr:sp>
      <xdr:sp macro="" textlink="">
        <xdr:nvSpPr>
          <xdr:cNvPr id="149" name="TextBox 38"/>
          <xdr:cNvSpPr txBox="1"/>
        </xdr:nvSpPr>
        <xdr:spPr>
          <a:xfrm rot="16200000">
            <a:off x="5013573" y="1657195"/>
            <a:ext cx="883035" cy="2884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2h</a:t>
            </a:r>
          </a:p>
        </xdr:txBody>
      </xdr:sp>
      <xdr:sp macro="" textlink="">
        <xdr:nvSpPr>
          <xdr:cNvPr id="150" name="TextBox 39"/>
          <xdr:cNvSpPr txBox="1"/>
        </xdr:nvSpPr>
        <xdr:spPr>
          <a:xfrm rot="16200000">
            <a:off x="5468564" y="1657195"/>
            <a:ext cx="883035" cy="2884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4h</a:t>
            </a:r>
          </a:p>
        </xdr:txBody>
      </xdr:sp>
      <xdr:sp macro="" textlink="">
        <xdr:nvSpPr>
          <xdr:cNvPr id="151" name="TextBox 40"/>
          <xdr:cNvSpPr txBox="1"/>
        </xdr:nvSpPr>
        <xdr:spPr>
          <a:xfrm rot="16200000">
            <a:off x="5863213" y="1657130"/>
            <a:ext cx="883035" cy="2884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28h</a:t>
            </a:r>
          </a:p>
        </xdr:txBody>
      </xdr:sp>
      <xdr:sp macro="" textlink="">
        <xdr:nvSpPr>
          <xdr:cNvPr id="152" name="TextBox 41"/>
          <xdr:cNvSpPr txBox="1"/>
        </xdr:nvSpPr>
        <xdr:spPr>
          <a:xfrm rot="16200000">
            <a:off x="6296136" y="1657197"/>
            <a:ext cx="883035" cy="2884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52h</a:t>
            </a:r>
          </a:p>
        </xdr:txBody>
      </xdr:sp>
      <xdr:sp macro="" textlink="">
        <xdr:nvSpPr>
          <xdr:cNvPr id="153" name="TextBox 42"/>
          <xdr:cNvSpPr txBox="1"/>
        </xdr:nvSpPr>
        <xdr:spPr>
          <a:xfrm rot="16200000">
            <a:off x="6737508" y="1657197"/>
            <a:ext cx="883035" cy="2884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76h</a:t>
            </a:r>
          </a:p>
        </xdr:txBody>
      </xdr:sp>
      <xdr:cxnSp macro="">
        <xdr:nvCxnSpPr>
          <xdr:cNvPr id="154" name="Straight Connector 153"/>
          <xdr:cNvCxnSpPr/>
        </xdr:nvCxnSpPr>
        <xdr:spPr>
          <a:xfrm>
            <a:off x="4049512" y="1531955"/>
            <a:ext cx="326321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5" name="TextBox 44"/>
          <xdr:cNvSpPr txBox="1"/>
        </xdr:nvSpPr>
        <xdr:spPr>
          <a:xfrm>
            <a:off x="4397091" y="1283588"/>
            <a:ext cx="2584610" cy="3218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HSFA2-YFP, FLAG-HSFA3 in </a:t>
            </a:r>
            <a:r>
              <a:rPr lang="en-US" sz="1100" i="1"/>
              <a:t>hsfa2,3</a:t>
            </a:r>
          </a:p>
        </xdr:txBody>
      </xdr:sp>
      <xdr:cxnSp macro="">
        <xdr:nvCxnSpPr>
          <xdr:cNvPr id="156" name="Straight Connector 155"/>
          <xdr:cNvCxnSpPr/>
        </xdr:nvCxnSpPr>
        <xdr:spPr>
          <a:xfrm>
            <a:off x="2329383" y="263300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7" name="Straight Connector 156"/>
          <xdr:cNvCxnSpPr/>
        </xdr:nvCxnSpPr>
        <xdr:spPr>
          <a:xfrm>
            <a:off x="2329383" y="294194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8" name="Straight Connector 157"/>
          <xdr:cNvCxnSpPr/>
        </xdr:nvCxnSpPr>
        <xdr:spPr>
          <a:xfrm>
            <a:off x="2329383" y="325233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9" name="TextBox 18"/>
          <xdr:cNvSpPr txBox="1"/>
        </xdr:nvSpPr>
        <xdr:spPr>
          <a:xfrm>
            <a:off x="1683060" y="2500822"/>
            <a:ext cx="694958" cy="3218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250 kD</a:t>
            </a:r>
          </a:p>
        </xdr:txBody>
      </xdr:sp>
      <xdr:sp macro="" textlink="">
        <xdr:nvSpPr>
          <xdr:cNvPr id="160" name="TextBox 61"/>
          <xdr:cNvSpPr txBox="1"/>
        </xdr:nvSpPr>
        <xdr:spPr>
          <a:xfrm>
            <a:off x="1683060" y="2813809"/>
            <a:ext cx="694958" cy="3218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130 kD</a:t>
            </a:r>
          </a:p>
        </xdr:txBody>
      </xdr:sp>
      <xdr:sp macro="" textlink="">
        <xdr:nvSpPr>
          <xdr:cNvPr id="161" name="TextBox 62"/>
          <xdr:cNvSpPr txBox="1"/>
        </xdr:nvSpPr>
        <xdr:spPr>
          <a:xfrm>
            <a:off x="1683060" y="3124201"/>
            <a:ext cx="694958" cy="3218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100 kD</a:t>
            </a:r>
          </a:p>
        </xdr:txBody>
      </xdr:sp>
      <xdr:cxnSp macro="">
        <xdr:nvCxnSpPr>
          <xdr:cNvPr id="162" name="Straight Connector 161"/>
          <xdr:cNvCxnSpPr/>
        </xdr:nvCxnSpPr>
        <xdr:spPr>
          <a:xfrm>
            <a:off x="2329383" y="351689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3" name="TextBox 64"/>
          <xdr:cNvSpPr txBox="1"/>
        </xdr:nvSpPr>
        <xdr:spPr>
          <a:xfrm>
            <a:off x="1683060" y="3388761"/>
            <a:ext cx="694958" cy="3218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70 kD</a:t>
            </a:r>
          </a:p>
        </xdr:txBody>
      </xdr:sp>
      <xdr:sp macro="" textlink="">
        <xdr:nvSpPr>
          <xdr:cNvPr id="164" name="Rectangle 163"/>
          <xdr:cNvSpPr/>
        </xdr:nvSpPr>
        <xdr:spPr>
          <a:xfrm>
            <a:off x="2727094" y="3124200"/>
            <a:ext cx="4635919" cy="339622"/>
          </a:xfrm>
          <a:prstGeom prst="rect">
            <a:avLst/>
          </a:prstGeom>
          <a:noFill/>
          <a:ln w="3175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100"/>
          </a:p>
        </xdr:txBody>
      </xdr:sp>
      <xdr:cxnSp macro="">
        <xdr:nvCxnSpPr>
          <xdr:cNvPr id="165" name="Straight Connector 164"/>
          <xdr:cNvCxnSpPr/>
        </xdr:nvCxnSpPr>
        <xdr:spPr>
          <a:xfrm>
            <a:off x="2329383" y="385765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6" name="TextBox 64"/>
          <xdr:cNvSpPr txBox="1"/>
        </xdr:nvSpPr>
        <xdr:spPr>
          <a:xfrm>
            <a:off x="1683060" y="3729518"/>
            <a:ext cx="694958" cy="3218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55 kD</a:t>
            </a:r>
          </a:p>
        </xdr:txBody>
      </xdr:sp>
    </xdr:grpSp>
    <xdr:clientData/>
  </xdr:twoCellAnchor>
  <xdr:twoCellAnchor>
    <xdr:from>
      <xdr:col>1</xdr:col>
      <xdr:colOff>86590</xdr:colOff>
      <xdr:row>55</xdr:row>
      <xdr:rowOff>155794</xdr:rowOff>
    </xdr:from>
    <xdr:to>
      <xdr:col>11</xdr:col>
      <xdr:colOff>536863</xdr:colOff>
      <xdr:row>82</xdr:row>
      <xdr:rowOff>69204</xdr:rowOff>
    </xdr:to>
    <xdr:grpSp>
      <xdr:nvGrpSpPr>
        <xdr:cNvPr id="167" name="Group 166"/>
        <xdr:cNvGrpSpPr/>
      </xdr:nvGrpSpPr>
      <xdr:grpSpPr>
        <a:xfrm>
          <a:off x="1127284" y="10809683"/>
          <a:ext cx="6870829" cy="5081604"/>
          <a:chOff x="1199546" y="-228602"/>
          <a:chExt cx="7468204" cy="6096001"/>
        </a:xfrm>
      </xdr:grpSpPr>
      <xdr:pic>
        <xdr:nvPicPr>
          <xdr:cNvPr id="168" name="Picture 167" descr="D:\Bäurle Lab\Heat\HSFA3\20190117_GFP-IP-western\GFP-IP-InputGFPblot.jpg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/>
          <a:srcRect l="115" t="7134" r="8801" b="2612"/>
          <a:stretch/>
        </xdr:blipFill>
        <xdr:spPr bwMode="auto">
          <a:xfrm rot="10800000">
            <a:off x="1701800" y="1257299"/>
            <a:ext cx="6965950" cy="4610100"/>
          </a:xfrm>
          <a:prstGeom prst="rect">
            <a:avLst/>
          </a:prstGeom>
          <a:noFill/>
        </xdr:spPr>
      </xdr:pic>
      <xdr:sp macro="" textlink="">
        <xdr:nvSpPr>
          <xdr:cNvPr id="169" name="Textfeld 4"/>
          <xdr:cNvSpPr txBox="1"/>
        </xdr:nvSpPr>
        <xdr:spPr>
          <a:xfrm rot="16200000">
            <a:off x="2394467" y="838888"/>
            <a:ext cx="609600" cy="303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Col</a:t>
            </a:r>
          </a:p>
        </xdr:txBody>
      </xdr:sp>
      <xdr:sp macro="" textlink="">
        <xdr:nvSpPr>
          <xdr:cNvPr id="170" name="Textfeld 5"/>
          <xdr:cNvSpPr txBox="1"/>
        </xdr:nvSpPr>
        <xdr:spPr>
          <a:xfrm rot="16200000">
            <a:off x="2394465" y="381687"/>
            <a:ext cx="1524001" cy="303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HSFA2-YFP</a:t>
            </a:r>
          </a:p>
        </xdr:txBody>
      </xdr:sp>
      <xdr:sp macro="" textlink="">
        <xdr:nvSpPr>
          <xdr:cNvPr id="171" name="Textfeld 6"/>
          <xdr:cNvSpPr txBox="1"/>
        </xdr:nvSpPr>
        <xdr:spPr>
          <a:xfrm rot="16200000">
            <a:off x="2851666" y="381690"/>
            <a:ext cx="1524001" cy="303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FLAG-HSFA3</a:t>
            </a:r>
          </a:p>
        </xdr:txBody>
      </xdr:sp>
      <xdr:sp macro="" textlink="">
        <xdr:nvSpPr>
          <xdr:cNvPr id="172" name="Textfeld 7"/>
          <xdr:cNvSpPr txBox="1"/>
        </xdr:nvSpPr>
        <xdr:spPr>
          <a:xfrm rot="16200000">
            <a:off x="3347426" y="381690"/>
            <a:ext cx="1524001" cy="303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NTC d4</a:t>
            </a:r>
          </a:p>
        </xdr:txBody>
      </xdr:sp>
      <xdr:sp macro="" textlink="">
        <xdr:nvSpPr>
          <xdr:cNvPr id="173" name="Textfeld 8"/>
          <xdr:cNvSpPr txBox="1"/>
        </xdr:nvSpPr>
        <xdr:spPr>
          <a:xfrm rot="16200000">
            <a:off x="3777733" y="381690"/>
            <a:ext cx="1524001" cy="303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NTC d7</a:t>
            </a:r>
          </a:p>
        </xdr:txBody>
      </xdr:sp>
      <xdr:sp macro="" textlink="">
        <xdr:nvSpPr>
          <xdr:cNvPr id="174" name="Textfeld 9"/>
          <xdr:cNvSpPr txBox="1"/>
        </xdr:nvSpPr>
        <xdr:spPr>
          <a:xfrm>
            <a:off x="4770573" y="926070"/>
            <a:ext cx="451368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0h</a:t>
            </a:r>
          </a:p>
        </xdr:txBody>
      </xdr:sp>
      <xdr:sp macro="" textlink="">
        <xdr:nvSpPr>
          <xdr:cNvPr id="175" name="Textfeld 10"/>
          <xdr:cNvSpPr txBox="1"/>
        </xdr:nvSpPr>
        <xdr:spPr>
          <a:xfrm>
            <a:off x="5209843" y="923367"/>
            <a:ext cx="451368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2h</a:t>
            </a:r>
          </a:p>
        </xdr:txBody>
      </xdr:sp>
      <xdr:sp macro="" textlink="">
        <xdr:nvSpPr>
          <xdr:cNvPr id="176" name="Textfeld 11"/>
          <xdr:cNvSpPr txBox="1"/>
        </xdr:nvSpPr>
        <xdr:spPr>
          <a:xfrm>
            <a:off x="5656730" y="923367"/>
            <a:ext cx="451368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4h</a:t>
            </a:r>
          </a:p>
        </xdr:txBody>
      </xdr:sp>
      <xdr:sp macro="" textlink="">
        <xdr:nvSpPr>
          <xdr:cNvPr id="177" name="Textfeld 12"/>
          <xdr:cNvSpPr txBox="1"/>
        </xdr:nvSpPr>
        <xdr:spPr>
          <a:xfrm>
            <a:off x="6096000" y="923367"/>
            <a:ext cx="609600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28h</a:t>
            </a:r>
          </a:p>
        </xdr:txBody>
      </xdr:sp>
      <xdr:sp macro="" textlink="">
        <xdr:nvSpPr>
          <xdr:cNvPr id="178" name="Textfeld 13"/>
          <xdr:cNvSpPr txBox="1"/>
        </xdr:nvSpPr>
        <xdr:spPr>
          <a:xfrm>
            <a:off x="6539755" y="923367"/>
            <a:ext cx="609600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52h</a:t>
            </a:r>
          </a:p>
        </xdr:txBody>
      </xdr:sp>
      <xdr:sp macro="" textlink="">
        <xdr:nvSpPr>
          <xdr:cNvPr id="179" name="Textfeld 14"/>
          <xdr:cNvSpPr txBox="1"/>
        </xdr:nvSpPr>
        <xdr:spPr>
          <a:xfrm>
            <a:off x="7010400" y="923367"/>
            <a:ext cx="609600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76h</a:t>
            </a:r>
          </a:p>
        </xdr:txBody>
      </xdr:sp>
      <xdr:cxnSp macro="">
        <xdr:nvCxnSpPr>
          <xdr:cNvPr id="180" name="Gerade Verbindung 16"/>
          <xdr:cNvCxnSpPr/>
        </xdr:nvCxnSpPr>
        <xdr:spPr>
          <a:xfrm>
            <a:off x="4038600" y="457202"/>
            <a:ext cx="3352800" cy="1588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1" name="Textfeld 17"/>
          <xdr:cNvSpPr txBox="1"/>
        </xdr:nvSpPr>
        <xdr:spPr>
          <a:xfrm>
            <a:off x="4029635" y="123731"/>
            <a:ext cx="3429000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1100"/>
              <a:t>HSFA2-YFP, FLAG-HSFA3 in </a:t>
            </a:r>
            <a:r>
              <a:rPr lang="de-DE" sz="1100" i="1"/>
              <a:t>hsfa2,3</a:t>
            </a:r>
          </a:p>
        </xdr:txBody>
      </xdr:sp>
      <xdr:sp macro="" textlink="">
        <xdr:nvSpPr>
          <xdr:cNvPr id="182" name="Rectangle 181"/>
          <xdr:cNvSpPr/>
        </xdr:nvSpPr>
        <xdr:spPr>
          <a:xfrm>
            <a:off x="2485551" y="2079292"/>
            <a:ext cx="5134449" cy="443367"/>
          </a:xfrm>
          <a:prstGeom prst="rect">
            <a:avLst/>
          </a:prstGeom>
          <a:noFill/>
          <a:ln w="34925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100"/>
          </a:p>
        </xdr:txBody>
      </xdr:sp>
      <xdr:cxnSp macro="">
        <xdr:nvCxnSpPr>
          <xdr:cNvPr id="183" name="Straight Connector 182"/>
          <xdr:cNvCxnSpPr/>
        </xdr:nvCxnSpPr>
        <xdr:spPr>
          <a:xfrm>
            <a:off x="2218184" y="1617956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4" name="Straight Connector 183"/>
          <xdr:cNvCxnSpPr/>
        </xdr:nvCxnSpPr>
        <xdr:spPr>
          <a:xfrm>
            <a:off x="2218184" y="1958000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5" name="Straight Connector 184"/>
          <xdr:cNvCxnSpPr/>
        </xdr:nvCxnSpPr>
        <xdr:spPr>
          <a:xfrm>
            <a:off x="2218184" y="2199061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6" name="TextBox 18"/>
          <xdr:cNvSpPr txBox="1"/>
        </xdr:nvSpPr>
        <xdr:spPr>
          <a:xfrm>
            <a:off x="1199546" y="1436208"/>
            <a:ext cx="1075958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250 kD</a:t>
            </a:r>
          </a:p>
        </xdr:txBody>
      </xdr:sp>
      <xdr:sp macro="" textlink="">
        <xdr:nvSpPr>
          <xdr:cNvPr id="187" name="TextBox 61"/>
          <xdr:cNvSpPr txBox="1"/>
        </xdr:nvSpPr>
        <xdr:spPr>
          <a:xfrm>
            <a:off x="1199546" y="1780301"/>
            <a:ext cx="1075958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130 kD</a:t>
            </a:r>
          </a:p>
        </xdr:txBody>
      </xdr:sp>
      <xdr:sp macro="" textlink="">
        <xdr:nvSpPr>
          <xdr:cNvPr id="188" name="TextBox 62"/>
          <xdr:cNvSpPr txBox="1"/>
        </xdr:nvSpPr>
        <xdr:spPr>
          <a:xfrm>
            <a:off x="1199546" y="2021361"/>
            <a:ext cx="1075958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100 kD</a:t>
            </a:r>
          </a:p>
        </xdr:txBody>
      </xdr:sp>
      <xdr:cxnSp macro="">
        <xdr:nvCxnSpPr>
          <xdr:cNvPr id="189" name="Straight Connector 188"/>
          <xdr:cNvCxnSpPr/>
        </xdr:nvCxnSpPr>
        <xdr:spPr>
          <a:xfrm>
            <a:off x="2218184" y="2478674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0" name="TextBox 64"/>
          <xdr:cNvSpPr txBox="1"/>
        </xdr:nvSpPr>
        <xdr:spPr>
          <a:xfrm>
            <a:off x="1284430" y="2300975"/>
            <a:ext cx="991073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70 kD</a:t>
            </a:r>
          </a:p>
        </xdr:txBody>
      </xdr:sp>
      <xdr:cxnSp macro="">
        <xdr:nvCxnSpPr>
          <xdr:cNvPr id="191" name="Straight Connector 190"/>
          <xdr:cNvCxnSpPr/>
        </xdr:nvCxnSpPr>
        <xdr:spPr>
          <a:xfrm>
            <a:off x="2218184" y="2852050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2" name="TextBox 66"/>
          <xdr:cNvSpPr txBox="1"/>
        </xdr:nvSpPr>
        <xdr:spPr>
          <a:xfrm>
            <a:off x="1409266" y="2674352"/>
            <a:ext cx="866238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55 kD</a:t>
            </a:r>
          </a:p>
        </xdr:txBody>
      </xdr:sp>
      <xdr:sp macro="" textlink="">
        <xdr:nvSpPr>
          <xdr:cNvPr id="193" name="Textfeld 17"/>
          <xdr:cNvSpPr txBox="1"/>
        </xdr:nvSpPr>
        <xdr:spPr>
          <a:xfrm>
            <a:off x="1752600" y="5498068"/>
            <a:ext cx="3429000" cy="3189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Input – </a:t>
            </a:r>
            <a:r>
              <a:rPr lang="el-GR" sz="1100"/>
              <a:t>α</a:t>
            </a:r>
            <a:r>
              <a:rPr lang="en-US" sz="1100"/>
              <a:t>YFP blot</a:t>
            </a:r>
            <a:endParaRPr lang="de-DE" sz="1100" i="1"/>
          </a:p>
        </xdr:txBody>
      </xdr:sp>
    </xdr:grpSp>
    <xdr:clientData/>
  </xdr:twoCellAnchor>
  <xdr:twoCellAnchor>
    <xdr:from>
      <xdr:col>23</xdr:col>
      <xdr:colOff>336178</xdr:colOff>
      <xdr:row>22</xdr:row>
      <xdr:rowOff>134471</xdr:rowOff>
    </xdr:from>
    <xdr:to>
      <xdr:col>24</xdr:col>
      <xdr:colOff>44825</xdr:colOff>
      <xdr:row>29</xdr:row>
      <xdr:rowOff>51649</xdr:rowOff>
    </xdr:to>
    <xdr:sp macro="" textlink="">
      <xdr:nvSpPr>
        <xdr:cNvPr id="194" name="TextBox 5"/>
        <xdr:cNvSpPr txBox="1"/>
      </xdr:nvSpPr>
      <xdr:spPr>
        <a:xfrm rot="16200000">
          <a:off x="13785428" y="3841427"/>
          <a:ext cx="1250678" cy="31376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FLAG-HSFA3</a:t>
          </a:r>
        </a:p>
      </xdr:txBody>
    </xdr:sp>
    <xdr:clientData/>
  </xdr:twoCellAnchor>
  <xdr:twoCellAnchor>
    <xdr:from>
      <xdr:col>11</xdr:col>
      <xdr:colOff>121025</xdr:colOff>
      <xdr:row>57</xdr:row>
      <xdr:rowOff>33616</xdr:rowOff>
    </xdr:from>
    <xdr:to>
      <xdr:col>21</xdr:col>
      <xdr:colOff>425824</xdr:colOff>
      <xdr:row>82</xdr:row>
      <xdr:rowOff>75952</xdr:rowOff>
    </xdr:to>
    <xdr:grpSp>
      <xdr:nvGrpSpPr>
        <xdr:cNvPr id="195" name="Group 194"/>
        <xdr:cNvGrpSpPr/>
      </xdr:nvGrpSpPr>
      <xdr:grpSpPr>
        <a:xfrm>
          <a:off x="7582275" y="11075560"/>
          <a:ext cx="6478410" cy="4822475"/>
          <a:chOff x="1227911" y="452717"/>
          <a:chExt cx="6760389" cy="4827237"/>
        </a:xfrm>
      </xdr:grpSpPr>
      <xdr:sp macro="" textlink="">
        <xdr:nvSpPr>
          <xdr:cNvPr id="196" name="Textfeld 4"/>
          <xdr:cNvSpPr txBox="1"/>
        </xdr:nvSpPr>
        <xdr:spPr>
          <a:xfrm rot="16200000">
            <a:off x="2394466" y="1531222"/>
            <a:ext cx="609600" cy="2813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Col</a:t>
            </a:r>
          </a:p>
        </xdr:txBody>
      </xdr:sp>
      <xdr:sp macro="" textlink="">
        <xdr:nvSpPr>
          <xdr:cNvPr id="197" name="Textfeld 5"/>
          <xdr:cNvSpPr txBox="1"/>
        </xdr:nvSpPr>
        <xdr:spPr>
          <a:xfrm rot="16200000">
            <a:off x="2394465" y="1074021"/>
            <a:ext cx="1524001" cy="2813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HSFA2-YFP</a:t>
            </a:r>
          </a:p>
        </xdr:txBody>
      </xdr:sp>
      <xdr:sp macro="" textlink="">
        <xdr:nvSpPr>
          <xdr:cNvPr id="198" name="Textfeld 6"/>
          <xdr:cNvSpPr txBox="1"/>
        </xdr:nvSpPr>
        <xdr:spPr>
          <a:xfrm rot="16200000">
            <a:off x="2851666" y="1074023"/>
            <a:ext cx="1524001" cy="2813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FLAG-HSFA3</a:t>
            </a:r>
          </a:p>
        </xdr:txBody>
      </xdr:sp>
      <xdr:sp macro="" textlink="">
        <xdr:nvSpPr>
          <xdr:cNvPr id="199" name="Textfeld 7"/>
          <xdr:cNvSpPr txBox="1"/>
        </xdr:nvSpPr>
        <xdr:spPr>
          <a:xfrm rot="16200000">
            <a:off x="3347428" y="1074023"/>
            <a:ext cx="1524001" cy="2813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NTC d4</a:t>
            </a:r>
          </a:p>
        </xdr:txBody>
      </xdr:sp>
      <xdr:sp macro="" textlink="">
        <xdr:nvSpPr>
          <xdr:cNvPr id="200" name="Textfeld 8"/>
          <xdr:cNvSpPr txBox="1"/>
        </xdr:nvSpPr>
        <xdr:spPr>
          <a:xfrm rot="16200000">
            <a:off x="3777733" y="1074023"/>
            <a:ext cx="1524001" cy="2813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NTC d7</a:t>
            </a:r>
          </a:p>
        </xdr:txBody>
      </xdr:sp>
      <xdr:sp macro="" textlink="">
        <xdr:nvSpPr>
          <xdr:cNvPr id="201" name="Textfeld 9"/>
          <xdr:cNvSpPr txBox="1"/>
        </xdr:nvSpPr>
        <xdr:spPr>
          <a:xfrm>
            <a:off x="4770573" y="1607388"/>
            <a:ext cx="451367" cy="2657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0h</a:t>
            </a:r>
          </a:p>
        </xdr:txBody>
      </xdr:sp>
      <xdr:sp macro="" textlink="">
        <xdr:nvSpPr>
          <xdr:cNvPr id="202" name="Textfeld 10"/>
          <xdr:cNvSpPr txBox="1"/>
        </xdr:nvSpPr>
        <xdr:spPr>
          <a:xfrm>
            <a:off x="5209843" y="1604685"/>
            <a:ext cx="451367" cy="2657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2h</a:t>
            </a:r>
          </a:p>
        </xdr:txBody>
      </xdr:sp>
      <xdr:sp macro="" textlink="">
        <xdr:nvSpPr>
          <xdr:cNvPr id="203" name="Textfeld 11"/>
          <xdr:cNvSpPr txBox="1"/>
        </xdr:nvSpPr>
        <xdr:spPr>
          <a:xfrm>
            <a:off x="5656730" y="1604685"/>
            <a:ext cx="451367" cy="2657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4h</a:t>
            </a:r>
          </a:p>
        </xdr:txBody>
      </xdr:sp>
      <xdr:sp macro="" textlink="">
        <xdr:nvSpPr>
          <xdr:cNvPr id="204" name="Textfeld 12"/>
          <xdr:cNvSpPr txBox="1"/>
        </xdr:nvSpPr>
        <xdr:spPr>
          <a:xfrm>
            <a:off x="6096000" y="1604685"/>
            <a:ext cx="609600" cy="2657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28h</a:t>
            </a:r>
          </a:p>
        </xdr:txBody>
      </xdr:sp>
      <xdr:sp macro="" textlink="">
        <xdr:nvSpPr>
          <xdr:cNvPr id="205" name="Textfeld 13"/>
          <xdr:cNvSpPr txBox="1"/>
        </xdr:nvSpPr>
        <xdr:spPr>
          <a:xfrm>
            <a:off x="6539755" y="1604685"/>
            <a:ext cx="609600" cy="2657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52h</a:t>
            </a:r>
          </a:p>
        </xdr:txBody>
      </xdr:sp>
      <xdr:sp macro="" textlink="">
        <xdr:nvSpPr>
          <xdr:cNvPr id="206" name="Textfeld 14"/>
          <xdr:cNvSpPr txBox="1"/>
        </xdr:nvSpPr>
        <xdr:spPr>
          <a:xfrm>
            <a:off x="7010400" y="1604685"/>
            <a:ext cx="609600" cy="2657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76h</a:t>
            </a:r>
          </a:p>
        </xdr:txBody>
      </xdr:sp>
      <xdr:cxnSp macro="">
        <xdr:nvCxnSpPr>
          <xdr:cNvPr id="207" name="Gerade Verbindung 16"/>
          <xdr:cNvCxnSpPr/>
        </xdr:nvCxnSpPr>
        <xdr:spPr>
          <a:xfrm>
            <a:off x="4038600" y="1329911"/>
            <a:ext cx="3352800" cy="1588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8" name="Textfeld 17"/>
          <xdr:cNvSpPr txBox="1"/>
        </xdr:nvSpPr>
        <xdr:spPr>
          <a:xfrm>
            <a:off x="4029635" y="1052729"/>
            <a:ext cx="3429000" cy="2657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1100"/>
              <a:t>HSFA2-YFP, FLAG-HSFA3 in </a:t>
            </a:r>
            <a:r>
              <a:rPr lang="de-DE" sz="1100" i="1"/>
              <a:t>hsfa2,3</a:t>
            </a:r>
          </a:p>
        </xdr:txBody>
      </xdr:sp>
      <xdr:pic>
        <xdr:nvPicPr>
          <xdr:cNvPr id="209" name="Picture 208" descr="D:\Bäurle Lab\Heat\HSFA3\20190117_GFP-IP-western\GFP-IP-InputFlagblot.jpg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/>
          <a:srcRect l="14380" t="3804" r="3134" b="8481"/>
          <a:stretch/>
        </xdr:blipFill>
        <xdr:spPr bwMode="auto">
          <a:xfrm rot="10800000">
            <a:off x="1866900" y="1905000"/>
            <a:ext cx="6121400" cy="3365500"/>
          </a:xfrm>
          <a:prstGeom prst="rect">
            <a:avLst/>
          </a:prstGeom>
          <a:noFill/>
        </xdr:spPr>
      </xdr:pic>
      <xdr:sp macro="" textlink="">
        <xdr:nvSpPr>
          <xdr:cNvPr id="210" name="Rectangle 209"/>
          <xdr:cNvSpPr/>
        </xdr:nvSpPr>
        <xdr:spPr>
          <a:xfrm>
            <a:off x="2429031" y="2630366"/>
            <a:ext cx="5134449" cy="443367"/>
          </a:xfrm>
          <a:prstGeom prst="rect">
            <a:avLst/>
          </a:prstGeom>
          <a:noFill/>
          <a:ln w="34925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100"/>
          </a:p>
        </xdr:txBody>
      </xdr:sp>
      <xdr:cxnSp macro="">
        <xdr:nvCxnSpPr>
          <xdr:cNvPr id="211" name="Straight Connector 210"/>
          <xdr:cNvCxnSpPr/>
        </xdr:nvCxnSpPr>
        <xdr:spPr>
          <a:xfrm>
            <a:off x="2161664" y="2169030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2" name="Straight Connector 211"/>
          <xdr:cNvCxnSpPr/>
        </xdr:nvCxnSpPr>
        <xdr:spPr>
          <a:xfrm>
            <a:off x="2161664" y="2427474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3" name="Straight Connector 212"/>
          <xdr:cNvCxnSpPr/>
        </xdr:nvCxnSpPr>
        <xdr:spPr>
          <a:xfrm>
            <a:off x="2161664" y="2619107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4" name="Straight Connector 213"/>
          <xdr:cNvCxnSpPr/>
        </xdr:nvCxnSpPr>
        <xdr:spPr>
          <a:xfrm>
            <a:off x="2161664" y="2811917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5" name="TextBox 64"/>
          <xdr:cNvSpPr txBox="1"/>
        </xdr:nvSpPr>
        <xdr:spPr>
          <a:xfrm>
            <a:off x="1227911" y="2634218"/>
            <a:ext cx="991073" cy="2657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70 kD</a:t>
            </a:r>
          </a:p>
        </xdr:txBody>
      </xdr:sp>
      <xdr:cxnSp macro="">
        <xdr:nvCxnSpPr>
          <xdr:cNvPr id="216" name="Straight Connector 215"/>
          <xdr:cNvCxnSpPr/>
        </xdr:nvCxnSpPr>
        <xdr:spPr>
          <a:xfrm>
            <a:off x="2161664" y="3066766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7" name="TextBox 66"/>
          <xdr:cNvSpPr txBox="1"/>
        </xdr:nvSpPr>
        <xdr:spPr>
          <a:xfrm>
            <a:off x="1352746" y="2889067"/>
            <a:ext cx="866238" cy="2657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55 kD</a:t>
            </a:r>
          </a:p>
        </xdr:txBody>
      </xdr:sp>
      <xdr:sp macro="" textlink="">
        <xdr:nvSpPr>
          <xdr:cNvPr id="218" name="Textfeld 17"/>
          <xdr:cNvSpPr txBox="1"/>
        </xdr:nvSpPr>
        <xdr:spPr>
          <a:xfrm>
            <a:off x="1899166" y="5014161"/>
            <a:ext cx="3429000" cy="2657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Input – </a:t>
            </a:r>
            <a:r>
              <a:rPr lang="el-GR" sz="1100"/>
              <a:t>α</a:t>
            </a:r>
            <a:r>
              <a:rPr lang="en-US" sz="1100"/>
              <a:t>FLAG blot</a:t>
            </a:r>
            <a:endParaRPr lang="de-DE" sz="1100" i="1"/>
          </a:p>
        </xdr:txBody>
      </xdr:sp>
    </xdr:grpSp>
    <xdr:clientData/>
  </xdr:twoCellAnchor>
  <xdr:twoCellAnchor>
    <xdr:from>
      <xdr:col>11</xdr:col>
      <xdr:colOff>119725</xdr:colOff>
      <xdr:row>65</xdr:row>
      <xdr:rowOff>81254</xdr:rowOff>
    </xdr:from>
    <xdr:to>
      <xdr:col>12</xdr:col>
      <xdr:colOff>454718</xdr:colOff>
      <xdr:row>66</xdr:row>
      <xdr:rowOff>155314</xdr:rowOff>
    </xdr:to>
    <xdr:sp macro="" textlink="">
      <xdr:nvSpPr>
        <xdr:cNvPr id="219" name="TextBox 18"/>
        <xdr:cNvSpPr txBox="1"/>
      </xdr:nvSpPr>
      <xdr:spPr>
        <a:xfrm>
          <a:off x="6861768" y="11511254"/>
          <a:ext cx="947907" cy="2645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/>
            <a:t>250 kD</a:t>
          </a:r>
        </a:p>
      </xdr:txBody>
    </xdr:sp>
    <xdr:clientData/>
  </xdr:twoCellAnchor>
  <xdr:twoCellAnchor>
    <xdr:from>
      <xdr:col>11</xdr:col>
      <xdr:colOff>119725</xdr:colOff>
      <xdr:row>66</xdr:row>
      <xdr:rowOff>143062</xdr:rowOff>
    </xdr:from>
    <xdr:to>
      <xdr:col>12</xdr:col>
      <xdr:colOff>454718</xdr:colOff>
      <xdr:row>68</xdr:row>
      <xdr:rowOff>26622</xdr:rowOff>
    </xdr:to>
    <xdr:sp macro="" textlink="">
      <xdr:nvSpPr>
        <xdr:cNvPr id="220" name="TextBox 61"/>
        <xdr:cNvSpPr txBox="1"/>
      </xdr:nvSpPr>
      <xdr:spPr>
        <a:xfrm>
          <a:off x="6861768" y="11763562"/>
          <a:ext cx="947907" cy="2645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/>
            <a:t>130 kD</a:t>
          </a:r>
        </a:p>
      </xdr:txBody>
    </xdr:sp>
    <xdr:clientData/>
  </xdr:twoCellAnchor>
  <xdr:twoCellAnchor>
    <xdr:from>
      <xdr:col>11</xdr:col>
      <xdr:colOff>119725</xdr:colOff>
      <xdr:row>67</xdr:row>
      <xdr:rowOff>152533</xdr:rowOff>
    </xdr:from>
    <xdr:to>
      <xdr:col>12</xdr:col>
      <xdr:colOff>454718</xdr:colOff>
      <xdr:row>69</xdr:row>
      <xdr:rowOff>36093</xdr:rowOff>
    </xdr:to>
    <xdr:sp macro="" textlink="">
      <xdr:nvSpPr>
        <xdr:cNvPr id="221" name="TextBox 62"/>
        <xdr:cNvSpPr txBox="1"/>
      </xdr:nvSpPr>
      <xdr:spPr>
        <a:xfrm>
          <a:off x="6861768" y="11963533"/>
          <a:ext cx="947907" cy="2645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/>
            <a:t>100 kD</a:t>
          </a:r>
        </a:p>
      </xdr:txBody>
    </xdr:sp>
    <xdr:clientData/>
  </xdr:twoCellAnchor>
  <xdr:twoCellAnchor>
    <xdr:from>
      <xdr:col>21</xdr:col>
      <xdr:colOff>571297</xdr:colOff>
      <xdr:row>81</xdr:row>
      <xdr:rowOff>33616</xdr:rowOff>
    </xdr:from>
    <xdr:to>
      <xdr:col>27</xdr:col>
      <xdr:colOff>163520</xdr:colOff>
      <xdr:row>82</xdr:row>
      <xdr:rowOff>107676</xdr:rowOff>
    </xdr:to>
    <xdr:sp macro="" textlink="">
      <xdr:nvSpPr>
        <xdr:cNvPr id="248" name="Textfeld 17"/>
        <xdr:cNvSpPr txBox="1"/>
      </xdr:nvSpPr>
      <xdr:spPr>
        <a:xfrm>
          <a:off x="13300161" y="14511616"/>
          <a:ext cx="3229041" cy="2645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1100"/>
            <a:t>YFP-IP – </a:t>
          </a:r>
          <a:r>
            <a:rPr lang="el-GR" sz="1100"/>
            <a:t>α</a:t>
          </a:r>
          <a:r>
            <a:rPr lang="en-US" sz="1100"/>
            <a:t>YFP blot</a:t>
          </a:r>
          <a:endParaRPr lang="de-DE" sz="1100" i="1"/>
        </a:p>
      </xdr:txBody>
    </xdr:sp>
    <xdr:clientData/>
  </xdr:twoCellAnchor>
  <xdr:twoCellAnchor>
    <xdr:from>
      <xdr:col>30</xdr:col>
      <xdr:colOff>500062</xdr:colOff>
      <xdr:row>57</xdr:row>
      <xdr:rowOff>23812</xdr:rowOff>
    </xdr:from>
    <xdr:to>
      <xdr:col>41</xdr:col>
      <xdr:colOff>349540</xdr:colOff>
      <xdr:row>81</xdr:row>
      <xdr:rowOff>117811</xdr:rowOff>
    </xdr:to>
    <xdr:grpSp>
      <xdr:nvGrpSpPr>
        <xdr:cNvPr id="249" name="Group 248"/>
        <xdr:cNvGrpSpPr/>
      </xdr:nvGrpSpPr>
      <xdr:grpSpPr>
        <a:xfrm>
          <a:off x="19691173" y="11065756"/>
          <a:ext cx="6640450" cy="4680111"/>
          <a:chOff x="1121425" y="452717"/>
          <a:chExt cx="6659853" cy="4665999"/>
        </a:xfrm>
      </xdr:grpSpPr>
      <xdr:sp macro="" textlink="">
        <xdr:nvSpPr>
          <xdr:cNvPr id="250" name="Textfeld 4"/>
          <xdr:cNvSpPr txBox="1"/>
        </xdr:nvSpPr>
        <xdr:spPr>
          <a:xfrm rot="16200000">
            <a:off x="2394466" y="1539639"/>
            <a:ext cx="609600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Col</a:t>
            </a:r>
          </a:p>
        </xdr:txBody>
      </xdr:sp>
      <xdr:sp macro="" textlink="">
        <xdr:nvSpPr>
          <xdr:cNvPr id="251" name="Textfeld 5"/>
          <xdr:cNvSpPr txBox="1"/>
        </xdr:nvSpPr>
        <xdr:spPr>
          <a:xfrm rot="16200000">
            <a:off x="2394465" y="1082438"/>
            <a:ext cx="1524001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HSFA2-YFP</a:t>
            </a:r>
          </a:p>
        </xdr:txBody>
      </xdr:sp>
      <xdr:sp macro="" textlink="">
        <xdr:nvSpPr>
          <xdr:cNvPr id="252" name="Textfeld 6"/>
          <xdr:cNvSpPr txBox="1"/>
        </xdr:nvSpPr>
        <xdr:spPr>
          <a:xfrm rot="16200000">
            <a:off x="2851666" y="1082440"/>
            <a:ext cx="1524001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FLAG-HSFA3</a:t>
            </a:r>
          </a:p>
        </xdr:txBody>
      </xdr:sp>
      <xdr:sp macro="" textlink="">
        <xdr:nvSpPr>
          <xdr:cNvPr id="253" name="Textfeld 7"/>
          <xdr:cNvSpPr txBox="1"/>
        </xdr:nvSpPr>
        <xdr:spPr>
          <a:xfrm rot="16200000">
            <a:off x="3347428" y="1082440"/>
            <a:ext cx="1524001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NTC d4</a:t>
            </a:r>
          </a:p>
        </xdr:txBody>
      </xdr:sp>
      <xdr:sp macro="" textlink="">
        <xdr:nvSpPr>
          <xdr:cNvPr id="254" name="Textfeld 8"/>
          <xdr:cNvSpPr txBox="1"/>
        </xdr:nvSpPr>
        <xdr:spPr>
          <a:xfrm rot="16200000">
            <a:off x="3777733" y="1082440"/>
            <a:ext cx="1524001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NTC d7</a:t>
            </a:r>
          </a:p>
        </xdr:txBody>
      </xdr:sp>
      <xdr:sp macro="" textlink="">
        <xdr:nvSpPr>
          <xdr:cNvPr id="255" name="Textfeld 9"/>
          <xdr:cNvSpPr txBox="1"/>
        </xdr:nvSpPr>
        <xdr:spPr>
          <a:xfrm>
            <a:off x="4770573" y="1607388"/>
            <a:ext cx="451367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0h</a:t>
            </a:r>
          </a:p>
        </xdr:txBody>
      </xdr:sp>
      <xdr:sp macro="" textlink="">
        <xdr:nvSpPr>
          <xdr:cNvPr id="256" name="Textfeld 10"/>
          <xdr:cNvSpPr txBox="1"/>
        </xdr:nvSpPr>
        <xdr:spPr>
          <a:xfrm>
            <a:off x="5209843" y="1604685"/>
            <a:ext cx="451367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2h</a:t>
            </a:r>
          </a:p>
        </xdr:txBody>
      </xdr:sp>
      <xdr:sp macro="" textlink="">
        <xdr:nvSpPr>
          <xdr:cNvPr id="257" name="Textfeld 11"/>
          <xdr:cNvSpPr txBox="1"/>
        </xdr:nvSpPr>
        <xdr:spPr>
          <a:xfrm>
            <a:off x="5656730" y="1604685"/>
            <a:ext cx="451367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4h</a:t>
            </a:r>
          </a:p>
        </xdr:txBody>
      </xdr:sp>
      <xdr:sp macro="" textlink="">
        <xdr:nvSpPr>
          <xdr:cNvPr id="258" name="Textfeld 12"/>
          <xdr:cNvSpPr txBox="1"/>
        </xdr:nvSpPr>
        <xdr:spPr>
          <a:xfrm>
            <a:off x="6096000" y="1604685"/>
            <a:ext cx="609600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28h</a:t>
            </a:r>
          </a:p>
        </xdr:txBody>
      </xdr:sp>
      <xdr:sp macro="" textlink="">
        <xdr:nvSpPr>
          <xdr:cNvPr id="259" name="Textfeld 13"/>
          <xdr:cNvSpPr txBox="1"/>
        </xdr:nvSpPr>
        <xdr:spPr>
          <a:xfrm>
            <a:off x="6539755" y="1604685"/>
            <a:ext cx="609600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52h</a:t>
            </a:r>
          </a:p>
        </xdr:txBody>
      </xdr:sp>
      <xdr:sp macro="" textlink="">
        <xdr:nvSpPr>
          <xdr:cNvPr id="260" name="Textfeld 14"/>
          <xdr:cNvSpPr txBox="1"/>
        </xdr:nvSpPr>
        <xdr:spPr>
          <a:xfrm>
            <a:off x="7010400" y="1604685"/>
            <a:ext cx="609600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76h</a:t>
            </a:r>
          </a:p>
        </xdr:txBody>
      </xdr:sp>
      <xdr:cxnSp macro="">
        <xdr:nvCxnSpPr>
          <xdr:cNvPr id="261" name="Gerade Verbindung 16"/>
          <xdr:cNvCxnSpPr/>
        </xdr:nvCxnSpPr>
        <xdr:spPr>
          <a:xfrm>
            <a:off x="4038600" y="1138520"/>
            <a:ext cx="3352800" cy="1588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2" name="Textfeld 17"/>
          <xdr:cNvSpPr txBox="1"/>
        </xdr:nvSpPr>
        <xdr:spPr>
          <a:xfrm>
            <a:off x="4029635" y="805048"/>
            <a:ext cx="3429000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HSFA2-YFP, FLAG-HSFA3 in </a:t>
            </a:r>
            <a:r>
              <a:rPr lang="de-DE" sz="1100" i="1"/>
              <a:t>hsfa2,3</a:t>
            </a:r>
          </a:p>
        </xdr:txBody>
      </xdr:sp>
      <xdr:pic>
        <xdr:nvPicPr>
          <xdr:cNvPr id="263" name="Picture 262" descr="D:\Bäurle Lab\Heat\HSFA3\20190117_GFP-IP-western\GFP-IP-IPFlagblot.jpg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/>
          <a:srcRect l="9281" t="6015" r="16309" b="14618"/>
          <a:stretch/>
        </xdr:blipFill>
        <xdr:spPr bwMode="auto">
          <a:xfrm>
            <a:off x="1886505" y="1887244"/>
            <a:ext cx="5894773" cy="3231472"/>
          </a:xfrm>
          <a:prstGeom prst="rect">
            <a:avLst/>
          </a:prstGeom>
          <a:noFill/>
        </xdr:spPr>
      </xdr:pic>
      <xdr:sp macro="" textlink="">
        <xdr:nvSpPr>
          <xdr:cNvPr id="264" name="Rectangle 263"/>
          <xdr:cNvSpPr/>
        </xdr:nvSpPr>
        <xdr:spPr>
          <a:xfrm>
            <a:off x="2429031" y="2679792"/>
            <a:ext cx="5134449" cy="373026"/>
          </a:xfrm>
          <a:prstGeom prst="rect">
            <a:avLst/>
          </a:prstGeom>
          <a:noFill/>
          <a:ln w="34925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100"/>
          </a:p>
        </xdr:txBody>
      </xdr:sp>
      <xdr:cxnSp macro="">
        <xdr:nvCxnSpPr>
          <xdr:cNvPr id="265" name="Straight Connector 264"/>
          <xdr:cNvCxnSpPr/>
        </xdr:nvCxnSpPr>
        <xdr:spPr>
          <a:xfrm>
            <a:off x="2140063" y="2286000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6" name="Straight Connector 265"/>
          <xdr:cNvCxnSpPr/>
        </xdr:nvCxnSpPr>
        <xdr:spPr>
          <a:xfrm>
            <a:off x="2140063" y="2494917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7" name="Straight Connector 266"/>
          <xdr:cNvCxnSpPr/>
        </xdr:nvCxnSpPr>
        <xdr:spPr>
          <a:xfrm>
            <a:off x="2140063" y="2682519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8" name="TextBox 18"/>
          <xdr:cNvSpPr txBox="1"/>
        </xdr:nvSpPr>
        <xdr:spPr>
          <a:xfrm>
            <a:off x="1121425" y="2104253"/>
            <a:ext cx="1075958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250 kD</a:t>
            </a:r>
          </a:p>
        </xdr:txBody>
      </xdr:sp>
      <xdr:sp macro="" textlink="">
        <xdr:nvSpPr>
          <xdr:cNvPr id="269" name="TextBox 61"/>
          <xdr:cNvSpPr txBox="1"/>
        </xdr:nvSpPr>
        <xdr:spPr>
          <a:xfrm>
            <a:off x="1121425" y="2317218"/>
            <a:ext cx="1075958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130 kD</a:t>
            </a:r>
          </a:p>
        </xdr:txBody>
      </xdr:sp>
      <xdr:sp macro="" textlink="">
        <xdr:nvSpPr>
          <xdr:cNvPr id="270" name="TextBox 62"/>
          <xdr:cNvSpPr txBox="1"/>
        </xdr:nvSpPr>
        <xdr:spPr>
          <a:xfrm>
            <a:off x="1121425" y="2504820"/>
            <a:ext cx="1075958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100 kD</a:t>
            </a:r>
          </a:p>
        </xdr:txBody>
      </xdr:sp>
      <xdr:cxnSp macro="">
        <xdr:nvCxnSpPr>
          <xdr:cNvPr id="271" name="Straight Connector 270"/>
          <xdr:cNvCxnSpPr/>
        </xdr:nvCxnSpPr>
        <xdr:spPr>
          <a:xfrm>
            <a:off x="2140063" y="2895600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2" name="TextBox 64"/>
          <xdr:cNvSpPr txBox="1"/>
        </xdr:nvSpPr>
        <xdr:spPr>
          <a:xfrm>
            <a:off x="1206310" y="2717901"/>
            <a:ext cx="991073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70 kD</a:t>
            </a:r>
          </a:p>
        </xdr:txBody>
      </xdr:sp>
      <xdr:cxnSp macro="">
        <xdr:nvCxnSpPr>
          <xdr:cNvPr id="273" name="Straight Connector 272"/>
          <xdr:cNvCxnSpPr/>
        </xdr:nvCxnSpPr>
        <xdr:spPr>
          <a:xfrm>
            <a:off x="2140063" y="3083077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4" name="TextBox 66"/>
          <xdr:cNvSpPr txBox="1"/>
        </xdr:nvSpPr>
        <xdr:spPr>
          <a:xfrm>
            <a:off x="1331145" y="2905378"/>
            <a:ext cx="866238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55 kD</a:t>
            </a:r>
          </a:p>
        </xdr:txBody>
      </xdr:sp>
      <xdr:sp macro="" textlink="">
        <xdr:nvSpPr>
          <xdr:cNvPr id="275" name="Textfeld 17"/>
          <xdr:cNvSpPr txBox="1"/>
        </xdr:nvSpPr>
        <xdr:spPr>
          <a:xfrm>
            <a:off x="2349573" y="4835109"/>
            <a:ext cx="3429000" cy="2645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YFP-IP – </a:t>
            </a:r>
            <a:r>
              <a:rPr lang="el-GR" sz="1100"/>
              <a:t>α</a:t>
            </a:r>
            <a:r>
              <a:rPr lang="en-US" sz="1100"/>
              <a:t>FLAG blot</a:t>
            </a:r>
            <a:endParaRPr lang="de-DE" sz="1100" i="1"/>
          </a:p>
        </xdr:txBody>
      </xdr:sp>
    </xdr:grpSp>
    <xdr:clientData/>
  </xdr:twoCellAnchor>
  <xdr:twoCellAnchor>
    <xdr:from>
      <xdr:col>2</xdr:col>
      <xdr:colOff>0</xdr:colOff>
      <xdr:row>119</xdr:row>
      <xdr:rowOff>0</xdr:rowOff>
    </xdr:from>
    <xdr:to>
      <xdr:col>12</xdr:col>
      <xdr:colOff>53509</xdr:colOff>
      <xdr:row>136</xdr:row>
      <xdr:rowOff>187810</xdr:rowOff>
    </xdr:to>
    <xdr:grpSp>
      <xdr:nvGrpSpPr>
        <xdr:cNvPr id="276" name="Group 275"/>
        <xdr:cNvGrpSpPr/>
      </xdr:nvGrpSpPr>
      <xdr:grpSpPr>
        <a:xfrm>
          <a:off x="1905000" y="23001111"/>
          <a:ext cx="6227120" cy="3486282"/>
          <a:chOff x="609600" y="76200"/>
          <a:chExt cx="6104685" cy="3426311"/>
        </a:xfrm>
      </xdr:grpSpPr>
      <xdr:pic>
        <xdr:nvPicPr>
          <xdr:cNvPr id="277" name="Picture 276" descr="Z:\A3-Manuscript\revision\20200812-InVitroCoIPs\20201007_HaloIPA2series-InputHaloFlagHaus20rotated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89" t="1181" r="46696" b="-45"/>
          <a:stretch/>
        </xdr:blipFill>
        <xdr:spPr bwMode="auto">
          <a:xfrm>
            <a:off x="1287780" y="693420"/>
            <a:ext cx="4541520" cy="24841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278" name="Straight Connector 277"/>
          <xdr:cNvCxnSpPr/>
        </xdr:nvCxnSpPr>
        <xdr:spPr>
          <a:xfrm>
            <a:off x="5554642" y="868399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9" name="Straight Connector 278"/>
          <xdr:cNvCxnSpPr/>
        </xdr:nvCxnSpPr>
        <xdr:spPr>
          <a:xfrm>
            <a:off x="5554642" y="1203960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0" name="TextBox 61"/>
          <xdr:cNvSpPr txBox="1"/>
        </xdr:nvSpPr>
        <xdr:spPr>
          <a:xfrm>
            <a:off x="5638327" y="685800"/>
            <a:ext cx="10759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130 kD</a:t>
            </a:r>
          </a:p>
        </xdr:txBody>
      </xdr:sp>
      <xdr:sp macro="" textlink="">
        <xdr:nvSpPr>
          <xdr:cNvPr id="281" name="TextBox 62"/>
          <xdr:cNvSpPr txBox="1"/>
        </xdr:nvSpPr>
        <xdr:spPr>
          <a:xfrm>
            <a:off x="5638327" y="1009093"/>
            <a:ext cx="10759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100 kD</a:t>
            </a:r>
          </a:p>
        </xdr:txBody>
      </xdr:sp>
      <xdr:cxnSp macro="">
        <xdr:nvCxnSpPr>
          <xdr:cNvPr id="282" name="Straight Connector 281"/>
          <xdr:cNvCxnSpPr/>
        </xdr:nvCxnSpPr>
        <xdr:spPr>
          <a:xfrm>
            <a:off x="5554642" y="1531620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3" name="TextBox 64"/>
          <xdr:cNvSpPr txBox="1"/>
        </xdr:nvSpPr>
        <xdr:spPr>
          <a:xfrm>
            <a:off x="5638327" y="1346954"/>
            <a:ext cx="991073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70 kD</a:t>
            </a:r>
          </a:p>
        </xdr:txBody>
      </xdr:sp>
      <xdr:cxnSp macro="">
        <xdr:nvCxnSpPr>
          <xdr:cNvPr id="284" name="Straight Connector 283"/>
          <xdr:cNvCxnSpPr/>
        </xdr:nvCxnSpPr>
        <xdr:spPr>
          <a:xfrm>
            <a:off x="5554642" y="1864121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5" name="TextBox 66"/>
          <xdr:cNvSpPr txBox="1"/>
        </xdr:nvSpPr>
        <xdr:spPr>
          <a:xfrm>
            <a:off x="5638327" y="1672762"/>
            <a:ext cx="86623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55 kD</a:t>
            </a:r>
          </a:p>
        </xdr:txBody>
      </xdr:sp>
      <xdr:sp macro="" textlink="">
        <xdr:nvSpPr>
          <xdr:cNvPr id="286" name="TextBox 18"/>
          <xdr:cNvSpPr txBox="1"/>
        </xdr:nvSpPr>
        <xdr:spPr>
          <a:xfrm>
            <a:off x="1288069" y="3133179"/>
            <a:ext cx="219203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Input – </a:t>
            </a:r>
            <a:r>
              <a:rPr lang="el-GR" sz="1800"/>
              <a:t>α</a:t>
            </a:r>
            <a:r>
              <a:rPr lang="en-US" sz="1800"/>
              <a:t>HALO blot</a:t>
            </a:r>
          </a:p>
        </xdr:txBody>
      </xdr:sp>
      <xdr:sp macro="" textlink="">
        <xdr:nvSpPr>
          <xdr:cNvPr id="287" name="TextBox 1"/>
          <xdr:cNvSpPr txBox="1"/>
        </xdr:nvSpPr>
        <xdr:spPr>
          <a:xfrm>
            <a:off x="609600" y="76200"/>
            <a:ext cx="4791183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HALO:  A1a    A1b    A1d    A2      A3     A7a    HALO</a:t>
            </a:r>
          </a:p>
          <a:p>
            <a:r>
              <a:rPr lang="en-US"/>
              <a:t>FLAG:    A2      A2      A2     </a:t>
            </a:r>
            <a:r>
              <a:rPr lang="en-US" sz="700"/>
              <a:t> </a:t>
            </a:r>
            <a:r>
              <a:rPr lang="en-US"/>
              <a:t>A2      A2      A2        A2</a:t>
            </a:r>
          </a:p>
        </xdr:txBody>
      </xdr:sp>
    </xdr:grpSp>
    <xdr:clientData/>
  </xdr:twoCellAnchor>
  <xdr:twoCellAnchor>
    <xdr:from>
      <xdr:col>11</xdr:col>
      <xdr:colOff>448235</xdr:colOff>
      <xdr:row>119</xdr:row>
      <xdr:rowOff>78441</xdr:rowOff>
    </xdr:from>
    <xdr:to>
      <xdr:col>20</xdr:col>
      <xdr:colOff>402959</xdr:colOff>
      <xdr:row>136</xdr:row>
      <xdr:rowOff>156420</xdr:rowOff>
    </xdr:to>
    <xdr:grpSp>
      <xdr:nvGrpSpPr>
        <xdr:cNvPr id="288" name="Group 287"/>
        <xdr:cNvGrpSpPr/>
      </xdr:nvGrpSpPr>
      <xdr:grpSpPr>
        <a:xfrm>
          <a:off x="7909485" y="23079552"/>
          <a:ext cx="5510974" cy="3376451"/>
          <a:chOff x="-381000" y="76200"/>
          <a:chExt cx="5400783" cy="3316479"/>
        </a:xfrm>
      </xdr:grpSpPr>
      <xdr:cxnSp macro="">
        <xdr:nvCxnSpPr>
          <xdr:cNvPr id="289" name="Straight Connector 288"/>
          <xdr:cNvCxnSpPr/>
        </xdr:nvCxnSpPr>
        <xdr:spPr>
          <a:xfrm>
            <a:off x="3914238" y="1955355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0" name="TextBox 18"/>
          <xdr:cNvSpPr txBox="1"/>
        </xdr:nvSpPr>
        <xdr:spPr>
          <a:xfrm>
            <a:off x="2895600" y="1773608"/>
            <a:ext cx="10759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250 kD</a:t>
            </a:r>
          </a:p>
        </xdr:txBody>
      </xdr:sp>
      <xdr:pic>
        <xdr:nvPicPr>
          <xdr:cNvPr id="291" name="Picture 290" descr="Z:\A3-Manuscript\revision\20200812-InVitroCoIPs\20201007_HaloIPA2series-InputHaloFlagHaus20rotated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9363" t="1181" r="380" b="3594"/>
          <a:stretch/>
        </xdr:blipFill>
        <xdr:spPr bwMode="auto">
          <a:xfrm>
            <a:off x="617220" y="693420"/>
            <a:ext cx="4274820" cy="23926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292" name="Straight Connector 291"/>
          <xdr:cNvCxnSpPr/>
        </xdr:nvCxnSpPr>
        <xdr:spPr>
          <a:xfrm>
            <a:off x="677842" y="868399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3" name="Straight Connector 292"/>
          <xdr:cNvCxnSpPr/>
        </xdr:nvCxnSpPr>
        <xdr:spPr>
          <a:xfrm>
            <a:off x="677842" y="1203960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4" name="TextBox 61"/>
          <xdr:cNvSpPr txBox="1"/>
        </xdr:nvSpPr>
        <xdr:spPr>
          <a:xfrm>
            <a:off x="-381000" y="685800"/>
            <a:ext cx="10759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130 kD</a:t>
            </a:r>
          </a:p>
        </xdr:txBody>
      </xdr:sp>
      <xdr:sp macro="" textlink="">
        <xdr:nvSpPr>
          <xdr:cNvPr id="295" name="TextBox 62"/>
          <xdr:cNvSpPr txBox="1"/>
        </xdr:nvSpPr>
        <xdr:spPr>
          <a:xfrm>
            <a:off x="-381000" y="1009094"/>
            <a:ext cx="10759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100 kD</a:t>
            </a:r>
          </a:p>
        </xdr:txBody>
      </xdr:sp>
      <xdr:cxnSp macro="">
        <xdr:nvCxnSpPr>
          <xdr:cNvPr id="296" name="Straight Connector 295"/>
          <xdr:cNvCxnSpPr/>
        </xdr:nvCxnSpPr>
        <xdr:spPr>
          <a:xfrm>
            <a:off x="677842" y="1531620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7" name="TextBox 64"/>
          <xdr:cNvSpPr txBox="1"/>
        </xdr:nvSpPr>
        <xdr:spPr>
          <a:xfrm>
            <a:off x="-296115" y="1346954"/>
            <a:ext cx="991073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70 kD</a:t>
            </a:r>
          </a:p>
        </xdr:txBody>
      </xdr:sp>
      <xdr:cxnSp macro="">
        <xdr:nvCxnSpPr>
          <xdr:cNvPr id="298" name="Straight Connector 297"/>
          <xdr:cNvCxnSpPr/>
        </xdr:nvCxnSpPr>
        <xdr:spPr>
          <a:xfrm>
            <a:off x="677842" y="1864121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9" name="TextBox 66"/>
          <xdr:cNvSpPr txBox="1"/>
        </xdr:nvSpPr>
        <xdr:spPr>
          <a:xfrm>
            <a:off x="-171280" y="1672762"/>
            <a:ext cx="86623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55 kD</a:t>
            </a:r>
          </a:p>
        </xdr:txBody>
      </xdr:sp>
      <xdr:sp macro="" textlink="">
        <xdr:nvSpPr>
          <xdr:cNvPr id="300" name="TextBox 18"/>
          <xdr:cNvSpPr txBox="1"/>
        </xdr:nvSpPr>
        <xdr:spPr>
          <a:xfrm>
            <a:off x="553570" y="3023347"/>
            <a:ext cx="219203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Input – </a:t>
            </a:r>
            <a:r>
              <a:rPr lang="el-GR" sz="1800"/>
              <a:t>α</a:t>
            </a:r>
            <a:r>
              <a:rPr lang="en-US" sz="1800"/>
              <a:t>FLAG blot</a:t>
            </a:r>
          </a:p>
        </xdr:txBody>
      </xdr:sp>
      <xdr:sp macro="" textlink="">
        <xdr:nvSpPr>
          <xdr:cNvPr id="301" name="TextBox 1"/>
          <xdr:cNvSpPr txBox="1"/>
        </xdr:nvSpPr>
        <xdr:spPr>
          <a:xfrm>
            <a:off x="228600" y="76200"/>
            <a:ext cx="4791183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HALO:  A1a    A1b    A1d    A2      A3     A7a    HALO</a:t>
            </a:r>
          </a:p>
          <a:p>
            <a:r>
              <a:rPr lang="en-US"/>
              <a:t>FLAG:    A2      A2      A2     </a:t>
            </a:r>
            <a:r>
              <a:rPr lang="en-US" sz="700"/>
              <a:t> </a:t>
            </a:r>
            <a:r>
              <a:rPr lang="en-US"/>
              <a:t>A2      A2      A2        A2</a:t>
            </a:r>
          </a:p>
        </xdr:txBody>
      </xdr:sp>
      <xdr:sp macro="" textlink="">
        <xdr:nvSpPr>
          <xdr:cNvPr id="302" name="Rectangle 301"/>
          <xdr:cNvSpPr/>
        </xdr:nvSpPr>
        <xdr:spPr>
          <a:xfrm>
            <a:off x="892175" y="1600200"/>
            <a:ext cx="3962400" cy="542740"/>
          </a:xfrm>
          <a:prstGeom prst="rect">
            <a:avLst/>
          </a:prstGeom>
          <a:noFill/>
          <a:ln>
            <a:solidFill>
              <a:schemeClr val="tx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3</xdr:col>
      <xdr:colOff>123263</xdr:colOff>
      <xdr:row>123</xdr:row>
      <xdr:rowOff>89646</xdr:rowOff>
    </xdr:from>
    <xdr:to>
      <xdr:col>9</xdr:col>
      <xdr:colOff>582704</xdr:colOff>
      <xdr:row>127</xdr:row>
      <xdr:rowOff>156881</xdr:rowOff>
    </xdr:to>
    <xdr:sp macro="" textlink="">
      <xdr:nvSpPr>
        <xdr:cNvPr id="303" name="Rectangle 302"/>
        <xdr:cNvSpPr/>
      </xdr:nvSpPr>
      <xdr:spPr>
        <a:xfrm>
          <a:off x="2633381" y="22568646"/>
          <a:ext cx="4090147" cy="829235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3</xdr:col>
      <xdr:colOff>156882</xdr:colOff>
      <xdr:row>133</xdr:row>
      <xdr:rowOff>22412</xdr:rowOff>
    </xdr:from>
    <xdr:to>
      <xdr:col>9</xdr:col>
      <xdr:colOff>593912</xdr:colOff>
      <xdr:row>134</xdr:row>
      <xdr:rowOff>100853</xdr:rowOff>
    </xdr:to>
    <xdr:sp macro="" textlink="">
      <xdr:nvSpPr>
        <xdr:cNvPr id="304" name="Rectangle 303"/>
        <xdr:cNvSpPr/>
      </xdr:nvSpPr>
      <xdr:spPr>
        <a:xfrm>
          <a:off x="2667000" y="24406412"/>
          <a:ext cx="4067736" cy="268941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20</xdr:col>
      <xdr:colOff>257735</xdr:colOff>
      <xdr:row>120</xdr:row>
      <xdr:rowOff>11206</xdr:rowOff>
    </xdr:from>
    <xdr:to>
      <xdr:col>29</xdr:col>
      <xdr:colOff>212460</xdr:colOff>
      <xdr:row>136</xdr:row>
      <xdr:rowOff>167177</xdr:rowOff>
    </xdr:to>
    <xdr:grpSp>
      <xdr:nvGrpSpPr>
        <xdr:cNvPr id="305" name="Group 304"/>
        <xdr:cNvGrpSpPr/>
      </xdr:nvGrpSpPr>
      <xdr:grpSpPr>
        <a:xfrm>
          <a:off x="13275235" y="23206345"/>
          <a:ext cx="5510975" cy="3260415"/>
          <a:chOff x="-381000" y="76200"/>
          <a:chExt cx="5400783" cy="3203971"/>
        </a:xfrm>
      </xdr:grpSpPr>
      <xdr:pic>
        <xdr:nvPicPr>
          <xdr:cNvPr id="306" name="Picture 305" descr="Z:\A3-Manuscript\revision\20200812-InVitroCoIPs\20201007_HaloIPA2series-IPFlagblotHaus20rotated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23" t="-1465" r="46057" b="-357"/>
          <a:stretch/>
        </xdr:blipFill>
        <xdr:spPr bwMode="auto">
          <a:xfrm>
            <a:off x="124702" y="655320"/>
            <a:ext cx="4682490" cy="22555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307" name="Straight Connector 306"/>
          <xdr:cNvCxnSpPr/>
        </xdr:nvCxnSpPr>
        <xdr:spPr>
          <a:xfrm>
            <a:off x="3914238" y="1955355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8" name="Straight Connector 307"/>
          <xdr:cNvCxnSpPr/>
        </xdr:nvCxnSpPr>
        <xdr:spPr>
          <a:xfrm>
            <a:off x="677842" y="838200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9" name="Straight Connector 308"/>
          <xdr:cNvCxnSpPr/>
        </xdr:nvCxnSpPr>
        <xdr:spPr>
          <a:xfrm>
            <a:off x="677842" y="1143000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0" name="TextBox 61"/>
          <xdr:cNvSpPr txBox="1"/>
        </xdr:nvSpPr>
        <xdr:spPr>
          <a:xfrm>
            <a:off x="-381000" y="655320"/>
            <a:ext cx="10759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130 kD</a:t>
            </a:r>
          </a:p>
        </xdr:txBody>
      </xdr:sp>
      <xdr:sp macro="" textlink="">
        <xdr:nvSpPr>
          <xdr:cNvPr id="311" name="TextBox 62"/>
          <xdr:cNvSpPr txBox="1"/>
        </xdr:nvSpPr>
        <xdr:spPr>
          <a:xfrm>
            <a:off x="-381000" y="977622"/>
            <a:ext cx="10759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100 kD</a:t>
            </a:r>
          </a:p>
        </xdr:txBody>
      </xdr:sp>
      <xdr:cxnSp macro="">
        <xdr:nvCxnSpPr>
          <xdr:cNvPr id="312" name="Straight Connector 311"/>
          <xdr:cNvCxnSpPr/>
        </xdr:nvCxnSpPr>
        <xdr:spPr>
          <a:xfrm>
            <a:off x="677842" y="1519237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3" name="TextBox 64"/>
          <xdr:cNvSpPr txBox="1"/>
        </xdr:nvSpPr>
        <xdr:spPr>
          <a:xfrm>
            <a:off x="-296115" y="1346120"/>
            <a:ext cx="991073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70 kD</a:t>
            </a:r>
          </a:p>
        </xdr:txBody>
      </xdr:sp>
      <xdr:cxnSp macro="">
        <xdr:nvCxnSpPr>
          <xdr:cNvPr id="314" name="Straight Connector 313"/>
          <xdr:cNvCxnSpPr/>
        </xdr:nvCxnSpPr>
        <xdr:spPr>
          <a:xfrm>
            <a:off x="665306" y="1828800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5" name="TextBox 66"/>
          <xdr:cNvSpPr txBox="1"/>
        </xdr:nvSpPr>
        <xdr:spPr>
          <a:xfrm>
            <a:off x="-171280" y="1644134"/>
            <a:ext cx="86623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55 kD</a:t>
            </a:r>
          </a:p>
        </xdr:txBody>
      </xdr:sp>
      <xdr:sp macro="" textlink="">
        <xdr:nvSpPr>
          <xdr:cNvPr id="316" name="TextBox 18"/>
          <xdr:cNvSpPr txBox="1"/>
        </xdr:nvSpPr>
        <xdr:spPr>
          <a:xfrm>
            <a:off x="657653" y="2910839"/>
            <a:ext cx="219203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HALO IP – </a:t>
            </a:r>
            <a:r>
              <a:rPr lang="el-GR" sz="1800"/>
              <a:t>α</a:t>
            </a:r>
            <a:r>
              <a:rPr lang="en-US" sz="1800"/>
              <a:t>FLAG blot</a:t>
            </a:r>
          </a:p>
        </xdr:txBody>
      </xdr:sp>
      <xdr:sp macro="" textlink="">
        <xdr:nvSpPr>
          <xdr:cNvPr id="317" name="TextBox 1"/>
          <xdr:cNvSpPr txBox="1"/>
        </xdr:nvSpPr>
        <xdr:spPr>
          <a:xfrm>
            <a:off x="228600" y="76200"/>
            <a:ext cx="4791183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HALO:  A1a    A1b    A1d    A2      A3     A7a    HALO</a:t>
            </a:r>
          </a:p>
          <a:p>
            <a:r>
              <a:rPr lang="en-US"/>
              <a:t>FLAG:    A2      A2      A2     </a:t>
            </a:r>
            <a:r>
              <a:rPr lang="en-US" sz="700"/>
              <a:t> </a:t>
            </a:r>
            <a:r>
              <a:rPr lang="en-US"/>
              <a:t>A2      A2      A2        A2</a:t>
            </a:r>
          </a:p>
        </xdr:txBody>
      </xdr:sp>
      <xdr:sp macro="" textlink="">
        <xdr:nvSpPr>
          <xdr:cNvPr id="318" name="Rectangle 317"/>
          <xdr:cNvSpPr/>
        </xdr:nvSpPr>
        <xdr:spPr>
          <a:xfrm>
            <a:off x="892175" y="1600200"/>
            <a:ext cx="3915017" cy="355155"/>
          </a:xfrm>
          <a:prstGeom prst="rect">
            <a:avLst/>
          </a:prstGeom>
          <a:noFill/>
          <a:ln>
            <a:solidFill>
              <a:schemeClr val="tx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155863</xdr:colOff>
      <xdr:row>142</xdr:row>
      <xdr:rowOff>86591</xdr:rowOff>
    </xdr:from>
    <xdr:to>
      <xdr:col>10</xdr:col>
      <xdr:colOff>552205</xdr:colOff>
      <xdr:row>162</xdr:row>
      <xdr:rowOff>166659</xdr:rowOff>
    </xdr:to>
    <xdr:grpSp>
      <xdr:nvGrpSpPr>
        <xdr:cNvPr id="319" name="Group 318"/>
        <xdr:cNvGrpSpPr/>
      </xdr:nvGrpSpPr>
      <xdr:grpSpPr>
        <a:xfrm>
          <a:off x="2060863" y="27550341"/>
          <a:ext cx="5335231" cy="3960624"/>
          <a:chOff x="231914" y="2667000"/>
          <a:chExt cx="5245433" cy="3890068"/>
        </a:xfrm>
      </xdr:grpSpPr>
      <xdr:pic>
        <xdr:nvPicPr>
          <xdr:cNvPr id="320" name="Picture 319" descr="E:\20200812-InVitroCoIPs\FinalA3\20201105-A3CoIP-HaloInput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4">
            <a:extLst>
              <a:ext uri="{BEBA8EAE-BF5A-486C-A8C5-ECC9F3942E4B}">
                <a14:imgProps xmlns:a14="http://schemas.microsoft.com/office/drawing/2010/main">
                  <a14:imgLayer r:embed="rId15"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9701" t="53779" r="48827" b="21703"/>
          <a:stretch/>
        </xdr:blipFill>
        <xdr:spPr bwMode="auto">
          <a:xfrm>
            <a:off x="1098152" y="3302493"/>
            <a:ext cx="4379195" cy="288524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321" name="Straight Connector 320"/>
          <xdr:cNvCxnSpPr/>
        </xdr:nvCxnSpPr>
        <xdr:spPr>
          <a:xfrm>
            <a:off x="1081036" y="3552836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2" name="Straight Connector 321"/>
          <xdr:cNvCxnSpPr/>
        </xdr:nvCxnSpPr>
        <xdr:spPr>
          <a:xfrm>
            <a:off x="1081036" y="3857636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3" name="Straight Connector 322"/>
          <xdr:cNvCxnSpPr/>
        </xdr:nvCxnSpPr>
        <xdr:spPr>
          <a:xfrm>
            <a:off x="1081036" y="423387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4" name="Straight Connector 323"/>
          <xdr:cNvCxnSpPr/>
        </xdr:nvCxnSpPr>
        <xdr:spPr>
          <a:xfrm>
            <a:off x="1068500" y="4543436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25" name="TextBox 66"/>
          <xdr:cNvSpPr txBox="1"/>
        </xdr:nvSpPr>
        <xdr:spPr>
          <a:xfrm>
            <a:off x="231914" y="4358770"/>
            <a:ext cx="86623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55 kD</a:t>
            </a:r>
          </a:p>
        </xdr:txBody>
      </xdr:sp>
      <xdr:sp macro="" textlink="">
        <xdr:nvSpPr>
          <xdr:cNvPr id="326" name="Rectangle 325"/>
          <xdr:cNvSpPr/>
        </xdr:nvSpPr>
        <xdr:spPr>
          <a:xfrm>
            <a:off x="1295399" y="3554622"/>
            <a:ext cx="3914987" cy="875466"/>
          </a:xfrm>
          <a:prstGeom prst="rect">
            <a:avLst/>
          </a:prstGeom>
          <a:noFill/>
          <a:ln>
            <a:solidFill>
              <a:schemeClr val="tx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27" name="Rectangle 326"/>
          <xdr:cNvSpPr/>
        </xdr:nvSpPr>
        <xdr:spPr>
          <a:xfrm>
            <a:off x="1295399" y="5562600"/>
            <a:ext cx="3914987" cy="304799"/>
          </a:xfrm>
          <a:prstGeom prst="rect">
            <a:avLst/>
          </a:prstGeom>
          <a:noFill/>
          <a:ln>
            <a:solidFill>
              <a:schemeClr val="tx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28" name="TextBox 21"/>
          <xdr:cNvSpPr txBox="1"/>
        </xdr:nvSpPr>
        <xdr:spPr>
          <a:xfrm>
            <a:off x="668583" y="2667000"/>
            <a:ext cx="4791183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HALO:  A1a    A1b    A1d    A2      A3     A7a    HALO</a:t>
            </a:r>
          </a:p>
          <a:p>
            <a:r>
              <a:rPr lang="en-US"/>
              <a:t>FLAG:    A3      A3      A3     </a:t>
            </a:r>
            <a:r>
              <a:rPr lang="en-US" sz="700"/>
              <a:t> </a:t>
            </a:r>
            <a:r>
              <a:rPr lang="en-US"/>
              <a:t>A3      A3      A3        A3</a:t>
            </a:r>
          </a:p>
        </xdr:txBody>
      </xdr:sp>
      <xdr:sp macro="" textlink="">
        <xdr:nvSpPr>
          <xdr:cNvPr id="329" name="TextBox 18"/>
          <xdr:cNvSpPr txBox="1"/>
        </xdr:nvSpPr>
        <xdr:spPr>
          <a:xfrm>
            <a:off x="1098152" y="6187736"/>
            <a:ext cx="219203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Input – </a:t>
            </a:r>
            <a:r>
              <a:rPr lang="el-GR" sz="1800"/>
              <a:t>α</a:t>
            </a:r>
            <a:r>
              <a:rPr lang="en-US" sz="1800"/>
              <a:t>HALO blot</a:t>
            </a:r>
          </a:p>
        </xdr:txBody>
      </xdr:sp>
    </xdr:grpSp>
    <xdr:clientData/>
  </xdr:twoCellAnchor>
  <xdr:twoCellAnchor>
    <xdr:from>
      <xdr:col>1</xdr:col>
      <xdr:colOff>868831</xdr:colOff>
      <xdr:row>146</xdr:row>
      <xdr:rowOff>12589</xdr:rowOff>
    </xdr:from>
    <xdr:to>
      <xdr:col>3</xdr:col>
      <xdr:colOff>456535</xdr:colOff>
      <xdr:row>148</xdr:row>
      <xdr:rowOff>2031</xdr:rowOff>
    </xdr:to>
    <xdr:sp macro="" textlink="">
      <xdr:nvSpPr>
        <xdr:cNvPr id="330" name="TextBox 61"/>
        <xdr:cNvSpPr txBox="1"/>
      </xdr:nvSpPr>
      <xdr:spPr>
        <a:xfrm>
          <a:off x="1931868" y="25374959"/>
          <a:ext cx="1092889" cy="3469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800"/>
            <a:t>130 kD</a:t>
          </a:r>
        </a:p>
      </xdr:txBody>
    </xdr:sp>
    <xdr:clientData/>
  </xdr:twoCellAnchor>
  <xdr:twoCellAnchor>
    <xdr:from>
      <xdr:col>1</xdr:col>
      <xdr:colOff>850017</xdr:colOff>
      <xdr:row>147</xdr:row>
      <xdr:rowOff>127779</xdr:rowOff>
    </xdr:from>
    <xdr:to>
      <xdr:col>3</xdr:col>
      <xdr:colOff>437721</xdr:colOff>
      <xdr:row>149</xdr:row>
      <xdr:rowOff>117220</xdr:rowOff>
    </xdr:to>
    <xdr:sp macro="" textlink="">
      <xdr:nvSpPr>
        <xdr:cNvPr id="331" name="TextBox 62"/>
        <xdr:cNvSpPr txBox="1"/>
      </xdr:nvSpPr>
      <xdr:spPr>
        <a:xfrm>
          <a:off x="1913054" y="25668890"/>
          <a:ext cx="1092889" cy="34692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800"/>
            <a:t>100 kD</a:t>
          </a:r>
        </a:p>
      </xdr:txBody>
    </xdr:sp>
    <xdr:clientData/>
  </xdr:twoCellAnchor>
  <xdr:twoCellAnchor>
    <xdr:from>
      <xdr:col>2</xdr:col>
      <xdr:colOff>58253</xdr:colOff>
      <xdr:row>149</xdr:row>
      <xdr:rowOff>98201</xdr:rowOff>
    </xdr:from>
    <xdr:to>
      <xdr:col>3</xdr:col>
      <xdr:colOff>447129</xdr:colOff>
      <xdr:row>151</xdr:row>
      <xdr:rowOff>87642</xdr:rowOff>
    </xdr:to>
    <xdr:sp macro="" textlink="">
      <xdr:nvSpPr>
        <xdr:cNvPr id="332" name="TextBox 64"/>
        <xdr:cNvSpPr txBox="1"/>
      </xdr:nvSpPr>
      <xdr:spPr>
        <a:xfrm>
          <a:off x="2014994" y="25996794"/>
          <a:ext cx="1000357" cy="34692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800"/>
            <a:t>70 kD</a:t>
          </a:r>
        </a:p>
      </xdr:txBody>
    </xdr:sp>
    <xdr:clientData/>
  </xdr:twoCellAnchor>
  <xdr:twoCellAnchor>
    <xdr:from>
      <xdr:col>10</xdr:col>
      <xdr:colOff>573852</xdr:colOff>
      <xdr:row>142</xdr:row>
      <xdr:rowOff>18816</xdr:rowOff>
    </xdr:from>
    <xdr:to>
      <xdr:col>20</xdr:col>
      <xdr:colOff>501344</xdr:colOff>
      <xdr:row>154</xdr:row>
      <xdr:rowOff>116387</xdr:rowOff>
    </xdr:to>
    <xdr:grpSp>
      <xdr:nvGrpSpPr>
        <xdr:cNvPr id="333" name="Group 332"/>
        <xdr:cNvGrpSpPr/>
      </xdr:nvGrpSpPr>
      <xdr:grpSpPr>
        <a:xfrm>
          <a:off x="7417741" y="27482566"/>
          <a:ext cx="6101103" cy="2425904"/>
          <a:chOff x="443852" y="1021345"/>
          <a:chExt cx="6042306" cy="2242460"/>
        </a:xfrm>
      </xdr:grpSpPr>
      <xdr:pic>
        <xdr:nvPicPr>
          <xdr:cNvPr id="334" name="Picture 333" descr="E:\20200812-InVitroCoIPs\FinalA3\20201105_HaloSeriesA3FLAGIP-InIPFlagBlotLow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>
            <a:extLst>
              <a:ext uri="{BEBA8EAE-BF5A-486C-A8C5-ECC9F3942E4B}">
                <a14:imgProps xmlns:a14="http://schemas.microsoft.com/office/drawing/2010/main">
                  <a14:imgLayer r:embed="rId17"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7942" t="526" r="4730" b="-480"/>
          <a:stretch/>
        </xdr:blipFill>
        <xdr:spPr bwMode="auto">
          <a:xfrm rot="10800000">
            <a:off x="1142998" y="1581844"/>
            <a:ext cx="4396797" cy="168196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35" name="TextBox 61"/>
          <xdr:cNvSpPr txBox="1"/>
        </xdr:nvSpPr>
        <xdr:spPr>
          <a:xfrm>
            <a:off x="5410200" y="1484796"/>
            <a:ext cx="10759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130 kD</a:t>
            </a:r>
          </a:p>
        </xdr:txBody>
      </xdr:sp>
      <xdr:sp macro="" textlink="">
        <xdr:nvSpPr>
          <xdr:cNvPr id="336" name="TextBox 62"/>
          <xdr:cNvSpPr txBox="1"/>
        </xdr:nvSpPr>
        <xdr:spPr>
          <a:xfrm>
            <a:off x="5410200" y="1792644"/>
            <a:ext cx="10759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100 kD</a:t>
            </a:r>
          </a:p>
        </xdr:txBody>
      </xdr:sp>
      <xdr:sp macro="" textlink="">
        <xdr:nvSpPr>
          <xdr:cNvPr id="337" name="TextBox 64"/>
          <xdr:cNvSpPr txBox="1"/>
        </xdr:nvSpPr>
        <xdr:spPr>
          <a:xfrm>
            <a:off x="5410200" y="2012896"/>
            <a:ext cx="991073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70 kD</a:t>
            </a:r>
          </a:p>
        </xdr:txBody>
      </xdr:sp>
      <xdr:cxnSp macro="">
        <xdr:nvCxnSpPr>
          <xdr:cNvPr id="338" name="Straight Connector 337"/>
          <xdr:cNvCxnSpPr/>
        </xdr:nvCxnSpPr>
        <xdr:spPr>
          <a:xfrm>
            <a:off x="5343156" y="1667676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9" name="Straight Connector 338"/>
          <xdr:cNvCxnSpPr/>
        </xdr:nvCxnSpPr>
        <xdr:spPr>
          <a:xfrm>
            <a:off x="5343156" y="1972476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0" name="Straight Connector 339"/>
          <xdr:cNvCxnSpPr/>
        </xdr:nvCxnSpPr>
        <xdr:spPr>
          <a:xfrm>
            <a:off x="5343156" y="2186013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1" name="Straight Connector 340"/>
          <xdr:cNvCxnSpPr/>
        </xdr:nvCxnSpPr>
        <xdr:spPr>
          <a:xfrm>
            <a:off x="5330620" y="2495576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2" name="TextBox 66"/>
          <xdr:cNvSpPr txBox="1"/>
        </xdr:nvSpPr>
        <xdr:spPr>
          <a:xfrm>
            <a:off x="5410200" y="2310910"/>
            <a:ext cx="86623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55 kD</a:t>
            </a:r>
          </a:p>
        </xdr:txBody>
      </xdr:sp>
      <xdr:sp macro="" textlink="">
        <xdr:nvSpPr>
          <xdr:cNvPr id="343" name="TextBox 19"/>
          <xdr:cNvSpPr txBox="1"/>
        </xdr:nvSpPr>
        <xdr:spPr>
          <a:xfrm>
            <a:off x="443852" y="1021345"/>
            <a:ext cx="4791183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HALO:  A1a    A1b    A1d    A2      A3     A7a   HALO</a:t>
            </a:r>
          </a:p>
          <a:p>
            <a:r>
              <a:rPr lang="en-US"/>
              <a:t>FLAG:    A3      A3      A3     </a:t>
            </a:r>
            <a:r>
              <a:rPr lang="en-US" sz="700"/>
              <a:t> </a:t>
            </a:r>
            <a:r>
              <a:rPr lang="en-US"/>
              <a:t>A3      A3      A3      A3</a:t>
            </a:r>
          </a:p>
        </xdr:txBody>
      </xdr:sp>
    </xdr:grpSp>
    <xdr:clientData/>
  </xdr:twoCellAnchor>
  <xdr:twoCellAnchor>
    <xdr:from>
      <xdr:col>12</xdr:col>
      <xdr:colOff>5344</xdr:colOff>
      <xdr:row>154</xdr:row>
      <xdr:rowOff>152443</xdr:rowOff>
    </xdr:from>
    <xdr:to>
      <xdr:col>15</xdr:col>
      <xdr:colOff>380800</xdr:colOff>
      <xdr:row>156</xdr:row>
      <xdr:rowOff>141964</xdr:rowOff>
    </xdr:to>
    <xdr:sp macro="" textlink="">
      <xdr:nvSpPr>
        <xdr:cNvPr id="344" name="TextBox 18"/>
        <xdr:cNvSpPr txBox="1"/>
      </xdr:nvSpPr>
      <xdr:spPr>
        <a:xfrm>
          <a:off x="8076900" y="26944739"/>
          <a:ext cx="2209900" cy="34700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800"/>
            <a:t>Input – </a:t>
          </a:r>
          <a:r>
            <a:rPr lang="el-GR" sz="1800"/>
            <a:t>α</a:t>
          </a:r>
          <a:r>
            <a:rPr lang="en-US" sz="1800"/>
            <a:t>FLAG blot</a:t>
          </a:r>
        </a:p>
      </xdr:txBody>
    </xdr:sp>
    <xdr:clientData/>
  </xdr:twoCellAnchor>
  <xdr:twoCellAnchor>
    <xdr:from>
      <xdr:col>12</xdr:col>
      <xdr:colOff>61789</xdr:colOff>
      <xdr:row>148</xdr:row>
      <xdr:rowOff>86590</xdr:rowOff>
    </xdr:from>
    <xdr:to>
      <xdr:col>18</xdr:col>
      <xdr:colOff>339803</xdr:colOff>
      <xdr:row>150</xdr:row>
      <xdr:rowOff>15481</xdr:rowOff>
    </xdr:to>
    <xdr:sp macro="" textlink="">
      <xdr:nvSpPr>
        <xdr:cNvPr id="345" name="Rectangle 344"/>
        <xdr:cNvSpPr/>
      </xdr:nvSpPr>
      <xdr:spPr>
        <a:xfrm>
          <a:off x="8133345" y="25806442"/>
          <a:ext cx="3946902" cy="286372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20</xdr:col>
      <xdr:colOff>131634</xdr:colOff>
      <xdr:row>142</xdr:row>
      <xdr:rowOff>18815</xdr:rowOff>
    </xdr:from>
    <xdr:to>
      <xdr:col>30</xdr:col>
      <xdr:colOff>36619</xdr:colOff>
      <xdr:row>154</xdr:row>
      <xdr:rowOff>173540</xdr:rowOff>
    </xdr:to>
    <xdr:grpSp>
      <xdr:nvGrpSpPr>
        <xdr:cNvPr id="346" name="Group 345"/>
        <xdr:cNvGrpSpPr/>
      </xdr:nvGrpSpPr>
      <xdr:grpSpPr>
        <a:xfrm>
          <a:off x="13149134" y="27482565"/>
          <a:ext cx="6078596" cy="2483058"/>
          <a:chOff x="80779" y="3683477"/>
          <a:chExt cx="6019800" cy="2299614"/>
        </a:xfrm>
      </xdr:grpSpPr>
      <xdr:pic>
        <xdr:nvPicPr>
          <xdr:cNvPr id="347" name="Picture 346" descr="E:\20200812-InVitroCoIPs\FinalA3\20201105_HaloSeriesA3FLAGIP-InIPFlagBlotHigh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8">
            <a:extLst>
              <a:ext uri="{BEBA8EAE-BF5A-486C-A8C5-ECC9F3942E4B}">
                <a14:imgProps xmlns:a14="http://schemas.microsoft.com/office/drawing/2010/main">
                  <a14:imgLayer r:embed="rId19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340" t="-898" r="46205" b="-450"/>
          <a:stretch/>
        </xdr:blipFill>
        <xdr:spPr bwMode="auto">
          <a:xfrm rot="10800000">
            <a:off x="1084728" y="4267200"/>
            <a:ext cx="5015851" cy="171589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48" name="TextBox 20"/>
          <xdr:cNvSpPr txBox="1"/>
        </xdr:nvSpPr>
        <xdr:spPr>
          <a:xfrm>
            <a:off x="948422" y="3683477"/>
            <a:ext cx="4791183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HALO:  A1a    A1b    A1d    A2      A3     A7a   HALO</a:t>
            </a:r>
          </a:p>
          <a:p>
            <a:r>
              <a:rPr lang="en-US"/>
              <a:t>FLAG:    A3      A3      A3     </a:t>
            </a:r>
            <a:r>
              <a:rPr lang="en-US" sz="700"/>
              <a:t> </a:t>
            </a:r>
            <a:r>
              <a:rPr lang="en-US"/>
              <a:t>A3      A3      A3      A3</a:t>
            </a:r>
          </a:p>
        </xdr:txBody>
      </xdr:sp>
      <xdr:sp macro="" textlink="">
        <xdr:nvSpPr>
          <xdr:cNvPr id="349" name="TextBox 61"/>
          <xdr:cNvSpPr txBox="1"/>
        </xdr:nvSpPr>
        <xdr:spPr>
          <a:xfrm>
            <a:off x="80779" y="4143954"/>
            <a:ext cx="10759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130 kD</a:t>
            </a:r>
          </a:p>
        </xdr:txBody>
      </xdr:sp>
      <xdr:sp macro="" textlink="">
        <xdr:nvSpPr>
          <xdr:cNvPr id="350" name="TextBox 62"/>
          <xdr:cNvSpPr txBox="1"/>
        </xdr:nvSpPr>
        <xdr:spPr>
          <a:xfrm>
            <a:off x="80779" y="4451802"/>
            <a:ext cx="10759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100 kD</a:t>
            </a:r>
          </a:p>
        </xdr:txBody>
      </xdr:sp>
      <xdr:sp macro="" textlink="">
        <xdr:nvSpPr>
          <xdr:cNvPr id="351" name="TextBox 64"/>
          <xdr:cNvSpPr txBox="1"/>
        </xdr:nvSpPr>
        <xdr:spPr>
          <a:xfrm>
            <a:off x="165664" y="4672054"/>
            <a:ext cx="991073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70 kD</a:t>
            </a:r>
          </a:p>
        </xdr:txBody>
      </xdr:sp>
      <xdr:cxnSp macro="">
        <xdr:nvCxnSpPr>
          <xdr:cNvPr id="352" name="Straight Connector 351"/>
          <xdr:cNvCxnSpPr/>
        </xdr:nvCxnSpPr>
        <xdr:spPr>
          <a:xfrm>
            <a:off x="1083915" y="4326834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3" name="Straight Connector 352"/>
          <xdr:cNvCxnSpPr/>
        </xdr:nvCxnSpPr>
        <xdr:spPr>
          <a:xfrm>
            <a:off x="1083915" y="4631634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4" name="Straight Connector 353"/>
          <xdr:cNvCxnSpPr/>
        </xdr:nvCxnSpPr>
        <xdr:spPr>
          <a:xfrm>
            <a:off x="1083915" y="4845171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5" name="Straight Connector 354"/>
          <xdr:cNvCxnSpPr/>
        </xdr:nvCxnSpPr>
        <xdr:spPr>
          <a:xfrm>
            <a:off x="1071379" y="5154734"/>
            <a:ext cx="143244" cy="0"/>
          </a:xfrm>
          <a:prstGeom prst="line">
            <a:avLst/>
          </a:prstGeom>
          <a:ln w="317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6" name="TextBox 66"/>
          <xdr:cNvSpPr txBox="1"/>
        </xdr:nvSpPr>
        <xdr:spPr>
          <a:xfrm>
            <a:off x="290499" y="4970068"/>
            <a:ext cx="86623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800"/>
              <a:t>55 kD</a:t>
            </a:r>
          </a:p>
        </xdr:txBody>
      </xdr:sp>
    </xdr:grpSp>
    <xdr:clientData/>
  </xdr:twoCellAnchor>
  <xdr:twoCellAnchor>
    <xdr:from>
      <xdr:col>22</xdr:col>
      <xdr:colOff>430561</xdr:colOff>
      <xdr:row>148</xdr:row>
      <xdr:rowOff>22619</xdr:rowOff>
    </xdr:from>
    <xdr:to>
      <xdr:col>29</xdr:col>
      <xdr:colOff>97092</xdr:colOff>
      <xdr:row>149</xdr:row>
      <xdr:rowOff>130250</xdr:rowOff>
    </xdr:to>
    <xdr:sp macro="" textlink="">
      <xdr:nvSpPr>
        <xdr:cNvPr id="357" name="Rectangle 356"/>
        <xdr:cNvSpPr/>
      </xdr:nvSpPr>
      <xdr:spPr>
        <a:xfrm>
          <a:off x="14616931" y="25742471"/>
          <a:ext cx="3946902" cy="286372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21</xdr:col>
      <xdr:colOff>534040</xdr:colOff>
      <xdr:row>155</xdr:row>
      <xdr:rowOff>32028</xdr:rowOff>
    </xdr:from>
    <xdr:to>
      <xdr:col>25</xdr:col>
      <xdr:colOff>298014</xdr:colOff>
      <xdr:row>157</xdr:row>
      <xdr:rowOff>21549</xdr:rowOff>
    </xdr:to>
    <xdr:sp macro="" textlink="">
      <xdr:nvSpPr>
        <xdr:cNvPr id="358" name="TextBox 18"/>
        <xdr:cNvSpPr txBox="1"/>
      </xdr:nvSpPr>
      <xdr:spPr>
        <a:xfrm>
          <a:off x="14108929" y="27003065"/>
          <a:ext cx="2209900" cy="34700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800"/>
            <a:t>HALO-IP – </a:t>
          </a:r>
          <a:r>
            <a:rPr lang="el-GR" sz="1800"/>
            <a:t>α</a:t>
          </a:r>
          <a:r>
            <a:rPr lang="en-US" sz="1800"/>
            <a:t>FLAG blot</a:t>
          </a:r>
        </a:p>
      </xdr:txBody>
    </xdr:sp>
    <xdr:clientData/>
  </xdr:twoCellAnchor>
  <xdr:twoCellAnchor>
    <xdr:from>
      <xdr:col>2</xdr:col>
      <xdr:colOff>15875</xdr:colOff>
      <xdr:row>5</xdr:row>
      <xdr:rowOff>174625</xdr:rowOff>
    </xdr:from>
    <xdr:to>
      <xdr:col>8</xdr:col>
      <xdr:colOff>100157</xdr:colOff>
      <xdr:row>20</xdr:row>
      <xdr:rowOff>26414</xdr:rowOff>
    </xdr:to>
    <xdr:grpSp>
      <xdr:nvGrpSpPr>
        <xdr:cNvPr id="359" name="Group 358"/>
        <xdr:cNvGrpSpPr/>
      </xdr:nvGrpSpPr>
      <xdr:grpSpPr>
        <a:xfrm>
          <a:off x="1920875" y="1144764"/>
          <a:ext cx="3788449" cy="2762206"/>
          <a:chOff x="203223" y="2327430"/>
          <a:chExt cx="3703782" cy="2709289"/>
        </a:xfrm>
      </xdr:grpSpPr>
      <xdr:pic>
        <xdr:nvPicPr>
          <xdr:cNvPr id="360" name="Picture 359"/>
          <xdr:cNvPicPr>
            <a:picLocks noChangeAspect="1"/>
          </xdr:cNvPicPr>
        </xdr:nvPicPr>
        <xdr:blipFill rotWithShape="1"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501" t="1293" r="6451" b="364"/>
          <a:stretch/>
        </xdr:blipFill>
        <xdr:spPr>
          <a:xfrm rot="10800000">
            <a:off x="203223" y="2337291"/>
            <a:ext cx="3703782" cy="2699428"/>
          </a:xfrm>
          <a:prstGeom prst="rect">
            <a:avLst/>
          </a:prstGeom>
        </xdr:spPr>
      </xdr:pic>
      <xdr:sp macro="" textlink="">
        <xdr:nvSpPr>
          <xdr:cNvPr id="361" name="Rectangle 360"/>
          <xdr:cNvSpPr/>
        </xdr:nvSpPr>
        <xdr:spPr>
          <a:xfrm>
            <a:off x="1810350" y="4500562"/>
            <a:ext cx="738909" cy="302419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62" name="TextBox 31"/>
          <xdr:cNvSpPr txBox="1"/>
        </xdr:nvSpPr>
        <xdr:spPr>
          <a:xfrm>
            <a:off x="650722" y="4532454"/>
            <a:ext cx="307663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>
                <a:solidFill>
                  <a:schemeClr val="bg1"/>
                </a:solidFill>
              </a:rPr>
              <a:t>A2-AD + </a:t>
            </a:r>
            <a:r>
              <a:rPr lang="el-GR" sz="1200">
                <a:solidFill>
                  <a:schemeClr val="bg1"/>
                </a:solidFill>
              </a:rPr>
              <a:t>Δ</a:t>
            </a:r>
            <a:r>
              <a:rPr lang="en-US" sz="1200">
                <a:solidFill>
                  <a:schemeClr val="bg1"/>
                </a:solidFill>
              </a:rPr>
              <a:t>A3-BD</a:t>
            </a:r>
          </a:p>
        </xdr:txBody>
      </xdr:sp>
      <xdr:sp macro="" textlink="">
        <xdr:nvSpPr>
          <xdr:cNvPr id="363" name="Rectangle 362"/>
          <xdr:cNvSpPr/>
        </xdr:nvSpPr>
        <xdr:spPr>
          <a:xfrm rot="16200000">
            <a:off x="2910425" y="2971477"/>
            <a:ext cx="738909" cy="302419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64" name="TextBox 34"/>
          <xdr:cNvSpPr txBox="1"/>
        </xdr:nvSpPr>
        <xdr:spPr>
          <a:xfrm>
            <a:off x="2780164" y="2327430"/>
            <a:ext cx="1002609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>
                <a:solidFill>
                  <a:schemeClr val="bg1"/>
                </a:solidFill>
              </a:rPr>
              <a:t>A2-AD </a:t>
            </a:r>
          </a:p>
          <a:p>
            <a:pPr algn="ctr"/>
            <a:r>
              <a:rPr lang="en-US" sz="1200">
                <a:solidFill>
                  <a:schemeClr val="bg1"/>
                </a:solidFill>
              </a:rPr>
              <a:t>+ BD</a:t>
            </a:r>
          </a:p>
        </xdr:txBody>
      </xdr:sp>
      <xdr:sp macro="" textlink="">
        <xdr:nvSpPr>
          <xdr:cNvPr id="365" name="TextBox 44"/>
          <xdr:cNvSpPr txBox="1"/>
        </xdr:nvSpPr>
        <xdr:spPr>
          <a:xfrm>
            <a:off x="335602" y="2341330"/>
            <a:ext cx="101290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solidFill>
                  <a:schemeClr val="bg1"/>
                </a:solidFill>
              </a:rPr>
              <a:t> - WL</a:t>
            </a:r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15</xdr:col>
      <xdr:colOff>148936</xdr:colOff>
      <xdr:row>20</xdr:row>
      <xdr:rowOff>94672</xdr:rowOff>
    </xdr:to>
    <xdr:grpSp>
      <xdr:nvGrpSpPr>
        <xdr:cNvPr id="366" name="Group 365"/>
        <xdr:cNvGrpSpPr/>
      </xdr:nvGrpSpPr>
      <xdr:grpSpPr>
        <a:xfrm>
          <a:off x="6226528" y="1164167"/>
          <a:ext cx="3853102" cy="2811061"/>
          <a:chOff x="4147127" y="2268882"/>
          <a:chExt cx="3768436" cy="2761672"/>
        </a:xfrm>
      </xdr:grpSpPr>
      <xdr:pic>
        <xdr:nvPicPr>
          <xdr:cNvPr id="367" name="Picture 366"/>
          <xdr:cNvPicPr>
            <a:picLocks noChangeAspect="1"/>
          </xdr:cNvPicPr>
        </xdr:nvPicPr>
        <xdr:blipFill rotWithShape="1">
          <a:blip xmlns:r="http://schemas.openxmlformats.org/officeDocument/2006/relationships" r:embed="rId21" cstate="print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brightnessContrast bright="1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56" t="-497" r="8017" b="-118"/>
          <a:stretch/>
        </xdr:blipFill>
        <xdr:spPr>
          <a:xfrm rot="10800000">
            <a:off x="4147127" y="2268882"/>
            <a:ext cx="3768436" cy="2761672"/>
          </a:xfrm>
          <a:prstGeom prst="rect">
            <a:avLst/>
          </a:prstGeom>
        </xdr:spPr>
      </xdr:pic>
      <xdr:sp macro="" textlink="">
        <xdr:nvSpPr>
          <xdr:cNvPr id="368" name="Rectangle 367"/>
          <xdr:cNvSpPr/>
        </xdr:nvSpPr>
        <xdr:spPr>
          <a:xfrm>
            <a:off x="5929064" y="4463286"/>
            <a:ext cx="738909" cy="302419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69" name="TextBox 36"/>
          <xdr:cNvSpPr txBox="1"/>
        </xdr:nvSpPr>
        <xdr:spPr>
          <a:xfrm>
            <a:off x="4787908" y="4467470"/>
            <a:ext cx="307663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>
                <a:solidFill>
                  <a:schemeClr val="bg1"/>
                </a:solidFill>
              </a:rPr>
              <a:t>A3-AD + </a:t>
            </a:r>
            <a:r>
              <a:rPr lang="el-GR" sz="1200">
                <a:solidFill>
                  <a:schemeClr val="bg1"/>
                </a:solidFill>
              </a:rPr>
              <a:t>Δ</a:t>
            </a:r>
            <a:r>
              <a:rPr lang="en-US" sz="1200">
                <a:solidFill>
                  <a:schemeClr val="bg1"/>
                </a:solidFill>
              </a:rPr>
              <a:t>A2-BD</a:t>
            </a:r>
          </a:p>
        </xdr:txBody>
      </xdr:sp>
      <xdr:sp macro="" textlink="">
        <xdr:nvSpPr>
          <xdr:cNvPr id="370" name="Rectangle 369"/>
          <xdr:cNvSpPr/>
        </xdr:nvSpPr>
        <xdr:spPr>
          <a:xfrm rot="16200000">
            <a:off x="6994974" y="2979632"/>
            <a:ext cx="738909" cy="302419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71" name="TextBox 38"/>
          <xdr:cNvSpPr txBox="1"/>
        </xdr:nvSpPr>
        <xdr:spPr>
          <a:xfrm>
            <a:off x="6864713" y="2335585"/>
            <a:ext cx="1002609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>
                <a:solidFill>
                  <a:schemeClr val="bg1"/>
                </a:solidFill>
              </a:rPr>
              <a:t>A3-AD </a:t>
            </a:r>
          </a:p>
          <a:p>
            <a:pPr algn="ctr"/>
            <a:r>
              <a:rPr lang="en-US" sz="1200">
                <a:solidFill>
                  <a:schemeClr val="bg1"/>
                </a:solidFill>
              </a:rPr>
              <a:t>+ BD</a:t>
            </a:r>
          </a:p>
        </xdr:txBody>
      </xdr:sp>
      <xdr:sp macro="" textlink="">
        <xdr:nvSpPr>
          <xdr:cNvPr id="372" name="TextBox 45"/>
          <xdr:cNvSpPr txBox="1"/>
        </xdr:nvSpPr>
        <xdr:spPr>
          <a:xfrm>
            <a:off x="4561239" y="2298368"/>
            <a:ext cx="101290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solidFill>
                  <a:schemeClr val="bg1"/>
                </a:solidFill>
              </a:rPr>
              <a:t> - WL</a:t>
            </a:r>
          </a:p>
        </xdr:txBody>
      </xdr:sp>
    </xdr:grpSp>
    <xdr:clientData/>
  </xdr:twoCellAnchor>
  <xdr:twoCellAnchor>
    <xdr:from>
      <xdr:col>16</xdr:col>
      <xdr:colOff>142875</xdr:colOff>
      <xdr:row>6</xdr:row>
      <xdr:rowOff>0</xdr:rowOff>
    </xdr:from>
    <xdr:to>
      <xdr:col>22</xdr:col>
      <xdr:colOff>132008</xdr:colOff>
      <xdr:row>18</xdr:row>
      <xdr:rowOff>69374</xdr:rowOff>
    </xdr:to>
    <xdr:grpSp>
      <xdr:nvGrpSpPr>
        <xdr:cNvPr id="373" name="Group 372"/>
        <xdr:cNvGrpSpPr/>
      </xdr:nvGrpSpPr>
      <xdr:grpSpPr>
        <a:xfrm>
          <a:off x="10690931" y="1164167"/>
          <a:ext cx="3693299" cy="2397707"/>
          <a:chOff x="4258689" y="-193659"/>
          <a:chExt cx="3608633" cy="2355374"/>
        </a:xfrm>
      </xdr:grpSpPr>
      <xdr:pic>
        <xdr:nvPicPr>
          <xdr:cNvPr id="374" name="Picture 373"/>
          <xdr:cNvPicPr>
            <a:picLocks noChangeAspect="1"/>
          </xdr:cNvPicPr>
        </xdr:nvPicPr>
        <xdr:blipFill rotWithShape="1"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27" t="8935" r="11237" b="5265"/>
          <a:stretch/>
        </xdr:blipFill>
        <xdr:spPr>
          <a:xfrm rot="10800000">
            <a:off x="4258689" y="-193658"/>
            <a:ext cx="3608633" cy="2355373"/>
          </a:xfrm>
          <a:prstGeom prst="rect">
            <a:avLst/>
          </a:prstGeom>
        </xdr:spPr>
      </xdr:pic>
      <xdr:sp macro="" textlink="">
        <xdr:nvSpPr>
          <xdr:cNvPr id="375" name="Rectangle 374"/>
          <xdr:cNvSpPr/>
        </xdr:nvSpPr>
        <xdr:spPr>
          <a:xfrm>
            <a:off x="5863726" y="1448698"/>
            <a:ext cx="738909" cy="302419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76" name="TextBox 41"/>
          <xdr:cNvSpPr txBox="1"/>
        </xdr:nvSpPr>
        <xdr:spPr>
          <a:xfrm>
            <a:off x="4787223" y="1452882"/>
            <a:ext cx="27930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>
                <a:solidFill>
                  <a:schemeClr val="bg1"/>
                </a:solidFill>
              </a:rPr>
              <a:t>AD + </a:t>
            </a:r>
            <a:r>
              <a:rPr lang="el-GR" sz="1200">
                <a:solidFill>
                  <a:schemeClr val="bg1"/>
                </a:solidFill>
              </a:rPr>
              <a:t>Δ</a:t>
            </a:r>
            <a:r>
              <a:rPr lang="en-US" sz="1200">
                <a:solidFill>
                  <a:schemeClr val="bg1"/>
                </a:solidFill>
              </a:rPr>
              <a:t>A3-BD</a:t>
            </a:r>
          </a:p>
        </xdr:txBody>
      </xdr:sp>
      <xdr:sp macro="" textlink="">
        <xdr:nvSpPr>
          <xdr:cNvPr id="377" name="Rectangle 376"/>
          <xdr:cNvSpPr/>
        </xdr:nvSpPr>
        <xdr:spPr>
          <a:xfrm>
            <a:off x="5866969" y="1038088"/>
            <a:ext cx="738909" cy="302419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78" name="TextBox 43"/>
          <xdr:cNvSpPr txBox="1"/>
        </xdr:nvSpPr>
        <xdr:spPr>
          <a:xfrm>
            <a:off x="4790466" y="1042272"/>
            <a:ext cx="27930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>
                <a:solidFill>
                  <a:schemeClr val="bg1"/>
                </a:solidFill>
              </a:rPr>
              <a:t>AD + </a:t>
            </a:r>
            <a:r>
              <a:rPr lang="el-GR" sz="1200">
                <a:solidFill>
                  <a:schemeClr val="bg1"/>
                </a:solidFill>
              </a:rPr>
              <a:t>Δ</a:t>
            </a:r>
            <a:r>
              <a:rPr lang="en-US" sz="1200">
                <a:solidFill>
                  <a:schemeClr val="bg1"/>
                </a:solidFill>
              </a:rPr>
              <a:t>A2-BD</a:t>
            </a:r>
          </a:p>
        </xdr:txBody>
      </xdr:sp>
      <xdr:sp macro="" textlink="">
        <xdr:nvSpPr>
          <xdr:cNvPr id="379" name="TextBox 50"/>
          <xdr:cNvSpPr txBox="1"/>
        </xdr:nvSpPr>
        <xdr:spPr>
          <a:xfrm>
            <a:off x="4418076" y="-193659"/>
            <a:ext cx="101290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solidFill>
                  <a:schemeClr val="bg1"/>
                </a:solidFill>
              </a:rPr>
              <a:t> - WL</a:t>
            </a:r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29</xdr:col>
      <xdr:colOff>250535</xdr:colOff>
      <xdr:row>19</xdr:row>
      <xdr:rowOff>132684</xdr:rowOff>
    </xdr:to>
    <xdr:grpSp>
      <xdr:nvGrpSpPr>
        <xdr:cNvPr id="380" name="Group 379"/>
        <xdr:cNvGrpSpPr/>
      </xdr:nvGrpSpPr>
      <xdr:grpSpPr>
        <a:xfrm>
          <a:off x="14869583" y="1164167"/>
          <a:ext cx="3954702" cy="2655045"/>
          <a:chOff x="147781" y="3774204"/>
          <a:chExt cx="3870035" cy="2609184"/>
        </a:xfrm>
      </xdr:grpSpPr>
      <xdr:pic>
        <xdr:nvPicPr>
          <xdr:cNvPr id="381" name="Picture 380"/>
          <xdr:cNvPicPr>
            <a:picLocks noChangeAspect="1"/>
          </xdr:cNvPicPr>
        </xdr:nvPicPr>
        <xdr:blipFill rotWithShape="1"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483" t="5983" r="2426" b="-1036"/>
          <a:stretch/>
        </xdr:blipFill>
        <xdr:spPr>
          <a:xfrm rot="10800000">
            <a:off x="147781" y="3774204"/>
            <a:ext cx="3870035" cy="2609184"/>
          </a:xfrm>
          <a:prstGeom prst="rect">
            <a:avLst/>
          </a:prstGeom>
        </xdr:spPr>
      </xdr:pic>
      <xdr:sp macro="" textlink="">
        <xdr:nvSpPr>
          <xdr:cNvPr id="382" name="Rectangle 381"/>
          <xdr:cNvSpPr/>
        </xdr:nvSpPr>
        <xdr:spPr>
          <a:xfrm>
            <a:off x="1884241" y="5710527"/>
            <a:ext cx="738909" cy="302419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83" name="TextBox 48"/>
          <xdr:cNvSpPr txBox="1"/>
        </xdr:nvSpPr>
        <xdr:spPr>
          <a:xfrm>
            <a:off x="724613" y="5742419"/>
            <a:ext cx="307663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>
                <a:solidFill>
                  <a:schemeClr val="bg1"/>
                </a:solidFill>
              </a:rPr>
              <a:t>A2-AD + </a:t>
            </a:r>
            <a:r>
              <a:rPr lang="el-GR" sz="1200">
                <a:solidFill>
                  <a:schemeClr val="bg1"/>
                </a:solidFill>
              </a:rPr>
              <a:t>Δ</a:t>
            </a:r>
            <a:r>
              <a:rPr lang="en-US" sz="1200">
                <a:solidFill>
                  <a:schemeClr val="bg1"/>
                </a:solidFill>
              </a:rPr>
              <a:t>A3-BD</a:t>
            </a:r>
          </a:p>
        </xdr:txBody>
      </xdr:sp>
      <xdr:sp macro="" textlink="">
        <xdr:nvSpPr>
          <xdr:cNvPr id="384" name="Rectangle 383"/>
          <xdr:cNvSpPr/>
        </xdr:nvSpPr>
        <xdr:spPr>
          <a:xfrm rot="16200000">
            <a:off x="2979479" y="4190256"/>
            <a:ext cx="738909" cy="302419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85" name="TextBox 54"/>
          <xdr:cNvSpPr txBox="1"/>
        </xdr:nvSpPr>
        <xdr:spPr>
          <a:xfrm>
            <a:off x="2460150" y="3887097"/>
            <a:ext cx="1002609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>
                <a:solidFill>
                  <a:schemeClr val="bg1"/>
                </a:solidFill>
              </a:rPr>
              <a:t>A2-AD </a:t>
            </a:r>
          </a:p>
          <a:p>
            <a:pPr algn="ctr"/>
            <a:r>
              <a:rPr lang="en-US" sz="1200">
                <a:solidFill>
                  <a:schemeClr val="bg1"/>
                </a:solidFill>
              </a:rPr>
              <a:t>+ BD</a:t>
            </a:r>
          </a:p>
        </xdr:txBody>
      </xdr:sp>
      <xdr:sp macro="" textlink="">
        <xdr:nvSpPr>
          <xdr:cNvPr id="386" name="TextBox 66"/>
          <xdr:cNvSpPr txBox="1"/>
        </xdr:nvSpPr>
        <xdr:spPr>
          <a:xfrm>
            <a:off x="446438" y="3782813"/>
            <a:ext cx="101290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solidFill>
                  <a:schemeClr val="bg1"/>
                </a:solidFill>
              </a:rPr>
              <a:t> - WLH + 3AT</a:t>
            </a:r>
          </a:p>
        </xdr:txBody>
      </xdr:sp>
    </xdr:grpSp>
    <xdr:clientData/>
  </xdr:twoCellAnchor>
  <xdr:twoCellAnchor>
    <xdr:from>
      <xdr:col>36</xdr:col>
      <xdr:colOff>127000</xdr:colOff>
      <xdr:row>6</xdr:row>
      <xdr:rowOff>0</xdr:rowOff>
    </xdr:from>
    <xdr:to>
      <xdr:col>42</xdr:col>
      <xdr:colOff>283853</xdr:colOff>
      <xdr:row>20</xdr:row>
      <xdr:rowOff>130390</xdr:rowOff>
    </xdr:to>
    <xdr:grpSp>
      <xdr:nvGrpSpPr>
        <xdr:cNvPr id="387" name="Group 386"/>
        <xdr:cNvGrpSpPr/>
      </xdr:nvGrpSpPr>
      <xdr:grpSpPr>
        <a:xfrm>
          <a:off x="23022278" y="1164167"/>
          <a:ext cx="3861019" cy="2846779"/>
          <a:chOff x="4320833" y="3850153"/>
          <a:chExt cx="3776353" cy="2797390"/>
        </a:xfrm>
      </xdr:grpSpPr>
      <xdr:pic>
        <xdr:nvPicPr>
          <xdr:cNvPr id="388" name="Picture 387"/>
          <xdr:cNvPicPr>
            <a:picLocks noChangeAspect="1"/>
          </xdr:cNvPicPr>
        </xdr:nvPicPr>
        <xdr:blipFill rotWithShape="1">
          <a:blip xmlns:r="http://schemas.openxmlformats.org/officeDocument/2006/relationships" r:embed="rId25" cstate="print">
            <a:extLst>
              <a:ext uri="{BEBA8EAE-BF5A-486C-A8C5-ECC9F3942E4B}">
                <a14:imgProps xmlns:a14="http://schemas.microsoft.com/office/drawing/2010/main">
                  <a14:imgLayer r:embed="rId26">
                    <a14:imgEffect>
                      <a14:brightnessContrast bright="1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6303" t="-2608" r="1884" b="688"/>
          <a:stretch/>
        </xdr:blipFill>
        <xdr:spPr>
          <a:xfrm rot="10800000">
            <a:off x="4320833" y="3850153"/>
            <a:ext cx="3776353" cy="2797390"/>
          </a:xfrm>
          <a:prstGeom prst="rect">
            <a:avLst/>
          </a:prstGeom>
        </xdr:spPr>
      </xdr:pic>
      <xdr:sp macro="" textlink="">
        <xdr:nvSpPr>
          <xdr:cNvPr id="389" name="Rectangle 388"/>
          <xdr:cNvSpPr/>
        </xdr:nvSpPr>
        <xdr:spPr>
          <a:xfrm>
            <a:off x="5969237" y="5452669"/>
            <a:ext cx="738909" cy="302419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90" name="TextBox 63"/>
          <xdr:cNvSpPr txBox="1"/>
        </xdr:nvSpPr>
        <xdr:spPr>
          <a:xfrm>
            <a:off x="4581009" y="5484561"/>
            <a:ext cx="307663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>
                <a:solidFill>
                  <a:schemeClr val="bg1"/>
                </a:solidFill>
              </a:rPr>
              <a:t>AD + </a:t>
            </a:r>
            <a:r>
              <a:rPr lang="el-GR" sz="1200">
                <a:solidFill>
                  <a:schemeClr val="bg1"/>
                </a:solidFill>
              </a:rPr>
              <a:t>Δ</a:t>
            </a:r>
            <a:r>
              <a:rPr lang="en-US" sz="1200">
                <a:solidFill>
                  <a:schemeClr val="bg1"/>
                </a:solidFill>
              </a:rPr>
              <a:t>A2-BD</a:t>
            </a:r>
          </a:p>
        </xdr:txBody>
      </xdr:sp>
      <xdr:sp macro="" textlink="">
        <xdr:nvSpPr>
          <xdr:cNvPr id="391" name="Rectangle 390"/>
          <xdr:cNvSpPr/>
        </xdr:nvSpPr>
        <xdr:spPr>
          <a:xfrm>
            <a:off x="5969237" y="5879389"/>
            <a:ext cx="738909" cy="302419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92" name="TextBox 65"/>
          <xdr:cNvSpPr txBox="1"/>
        </xdr:nvSpPr>
        <xdr:spPr>
          <a:xfrm>
            <a:off x="4581009" y="5911281"/>
            <a:ext cx="307663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>
                <a:solidFill>
                  <a:schemeClr val="bg1"/>
                </a:solidFill>
              </a:rPr>
              <a:t>AD + </a:t>
            </a:r>
            <a:r>
              <a:rPr lang="el-GR" sz="1200">
                <a:solidFill>
                  <a:schemeClr val="bg1"/>
                </a:solidFill>
              </a:rPr>
              <a:t>Δ</a:t>
            </a:r>
            <a:r>
              <a:rPr lang="en-US" sz="1200">
                <a:solidFill>
                  <a:schemeClr val="bg1"/>
                </a:solidFill>
              </a:rPr>
              <a:t>A3-BD</a:t>
            </a:r>
          </a:p>
        </xdr:txBody>
      </xdr:sp>
      <xdr:sp macro="" textlink="">
        <xdr:nvSpPr>
          <xdr:cNvPr id="393" name="TextBox 67"/>
          <xdr:cNvSpPr txBox="1"/>
        </xdr:nvSpPr>
        <xdr:spPr>
          <a:xfrm>
            <a:off x="4504298" y="3850153"/>
            <a:ext cx="101290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solidFill>
                  <a:schemeClr val="bg1"/>
                </a:solidFill>
              </a:rPr>
              <a:t> - WLH + 3AT</a:t>
            </a:r>
          </a:p>
        </xdr:txBody>
      </xdr:sp>
    </xdr:grpSp>
    <xdr:clientData/>
  </xdr:twoCellAnchor>
  <xdr:twoCellAnchor>
    <xdr:from>
      <xdr:col>29</xdr:col>
      <xdr:colOff>476250</xdr:colOff>
      <xdr:row>6</xdr:row>
      <xdr:rowOff>15875</xdr:rowOff>
    </xdr:from>
    <xdr:to>
      <xdr:col>36</xdr:col>
      <xdr:colOff>83050</xdr:colOff>
      <xdr:row>19</xdr:row>
      <xdr:rowOff>60277</xdr:rowOff>
    </xdr:to>
    <xdr:grpSp>
      <xdr:nvGrpSpPr>
        <xdr:cNvPr id="394" name="Group 393"/>
        <xdr:cNvGrpSpPr/>
      </xdr:nvGrpSpPr>
      <xdr:grpSpPr>
        <a:xfrm>
          <a:off x="19050000" y="1180042"/>
          <a:ext cx="3928328" cy="2566763"/>
          <a:chOff x="3057236" y="-157018"/>
          <a:chExt cx="3829550" cy="2520902"/>
        </a:xfrm>
      </xdr:grpSpPr>
      <xdr:pic>
        <xdr:nvPicPr>
          <xdr:cNvPr id="395" name="Picture 394"/>
          <xdr:cNvPicPr>
            <a:picLocks noChangeAspect="1"/>
          </xdr:cNvPicPr>
        </xdr:nvPicPr>
        <xdr:blipFill rotWithShape="1"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545" t="7954" r="1316" b="215"/>
          <a:stretch/>
        </xdr:blipFill>
        <xdr:spPr>
          <a:xfrm rot="10800000">
            <a:off x="3057236" y="-157018"/>
            <a:ext cx="3666312" cy="2520902"/>
          </a:xfrm>
          <a:prstGeom prst="rect">
            <a:avLst/>
          </a:prstGeom>
        </xdr:spPr>
      </xdr:pic>
      <xdr:sp macro="" textlink="">
        <xdr:nvSpPr>
          <xdr:cNvPr id="396" name="Rectangle 395"/>
          <xdr:cNvSpPr/>
        </xdr:nvSpPr>
        <xdr:spPr>
          <a:xfrm>
            <a:off x="4761366" y="1723118"/>
            <a:ext cx="738909" cy="302419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97" name="TextBox 52"/>
          <xdr:cNvSpPr txBox="1"/>
        </xdr:nvSpPr>
        <xdr:spPr>
          <a:xfrm>
            <a:off x="3601738" y="1755010"/>
            <a:ext cx="307663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>
                <a:solidFill>
                  <a:schemeClr val="bg1"/>
                </a:solidFill>
              </a:rPr>
              <a:t>A3-AD + </a:t>
            </a:r>
            <a:r>
              <a:rPr lang="el-GR" sz="1200">
                <a:solidFill>
                  <a:schemeClr val="bg1"/>
                </a:solidFill>
              </a:rPr>
              <a:t>Δ</a:t>
            </a:r>
            <a:r>
              <a:rPr lang="en-US" sz="1200">
                <a:solidFill>
                  <a:schemeClr val="bg1"/>
                </a:solidFill>
              </a:rPr>
              <a:t>A2-BD</a:t>
            </a:r>
          </a:p>
        </xdr:txBody>
      </xdr:sp>
      <xdr:sp macro="" textlink="">
        <xdr:nvSpPr>
          <xdr:cNvPr id="398" name="Rectangle 397"/>
          <xdr:cNvSpPr/>
        </xdr:nvSpPr>
        <xdr:spPr>
          <a:xfrm rot="16200000">
            <a:off x="5850529" y="213482"/>
            <a:ext cx="738909" cy="302419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99" name="TextBox 56"/>
          <xdr:cNvSpPr txBox="1"/>
        </xdr:nvSpPr>
        <xdr:spPr>
          <a:xfrm>
            <a:off x="5884177" y="689680"/>
            <a:ext cx="1002609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>
                <a:solidFill>
                  <a:schemeClr val="bg1"/>
                </a:solidFill>
              </a:rPr>
              <a:t>A3-AD </a:t>
            </a:r>
          </a:p>
          <a:p>
            <a:pPr algn="ctr"/>
            <a:r>
              <a:rPr lang="en-US" sz="1200">
                <a:solidFill>
                  <a:schemeClr val="bg1"/>
                </a:solidFill>
              </a:rPr>
              <a:t>+ BD</a:t>
            </a:r>
          </a:p>
        </xdr:txBody>
      </xdr:sp>
      <xdr:sp macro="" textlink="">
        <xdr:nvSpPr>
          <xdr:cNvPr id="400" name="TextBox 68"/>
          <xdr:cNvSpPr txBox="1"/>
        </xdr:nvSpPr>
        <xdr:spPr>
          <a:xfrm>
            <a:off x="3294794" y="-138500"/>
            <a:ext cx="101290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solidFill>
                  <a:schemeClr val="bg1"/>
                </a:solidFill>
              </a:rPr>
              <a:t> - WLH + 3AT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1</xdr:rowOff>
    </xdr:from>
    <xdr:to>
      <xdr:col>7</xdr:col>
      <xdr:colOff>403411</xdr:colOff>
      <xdr:row>21</xdr:row>
      <xdr:rowOff>80573</xdr:rowOff>
    </xdr:to>
    <xdr:grpSp>
      <xdr:nvGrpSpPr>
        <xdr:cNvPr id="2" name="Group 1"/>
        <xdr:cNvGrpSpPr/>
      </xdr:nvGrpSpPr>
      <xdr:grpSpPr>
        <a:xfrm>
          <a:off x="2060864" y="571501"/>
          <a:ext cx="3434092" cy="3509572"/>
          <a:chOff x="-3307233" y="472668"/>
          <a:chExt cx="4475632" cy="4735755"/>
        </a:xfrm>
      </xdr:grpSpPr>
      <xdr:pic>
        <xdr:nvPicPr>
          <xdr:cNvPr id="3" name="Picture 2" descr="Z:\Heat\HSFA3\20190618_NewPromoterSwapAssay\DSC_1349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806" t="2210" r="33841" b="6124"/>
          <a:stretch/>
        </xdr:blipFill>
        <xdr:spPr bwMode="auto">
          <a:xfrm rot="-5400000">
            <a:off x="-2900035" y="852159"/>
            <a:ext cx="3361669" cy="3352799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TextBox 22"/>
          <xdr:cNvSpPr txBox="1"/>
        </xdr:nvSpPr>
        <xdr:spPr>
          <a:xfrm>
            <a:off x="-1466850" y="472668"/>
            <a:ext cx="571500" cy="3434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5" name="TextBox 101"/>
          <xdr:cNvSpPr txBox="1"/>
        </xdr:nvSpPr>
        <xdr:spPr>
          <a:xfrm>
            <a:off x="-3235317" y="1171709"/>
            <a:ext cx="679436" cy="5623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6" name="TextBox 102"/>
          <xdr:cNvSpPr txBox="1"/>
        </xdr:nvSpPr>
        <xdr:spPr>
          <a:xfrm>
            <a:off x="-3307233" y="3299417"/>
            <a:ext cx="751351" cy="121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HSFA2-YFP in hsfa2</a:t>
            </a:r>
          </a:p>
        </xdr:txBody>
      </xdr:sp>
      <xdr:sp macro="" textlink="">
        <xdr:nvSpPr>
          <xdr:cNvPr id="7" name="TextBox 103"/>
          <xdr:cNvSpPr txBox="1"/>
        </xdr:nvSpPr>
        <xdr:spPr>
          <a:xfrm>
            <a:off x="-1990725" y="4208221"/>
            <a:ext cx="923925" cy="10002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pHSFA3::HSFA2-YFP #4</a:t>
            </a:r>
          </a:p>
        </xdr:txBody>
      </xdr:sp>
      <xdr:cxnSp macro="">
        <xdr:nvCxnSpPr>
          <xdr:cNvPr id="8" name="Straight Connector 7"/>
          <xdr:cNvCxnSpPr/>
        </xdr:nvCxnSpPr>
        <xdr:spPr>
          <a:xfrm>
            <a:off x="-1981200" y="1171571"/>
            <a:ext cx="1600200" cy="2695577"/>
          </a:xfrm>
          <a:prstGeom prst="line">
            <a:avLst/>
          </a:prstGeom>
          <a:ln w="2540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Straight Connector 8"/>
          <xdr:cNvCxnSpPr/>
        </xdr:nvCxnSpPr>
        <xdr:spPr>
          <a:xfrm flipH="1">
            <a:off x="-1981200" y="1295400"/>
            <a:ext cx="1524000" cy="2438400"/>
          </a:xfrm>
          <a:prstGeom prst="line">
            <a:avLst/>
          </a:prstGeom>
          <a:ln w="2540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Connector 9"/>
          <xdr:cNvCxnSpPr/>
        </xdr:nvCxnSpPr>
        <xdr:spPr>
          <a:xfrm flipH="1" flipV="1">
            <a:off x="-2743200" y="2489129"/>
            <a:ext cx="3053318" cy="30230"/>
          </a:xfrm>
          <a:prstGeom prst="line">
            <a:avLst/>
          </a:prstGeom>
          <a:ln w="2540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TextBox 111"/>
          <xdr:cNvSpPr txBox="1"/>
        </xdr:nvSpPr>
        <xdr:spPr>
          <a:xfrm>
            <a:off x="244474" y="3037138"/>
            <a:ext cx="923925" cy="100020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pHSFA3::HSFA2-YFP #8</a:t>
            </a:r>
          </a:p>
        </xdr:txBody>
      </xdr:sp>
    </xdr:grpSp>
    <xdr:clientData/>
  </xdr:twoCellAnchor>
  <xdr:twoCellAnchor>
    <xdr:from>
      <xdr:col>8</xdr:col>
      <xdr:colOff>22413</xdr:colOff>
      <xdr:row>3</xdr:row>
      <xdr:rowOff>11207</xdr:rowOff>
    </xdr:from>
    <xdr:to>
      <xdr:col>13</xdr:col>
      <xdr:colOff>381001</xdr:colOff>
      <xdr:row>21</xdr:row>
      <xdr:rowOff>122054</xdr:rowOff>
    </xdr:to>
    <xdr:grpSp>
      <xdr:nvGrpSpPr>
        <xdr:cNvPr id="12" name="Group 11"/>
        <xdr:cNvGrpSpPr/>
      </xdr:nvGrpSpPr>
      <xdr:grpSpPr>
        <a:xfrm>
          <a:off x="5720095" y="582707"/>
          <a:ext cx="3527815" cy="3539847"/>
          <a:chOff x="3411068" y="830949"/>
          <a:chExt cx="4475632" cy="4466057"/>
        </a:xfrm>
      </xdr:grpSpPr>
      <xdr:pic>
        <xdr:nvPicPr>
          <xdr:cNvPr id="13" name="Picture 12" descr="Z:\Heat\HSFA3\20190618_NewPromoterSwapAssay\DSC_1352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492" t="3266" r="38067" b="5415"/>
          <a:stretch/>
        </xdr:blipFill>
        <xdr:spPr bwMode="auto">
          <a:xfrm rot="-5400000">
            <a:off x="3864353" y="1190247"/>
            <a:ext cx="3256797" cy="3340103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4" name="TextBox 112"/>
          <xdr:cNvSpPr txBox="1"/>
        </xdr:nvSpPr>
        <xdr:spPr>
          <a:xfrm>
            <a:off x="5251451" y="830949"/>
            <a:ext cx="571500" cy="3211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5" name="TextBox 113"/>
          <xdr:cNvSpPr txBox="1"/>
        </xdr:nvSpPr>
        <xdr:spPr>
          <a:xfrm>
            <a:off x="3482983" y="1529993"/>
            <a:ext cx="679436" cy="3211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6" name="TextBox 114"/>
          <xdr:cNvSpPr txBox="1"/>
        </xdr:nvSpPr>
        <xdr:spPr>
          <a:xfrm>
            <a:off x="3411068" y="3657700"/>
            <a:ext cx="751351" cy="9351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HSFA2-YFP in hsfa2</a:t>
            </a:r>
          </a:p>
        </xdr:txBody>
      </xdr:sp>
      <xdr:sp macro="" textlink="">
        <xdr:nvSpPr>
          <xdr:cNvPr id="17" name="TextBox 115"/>
          <xdr:cNvSpPr txBox="1"/>
        </xdr:nvSpPr>
        <xdr:spPr>
          <a:xfrm>
            <a:off x="4727576" y="4566503"/>
            <a:ext cx="923925" cy="73050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pHSFA3::HSFA2-YFP #4</a:t>
            </a:r>
          </a:p>
        </xdr:txBody>
      </xdr:sp>
      <xdr:cxnSp macro="">
        <xdr:nvCxnSpPr>
          <xdr:cNvPr id="18" name="Straight Connector 17"/>
          <xdr:cNvCxnSpPr/>
        </xdr:nvCxnSpPr>
        <xdr:spPr>
          <a:xfrm>
            <a:off x="4737101" y="1529852"/>
            <a:ext cx="1600200" cy="2695577"/>
          </a:xfrm>
          <a:prstGeom prst="line">
            <a:avLst/>
          </a:prstGeom>
          <a:ln w="2540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Straight Connector 18"/>
          <xdr:cNvCxnSpPr/>
        </xdr:nvCxnSpPr>
        <xdr:spPr>
          <a:xfrm flipH="1">
            <a:off x="4796029" y="1600200"/>
            <a:ext cx="1399969" cy="2530216"/>
          </a:xfrm>
          <a:prstGeom prst="line">
            <a:avLst/>
          </a:prstGeom>
          <a:ln w="2540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Straight Connector 19"/>
          <xdr:cNvCxnSpPr/>
        </xdr:nvCxnSpPr>
        <xdr:spPr>
          <a:xfrm flipH="1" flipV="1">
            <a:off x="3975101" y="2847410"/>
            <a:ext cx="3053318" cy="30230"/>
          </a:xfrm>
          <a:prstGeom prst="line">
            <a:avLst/>
          </a:prstGeom>
          <a:ln w="2540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TextBox 119"/>
          <xdr:cNvSpPr txBox="1"/>
        </xdr:nvSpPr>
        <xdr:spPr>
          <a:xfrm>
            <a:off x="6962775" y="3395419"/>
            <a:ext cx="923925" cy="73050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pHSFA3::HSFA2-YFP #8</a:t>
            </a:r>
          </a:p>
        </xdr:txBody>
      </xdr:sp>
    </xdr:grpSp>
    <xdr:clientData/>
  </xdr:twoCellAnchor>
  <xdr:twoCellAnchor>
    <xdr:from>
      <xdr:col>13</xdr:col>
      <xdr:colOff>403412</xdr:colOff>
      <xdr:row>3</xdr:row>
      <xdr:rowOff>179293</xdr:rowOff>
    </xdr:from>
    <xdr:to>
      <xdr:col>20</xdr:col>
      <xdr:colOff>12886</xdr:colOff>
      <xdr:row>19</xdr:row>
      <xdr:rowOff>22411</xdr:rowOff>
    </xdr:to>
    <xdr:grpSp>
      <xdr:nvGrpSpPr>
        <xdr:cNvPr id="22" name="Group 21"/>
        <xdr:cNvGrpSpPr/>
      </xdr:nvGrpSpPr>
      <xdr:grpSpPr>
        <a:xfrm>
          <a:off x="9270321" y="750793"/>
          <a:ext cx="4042929" cy="2891118"/>
          <a:chOff x="-8591550" y="-3305908"/>
          <a:chExt cx="8498651" cy="6049108"/>
        </a:xfrm>
      </xdr:grpSpPr>
      <xdr:pic>
        <xdr:nvPicPr>
          <xdr:cNvPr id="23" name="Picture 22" descr="Z:\Heat\HSFA3\20190715_survivalAssayspTF71a2a3\DSC_1561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5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6273" t="1470" r="9986" b="4293"/>
          <a:stretch/>
        </xdr:blipFill>
        <xdr:spPr bwMode="auto">
          <a:xfrm>
            <a:off x="-6781800" y="-3009215"/>
            <a:ext cx="5829300" cy="5752415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24" name="Straight Connector 23"/>
          <xdr:cNvCxnSpPr/>
        </xdr:nvCxnSpPr>
        <xdr:spPr>
          <a:xfrm flipH="1">
            <a:off x="-3962400" y="-2590800"/>
            <a:ext cx="114300" cy="50292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Straight Connector 24"/>
          <xdr:cNvCxnSpPr/>
        </xdr:nvCxnSpPr>
        <xdr:spPr>
          <a:xfrm flipH="1">
            <a:off x="-6248400" y="-1371600"/>
            <a:ext cx="4572000" cy="248234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Straight Connector 25"/>
          <xdr:cNvCxnSpPr/>
        </xdr:nvCxnSpPr>
        <xdr:spPr>
          <a:xfrm>
            <a:off x="-6019800" y="-1524000"/>
            <a:ext cx="4495800" cy="28194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" name="TextBox 15"/>
          <xdr:cNvSpPr txBox="1"/>
        </xdr:nvSpPr>
        <xdr:spPr>
          <a:xfrm>
            <a:off x="-1093640" y="-426483"/>
            <a:ext cx="1000741" cy="5326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28" name="TextBox 37"/>
          <xdr:cNvSpPr txBox="1"/>
        </xdr:nvSpPr>
        <xdr:spPr>
          <a:xfrm>
            <a:off x="-2362199" y="-2886074"/>
            <a:ext cx="1303982" cy="5326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29" name="TextBox 38"/>
          <xdr:cNvSpPr txBox="1"/>
        </xdr:nvSpPr>
        <xdr:spPr>
          <a:xfrm>
            <a:off x="-6690117" y="-3305908"/>
            <a:ext cx="1488567" cy="87203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HSFA2-YFP</a:t>
            </a:r>
          </a:p>
        </xdr:txBody>
      </xdr:sp>
      <xdr:sp macro="" textlink="">
        <xdr:nvSpPr>
          <xdr:cNvPr id="30" name="TextBox 39"/>
          <xdr:cNvSpPr txBox="1"/>
        </xdr:nvSpPr>
        <xdr:spPr>
          <a:xfrm>
            <a:off x="-8591550" y="-570130"/>
            <a:ext cx="1809750" cy="121145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pHSFA2::3xFLAG-HSFA3 #1</a:t>
            </a:r>
          </a:p>
        </xdr:txBody>
      </xdr:sp>
    </xdr:grpSp>
    <xdr:clientData/>
  </xdr:twoCellAnchor>
  <xdr:twoCellAnchor>
    <xdr:from>
      <xdr:col>20</xdr:col>
      <xdr:colOff>0</xdr:colOff>
      <xdr:row>3</xdr:row>
      <xdr:rowOff>129102</xdr:rowOff>
    </xdr:from>
    <xdr:to>
      <xdr:col>26</xdr:col>
      <xdr:colOff>585107</xdr:colOff>
      <xdr:row>19</xdr:row>
      <xdr:rowOff>103909</xdr:rowOff>
    </xdr:to>
    <xdr:grpSp>
      <xdr:nvGrpSpPr>
        <xdr:cNvPr id="31" name="Group 30"/>
        <xdr:cNvGrpSpPr/>
      </xdr:nvGrpSpPr>
      <xdr:grpSpPr>
        <a:xfrm>
          <a:off x="13300364" y="700602"/>
          <a:ext cx="4221925" cy="3022807"/>
          <a:chOff x="-8941024" y="2925958"/>
          <a:chExt cx="8678961" cy="6008491"/>
        </a:xfrm>
      </xdr:grpSpPr>
      <xdr:pic>
        <xdr:nvPicPr>
          <xdr:cNvPr id="32" name="Picture 31" descr="Z:\Heat\HSFA3\20190715_survivalAssayspTF71a2a3\DSC_1562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9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4792" t="1003" r="10416" b="2559"/>
          <a:stretch/>
        </xdr:blipFill>
        <xdr:spPr bwMode="auto">
          <a:xfrm>
            <a:off x="-7162800" y="3048000"/>
            <a:ext cx="5924550" cy="5886449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33" name="Straight Connector 32"/>
          <xdr:cNvCxnSpPr/>
        </xdr:nvCxnSpPr>
        <xdr:spPr>
          <a:xfrm>
            <a:off x="-4254724" y="3541156"/>
            <a:ext cx="0" cy="5117068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Straight Connector 33"/>
          <xdr:cNvCxnSpPr/>
        </xdr:nvCxnSpPr>
        <xdr:spPr>
          <a:xfrm flipH="1">
            <a:off x="-6369274" y="4714784"/>
            <a:ext cx="4343400" cy="261578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Straight Connector 34"/>
          <xdr:cNvCxnSpPr/>
        </xdr:nvCxnSpPr>
        <xdr:spPr>
          <a:xfrm>
            <a:off x="-6369274" y="4848224"/>
            <a:ext cx="4355278" cy="248234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TextBox 43"/>
          <xdr:cNvSpPr txBox="1"/>
        </xdr:nvSpPr>
        <xdr:spPr>
          <a:xfrm>
            <a:off x="-1301975" y="5793342"/>
            <a:ext cx="1039912" cy="5059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37" name="TextBox 44"/>
          <xdr:cNvSpPr txBox="1"/>
        </xdr:nvSpPr>
        <xdr:spPr>
          <a:xfrm>
            <a:off x="-2738132" y="3109098"/>
            <a:ext cx="1533309" cy="5059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38" name="TextBox 45"/>
          <xdr:cNvSpPr txBox="1"/>
        </xdr:nvSpPr>
        <xdr:spPr>
          <a:xfrm>
            <a:off x="-7114286" y="2925958"/>
            <a:ext cx="1183979" cy="11508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HSFA2-YFP</a:t>
            </a:r>
          </a:p>
        </xdr:txBody>
      </xdr:sp>
      <xdr:sp macro="" textlink="">
        <xdr:nvSpPr>
          <xdr:cNvPr id="39" name="TextBox 46"/>
          <xdr:cNvSpPr txBox="1"/>
        </xdr:nvSpPr>
        <xdr:spPr>
          <a:xfrm>
            <a:off x="-8941024" y="5649694"/>
            <a:ext cx="1809749" cy="11508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pHSFA2::3xFLAG-HSFA3 #1</a:t>
            </a:r>
          </a:p>
        </xdr:txBody>
      </xdr:sp>
    </xdr:grpSp>
    <xdr:clientData/>
  </xdr:twoCellAnchor>
  <xdr:twoCellAnchor>
    <xdr:from>
      <xdr:col>27</xdr:col>
      <xdr:colOff>244930</xdr:colOff>
      <xdr:row>3</xdr:row>
      <xdr:rowOff>176894</xdr:rowOff>
    </xdr:from>
    <xdr:to>
      <xdr:col>33</xdr:col>
      <xdr:colOff>108857</xdr:colOff>
      <xdr:row>21</xdr:row>
      <xdr:rowOff>134109</xdr:rowOff>
    </xdr:to>
    <xdr:grpSp>
      <xdr:nvGrpSpPr>
        <xdr:cNvPr id="40" name="Group 39"/>
        <xdr:cNvGrpSpPr/>
      </xdr:nvGrpSpPr>
      <xdr:grpSpPr>
        <a:xfrm>
          <a:off x="17788248" y="748394"/>
          <a:ext cx="3500745" cy="3386215"/>
          <a:chOff x="9384839" y="-2996933"/>
          <a:chExt cx="7045220" cy="6787847"/>
        </a:xfrm>
      </xdr:grpSpPr>
      <xdr:pic>
        <xdr:nvPicPr>
          <xdr:cNvPr id="41" name="Picture 40" descr="Z:\Heat\HSFA3\20190715_survivalAssayspTF71a2a3\DSC_1557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6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020" t="190" r="22438" b="5249"/>
          <a:stretch/>
        </xdr:blipFill>
        <xdr:spPr bwMode="auto">
          <a:xfrm>
            <a:off x="9384839" y="-2886075"/>
            <a:ext cx="5810250" cy="577215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42" name="Straight Connector 41"/>
          <xdr:cNvCxnSpPr/>
        </xdr:nvCxnSpPr>
        <xdr:spPr>
          <a:xfrm>
            <a:off x="12289964" y="-2516743"/>
            <a:ext cx="0" cy="5117068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Straight Connector 42"/>
          <xdr:cNvCxnSpPr/>
        </xdr:nvCxnSpPr>
        <xdr:spPr>
          <a:xfrm flipH="1">
            <a:off x="10175414" y="-1343115"/>
            <a:ext cx="4343400" cy="261578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Straight Connector 43"/>
          <xdr:cNvCxnSpPr/>
        </xdr:nvCxnSpPr>
        <xdr:spPr>
          <a:xfrm>
            <a:off x="10175414" y="-1209675"/>
            <a:ext cx="4355278" cy="248234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TextBox 58"/>
          <xdr:cNvSpPr txBox="1"/>
        </xdr:nvSpPr>
        <xdr:spPr>
          <a:xfrm>
            <a:off x="15242714" y="-264557"/>
            <a:ext cx="1187345" cy="5102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46" name="TextBox 59"/>
          <xdr:cNvSpPr txBox="1"/>
        </xdr:nvSpPr>
        <xdr:spPr>
          <a:xfrm>
            <a:off x="13834283" y="-2813564"/>
            <a:ext cx="1322218" cy="5102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47" name="TextBox 60"/>
          <xdr:cNvSpPr txBox="1"/>
        </xdr:nvSpPr>
        <xdr:spPr>
          <a:xfrm>
            <a:off x="9574514" y="-2996933"/>
            <a:ext cx="1265481" cy="8354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HSFA2-YFP</a:t>
            </a:r>
          </a:p>
        </xdr:txBody>
      </xdr:sp>
      <xdr:sp macro="" textlink="">
        <xdr:nvSpPr>
          <xdr:cNvPr id="48" name="TextBox 61"/>
          <xdr:cNvSpPr txBox="1"/>
        </xdr:nvSpPr>
        <xdr:spPr>
          <a:xfrm>
            <a:off x="13201651" y="2630268"/>
            <a:ext cx="1809750" cy="116064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pHSFA2::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3xFLAG-HSFA3 #11</a:t>
            </a:r>
          </a:p>
        </xdr:txBody>
      </xdr:sp>
    </xdr:grpSp>
    <xdr:clientData/>
  </xdr:twoCellAnchor>
  <xdr:twoCellAnchor>
    <xdr:from>
      <xdr:col>39</xdr:col>
      <xdr:colOff>285751</xdr:colOff>
      <xdr:row>4</xdr:row>
      <xdr:rowOff>51709</xdr:rowOff>
    </xdr:from>
    <xdr:to>
      <xdr:col>46</xdr:col>
      <xdr:colOff>283027</xdr:colOff>
      <xdr:row>21</xdr:row>
      <xdr:rowOff>50269</xdr:rowOff>
    </xdr:to>
    <xdr:grpSp>
      <xdr:nvGrpSpPr>
        <xdr:cNvPr id="49" name="Group 48"/>
        <xdr:cNvGrpSpPr/>
      </xdr:nvGrpSpPr>
      <xdr:grpSpPr>
        <a:xfrm>
          <a:off x="25102706" y="813709"/>
          <a:ext cx="4240230" cy="3237060"/>
          <a:chOff x="-8941024" y="3163311"/>
          <a:chExt cx="8432439" cy="6378047"/>
        </a:xfrm>
      </xdr:grpSpPr>
      <xdr:pic>
        <xdr:nvPicPr>
          <xdr:cNvPr id="50" name="Picture 49" descr="Z:\Heat\HSFA3\20190715_survivalAssayspTF71a2a3\DSC_1565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272" t="3534" r="8098" b="7968"/>
          <a:stretch/>
        </xdr:blipFill>
        <xdr:spPr bwMode="auto">
          <a:xfrm>
            <a:off x="-6969609" y="3321654"/>
            <a:ext cx="5544070" cy="5402043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51" name="Straight Connector 50"/>
          <xdr:cNvCxnSpPr/>
        </xdr:nvCxnSpPr>
        <xdr:spPr>
          <a:xfrm>
            <a:off x="-4254724" y="3541156"/>
            <a:ext cx="0" cy="5117068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" name="Straight Connector 51"/>
          <xdr:cNvCxnSpPr/>
        </xdr:nvCxnSpPr>
        <xdr:spPr>
          <a:xfrm flipH="1">
            <a:off x="-6369274" y="4714784"/>
            <a:ext cx="4343400" cy="261578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Straight Connector 52"/>
          <xdr:cNvCxnSpPr/>
        </xdr:nvCxnSpPr>
        <xdr:spPr>
          <a:xfrm>
            <a:off x="-6369274" y="4848224"/>
            <a:ext cx="4355278" cy="248234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" name="TextBox 43"/>
          <xdr:cNvSpPr txBox="1"/>
        </xdr:nvSpPr>
        <xdr:spPr>
          <a:xfrm>
            <a:off x="-1301974" y="5793343"/>
            <a:ext cx="793389" cy="50155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55" name="TextBox 44"/>
          <xdr:cNvSpPr txBox="1"/>
        </xdr:nvSpPr>
        <xdr:spPr>
          <a:xfrm>
            <a:off x="-2710405" y="3244335"/>
            <a:ext cx="1241878" cy="50155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56" name="TextBox 45"/>
          <xdr:cNvSpPr txBox="1"/>
        </xdr:nvSpPr>
        <xdr:spPr>
          <a:xfrm>
            <a:off x="-7435231" y="3163311"/>
            <a:ext cx="2509213" cy="8211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pA3::3xFLAG-</a:t>
            </a:r>
          </a:p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57" name="TextBox 46"/>
          <xdr:cNvSpPr txBox="1"/>
        </xdr:nvSpPr>
        <xdr:spPr>
          <a:xfrm>
            <a:off x="-8941024" y="5649693"/>
            <a:ext cx="1809749" cy="114082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pHSFA2::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3xFLAG-HSFA3 #2</a:t>
            </a:r>
          </a:p>
        </xdr:txBody>
      </xdr:sp>
      <xdr:sp macro="" textlink="">
        <xdr:nvSpPr>
          <xdr:cNvPr id="58" name="TextBox 54"/>
          <xdr:cNvSpPr txBox="1"/>
        </xdr:nvSpPr>
        <xdr:spPr>
          <a:xfrm>
            <a:off x="-3292440" y="8400532"/>
            <a:ext cx="1809749" cy="114082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pHSFA2::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3xFLAG-HSFA3 #5</a:t>
            </a:r>
          </a:p>
        </xdr:txBody>
      </xdr:sp>
    </xdr:grpSp>
    <xdr:clientData/>
  </xdr:twoCellAnchor>
  <xdr:twoCellAnchor>
    <xdr:from>
      <xdr:col>46</xdr:col>
      <xdr:colOff>187700</xdr:colOff>
      <xdr:row>4</xdr:row>
      <xdr:rowOff>95251</xdr:rowOff>
    </xdr:from>
    <xdr:to>
      <xdr:col>53</xdr:col>
      <xdr:colOff>254933</xdr:colOff>
      <xdr:row>21</xdr:row>
      <xdr:rowOff>27442</xdr:rowOff>
    </xdr:to>
    <xdr:grpSp>
      <xdr:nvGrpSpPr>
        <xdr:cNvPr id="59" name="Group 58"/>
        <xdr:cNvGrpSpPr/>
      </xdr:nvGrpSpPr>
      <xdr:grpSpPr>
        <a:xfrm>
          <a:off x="29247609" y="857251"/>
          <a:ext cx="4310188" cy="3170691"/>
          <a:chOff x="7722946" y="1551489"/>
          <a:chExt cx="7976464" cy="6153229"/>
        </a:xfrm>
      </xdr:grpSpPr>
      <xdr:pic>
        <xdr:nvPicPr>
          <xdr:cNvPr id="60" name="Picture 59" descr="Z:\Heat\HSFA3\20190715_survivalAssayspTF71a2a3\DSC_1568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0393" t="3694" r="10650" b="7119"/>
          <a:stretch/>
        </xdr:blipFill>
        <xdr:spPr bwMode="auto">
          <a:xfrm>
            <a:off x="9525000" y="1718568"/>
            <a:ext cx="5391150" cy="5444232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61" name="Straight Connector 60"/>
          <xdr:cNvCxnSpPr/>
        </xdr:nvCxnSpPr>
        <xdr:spPr>
          <a:xfrm>
            <a:off x="12201525" y="1939162"/>
            <a:ext cx="0" cy="5117068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Straight Connector 61"/>
          <xdr:cNvCxnSpPr/>
        </xdr:nvCxnSpPr>
        <xdr:spPr>
          <a:xfrm flipH="1">
            <a:off x="10086975" y="3112790"/>
            <a:ext cx="4343400" cy="261578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" name="Straight Connector 62"/>
          <xdr:cNvCxnSpPr/>
        </xdr:nvCxnSpPr>
        <xdr:spPr>
          <a:xfrm>
            <a:off x="10086975" y="3246230"/>
            <a:ext cx="4355278" cy="248234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4" name="TextBox 72"/>
          <xdr:cNvSpPr txBox="1"/>
        </xdr:nvSpPr>
        <xdr:spPr>
          <a:xfrm>
            <a:off x="14826986" y="4191348"/>
            <a:ext cx="872424" cy="49400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65" name="TextBox 73"/>
          <xdr:cNvSpPr txBox="1"/>
        </xdr:nvSpPr>
        <xdr:spPr>
          <a:xfrm>
            <a:off x="13392715" y="1642339"/>
            <a:ext cx="1164230" cy="49400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66" name="TextBox 74"/>
          <xdr:cNvSpPr txBox="1"/>
        </xdr:nvSpPr>
        <xdr:spPr>
          <a:xfrm>
            <a:off x="9426257" y="1551489"/>
            <a:ext cx="2016389" cy="808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pA3::3xFLAG-</a:t>
            </a:r>
          </a:p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67" name="TextBox 75"/>
          <xdr:cNvSpPr txBox="1"/>
        </xdr:nvSpPr>
        <xdr:spPr>
          <a:xfrm>
            <a:off x="7722946" y="3851977"/>
            <a:ext cx="1809749" cy="112365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pHSFA2::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3xFLAG-HSFA3 #2</a:t>
            </a:r>
          </a:p>
        </xdr:txBody>
      </xdr:sp>
      <xdr:sp macro="" textlink="">
        <xdr:nvSpPr>
          <xdr:cNvPr id="68" name="TextBox 76"/>
          <xdr:cNvSpPr txBox="1"/>
        </xdr:nvSpPr>
        <xdr:spPr>
          <a:xfrm>
            <a:off x="13143036" y="6581067"/>
            <a:ext cx="1809749" cy="112365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pHSFA2::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3xFLAG-HSFA3 #5</a:t>
            </a:r>
          </a:p>
        </xdr:txBody>
      </xdr:sp>
    </xdr:grpSp>
    <xdr:clientData/>
  </xdr:twoCellAnchor>
  <xdr:twoCellAnchor>
    <xdr:from>
      <xdr:col>34</xdr:col>
      <xdr:colOff>0</xdr:colOff>
      <xdr:row>4</xdr:row>
      <xdr:rowOff>0</xdr:rowOff>
    </xdr:from>
    <xdr:to>
      <xdr:col>39</xdr:col>
      <xdr:colOff>302559</xdr:colOff>
      <xdr:row>21</xdr:row>
      <xdr:rowOff>104840</xdr:rowOff>
    </xdr:to>
    <xdr:grpSp>
      <xdr:nvGrpSpPr>
        <xdr:cNvPr id="69" name="Group 68"/>
        <xdr:cNvGrpSpPr/>
      </xdr:nvGrpSpPr>
      <xdr:grpSpPr>
        <a:xfrm>
          <a:off x="21786273" y="762000"/>
          <a:ext cx="3333241" cy="3343340"/>
          <a:chOff x="9144000" y="3945725"/>
          <a:chExt cx="6883326" cy="6731293"/>
        </a:xfrm>
      </xdr:grpSpPr>
      <xdr:pic>
        <xdr:nvPicPr>
          <xdr:cNvPr id="70" name="Picture 69" descr="Z:\Heat\HSFA3\20190715_survivalAssayspTF71a2a3\DSC_1558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3" cstate="print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rightnessContrast bright="1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5047" t="1249" r="19952" b="4513"/>
          <a:stretch/>
        </xdr:blipFill>
        <xdr:spPr bwMode="auto">
          <a:xfrm>
            <a:off x="9144000" y="3981792"/>
            <a:ext cx="5943600" cy="5752415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71" name="Straight Connector 70"/>
          <xdr:cNvCxnSpPr/>
        </xdr:nvCxnSpPr>
        <xdr:spPr>
          <a:xfrm>
            <a:off x="12134850" y="4398639"/>
            <a:ext cx="0" cy="5117068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" name="Straight Connector 71"/>
          <xdr:cNvCxnSpPr/>
        </xdr:nvCxnSpPr>
        <xdr:spPr>
          <a:xfrm flipH="1">
            <a:off x="10020300" y="5572267"/>
            <a:ext cx="4343400" cy="261578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" name="Straight Connector 72"/>
          <xdr:cNvCxnSpPr/>
        </xdr:nvCxnSpPr>
        <xdr:spPr>
          <a:xfrm>
            <a:off x="10020300" y="5705707"/>
            <a:ext cx="4355278" cy="248234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4" name="TextBox 65"/>
          <xdr:cNvSpPr txBox="1"/>
        </xdr:nvSpPr>
        <xdr:spPr>
          <a:xfrm>
            <a:off x="15087599" y="6650826"/>
            <a:ext cx="939727" cy="51251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75" name="TextBox 66"/>
          <xdr:cNvSpPr txBox="1"/>
        </xdr:nvSpPr>
        <xdr:spPr>
          <a:xfrm>
            <a:off x="13679167" y="4101818"/>
            <a:ext cx="1282052" cy="51251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76" name="TextBox 67"/>
          <xdr:cNvSpPr txBox="1"/>
        </xdr:nvSpPr>
        <xdr:spPr>
          <a:xfrm>
            <a:off x="9375762" y="3945725"/>
            <a:ext cx="1471699" cy="8391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HSFA2-YFP</a:t>
            </a:r>
          </a:p>
        </xdr:txBody>
      </xdr:sp>
      <xdr:sp macro="" textlink="">
        <xdr:nvSpPr>
          <xdr:cNvPr id="77" name="TextBox 68"/>
          <xdr:cNvSpPr txBox="1"/>
        </xdr:nvSpPr>
        <xdr:spPr>
          <a:xfrm>
            <a:off x="13301476" y="9184669"/>
            <a:ext cx="1809751" cy="149234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pHSFA2::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3xFLAG-HSFA3 #11</a:t>
            </a:r>
          </a:p>
        </xdr:txBody>
      </xdr:sp>
    </xdr:grpSp>
    <xdr:clientData/>
  </xdr:twoCellAnchor>
  <xdr:twoCellAnchor>
    <xdr:from>
      <xdr:col>53</xdr:col>
      <xdr:colOff>449037</xdr:colOff>
      <xdr:row>4</xdr:row>
      <xdr:rowOff>1</xdr:rowOff>
    </xdr:from>
    <xdr:to>
      <xdr:col>60</xdr:col>
      <xdr:colOff>81642</xdr:colOff>
      <xdr:row>23</xdr:row>
      <xdr:rowOff>128483</xdr:rowOff>
    </xdr:to>
    <xdr:grpSp>
      <xdr:nvGrpSpPr>
        <xdr:cNvPr id="78" name="Group 77"/>
        <xdr:cNvGrpSpPr/>
      </xdr:nvGrpSpPr>
      <xdr:grpSpPr>
        <a:xfrm>
          <a:off x="33751901" y="762001"/>
          <a:ext cx="3875559" cy="3747982"/>
          <a:chOff x="6481507" y="93795"/>
          <a:chExt cx="7291141" cy="7043187"/>
        </a:xfrm>
      </xdr:grpSpPr>
      <xdr:pic>
        <xdr:nvPicPr>
          <xdr:cNvPr id="79" name="Picture 78" descr="Z:\Heat\HSFA3\20190618_NewPromoterSwapAssay\DSC_1343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5" cstate="print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1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617" r="35520" b="9501"/>
          <a:stretch/>
        </xdr:blipFill>
        <xdr:spPr bwMode="auto">
          <a:xfrm rot="16200000">
            <a:off x="7447044" y="521127"/>
            <a:ext cx="5565238" cy="5524121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0" name="Straight Connector 79"/>
          <xdr:cNvCxnSpPr/>
        </xdr:nvCxnSpPr>
        <xdr:spPr>
          <a:xfrm flipH="1">
            <a:off x="9163995" y="1248320"/>
            <a:ext cx="2286000" cy="41910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Straight Connector 80"/>
          <xdr:cNvCxnSpPr/>
        </xdr:nvCxnSpPr>
        <xdr:spPr>
          <a:xfrm flipH="1">
            <a:off x="7944795" y="3229520"/>
            <a:ext cx="4876800" cy="244415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" name="Straight Connector 81"/>
          <xdr:cNvCxnSpPr/>
        </xdr:nvCxnSpPr>
        <xdr:spPr>
          <a:xfrm>
            <a:off x="8909545" y="1400720"/>
            <a:ext cx="2774127" cy="40386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3" name="TextBox 41"/>
          <xdr:cNvSpPr txBox="1"/>
        </xdr:nvSpPr>
        <xdr:spPr>
          <a:xfrm>
            <a:off x="9444625" y="93795"/>
            <a:ext cx="1847008" cy="4783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84" name="TextBox 42"/>
          <xdr:cNvSpPr txBox="1"/>
        </xdr:nvSpPr>
        <xdr:spPr>
          <a:xfrm>
            <a:off x="6481507" y="1722534"/>
            <a:ext cx="1225303" cy="4783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85" name="TextBox 43"/>
          <xdr:cNvSpPr txBox="1"/>
        </xdr:nvSpPr>
        <xdr:spPr>
          <a:xfrm>
            <a:off x="6759983" y="4794530"/>
            <a:ext cx="1442445" cy="10880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pA3::</a:t>
            </a:r>
          </a:p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3xFLAG-</a:t>
            </a:r>
          </a:p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86" name="TextBox 44"/>
          <xdr:cNvSpPr txBox="1"/>
        </xdr:nvSpPr>
        <xdr:spPr>
          <a:xfrm>
            <a:off x="9324788" y="6048919"/>
            <a:ext cx="1809751" cy="10880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pHSFA3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::HSFA2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-YFP #2</a:t>
            </a:r>
          </a:p>
        </xdr:txBody>
      </xdr:sp>
      <xdr:sp macro="" textlink="">
        <xdr:nvSpPr>
          <xdr:cNvPr id="87" name="TextBox 45"/>
          <xdr:cNvSpPr txBox="1"/>
        </xdr:nvSpPr>
        <xdr:spPr>
          <a:xfrm>
            <a:off x="11962897" y="960536"/>
            <a:ext cx="1809751" cy="10880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pHSFA3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::HSFA2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-YFP #10</a:t>
            </a:r>
          </a:p>
        </xdr:txBody>
      </xdr:sp>
    </xdr:grpSp>
    <xdr:clientData/>
  </xdr:twoCellAnchor>
  <xdr:twoCellAnchor>
    <xdr:from>
      <xdr:col>60</xdr:col>
      <xdr:colOff>489857</xdr:colOff>
      <xdr:row>4</xdr:row>
      <xdr:rowOff>13607</xdr:rowOff>
    </xdr:from>
    <xdr:to>
      <xdr:col>67</xdr:col>
      <xdr:colOff>285751</xdr:colOff>
      <xdr:row>23</xdr:row>
      <xdr:rowOff>151692</xdr:rowOff>
    </xdr:to>
    <xdr:grpSp>
      <xdr:nvGrpSpPr>
        <xdr:cNvPr id="88" name="Group 87"/>
        <xdr:cNvGrpSpPr/>
      </xdr:nvGrpSpPr>
      <xdr:grpSpPr>
        <a:xfrm>
          <a:off x="38035675" y="775607"/>
          <a:ext cx="4038849" cy="3757585"/>
          <a:chOff x="-6961771" y="2990148"/>
          <a:chExt cx="7495171" cy="6824424"/>
        </a:xfrm>
      </xdr:grpSpPr>
      <xdr:pic>
        <xdr:nvPicPr>
          <xdr:cNvPr id="89" name="Picture 88" descr="Z:\Heat\HSFA3\20190618_NewPromoterSwapAssay\DSC_1340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7" cstate="print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bright="1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188" t="4130" r="36447" b="6929"/>
          <a:stretch/>
        </xdr:blipFill>
        <xdr:spPr bwMode="auto">
          <a:xfrm rot="16200000">
            <a:off x="-5847841" y="3334259"/>
            <a:ext cx="5428232" cy="542925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90" name="Straight Connector 89"/>
          <xdr:cNvCxnSpPr/>
        </xdr:nvCxnSpPr>
        <xdr:spPr>
          <a:xfrm flipH="1">
            <a:off x="-4343400" y="3962400"/>
            <a:ext cx="2286000" cy="41910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1" name="Straight Connector 90"/>
          <xdr:cNvCxnSpPr/>
        </xdr:nvCxnSpPr>
        <xdr:spPr>
          <a:xfrm flipH="1">
            <a:off x="-5562600" y="5943600"/>
            <a:ext cx="4876800" cy="244415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2" name="Straight Connector 91"/>
          <xdr:cNvCxnSpPr/>
        </xdr:nvCxnSpPr>
        <xdr:spPr>
          <a:xfrm>
            <a:off x="-4597850" y="4114800"/>
            <a:ext cx="2774127" cy="40386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3" name="TextBox 32"/>
          <xdr:cNvSpPr txBox="1"/>
        </xdr:nvSpPr>
        <xdr:spPr>
          <a:xfrm>
            <a:off x="-3588944" y="2990148"/>
            <a:ext cx="819442" cy="4623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94" name="TextBox 33"/>
          <xdr:cNvSpPr txBox="1"/>
        </xdr:nvSpPr>
        <xdr:spPr>
          <a:xfrm>
            <a:off x="-6961771" y="4436615"/>
            <a:ext cx="1380120" cy="4623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95" name="TextBox 34"/>
          <xdr:cNvSpPr txBox="1"/>
        </xdr:nvSpPr>
        <xdr:spPr>
          <a:xfrm>
            <a:off x="-6599502" y="7287050"/>
            <a:ext cx="1442446" cy="10515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pA3::</a:t>
            </a:r>
          </a:p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3xFLAG-</a:t>
            </a:r>
          </a:p>
          <a:p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96" name="TextBox 35"/>
          <xdr:cNvSpPr txBox="1"/>
        </xdr:nvSpPr>
        <xdr:spPr>
          <a:xfrm>
            <a:off x="-4029076" y="8762999"/>
            <a:ext cx="1809750" cy="10515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pHSFA3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::HSFA2-YFP #2</a:t>
            </a:r>
          </a:p>
        </xdr:txBody>
      </xdr:sp>
      <xdr:sp macro="" textlink="">
        <xdr:nvSpPr>
          <xdr:cNvPr id="97" name="TextBox 37"/>
          <xdr:cNvSpPr txBox="1"/>
        </xdr:nvSpPr>
        <xdr:spPr>
          <a:xfrm>
            <a:off x="-1276350" y="3791634"/>
            <a:ext cx="1809750" cy="10515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pHSFA3::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HSFA2-</a:t>
            </a:r>
          </a:p>
          <a:p>
            <a:pPr algn="r"/>
            <a:r>
              <a:rPr lang="en-US" sz="1100" i="1">
                <a:latin typeface="Arial" panose="020B0604020202020204" pitchFamily="34" charset="0"/>
                <a:cs typeface="Arial" panose="020B0604020202020204" pitchFamily="34" charset="0"/>
              </a:rPr>
              <a:t>YFP #10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4</xdr:row>
      <xdr:rowOff>0</xdr:rowOff>
    </xdr:from>
    <xdr:to>
      <xdr:col>8</xdr:col>
      <xdr:colOff>63500</xdr:colOff>
      <xdr:row>21</xdr:row>
      <xdr:rowOff>91109</xdr:rowOff>
    </xdr:to>
    <xdr:grpSp>
      <xdr:nvGrpSpPr>
        <xdr:cNvPr id="2" name="Group 1"/>
        <xdr:cNvGrpSpPr/>
      </xdr:nvGrpSpPr>
      <xdr:grpSpPr>
        <a:xfrm>
          <a:off x="457200" y="743415"/>
          <a:ext cx="4438495" cy="3250621"/>
          <a:chOff x="-230719" y="435037"/>
          <a:chExt cx="9028492" cy="6660867"/>
        </a:xfrm>
      </xdr:grpSpPr>
      <xdr:pic>
        <xdr:nvPicPr>
          <xdr:cNvPr id="3" name="Picture 2" descr="Z:\Heat\HSFA3\20160725 - survival assay HSFA3rescue\P1000773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colorTemperature colorTemp="58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127" t="28606" r="38450" b="8350"/>
          <a:stretch/>
        </xdr:blipFill>
        <xdr:spPr bwMode="auto">
          <a:xfrm>
            <a:off x="1219200" y="494093"/>
            <a:ext cx="6128657" cy="6116967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4" name="Straight Connector 3"/>
          <xdr:cNvCxnSpPr/>
        </xdr:nvCxnSpPr>
        <xdr:spPr>
          <a:xfrm>
            <a:off x="4381500" y="733580"/>
            <a:ext cx="38100" cy="54864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4"/>
          <xdr:cNvCxnSpPr/>
        </xdr:nvCxnSpPr>
        <xdr:spPr>
          <a:xfrm flipH="1">
            <a:off x="2133600" y="1876580"/>
            <a:ext cx="4495800" cy="32004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/>
          <xdr:cNvCxnSpPr/>
        </xdr:nvCxnSpPr>
        <xdr:spPr>
          <a:xfrm>
            <a:off x="1905000" y="2105180"/>
            <a:ext cx="5029200" cy="270621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17"/>
          <xdr:cNvSpPr txBox="1"/>
        </xdr:nvSpPr>
        <xdr:spPr>
          <a:xfrm>
            <a:off x="-230719" y="3047999"/>
            <a:ext cx="1449922" cy="12425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100"/>
              <a:t>pHSA32::</a:t>
            </a:r>
          </a:p>
          <a:p>
            <a:pPr algn="r"/>
            <a:r>
              <a:rPr lang="de-DE" sz="1100"/>
              <a:t>HSA32-</a:t>
            </a:r>
          </a:p>
          <a:p>
            <a:pPr algn="r"/>
            <a:r>
              <a:rPr lang="de-DE" sz="1100"/>
              <a:t>LUC</a:t>
            </a:r>
          </a:p>
        </xdr:txBody>
      </xdr:sp>
      <xdr:sp macro="" textlink="">
        <xdr:nvSpPr>
          <xdr:cNvPr id="8" name="TextBox 20"/>
          <xdr:cNvSpPr txBox="1"/>
        </xdr:nvSpPr>
        <xdr:spPr>
          <a:xfrm>
            <a:off x="1752600" y="487444"/>
            <a:ext cx="1143000" cy="5397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100" i="1"/>
              <a:t>fgt3</a:t>
            </a:r>
          </a:p>
        </xdr:txBody>
      </xdr:sp>
      <xdr:sp macro="" textlink="">
        <xdr:nvSpPr>
          <xdr:cNvPr id="9" name="TextBox 21"/>
          <xdr:cNvSpPr txBox="1"/>
        </xdr:nvSpPr>
        <xdr:spPr>
          <a:xfrm>
            <a:off x="5867401" y="457201"/>
            <a:ext cx="1421361" cy="891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100" i="1"/>
              <a:t>gHSFA3 in fgt3</a:t>
            </a:r>
          </a:p>
        </xdr:txBody>
      </xdr:sp>
      <xdr:sp macro="" textlink="">
        <xdr:nvSpPr>
          <xdr:cNvPr id="10" name="TextBox 22"/>
          <xdr:cNvSpPr txBox="1"/>
        </xdr:nvSpPr>
        <xdr:spPr>
          <a:xfrm>
            <a:off x="7347857" y="2719621"/>
            <a:ext cx="1449916" cy="19453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100" i="1"/>
              <a:t>pHSFA3::3xFLAG-HSFA3 in fgt3</a:t>
            </a:r>
          </a:p>
          <a:p>
            <a:pPr algn="r"/>
            <a:r>
              <a:rPr lang="de-DE" sz="1100" i="1"/>
              <a:t>#1</a:t>
            </a:r>
          </a:p>
        </xdr:txBody>
      </xdr:sp>
      <xdr:sp macro="" textlink="">
        <xdr:nvSpPr>
          <xdr:cNvPr id="11" name="TextBox 23"/>
          <xdr:cNvSpPr txBox="1"/>
        </xdr:nvSpPr>
        <xdr:spPr>
          <a:xfrm>
            <a:off x="6781800" y="5150568"/>
            <a:ext cx="1530020" cy="19453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100" i="1"/>
              <a:t>pHSFA3::3xFLAG-HSFA3 in fgt3</a:t>
            </a:r>
          </a:p>
          <a:p>
            <a:pPr algn="r"/>
            <a:r>
              <a:rPr lang="de-DE" sz="1100" i="1"/>
              <a:t>#2</a:t>
            </a:r>
          </a:p>
        </xdr:txBody>
      </xdr:sp>
      <xdr:sp macro="" textlink="">
        <xdr:nvSpPr>
          <xdr:cNvPr id="12" name="TextBox 24"/>
          <xdr:cNvSpPr txBox="1"/>
        </xdr:nvSpPr>
        <xdr:spPr>
          <a:xfrm>
            <a:off x="-531" y="435037"/>
            <a:ext cx="1905533" cy="5397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ACC control</a:t>
            </a:r>
          </a:p>
        </xdr:txBody>
      </xdr:sp>
    </xdr:grpSp>
    <xdr:clientData/>
  </xdr:twoCellAnchor>
  <xdr:twoCellAnchor>
    <xdr:from>
      <xdr:col>8</xdr:col>
      <xdr:colOff>381000</xdr:colOff>
      <xdr:row>3</xdr:row>
      <xdr:rowOff>88304</xdr:rowOff>
    </xdr:from>
    <xdr:to>
      <xdr:col>16</xdr:col>
      <xdr:colOff>88900</xdr:colOff>
      <xdr:row>21</xdr:row>
      <xdr:rowOff>16566</xdr:rowOff>
    </xdr:to>
    <xdr:grpSp>
      <xdr:nvGrpSpPr>
        <xdr:cNvPr id="19" name="Group 18"/>
        <xdr:cNvGrpSpPr/>
      </xdr:nvGrpSpPr>
      <xdr:grpSpPr>
        <a:xfrm>
          <a:off x="5213195" y="645865"/>
          <a:ext cx="4540095" cy="3273628"/>
          <a:chOff x="439317" y="199148"/>
          <a:chExt cx="9216682" cy="6736396"/>
        </a:xfrm>
      </xdr:grpSpPr>
      <xdr:pic>
        <xdr:nvPicPr>
          <xdr:cNvPr id="20" name="Picture 19" descr="Z:\Heat\HSFA3\20160725 - survival assay HSFA3rescue\P1000780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colorTemperature colorTemp="58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507" t="29910" r="38061" b="7155"/>
          <a:stretch/>
        </xdr:blipFill>
        <xdr:spPr bwMode="auto">
          <a:xfrm>
            <a:off x="2037135" y="381000"/>
            <a:ext cx="6128656" cy="6106886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21" name="Straight Connector 20"/>
          <xdr:cNvCxnSpPr/>
        </xdr:nvCxnSpPr>
        <xdr:spPr>
          <a:xfrm>
            <a:off x="5101463" y="709738"/>
            <a:ext cx="38100" cy="54864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Straight Connector 21"/>
          <xdr:cNvCxnSpPr/>
        </xdr:nvCxnSpPr>
        <xdr:spPr>
          <a:xfrm flipH="1">
            <a:off x="2853563" y="1852738"/>
            <a:ext cx="4495800" cy="32004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Straight Connector 22"/>
          <xdr:cNvCxnSpPr/>
        </xdr:nvCxnSpPr>
        <xdr:spPr>
          <a:xfrm>
            <a:off x="2624963" y="2081338"/>
            <a:ext cx="5029200" cy="270621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TextBox 6"/>
          <xdr:cNvSpPr txBox="1"/>
        </xdr:nvSpPr>
        <xdr:spPr>
          <a:xfrm>
            <a:off x="439317" y="3048002"/>
            <a:ext cx="1585427" cy="12374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100"/>
              <a:t>pHSA32::</a:t>
            </a:r>
          </a:p>
          <a:p>
            <a:pPr algn="r"/>
            <a:r>
              <a:rPr lang="de-DE" sz="1100"/>
              <a:t>HSA32-</a:t>
            </a:r>
          </a:p>
          <a:p>
            <a:pPr algn="r"/>
            <a:r>
              <a:rPr lang="de-DE" sz="1100"/>
              <a:t>LUC</a:t>
            </a:r>
          </a:p>
        </xdr:txBody>
      </xdr:sp>
      <xdr:sp macro="" textlink="">
        <xdr:nvSpPr>
          <xdr:cNvPr id="25" name="TextBox 7"/>
          <xdr:cNvSpPr txBox="1"/>
        </xdr:nvSpPr>
        <xdr:spPr>
          <a:xfrm>
            <a:off x="2558143" y="487444"/>
            <a:ext cx="1143000" cy="5024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100" i="1"/>
              <a:t>fgt3</a:t>
            </a:r>
          </a:p>
        </xdr:txBody>
      </xdr:sp>
      <xdr:sp macro="" textlink="">
        <xdr:nvSpPr>
          <xdr:cNvPr id="26" name="TextBox 8"/>
          <xdr:cNvSpPr txBox="1"/>
        </xdr:nvSpPr>
        <xdr:spPr>
          <a:xfrm>
            <a:off x="6621882" y="199148"/>
            <a:ext cx="1400812" cy="8295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100" i="1"/>
              <a:t>gHSFA3 in fgt3</a:t>
            </a:r>
          </a:p>
        </xdr:txBody>
      </xdr:sp>
      <xdr:sp macro="" textlink="">
        <xdr:nvSpPr>
          <xdr:cNvPr id="27" name="TextBox 9"/>
          <xdr:cNvSpPr txBox="1"/>
        </xdr:nvSpPr>
        <xdr:spPr>
          <a:xfrm>
            <a:off x="8153400" y="2719621"/>
            <a:ext cx="1502599" cy="18107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100" i="1"/>
              <a:t>pHSFA3::3xFLAG-HSFA3 in fgt3</a:t>
            </a:r>
          </a:p>
          <a:p>
            <a:pPr algn="r"/>
            <a:r>
              <a:rPr lang="de-DE" sz="1100" i="1"/>
              <a:t>#1</a:t>
            </a:r>
          </a:p>
        </xdr:txBody>
      </xdr:sp>
      <xdr:sp macro="" textlink="">
        <xdr:nvSpPr>
          <xdr:cNvPr id="28" name="TextBox 10"/>
          <xdr:cNvSpPr txBox="1"/>
        </xdr:nvSpPr>
        <xdr:spPr>
          <a:xfrm>
            <a:off x="7485219" y="5124764"/>
            <a:ext cx="1421374" cy="181078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1100" i="1"/>
              <a:t>pHSFA3::3xFLAG-HSFA3 in fgt3</a:t>
            </a:r>
          </a:p>
          <a:p>
            <a:pPr algn="r"/>
            <a:r>
              <a:rPr lang="de-DE" sz="1100" i="1"/>
              <a:t>#2</a:t>
            </a:r>
          </a:p>
        </xdr:txBody>
      </xdr:sp>
      <xdr:sp macro="" textlink="">
        <xdr:nvSpPr>
          <xdr:cNvPr id="29" name="TextBox 11"/>
          <xdr:cNvSpPr txBox="1"/>
        </xdr:nvSpPr>
        <xdr:spPr>
          <a:xfrm>
            <a:off x="1186543" y="435037"/>
            <a:ext cx="1667020" cy="115661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100"/>
              <a:t>ACC +d3:44°C 90min</a:t>
            </a:r>
          </a:p>
        </xdr:txBody>
      </xdr:sp>
    </xdr:grpSp>
    <xdr:clientData/>
  </xdr:twoCellAnchor>
  <xdr:twoCellAnchor>
    <xdr:from>
      <xdr:col>1</xdr:col>
      <xdr:colOff>0</xdr:colOff>
      <xdr:row>27</xdr:row>
      <xdr:rowOff>1</xdr:rowOff>
    </xdr:from>
    <xdr:to>
      <xdr:col>7</xdr:col>
      <xdr:colOff>584200</xdr:colOff>
      <xdr:row>45</xdr:row>
      <xdr:rowOff>76200</xdr:rowOff>
    </xdr:to>
    <xdr:grpSp>
      <xdr:nvGrpSpPr>
        <xdr:cNvPr id="30" name="Group 29"/>
        <xdr:cNvGrpSpPr/>
      </xdr:nvGrpSpPr>
      <xdr:grpSpPr>
        <a:xfrm>
          <a:off x="604024" y="5018050"/>
          <a:ext cx="4208347" cy="3421565"/>
          <a:chOff x="1249680" y="533400"/>
          <a:chExt cx="4737083" cy="3773953"/>
        </a:xfrm>
      </xdr:grpSpPr>
      <xdr:pic>
        <xdr:nvPicPr>
          <xdr:cNvPr id="31" name="Picture 30" descr="Z:\Heat\HSFA3\20160621-ATTBTT\P1000301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89" t="19630" r="49337" b="15183"/>
          <a:stretch/>
        </xdr:blipFill>
        <xdr:spPr bwMode="auto">
          <a:xfrm>
            <a:off x="2286000" y="954553"/>
            <a:ext cx="3276600" cy="335280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2" name="TextBox 33"/>
          <xdr:cNvSpPr txBox="1"/>
        </xdr:nvSpPr>
        <xdr:spPr>
          <a:xfrm>
            <a:off x="1249680" y="2400567"/>
            <a:ext cx="1066800" cy="3509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/>
              <a:t>hsp101</a:t>
            </a:r>
          </a:p>
        </xdr:txBody>
      </xdr:sp>
      <xdr:sp macro="" textlink="">
        <xdr:nvSpPr>
          <xdr:cNvPr id="33" name="TextBox 35"/>
          <xdr:cNvSpPr txBox="1"/>
        </xdr:nvSpPr>
        <xdr:spPr>
          <a:xfrm>
            <a:off x="2667000" y="913985"/>
            <a:ext cx="533400" cy="3509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Col</a:t>
            </a:r>
          </a:p>
        </xdr:txBody>
      </xdr:sp>
      <xdr:cxnSp macro="">
        <xdr:nvCxnSpPr>
          <xdr:cNvPr id="34" name="Straight Connector 33"/>
          <xdr:cNvCxnSpPr/>
        </xdr:nvCxnSpPr>
        <xdr:spPr>
          <a:xfrm>
            <a:off x="3937000" y="1109395"/>
            <a:ext cx="0" cy="3047315"/>
          </a:xfrm>
          <a:prstGeom prst="line">
            <a:avLst/>
          </a:prstGeom>
          <a:ln w="28575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Straight Connector 34"/>
          <xdr:cNvCxnSpPr/>
        </xdr:nvCxnSpPr>
        <xdr:spPr>
          <a:xfrm flipH="1">
            <a:off x="2590800" y="1905000"/>
            <a:ext cx="2743200" cy="1490394"/>
          </a:xfrm>
          <a:prstGeom prst="line">
            <a:avLst/>
          </a:prstGeom>
          <a:ln w="28575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Straight Connector 35"/>
          <xdr:cNvCxnSpPr/>
        </xdr:nvCxnSpPr>
        <xdr:spPr>
          <a:xfrm flipH="1" flipV="1">
            <a:off x="2590800" y="1859280"/>
            <a:ext cx="2667000" cy="1546860"/>
          </a:xfrm>
          <a:prstGeom prst="line">
            <a:avLst/>
          </a:prstGeom>
          <a:ln w="28575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TextBox 53"/>
          <xdr:cNvSpPr txBox="1"/>
        </xdr:nvSpPr>
        <xdr:spPr>
          <a:xfrm>
            <a:off x="4869389" y="750218"/>
            <a:ext cx="1117374" cy="579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pHSA32::</a:t>
            </a:r>
          </a:p>
          <a:p>
            <a:r>
              <a:rPr lang="en-US" sz="1100"/>
              <a:t>HSA32-LUC</a:t>
            </a:r>
          </a:p>
        </xdr:txBody>
      </xdr:sp>
      <xdr:sp macro="" textlink="">
        <xdr:nvSpPr>
          <xdr:cNvPr id="38" name="TextBox 55"/>
          <xdr:cNvSpPr txBox="1"/>
        </xdr:nvSpPr>
        <xdr:spPr>
          <a:xfrm>
            <a:off x="1524000" y="533400"/>
            <a:ext cx="1782444" cy="3509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No HS control</a:t>
            </a:r>
          </a:p>
        </xdr:txBody>
      </xdr:sp>
    </xdr:grpSp>
    <xdr:clientData/>
  </xdr:twoCellAnchor>
  <xdr:twoCellAnchor>
    <xdr:from>
      <xdr:col>7</xdr:col>
      <xdr:colOff>165100</xdr:colOff>
      <xdr:row>36</xdr:row>
      <xdr:rowOff>1</xdr:rowOff>
    </xdr:from>
    <xdr:to>
      <xdr:col>8</xdr:col>
      <xdr:colOff>433540</xdr:colOff>
      <xdr:row>37</xdr:row>
      <xdr:rowOff>115107</xdr:rowOff>
    </xdr:to>
    <xdr:sp macro="" textlink="">
      <xdr:nvSpPr>
        <xdr:cNvPr id="39" name="TextBox 33"/>
        <xdr:cNvSpPr txBox="1"/>
      </xdr:nvSpPr>
      <xdr:spPr>
        <a:xfrm>
          <a:off x="4432300" y="6400801"/>
          <a:ext cx="878040" cy="29290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100" i="1"/>
            <a:t>fgt3</a:t>
          </a:r>
        </a:p>
      </xdr:txBody>
    </xdr:sp>
    <xdr:clientData/>
  </xdr:twoCellAnchor>
  <xdr:twoCellAnchor>
    <xdr:from>
      <xdr:col>8</xdr:col>
      <xdr:colOff>177800</xdr:colOff>
      <xdr:row>27</xdr:row>
      <xdr:rowOff>1</xdr:rowOff>
    </xdr:from>
    <xdr:to>
      <xdr:col>16</xdr:col>
      <xdr:colOff>406400</xdr:colOff>
      <xdr:row>45</xdr:row>
      <xdr:rowOff>152399</xdr:rowOff>
    </xdr:to>
    <xdr:grpSp>
      <xdr:nvGrpSpPr>
        <xdr:cNvPr id="40" name="Group 39"/>
        <xdr:cNvGrpSpPr/>
      </xdr:nvGrpSpPr>
      <xdr:grpSpPr>
        <a:xfrm>
          <a:off x="5009995" y="5018050"/>
          <a:ext cx="5060795" cy="3497764"/>
          <a:chOff x="1264602" y="5235497"/>
          <a:chExt cx="5326698" cy="3592957"/>
        </a:xfrm>
      </xdr:grpSpPr>
      <xdr:pic>
        <xdr:nvPicPr>
          <xdr:cNvPr id="41" name="Picture 40" descr="Z:\Heat\HSFA3\20160621-ATTBTT\P1000308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33" t="21825" r="49259" b="14682"/>
          <a:stretch/>
        </xdr:blipFill>
        <xdr:spPr bwMode="auto">
          <a:xfrm>
            <a:off x="2311400" y="5562600"/>
            <a:ext cx="3251200" cy="326585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2" name="TextBox 57"/>
          <xdr:cNvSpPr txBox="1"/>
        </xdr:nvSpPr>
        <xdr:spPr>
          <a:xfrm>
            <a:off x="1264602" y="6963384"/>
            <a:ext cx="1066800" cy="2835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/>
              <a:t>hsp101</a:t>
            </a:r>
          </a:p>
        </xdr:txBody>
      </xdr:sp>
      <xdr:sp macro="" textlink="">
        <xdr:nvSpPr>
          <xdr:cNvPr id="43" name="TextBox 58"/>
          <xdr:cNvSpPr txBox="1"/>
        </xdr:nvSpPr>
        <xdr:spPr>
          <a:xfrm>
            <a:off x="2814427" y="5544850"/>
            <a:ext cx="533400" cy="2835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Col</a:t>
            </a:r>
          </a:p>
        </xdr:txBody>
      </xdr:sp>
      <xdr:cxnSp macro="">
        <xdr:nvCxnSpPr>
          <xdr:cNvPr id="44" name="Straight Connector 43"/>
          <xdr:cNvCxnSpPr/>
        </xdr:nvCxnSpPr>
        <xdr:spPr>
          <a:xfrm>
            <a:off x="3951922" y="5672212"/>
            <a:ext cx="0" cy="3047315"/>
          </a:xfrm>
          <a:prstGeom prst="line">
            <a:avLst/>
          </a:prstGeom>
          <a:ln w="28575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Straight Connector 44"/>
          <xdr:cNvCxnSpPr/>
        </xdr:nvCxnSpPr>
        <xdr:spPr>
          <a:xfrm flipH="1">
            <a:off x="2605722" y="6467817"/>
            <a:ext cx="2652078" cy="1380783"/>
          </a:xfrm>
          <a:prstGeom prst="line">
            <a:avLst/>
          </a:prstGeom>
          <a:ln w="28575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Straight Connector 45"/>
          <xdr:cNvCxnSpPr/>
        </xdr:nvCxnSpPr>
        <xdr:spPr>
          <a:xfrm flipH="1" flipV="1">
            <a:off x="2681922" y="6324602"/>
            <a:ext cx="2575878" cy="1676399"/>
          </a:xfrm>
          <a:prstGeom prst="line">
            <a:avLst/>
          </a:prstGeom>
          <a:ln w="28575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" name="TextBox 62"/>
          <xdr:cNvSpPr txBox="1"/>
        </xdr:nvSpPr>
        <xdr:spPr>
          <a:xfrm>
            <a:off x="4974567" y="5388873"/>
            <a:ext cx="755451" cy="6526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pHSA32::HSA32-LUC</a:t>
            </a:r>
          </a:p>
        </xdr:txBody>
      </xdr:sp>
      <xdr:sp macro="" textlink="">
        <xdr:nvSpPr>
          <xdr:cNvPr id="48" name="TextBox 68"/>
          <xdr:cNvSpPr txBox="1"/>
        </xdr:nvSpPr>
        <xdr:spPr>
          <a:xfrm>
            <a:off x="5524500" y="6963384"/>
            <a:ext cx="1066800" cy="2835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fgt3</a:t>
            </a:r>
          </a:p>
        </xdr:txBody>
      </xdr:sp>
      <xdr:sp macro="" textlink="">
        <xdr:nvSpPr>
          <xdr:cNvPr id="49" name="TextBox 69"/>
          <xdr:cNvSpPr txBox="1"/>
        </xdr:nvSpPr>
        <xdr:spPr>
          <a:xfrm>
            <a:off x="1634407" y="5235497"/>
            <a:ext cx="1782444" cy="2835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44°C – 25min</a:t>
            </a:r>
          </a:p>
        </xdr:txBody>
      </xdr:sp>
    </xdr:grpSp>
    <xdr:clientData/>
  </xdr:twoCellAnchor>
  <xdr:twoCellAnchor>
    <xdr:from>
      <xdr:col>17</xdr:col>
      <xdr:colOff>0</xdr:colOff>
      <xdr:row>26</xdr:row>
      <xdr:rowOff>134471</xdr:rowOff>
    </xdr:from>
    <xdr:to>
      <xdr:col>25</xdr:col>
      <xdr:colOff>381000</xdr:colOff>
      <xdr:row>45</xdr:row>
      <xdr:rowOff>165100</xdr:rowOff>
    </xdr:to>
    <xdr:grpSp>
      <xdr:nvGrpSpPr>
        <xdr:cNvPr id="50" name="Group 49"/>
        <xdr:cNvGrpSpPr/>
      </xdr:nvGrpSpPr>
      <xdr:grpSpPr>
        <a:xfrm>
          <a:off x="10268415" y="4966666"/>
          <a:ext cx="5213195" cy="3561849"/>
          <a:chOff x="1714500" y="811941"/>
          <a:chExt cx="5372100" cy="3656504"/>
        </a:xfrm>
      </xdr:grpSpPr>
      <xdr:pic>
        <xdr:nvPicPr>
          <xdr:cNvPr id="51" name="Picture 50" descr="Z:\Heat\HSFA3\20160621-ATTBTT\P1000303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50" t="23299" r="48147" b="11397"/>
          <a:stretch/>
        </xdr:blipFill>
        <xdr:spPr bwMode="auto">
          <a:xfrm>
            <a:off x="2730500" y="1109395"/>
            <a:ext cx="3340100" cy="335905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2" name="TextBox 18"/>
          <xdr:cNvSpPr txBox="1"/>
        </xdr:nvSpPr>
        <xdr:spPr>
          <a:xfrm>
            <a:off x="1714500" y="2648705"/>
            <a:ext cx="1066801" cy="2874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/>
              <a:t>hsp101</a:t>
            </a:r>
          </a:p>
        </xdr:txBody>
      </xdr:sp>
      <xdr:sp macro="" textlink="">
        <xdr:nvSpPr>
          <xdr:cNvPr id="53" name="TextBox 19"/>
          <xdr:cNvSpPr txBox="1"/>
        </xdr:nvSpPr>
        <xdr:spPr>
          <a:xfrm>
            <a:off x="2971800" y="1162123"/>
            <a:ext cx="533400" cy="2874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Col</a:t>
            </a:r>
          </a:p>
        </xdr:txBody>
      </xdr:sp>
      <xdr:cxnSp macro="">
        <xdr:nvCxnSpPr>
          <xdr:cNvPr id="54" name="Straight Connector 53"/>
          <xdr:cNvCxnSpPr/>
        </xdr:nvCxnSpPr>
        <xdr:spPr>
          <a:xfrm>
            <a:off x="4401820" y="1357534"/>
            <a:ext cx="0" cy="3047315"/>
          </a:xfrm>
          <a:prstGeom prst="line">
            <a:avLst/>
          </a:prstGeom>
          <a:ln w="28575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" name="Straight Connector 54"/>
          <xdr:cNvCxnSpPr/>
        </xdr:nvCxnSpPr>
        <xdr:spPr>
          <a:xfrm flipH="1">
            <a:off x="3055620" y="2153139"/>
            <a:ext cx="2652078" cy="1380783"/>
          </a:xfrm>
          <a:prstGeom prst="line">
            <a:avLst/>
          </a:prstGeom>
          <a:ln w="28575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" name="Straight Connector 55"/>
          <xdr:cNvCxnSpPr/>
        </xdr:nvCxnSpPr>
        <xdr:spPr>
          <a:xfrm flipH="1" flipV="1">
            <a:off x="3131820" y="2009924"/>
            <a:ext cx="2575878" cy="1676399"/>
          </a:xfrm>
          <a:prstGeom prst="line">
            <a:avLst/>
          </a:prstGeom>
          <a:ln w="28575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7" name="TextBox 23"/>
          <xdr:cNvSpPr txBox="1"/>
        </xdr:nvSpPr>
        <xdr:spPr>
          <a:xfrm>
            <a:off x="5458882" y="952461"/>
            <a:ext cx="834430" cy="66167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pHSA32::HSA32-LUC</a:t>
            </a:r>
          </a:p>
        </xdr:txBody>
      </xdr:sp>
      <xdr:sp macro="" textlink="">
        <xdr:nvSpPr>
          <xdr:cNvPr id="58" name="TextBox 24"/>
          <xdr:cNvSpPr txBox="1"/>
        </xdr:nvSpPr>
        <xdr:spPr>
          <a:xfrm>
            <a:off x="6019799" y="2648705"/>
            <a:ext cx="1066801" cy="2874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fgt3</a:t>
            </a:r>
          </a:p>
        </xdr:txBody>
      </xdr:sp>
      <xdr:sp macro="" textlink="">
        <xdr:nvSpPr>
          <xdr:cNvPr id="59" name="TextBox 25"/>
          <xdr:cNvSpPr txBox="1"/>
        </xdr:nvSpPr>
        <xdr:spPr>
          <a:xfrm>
            <a:off x="2071054" y="811941"/>
            <a:ext cx="1782444" cy="2874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44°C – 30min</a:t>
            </a:r>
          </a:p>
        </xdr:txBody>
      </xdr:sp>
    </xdr:grpSp>
    <xdr:clientData/>
  </xdr:twoCellAnchor>
  <xdr:twoCellAnchor>
    <xdr:from>
      <xdr:col>24</xdr:col>
      <xdr:colOff>546100</xdr:colOff>
      <xdr:row>26</xdr:row>
      <xdr:rowOff>139700</xdr:rowOff>
    </xdr:from>
    <xdr:to>
      <xdr:col>33</xdr:col>
      <xdr:colOff>381000</xdr:colOff>
      <xdr:row>46</xdr:row>
      <xdr:rowOff>12699</xdr:rowOff>
    </xdr:to>
    <xdr:grpSp>
      <xdr:nvGrpSpPr>
        <xdr:cNvPr id="60" name="Group 59"/>
        <xdr:cNvGrpSpPr/>
      </xdr:nvGrpSpPr>
      <xdr:grpSpPr>
        <a:xfrm>
          <a:off x="15042685" y="4971895"/>
          <a:ext cx="5271120" cy="3590072"/>
          <a:chOff x="1097280" y="4983279"/>
          <a:chExt cx="5326698" cy="3627321"/>
        </a:xfrm>
      </xdr:grpSpPr>
      <xdr:pic>
        <xdr:nvPicPr>
          <xdr:cNvPr id="61" name="Picture 60" descr="Z:\Heat\HSFA3\20160621-ATTBTT\P1000309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21" t="20122" r="50187" b="16176"/>
          <a:stretch/>
        </xdr:blipFill>
        <xdr:spPr bwMode="auto">
          <a:xfrm>
            <a:off x="2133600" y="5334000"/>
            <a:ext cx="3263900" cy="327660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2" name="TextBox 10"/>
          <xdr:cNvSpPr txBox="1"/>
        </xdr:nvSpPr>
        <xdr:spPr>
          <a:xfrm>
            <a:off x="1097280" y="6820044"/>
            <a:ext cx="1066800" cy="27986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/>
              <a:t>hsp101</a:t>
            </a:r>
          </a:p>
        </xdr:txBody>
      </xdr:sp>
      <xdr:sp macro="" textlink="">
        <xdr:nvSpPr>
          <xdr:cNvPr id="63" name="TextBox 11"/>
          <xdr:cNvSpPr txBox="1"/>
        </xdr:nvSpPr>
        <xdr:spPr>
          <a:xfrm>
            <a:off x="2438400" y="5345668"/>
            <a:ext cx="533400" cy="27986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Col</a:t>
            </a:r>
          </a:p>
        </xdr:txBody>
      </xdr:sp>
      <xdr:cxnSp macro="">
        <xdr:nvCxnSpPr>
          <xdr:cNvPr id="64" name="Straight Connector 63"/>
          <xdr:cNvCxnSpPr/>
        </xdr:nvCxnSpPr>
        <xdr:spPr>
          <a:xfrm>
            <a:off x="3784600" y="5528872"/>
            <a:ext cx="0" cy="3047315"/>
          </a:xfrm>
          <a:prstGeom prst="line">
            <a:avLst/>
          </a:prstGeom>
          <a:ln w="28575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" name="Straight Connector 64"/>
          <xdr:cNvCxnSpPr/>
        </xdr:nvCxnSpPr>
        <xdr:spPr>
          <a:xfrm flipH="1">
            <a:off x="2438400" y="6324477"/>
            <a:ext cx="2652078" cy="1380783"/>
          </a:xfrm>
          <a:prstGeom prst="line">
            <a:avLst/>
          </a:prstGeom>
          <a:ln w="28575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" name="Straight Connector 65"/>
          <xdr:cNvCxnSpPr/>
        </xdr:nvCxnSpPr>
        <xdr:spPr>
          <a:xfrm flipH="1" flipV="1">
            <a:off x="2514600" y="6181262"/>
            <a:ext cx="2575878" cy="1676399"/>
          </a:xfrm>
          <a:prstGeom prst="line">
            <a:avLst/>
          </a:prstGeom>
          <a:ln w="28575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7" name="TextBox 15"/>
          <xdr:cNvSpPr txBox="1"/>
        </xdr:nvSpPr>
        <xdr:spPr>
          <a:xfrm>
            <a:off x="4710266" y="5122345"/>
            <a:ext cx="769742" cy="6442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pHSA32::HSA32-LUC</a:t>
            </a:r>
          </a:p>
        </xdr:txBody>
      </xdr:sp>
      <xdr:sp macro="" textlink="">
        <xdr:nvSpPr>
          <xdr:cNvPr id="68" name="TextBox 16"/>
          <xdr:cNvSpPr txBox="1"/>
        </xdr:nvSpPr>
        <xdr:spPr>
          <a:xfrm>
            <a:off x="5357178" y="6820044"/>
            <a:ext cx="1066800" cy="27986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fgt3</a:t>
            </a:r>
          </a:p>
        </xdr:txBody>
      </xdr:sp>
      <xdr:sp macro="" textlink="">
        <xdr:nvSpPr>
          <xdr:cNvPr id="69" name="TextBox 17"/>
          <xdr:cNvSpPr txBox="1"/>
        </xdr:nvSpPr>
        <xdr:spPr>
          <a:xfrm>
            <a:off x="1453834" y="4983279"/>
            <a:ext cx="1782444" cy="27986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44°C – 40min</a:t>
            </a:r>
          </a:p>
        </xdr:txBody>
      </xdr:sp>
    </xdr:grpSp>
    <xdr:clientData/>
  </xdr:twoCellAnchor>
  <xdr:twoCellAnchor>
    <xdr:from>
      <xdr:col>0</xdr:col>
      <xdr:colOff>492125</xdr:colOff>
      <xdr:row>51</xdr:row>
      <xdr:rowOff>36993</xdr:rowOff>
    </xdr:from>
    <xdr:to>
      <xdr:col>9</xdr:col>
      <xdr:colOff>31750</xdr:colOff>
      <xdr:row>67</xdr:row>
      <xdr:rowOff>47625</xdr:rowOff>
    </xdr:to>
    <xdr:grpSp>
      <xdr:nvGrpSpPr>
        <xdr:cNvPr id="70" name="Group 69"/>
        <xdr:cNvGrpSpPr/>
      </xdr:nvGrpSpPr>
      <xdr:grpSpPr>
        <a:xfrm>
          <a:off x="492125" y="9515530"/>
          <a:ext cx="4975845" cy="2984290"/>
          <a:chOff x="661237" y="314230"/>
          <a:chExt cx="5711976" cy="3488934"/>
        </a:xfrm>
      </xdr:grpSpPr>
      <xdr:pic>
        <xdr:nvPicPr>
          <xdr:cNvPr id="71" name="Picture 70" descr="Z:\Heat\HSFA3\20160621-ATTBTT\P1000322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762" t="24891" r="45816" b="9431"/>
          <a:stretch/>
        </xdr:blipFill>
        <xdr:spPr bwMode="auto">
          <a:xfrm>
            <a:off x="2057400" y="424964"/>
            <a:ext cx="3321050" cy="337820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2" name="TextBox 27"/>
          <xdr:cNvSpPr txBox="1"/>
        </xdr:nvSpPr>
        <xdr:spPr>
          <a:xfrm>
            <a:off x="661237" y="314230"/>
            <a:ext cx="1543119" cy="32542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No HS control</a:t>
            </a:r>
          </a:p>
        </xdr:txBody>
      </xdr:sp>
      <xdr:sp macro="" textlink="">
        <xdr:nvSpPr>
          <xdr:cNvPr id="73" name="TextBox 29"/>
          <xdr:cNvSpPr txBox="1"/>
        </xdr:nvSpPr>
        <xdr:spPr>
          <a:xfrm>
            <a:off x="2427451" y="431394"/>
            <a:ext cx="533400" cy="32542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Col</a:t>
            </a:r>
          </a:p>
        </xdr:txBody>
      </xdr:sp>
      <xdr:cxnSp macro="">
        <xdr:nvCxnSpPr>
          <xdr:cNvPr id="74" name="Straight Connector 73"/>
          <xdr:cNvCxnSpPr/>
        </xdr:nvCxnSpPr>
        <xdr:spPr>
          <a:xfrm flipV="1">
            <a:off x="3712076" y="498896"/>
            <a:ext cx="0" cy="3048000"/>
          </a:xfrm>
          <a:prstGeom prst="line">
            <a:avLst/>
          </a:prstGeom>
          <a:ln w="19050">
            <a:solidFill>
              <a:schemeClr val="bg1">
                <a:lumMod val="95000"/>
              </a:schemeClr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Straight Connector 74"/>
          <xdr:cNvCxnSpPr/>
        </xdr:nvCxnSpPr>
        <xdr:spPr>
          <a:xfrm flipV="1">
            <a:off x="2372550" y="1337096"/>
            <a:ext cx="2667000" cy="1447800"/>
          </a:xfrm>
          <a:prstGeom prst="line">
            <a:avLst/>
          </a:prstGeom>
          <a:ln w="19050">
            <a:solidFill>
              <a:schemeClr val="bg1">
                <a:lumMod val="95000"/>
              </a:schemeClr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" name="Straight Connector 75"/>
          <xdr:cNvCxnSpPr/>
        </xdr:nvCxnSpPr>
        <xdr:spPr>
          <a:xfrm flipH="1" flipV="1">
            <a:off x="2448750" y="1260896"/>
            <a:ext cx="2514600" cy="1524000"/>
          </a:xfrm>
          <a:prstGeom prst="line">
            <a:avLst/>
          </a:prstGeom>
          <a:ln w="19050">
            <a:solidFill>
              <a:schemeClr val="bg1">
                <a:lumMod val="95000"/>
              </a:schemeClr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7" name="TextBox 68"/>
          <xdr:cNvSpPr txBox="1"/>
        </xdr:nvSpPr>
        <xdr:spPr>
          <a:xfrm>
            <a:off x="4638196" y="346835"/>
            <a:ext cx="1735017" cy="5372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pHSA32::</a:t>
            </a:r>
          </a:p>
          <a:p>
            <a:r>
              <a:rPr lang="en-US" sz="1100"/>
              <a:t>HSA32-LUC</a:t>
            </a:r>
          </a:p>
        </xdr:txBody>
      </xdr:sp>
      <xdr:sp macro="" textlink="">
        <xdr:nvSpPr>
          <xdr:cNvPr id="78" name="TextBox 69"/>
          <xdr:cNvSpPr txBox="1"/>
        </xdr:nvSpPr>
        <xdr:spPr>
          <a:xfrm>
            <a:off x="5361503" y="1790898"/>
            <a:ext cx="758247" cy="32542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fgt3</a:t>
            </a:r>
          </a:p>
        </xdr:txBody>
      </xdr:sp>
      <xdr:sp macro="" textlink="">
        <xdr:nvSpPr>
          <xdr:cNvPr id="79" name="TextBox 70"/>
          <xdr:cNvSpPr txBox="1"/>
        </xdr:nvSpPr>
        <xdr:spPr>
          <a:xfrm>
            <a:off x="1296813" y="1799957"/>
            <a:ext cx="990600" cy="32542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hsp101</a:t>
            </a:r>
          </a:p>
        </xdr:txBody>
      </xdr:sp>
    </xdr:grpSp>
    <xdr:clientData/>
  </xdr:twoCellAnchor>
  <xdr:twoCellAnchor>
    <xdr:from>
      <xdr:col>9</xdr:col>
      <xdr:colOff>0</xdr:colOff>
      <xdr:row>51</xdr:row>
      <xdr:rowOff>31750</xdr:rowOff>
    </xdr:from>
    <xdr:to>
      <xdr:col>17</xdr:col>
      <xdr:colOff>222249</xdr:colOff>
      <xdr:row>67</xdr:row>
      <xdr:rowOff>111125</xdr:rowOff>
    </xdr:to>
    <xdr:grpSp>
      <xdr:nvGrpSpPr>
        <xdr:cNvPr id="80" name="Group 79"/>
        <xdr:cNvGrpSpPr/>
      </xdr:nvGrpSpPr>
      <xdr:grpSpPr>
        <a:xfrm>
          <a:off x="5436220" y="9510287"/>
          <a:ext cx="5054444" cy="3053033"/>
          <a:chOff x="598178" y="4756057"/>
          <a:chExt cx="5554386" cy="3422083"/>
        </a:xfrm>
      </xdr:grpSpPr>
      <xdr:pic>
        <xdr:nvPicPr>
          <xdr:cNvPr id="81" name="Picture 80" descr="Z:\Heat\HSFA3\20160621-ATTBTT\P1000321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22" t="25972" r="45739" b="9845"/>
          <a:stretch/>
        </xdr:blipFill>
        <xdr:spPr bwMode="auto">
          <a:xfrm>
            <a:off x="1866582" y="4876800"/>
            <a:ext cx="3301340" cy="330134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2" name="TextBox 36"/>
          <xdr:cNvSpPr txBox="1"/>
        </xdr:nvSpPr>
        <xdr:spPr>
          <a:xfrm>
            <a:off x="598178" y="4756057"/>
            <a:ext cx="1561781" cy="4779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ATT – 44°C </a:t>
            </a:r>
          </a:p>
          <a:p>
            <a:r>
              <a:rPr lang="en-US" sz="1100"/>
              <a:t>for  180’</a:t>
            </a:r>
          </a:p>
        </xdr:txBody>
      </xdr:sp>
      <xdr:cxnSp macro="">
        <xdr:nvCxnSpPr>
          <xdr:cNvPr id="83" name="Straight Connector 82"/>
          <xdr:cNvCxnSpPr/>
        </xdr:nvCxnSpPr>
        <xdr:spPr>
          <a:xfrm flipV="1">
            <a:off x="3549326" y="4953000"/>
            <a:ext cx="0" cy="3048000"/>
          </a:xfrm>
          <a:prstGeom prst="line">
            <a:avLst/>
          </a:prstGeom>
          <a:ln w="19050">
            <a:solidFill>
              <a:schemeClr val="bg1">
                <a:lumMod val="95000"/>
              </a:schemeClr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4" name="Straight Connector 83"/>
          <xdr:cNvCxnSpPr/>
        </xdr:nvCxnSpPr>
        <xdr:spPr>
          <a:xfrm flipV="1">
            <a:off x="2209800" y="5791200"/>
            <a:ext cx="2667000" cy="1447800"/>
          </a:xfrm>
          <a:prstGeom prst="line">
            <a:avLst/>
          </a:prstGeom>
          <a:ln w="19050">
            <a:solidFill>
              <a:schemeClr val="bg1">
                <a:lumMod val="95000"/>
              </a:schemeClr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5" name="Straight Connector 84"/>
          <xdr:cNvCxnSpPr/>
        </xdr:nvCxnSpPr>
        <xdr:spPr>
          <a:xfrm flipH="1" flipV="1">
            <a:off x="2286000" y="5715000"/>
            <a:ext cx="2514600" cy="1524000"/>
          </a:xfrm>
          <a:prstGeom prst="line">
            <a:avLst/>
          </a:prstGeom>
          <a:ln w="19050">
            <a:solidFill>
              <a:schemeClr val="bg1">
                <a:lumMod val="95000"/>
              </a:schemeClr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6" name="TextBox 71"/>
          <xdr:cNvSpPr txBox="1"/>
        </xdr:nvSpPr>
        <xdr:spPr>
          <a:xfrm>
            <a:off x="2229826" y="4841350"/>
            <a:ext cx="533401" cy="2894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Col</a:t>
            </a:r>
          </a:p>
        </xdr:txBody>
      </xdr:sp>
      <xdr:sp macro="" textlink="">
        <xdr:nvSpPr>
          <xdr:cNvPr id="87" name="TextBox 72"/>
          <xdr:cNvSpPr txBox="1"/>
        </xdr:nvSpPr>
        <xdr:spPr>
          <a:xfrm>
            <a:off x="4417547" y="4761104"/>
            <a:ext cx="1735017" cy="4779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pHSA32::</a:t>
            </a:r>
          </a:p>
          <a:p>
            <a:r>
              <a:rPr lang="en-US" sz="1100"/>
              <a:t>HSA32-LUC</a:t>
            </a:r>
          </a:p>
        </xdr:txBody>
      </xdr:sp>
      <xdr:sp macro="" textlink="">
        <xdr:nvSpPr>
          <xdr:cNvPr id="88" name="TextBox 73"/>
          <xdr:cNvSpPr txBox="1"/>
        </xdr:nvSpPr>
        <xdr:spPr>
          <a:xfrm>
            <a:off x="5170684" y="6283276"/>
            <a:ext cx="758247" cy="2894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fgt3</a:t>
            </a:r>
          </a:p>
        </xdr:txBody>
      </xdr:sp>
      <xdr:sp macro="" textlink="">
        <xdr:nvSpPr>
          <xdr:cNvPr id="89" name="TextBox 74"/>
          <xdr:cNvSpPr txBox="1"/>
        </xdr:nvSpPr>
        <xdr:spPr>
          <a:xfrm>
            <a:off x="1103048" y="6274963"/>
            <a:ext cx="990601" cy="2894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hsp101</a:t>
            </a:r>
          </a:p>
        </xdr:txBody>
      </xdr:sp>
    </xdr:grpSp>
    <xdr:clientData/>
  </xdr:twoCellAnchor>
  <xdr:twoCellAnchor>
    <xdr:from>
      <xdr:col>18</xdr:col>
      <xdr:colOff>0</xdr:colOff>
      <xdr:row>51</xdr:row>
      <xdr:rowOff>0</xdr:rowOff>
    </xdr:from>
    <xdr:to>
      <xdr:col>26</xdr:col>
      <xdr:colOff>381000</xdr:colOff>
      <xdr:row>67</xdr:row>
      <xdr:rowOff>63500</xdr:rowOff>
    </xdr:to>
    <xdr:grpSp>
      <xdr:nvGrpSpPr>
        <xdr:cNvPr id="90" name="Group 89"/>
        <xdr:cNvGrpSpPr/>
      </xdr:nvGrpSpPr>
      <xdr:grpSpPr>
        <a:xfrm>
          <a:off x="10872439" y="9478537"/>
          <a:ext cx="5213195" cy="3037158"/>
          <a:chOff x="838925" y="476237"/>
          <a:chExt cx="5641720" cy="3374576"/>
        </a:xfrm>
      </xdr:grpSpPr>
      <xdr:pic>
        <xdr:nvPicPr>
          <xdr:cNvPr id="91" name="Picture 90" descr="Z:\Heat\HSFA3\20160621-ATTBTT\P1000318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46" t="25281" r="46467" b="11458"/>
          <a:stretch/>
        </xdr:blipFill>
        <xdr:spPr bwMode="auto">
          <a:xfrm>
            <a:off x="2127528" y="596974"/>
            <a:ext cx="3325091" cy="3253839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2" name="TextBox 18"/>
          <xdr:cNvSpPr txBox="1"/>
        </xdr:nvSpPr>
        <xdr:spPr>
          <a:xfrm>
            <a:off x="838925" y="476237"/>
            <a:ext cx="1561782" cy="4737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ATT – 44°C </a:t>
            </a:r>
          </a:p>
          <a:p>
            <a:r>
              <a:rPr lang="en-US" sz="1100"/>
              <a:t>for  190’</a:t>
            </a:r>
          </a:p>
        </xdr:txBody>
      </xdr:sp>
      <xdr:cxnSp macro="">
        <xdr:nvCxnSpPr>
          <xdr:cNvPr id="93" name="Straight Connector 92"/>
          <xdr:cNvCxnSpPr/>
        </xdr:nvCxnSpPr>
        <xdr:spPr>
          <a:xfrm flipV="1">
            <a:off x="3790073" y="673180"/>
            <a:ext cx="0" cy="3048000"/>
          </a:xfrm>
          <a:prstGeom prst="line">
            <a:avLst/>
          </a:prstGeom>
          <a:ln w="19050">
            <a:solidFill>
              <a:schemeClr val="bg1">
                <a:lumMod val="95000"/>
              </a:schemeClr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4" name="Straight Connector 93"/>
          <xdr:cNvCxnSpPr/>
        </xdr:nvCxnSpPr>
        <xdr:spPr>
          <a:xfrm flipV="1">
            <a:off x="2450547" y="1511380"/>
            <a:ext cx="2667000" cy="1447800"/>
          </a:xfrm>
          <a:prstGeom prst="line">
            <a:avLst/>
          </a:prstGeom>
          <a:ln w="19050">
            <a:solidFill>
              <a:schemeClr val="bg1">
                <a:lumMod val="95000"/>
              </a:schemeClr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5" name="Straight Connector 94"/>
          <xdr:cNvCxnSpPr/>
        </xdr:nvCxnSpPr>
        <xdr:spPr>
          <a:xfrm flipH="1" flipV="1">
            <a:off x="2526747" y="1435180"/>
            <a:ext cx="2514600" cy="1524000"/>
          </a:xfrm>
          <a:prstGeom prst="line">
            <a:avLst/>
          </a:prstGeom>
          <a:ln w="19050">
            <a:solidFill>
              <a:schemeClr val="bg1">
                <a:lumMod val="95000"/>
              </a:schemeClr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6" name="TextBox 22"/>
          <xdr:cNvSpPr txBox="1"/>
        </xdr:nvSpPr>
        <xdr:spPr>
          <a:xfrm>
            <a:off x="2400707" y="526788"/>
            <a:ext cx="533400" cy="2869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Col</a:t>
            </a:r>
          </a:p>
        </xdr:txBody>
      </xdr:sp>
      <xdr:sp macro="" textlink="">
        <xdr:nvSpPr>
          <xdr:cNvPr id="97" name="TextBox 23"/>
          <xdr:cNvSpPr txBox="1"/>
        </xdr:nvSpPr>
        <xdr:spPr>
          <a:xfrm>
            <a:off x="4745628" y="481284"/>
            <a:ext cx="1735017" cy="4737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pHSA32::</a:t>
            </a:r>
          </a:p>
          <a:p>
            <a:r>
              <a:rPr lang="en-US" sz="1100"/>
              <a:t>HSA32-LUC</a:t>
            </a:r>
          </a:p>
        </xdr:txBody>
      </xdr:sp>
      <xdr:sp macro="" textlink="">
        <xdr:nvSpPr>
          <xdr:cNvPr id="98" name="TextBox 24"/>
          <xdr:cNvSpPr txBox="1"/>
        </xdr:nvSpPr>
        <xdr:spPr>
          <a:xfrm>
            <a:off x="5411431" y="2003456"/>
            <a:ext cx="758247" cy="2869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fgt3</a:t>
            </a:r>
          </a:p>
        </xdr:txBody>
      </xdr:sp>
      <xdr:sp macro="" textlink="">
        <xdr:nvSpPr>
          <xdr:cNvPr id="99" name="TextBox 25"/>
          <xdr:cNvSpPr txBox="1"/>
        </xdr:nvSpPr>
        <xdr:spPr>
          <a:xfrm>
            <a:off x="1374733" y="2012514"/>
            <a:ext cx="990601" cy="2869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hsp101</a:t>
            </a:r>
          </a:p>
        </xdr:txBody>
      </xdr:sp>
    </xdr:grpSp>
    <xdr:clientData/>
  </xdr:twoCellAnchor>
  <xdr:twoCellAnchor>
    <xdr:from>
      <xdr:col>26</xdr:col>
      <xdr:colOff>603249</xdr:colOff>
      <xdr:row>51</xdr:row>
      <xdr:rowOff>1</xdr:rowOff>
    </xdr:from>
    <xdr:to>
      <xdr:col>35</xdr:col>
      <xdr:colOff>428624</xdr:colOff>
      <xdr:row>67</xdr:row>
      <xdr:rowOff>111125</xdr:rowOff>
    </xdr:to>
    <xdr:grpSp>
      <xdr:nvGrpSpPr>
        <xdr:cNvPr id="100" name="Group 99"/>
        <xdr:cNvGrpSpPr/>
      </xdr:nvGrpSpPr>
      <xdr:grpSpPr>
        <a:xfrm>
          <a:off x="16307883" y="9478538"/>
          <a:ext cx="5261595" cy="3084782"/>
          <a:chOff x="884603" y="5380501"/>
          <a:chExt cx="5641720" cy="3335987"/>
        </a:xfrm>
      </xdr:grpSpPr>
      <xdr:pic>
        <xdr:nvPicPr>
          <xdr:cNvPr id="101" name="Picture 100" descr="Z:\Heat\HSFA3\20160621-ATTBTT\P1000316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32" t="22260" r="50172" b="14942"/>
          <a:stretch/>
        </xdr:blipFill>
        <xdr:spPr bwMode="auto">
          <a:xfrm>
            <a:off x="2170216" y="5486400"/>
            <a:ext cx="3319019" cy="3230088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" name="TextBox 10"/>
          <xdr:cNvSpPr txBox="1"/>
        </xdr:nvSpPr>
        <xdr:spPr>
          <a:xfrm>
            <a:off x="884603" y="5380501"/>
            <a:ext cx="1561782" cy="4612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ATT – 44°C </a:t>
            </a:r>
          </a:p>
          <a:p>
            <a:r>
              <a:rPr lang="en-US" sz="1100"/>
              <a:t>for  200’</a:t>
            </a:r>
          </a:p>
        </xdr:txBody>
      </xdr:sp>
      <xdr:cxnSp macro="">
        <xdr:nvCxnSpPr>
          <xdr:cNvPr id="103" name="Straight Connector 102"/>
          <xdr:cNvCxnSpPr/>
        </xdr:nvCxnSpPr>
        <xdr:spPr>
          <a:xfrm flipV="1">
            <a:off x="3835751" y="5577444"/>
            <a:ext cx="0" cy="3048000"/>
          </a:xfrm>
          <a:prstGeom prst="line">
            <a:avLst/>
          </a:prstGeom>
          <a:ln w="19050">
            <a:solidFill>
              <a:schemeClr val="bg1">
                <a:lumMod val="95000"/>
              </a:schemeClr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4" name="Straight Connector 103"/>
          <xdr:cNvCxnSpPr/>
        </xdr:nvCxnSpPr>
        <xdr:spPr>
          <a:xfrm flipV="1">
            <a:off x="2496225" y="6415644"/>
            <a:ext cx="2667000" cy="1447800"/>
          </a:xfrm>
          <a:prstGeom prst="line">
            <a:avLst/>
          </a:prstGeom>
          <a:ln w="19050">
            <a:solidFill>
              <a:schemeClr val="bg1">
                <a:lumMod val="95000"/>
              </a:schemeClr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5" name="Straight Connector 104"/>
          <xdr:cNvCxnSpPr/>
        </xdr:nvCxnSpPr>
        <xdr:spPr>
          <a:xfrm flipH="1" flipV="1">
            <a:off x="2572425" y="6339444"/>
            <a:ext cx="2514600" cy="1524000"/>
          </a:xfrm>
          <a:prstGeom prst="line">
            <a:avLst/>
          </a:prstGeom>
          <a:ln w="19050">
            <a:solidFill>
              <a:schemeClr val="bg1">
                <a:lumMod val="95000"/>
              </a:schemeClr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6" name="TextBox 14"/>
          <xdr:cNvSpPr txBox="1"/>
        </xdr:nvSpPr>
        <xdr:spPr>
          <a:xfrm>
            <a:off x="2446385" y="5431052"/>
            <a:ext cx="533400" cy="2793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Col</a:t>
            </a:r>
          </a:p>
        </xdr:txBody>
      </xdr:sp>
      <xdr:sp macro="" textlink="">
        <xdr:nvSpPr>
          <xdr:cNvPr id="107" name="TextBox 15"/>
          <xdr:cNvSpPr txBox="1"/>
        </xdr:nvSpPr>
        <xdr:spPr>
          <a:xfrm>
            <a:off x="4791306" y="5385548"/>
            <a:ext cx="1735017" cy="4612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pHSA32::</a:t>
            </a:r>
          </a:p>
          <a:p>
            <a:r>
              <a:rPr lang="en-US" sz="1100"/>
              <a:t>HSA32-LUC</a:t>
            </a:r>
          </a:p>
        </xdr:txBody>
      </xdr:sp>
      <xdr:sp macro="" textlink="">
        <xdr:nvSpPr>
          <xdr:cNvPr id="108" name="TextBox 16"/>
          <xdr:cNvSpPr txBox="1"/>
        </xdr:nvSpPr>
        <xdr:spPr>
          <a:xfrm>
            <a:off x="5457109" y="6907720"/>
            <a:ext cx="758247" cy="2793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fgt3</a:t>
            </a:r>
          </a:p>
        </xdr:txBody>
      </xdr:sp>
      <xdr:sp macro="" textlink="">
        <xdr:nvSpPr>
          <xdr:cNvPr id="109" name="TextBox 17"/>
          <xdr:cNvSpPr txBox="1"/>
        </xdr:nvSpPr>
        <xdr:spPr>
          <a:xfrm>
            <a:off x="1469206" y="6849723"/>
            <a:ext cx="990601" cy="2793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hsp101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</xdr:rowOff>
    </xdr:from>
    <xdr:to>
      <xdr:col>7</xdr:col>
      <xdr:colOff>333375</xdr:colOff>
      <xdr:row>20</xdr:row>
      <xdr:rowOff>52763</xdr:rowOff>
    </xdr:to>
    <xdr:grpSp>
      <xdr:nvGrpSpPr>
        <xdr:cNvPr id="2" name="Group 1"/>
        <xdr:cNvGrpSpPr/>
      </xdr:nvGrpSpPr>
      <xdr:grpSpPr>
        <a:xfrm>
          <a:off x="606136" y="762001"/>
          <a:ext cx="3970194" cy="3100762"/>
          <a:chOff x="914400" y="634559"/>
          <a:chExt cx="6881391" cy="5407081"/>
        </a:xfrm>
      </xdr:grpSpPr>
      <xdr:pic>
        <xdr:nvPicPr>
          <xdr:cNvPr id="3" name="Picture 2" descr="Z:\Heat\HSFA3\Allelic test\Survival assay Feb2016\P1170089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8625" t="20542" r="9611" b="12791"/>
          <a:stretch/>
        </xdr:blipFill>
        <xdr:spPr bwMode="auto">
          <a:xfrm>
            <a:off x="2057400" y="1150257"/>
            <a:ext cx="4733121" cy="457200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4" name="Straight Connector 3"/>
          <xdr:cNvCxnSpPr/>
        </xdr:nvCxnSpPr>
        <xdr:spPr>
          <a:xfrm>
            <a:off x="4454438" y="1447800"/>
            <a:ext cx="74020" cy="41148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4"/>
          <xdr:cNvCxnSpPr/>
        </xdr:nvCxnSpPr>
        <xdr:spPr>
          <a:xfrm flipH="1">
            <a:off x="2743200" y="2362200"/>
            <a:ext cx="3352800" cy="22860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/>
          <xdr:cNvCxnSpPr/>
        </xdr:nvCxnSpPr>
        <xdr:spPr>
          <a:xfrm flipH="1" flipV="1">
            <a:off x="2590800" y="2514600"/>
            <a:ext cx="3810000" cy="18288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19"/>
          <xdr:cNvSpPr txBox="1"/>
        </xdr:nvSpPr>
        <xdr:spPr>
          <a:xfrm>
            <a:off x="2720970" y="5580303"/>
            <a:ext cx="906047" cy="461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 i="1"/>
              <a:t>fgt3</a:t>
            </a:r>
          </a:p>
        </xdr:txBody>
      </xdr:sp>
      <xdr:sp macro="" textlink="">
        <xdr:nvSpPr>
          <xdr:cNvPr id="8" name="TextBox 20"/>
          <xdr:cNvSpPr txBox="1"/>
        </xdr:nvSpPr>
        <xdr:spPr>
          <a:xfrm>
            <a:off x="5053088" y="5561328"/>
            <a:ext cx="1210491" cy="461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hsfa3-1</a:t>
            </a:r>
          </a:p>
        </xdr:txBody>
      </xdr:sp>
      <xdr:sp macro="" textlink="">
        <xdr:nvSpPr>
          <xdr:cNvPr id="9" name="TextBox 21"/>
          <xdr:cNvSpPr txBox="1"/>
        </xdr:nvSpPr>
        <xdr:spPr>
          <a:xfrm>
            <a:off x="6745054" y="3221729"/>
            <a:ext cx="1050737" cy="461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parent</a:t>
            </a:r>
          </a:p>
        </xdr:txBody>
      </xdr:sp>
      <xdr:sp macro="" textlink="">
        <xdr:nvSpPr>
          <xdr:cNvPr id="10" name="TextBox 22"/>
          <xdr:cNvSpPr txBox="1"/>
        </xdr:nvSpPr>
        <xdr:spPr>
          <a:xfrm>
            <a:off x="5801123" y="917207"/>
            <a:ext cx="1354156" cy="76166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hsfa3-1 x </a:t>
            </a:r>
          </a:p>
          <a:p>
            <a:r>
              <a:rPr lang="en-US" sz="1100" i="1"/>
              <a:t>fgt3 (F1)</a:t>
            </a:r>
          </a:p>
        </xdr:txBody>
      </xdr:sp>
      <xdr:sp macro="" textlink="">
        <xdr:nvSpPr>
          <xdr:cNvPr id="11" name="TextBox 23"/>
          <xdr:cNvSpPr txBox="1"/>
        </xdr:nvSpPr>
        <xdr:spPr>
          <a:xfrm>
            <a:off x="2038605" y="819225"/>
            <a:ext cx="1421415" cy="76166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hsfa3-1 x </a:t>
            </a:r>
          </a:p>
          <a:p>
            <a:r>
              <a:rPr lang="en-US" sz="1100"/>
              <a:t>parent</a:t>
            </a:r>
            <a:r>
              <a:rPr lang="en-US" sz="1100" i="1"/>
              <a:t> (F1)</a:t>
            </a:r>
          </a:p>
        </xdr:txBody>
      </xdr:sp>
      <xdr:sp macro="" textlink="">
        <xdr:nvSpPr>
          <xdr:cNvPr id="12" name="TextBox 24"/>
          <xdr:cNvSpPr txBox="1"/>
        </xdr:nvSpPr>
        <xdr:spPr>
          <a:xfrm>
            <a:off x="914400" y="634559"/>
            <a:ext cx="1034672" cy="76166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No HS control</a:t>
            </a:r>
          </a:p>
        </xdr:txBody>
      </xdr:sp>
    </xdr:grpSp>
    <xdr:clientData/>
  </xdr:twoCellAnchor>
  <xdr:twoCellAnchor>
    <xdr:from>
      <xdr:col>8</xdr:col>
      <xdr:colOff>428626</xdr:colOff>
      <xdr:row>4</xdr:row>
      <xdr:rowOff>1</xdr:rowOff>
    </xdr:from>
    <xdr:to>
      <xdr:col>16</xdr:col>
      <xdr:colOff>19050</xdr:colOff>
      <xdr:row>20</xdr:row>
      <xdr:rowOff>170437</xdr:rowOff>
    </xdr:to>
    <xdr:grpSp>
      <xdr:nvGrpSpPr>
        <xdr:cNvPr id="13" name="Group 12"/>
        <xdr:cNvGrpSpPr/>
      </xdr:nvGrpSpPr>
      <xdr:grpSpPr>
        <a:xfrm>
          <a:off x="5277717" y="762001"/>
          <a:ext cx="4439515" cy="3218436"/>
          <a:chOff x="623884" y="574704"/>
          <a:chExt cx="7171187" cy="5225519"/>
        </a:xfrm>
      </xdr:grpSpPr>
      <xdr:pic>
        <xdr:nvPicPr>
          <xdr:cNvPr id="14" name="Picture 13" descr="Z:\Heat\HSFA3\Allelic test\Survival assay Feb2016\P1170097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0860" t="21720" r="8029" b="9497"/>
          <a:stretch/>
        </xdr:blipFill>
        <xdr:spPr bwMode="auto">
          <a:xfrm>
            <a:off x="2133600" y="838200"/>
            <a:ext cx="4673599" cy="4717143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5" name="Straight Connector 14"/>
          <xdr:cNvCxnSpPr/>
        </xdr:nvCxnSpPr>
        <xdr:spPr>
          <a:xfrm>
            <a:off x="4443551" y="1215571"/>
            <a:ext cx="74020" cy="41148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Straight Connector 15"/>
          <xdr:cNvCxnSpPr/>
        </xdr:nvCxnSpPr>
        <xdr:spPr>
          <a:xfrm flipH="1">
            <a:off x="2732313" y="2129971"/>
            <a:ext cx="3352800" cy="2137229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Straight Connector 16"/>
          <xdr:cNvCxnSpPr/>
        </xdr:nvCxnSpPr>
        <xdr:spPr>
          <a:xfrm flipH="1" flipV="1">
            <a:off x="2667001" y="2129972"/>
            <a:ext cx="3722912" cy="2137229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TextBox 7"/>
          <xdr:cNvSpPr txBox="1"/>
        </xdr:nvSpPr>
        <xdr:spPr>
          <a:xfrm>
            <a:off x="2978601" y="5370678"/>
            <a:ext cx="710560" cy="4295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fgt3</a:t>
            </a:r>
          </a:p>
        </xdr:txBody>
      </xdr:sp>
      <xdr:sp macro="" textlink="">
        <xdr:nvSpPr>
          <xdr:cNvPr id="19" name="TextBox 10"/>
          <xdr:cNvSpPr txBox="1"/>
        </xdr:nvSpPr>
        <xdr:spPr>
          <a:xfrm>
            <a:off x="5334000" y="5368314"/>
            <a:ext cx="1039065" cy="4295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hsfa3-1</a:t>
            </a:r>
          </a:p>
        </xdr:txBody>
      </xdr:sp>
      <xdr:sp macro="" textlink="">
        <xdr:nvSpPr>
          <xdr:cNvPr id="20" name="TextBox 11"/>
          <xdr:cNvSpPr txBox="1"/>
        </xdr:nvSpPr>
        <xdr:spPr>
          <a:xfrm>
            <a:off x="6807200" y="3012104"/>
            <a:ext cx="987871" cy="4295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parent</a:t>
            </a:r>
          </a:p>
        </xdr:txBody>
      </xdr:sp>
      <xdr:sp macro="" textlink="">
        <xdr:nvSpPr>
          <xdr:cNvPr id="21" name="TextBox 12"/>
          <xdr:cNvSpPr txBox="1"/>
        </xdr:nvSpPr>
        <xdr:spPr>
          <a:xfrm>
            <a:off x="5699037" y="574704"/>
            <a:ext cx="1255063" cy="7091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hsfa3-1 x </a:t>
            </a:r>
          </a:p>
          <a:p>
            <a:r>
              <a:rPr lang="en-US" sz="1100" i="1"/>
              <a:t>fgt3 (F1)</a:t>
            </a:r>
          </a:p>
        </xdr:txBody>
      </xdr:sp>
      <xdr:sp macro="" textlink="">
        <xdr:nvSpPr>
          <xdr:cNvPr id="22" name="TextBox 13"/>
          <xdr:cNvSpPr txBox="1"/>
        </xdr:nvSpPr>
        <xdr:spPr>
          <a:xfrm>
            <a:off x="2133599" y="609600"/>
            <a:ext cx="1334294" cy="7091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i="1"/>
              <a:t>hsfa3-1 x </a:t>
            </a:r>
          </a:p>
          <a:p>
            <a:r>
              <a:rPr lang="en-US" sz="1100" i="1"/>
              <a:t>parent (F1)</a:t>
            </a:r>
          </a:p>
        </xdr:txBody>
      </xdr:sp>
      <xdr:sp macro="" textlink="">
        <xdr:nvSpPr>
          <xdr:cNvPr id="23" name="TextBox 14"/>
          <xdr:cNvSpPr txBox="1"/>
        </xdr:nvSpPr>
        <xdr:spPr>
          <a:xfrm>
            <a:off x="623884" y="622723"/>
            <a:ext cx="1417750" cy="7091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ACC + d3:</a:t>
            </a:r>
          </a:p>
          <a:p>
            <a:r>
              <a:rPr lang="en-US" sz="1100"/>
              <a:t>44°C – 90’</a:t>
            </a:r>
          </a:p>
        </xdr:txBody>
      </xdr:sp>
    </xdr:grpSp>
    <xdr:clientData/>
  </xdr:twoCellAnchor>
  <xdr:twoCellAnchor>
    <xdr:from>
      <xdr:col>1</xdr:col>
      <xdr:colOff>17318</xdr:colOff>
      <xdr:row>24</xdr:row>
      <xdr:rowOff>86591</xdr:rowOff>
    </xdr:from>
    <xdr:to>
      <xdr:col>7</xdr:col>
      <xdr:colOff>484908</xdr:colOff>
      <xdr:row>46</xdr:row>
      <xdr:rowOff>85493</xdr:rowOff>
    </xdr:to>
    <xdr:grpSp>
      <xdr:nvGrpSpPr>
        <xdr:cNvPr id="32" name="Group 31"/>
        <xdr:cNvGrpSpPr/>
      </xdr:nvGrpSpPr>
      <xdr:grpSpPr>
        <a:xfrm>
          <a:off x="623454" y="4658591"/>
          <a:ext cx="4104409" cy="4189902"/>
          <a:chOff x="2043697" y="1164049"/>
          <a:chExt cx="4937186" cy="5092685"/>
        </a:xfrm>
      </xdr:grpSpPr>
      <xdr:pic>
        <xdr:nvPicPr>
          <xdr:cNvPr id="33" name="Picture 32" descr="Z:\Heat\HSFA3\20190920_Luc619-1077\newRunday1InclRescue-plate1.pn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151" t="3681" r="3225" b="-286"/>
          <a:stretch/>
        </xdr:blipFill>
        <xdr:spPr bwMode="auto">
          <a:xfrm>
            <a:off x="2043697" y="1164049"/>
            <a:ext cx="4937186" cy="50699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4" name="Rectangle 33"/>
          <xdr:cNvSpPr/>
        </xdr:nvSpPr>
        <xdr:spPr>
          <a:xfrm>
            <a:off x="5715000" y="1295400"/>
            <a:ext cx="1066800" cy="1828800"/>
          </a:xfrm>
          <a:prstGeom prst="rect">
            <a:avLst/>
          </a:prstGeom>
          <a:noFill/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00"/>
          </a:p>
        </xdr:txBody>
      </xdr:sp>
      <xdr:sp macro="" textlink="">
        <xdr:nvSpPr>
          <xdr:cNvPr id="35" name="TextBox 2"/>
          <xdr:cNvSpPr txBox="1"/>
        </xdr:nvSpPr>
        <xdr:spPr>
          <a:xfrm>
            <a:off x="5845244" y="3074918"/>
            <a:ext cx="806311" cy="3786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solidFill>
                  <a:schemeClr val="bg1"/>
                </a:solidFill>
              </a:rPr>
              <a:t>parent</a:t>
            </a:r>
          </a:p>
        </xdr:txBody>
      </xdr:sp>
      <xdr:sp macro="" textlink="">
        <xdr:nvSpPr>
          <xdr:cNvPr id="36" name="Rectangle 35"/>
          <xdr:cNvSpPr/>
        </xdr:nvSpPr>
        <xdr:spPr>
          <a:xfrm>
            <a:off x="4097044" y="1295400"/>
            <a:ext cx="1066800" cy="1828800"/>
          </a:xfrm>
          <a:prstGeom prst="rect">
            <a:avLst/>
          </a:prstGeom>
          <a:noFill/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00"/>
          </a:p>
        </xdr:txBody>
      </xdr:sp>
      <xdr:sp macro="" textlink="">
        <xdr:nvSpPr>
          <xdr:cNvPr id="37" name="TextBox 16"/>
          <xdr:cNvSpPr txBox="1"/>
        </xdr:nvSpPr>
        <xdr:spPr>
          <a:xfrm>
            <a:off x="4388037" y="3074918"/>
            <a:ext cx="564963" cy="6449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>
                <a:solidFill>
                  <a:schemeClr val="bg1"/>
                </a:solidFill>
              </a:rPr>
              <a:t>fgt3</a:t>
            </a:r>
          </a:p>
        </xdr:txBody>
      </xdr:sp>
      <xdr:sp macro="" textlink="">
        <xdr:nvSpPr>
          <xdr:cNvPr id="38" name="Rectangle 37"/>
          <xdr:cNvSpPr/>
        </xdr:nvSpPr>
        <xdr:spPr>
          <a:xfrm>
            <a:off x="2186868" y="1296879"/>
            <a:ext cx="1066800" cy="1828800"/>
          </a:xfrm>
          <a:prstGeom prst="rect">
            <a:avLst/>
          </a:prstGeom>
          <a:noFill/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00"/>
          </a:p>
        </xdr:txBody>
      </xdr:sp>
      <xdr:sp macro="" textlink="">
        <xdr:nvSpPr>
          <xdr:cNvPr id="39" name="TextBox 18"/>
          <xdr:cNvSpPr txBox="1"/>
        </xdr:nvSpPr>
        <xdr:spPr>
          <a:xfrm>
            <a:off x="2286000" y="3076397"/>
            <a:ext cx="925639" cy="6449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>
                <a:solidFill>
                  <a:schemeClr val="bg1"/>
                </a:solidFill>
              </a:rPr>
              <a:t>gHSFA3</a:t>
            </a:r>
          </a:p>
          <a:p>
            <a:r>
              <a:rPr lang="en-US" sz="1400" i="1">
                <a:solidFill>
                  <a:schemeClr val="bg1"/>
                </a:solidFill>
              </a:rPr>
              <a:t>in fgt3</a:t>
            </a:r>
          </a:p>
        </xdr:txBody>
      </xdr:sp>
      <xdr:sp macro="" textlink="">
        <xdr:nvSpPr>
          <xdr:cNvPr id="40" name="Rectangle 39"/>
          <xdr:cNvSpPr/>
        </xdr:nvSpPr>
        <xdr:spPr>
          <a:xfrm>
            <a:off x="2215419" y="3890942"/>
            <a:ext cx="1066800" cy="1720795"/>
          </a:xfrm>
          <a:prstGeom prst="rect">
            <a:avLst/>
          </a:prstGeom>
          <a:noFill/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00"/>
          </a:p>
        </xdr:txBody>
      </xdr:sp>
      <xdr:sp macro="" textlink="">
        <xdr:nvSpPr>
          <xdr:cNvPr id="41" name="TextBox 9"/>
          <xdr:cNvSpPr txBox="1"/>
        </xdr:nvSpPr>
        <xdr:spPr>
          <a:xfrm>
            <a:off x="2171938" y="5611737"/>
            <a:ext cx="1324465" cy="6449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>
                <a:solidFill>
                  <a:schemeClr val="bg1"/>
                </a:solidFill>
              </a:rPr>
              <a:t>FLAG-HSFA3</a:t>
            </a:r>
          </a:p>
          <a:p>
            <a:r>
              <a:rPr lang="en-US" sz="1400" i="1">
                <a:solidFill>
                  <a:schemeClr val="bg1"/>
                </a:solidFill>
              </a:rPr>
              <a:t>in fgt3</a:t>
            </a:r>
          </a:p>
        </xdr:txBody>
      </xdr:sp>
    </xdr:grpSp>
    <xdr:clientData/>
  </xdr:twoCellAnchor>
  <xdr:twoCellAnchor>
    <xdr:from>
      <xdr:col>9</xdr:col>
      <xdr:colOff>17268</xdr:colOff>
      <xdr:row>24</xdr:row>
      <xdr:rowOff>69273</xdr:rowOff>
    </xdr:from>
    <xdr:to>
      <xdr:col>16</xdr:col>
      <xdr:colOff>34604</xdr:colOff>
      <xdr:row>46</xdr:row>
      <xdr:rowOff>108460</xdr:rowOff>
    </xdr:to>
    <xdr:grpSp>
      <xdr:nvGrpSpPr>
        <xdr:cNvPr id="51" name="Group 50"/>
        <xdr:cNvGrpSpPr/>
      </xdr:nvGrpSpPr>
      <xdr:grpSpPr>
        <a:xfrm>
          <a:off x="5472495" y="4641273"/>
          <a:ext cx="4260291" cy="4230187"/>
          <a:chOff x="2057400" y="1066800"/>
          <a:chExt cx="4801644" cy="5196860"/>
        </a:xfrm>
      </xdr:grpSpPr>
      <xdr:pic>
        <xdr:nvPicPr>
          <xdr:cNvPr id="52" name="Picture 51" descr="Z:\Heat\HSFA3\20190920_Luc619-1077\newRunday2InclRescue-plate1.pn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92" t="-311" b="362"/>
          <a:stretch/>
        </xdr:blipFill>
        <xdr:spPr bwMode="auto">
          <a:xfrm>
            <a:off x="2057400" y="1066800"/>
            <a:ext cx="4801644" cy="512241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3" name="Rectangle 52"/>
          <xdr:cNvSpPr/>
        </xdr:nvSpPr>
        <xdr:spPr>
          <a:xfrm>
            <a:off x="5715000" y="1295400"/>
            <a:ext cx="1066800" cy="1828800"/>
          </a:xfrm>
          <a:prstGeom prst="rect">
            <a:avLst/>
          </a:prstGeom>
          <a:noFill/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00"/>
          </a:p>
        </xdr:txBody>
      </xdr:sp>
      <xdr:sp macro="" textlink="">
        <xdr:nvSpPr>
          <xdr:cNvPr id="54" name="TextBox 3"/>
          <xdr:cNvSpPr txBox="1"/>
        </xdr:nvSpPr>
        <xdr:spPr>
          <a:xfrm>
            <a:off x="5845244" y="3074918"/>
            <a:ext cx="806311" cy="382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solidFill>
                  <a:schemeClr val="bg1"/>
                </a:solidFill>
              </a:rPr>
              <a:t>parent</a:t>
            </a:r>
          </a:p>
        </xdr:txBody>
      </xdr:sp>
      <xdr:sp macro="" textlink="">
        <xdr:nvSpPr>
          <xdr:cNvPr id="55" name="Rectangle 54"/>
          <xdr:cNvSpPr/>
        </xdr:nvSpPr>
        <xdr:spPr>
          <a:xfrm>
            <a:off x="4097044" y="1295400"/>
            <a:ext cx="1066800" cy="1828800"/>
          </a:xfrm>
          <a:prstGeom prst="rect">
            <a:avLst/>
          </a:prstGeom>
          <a:noFill/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00"/>
          </a:p>
        </xdr:txBody>
      </xdr:sp>
      <xdr:sp macro="" textlink="">
        <xdr:nvSpPr>
          <xdr:cNvPr id="56" name="TextBox 5"/>
          <xdr:cNvSpPr txBox="1"/>
        </xdr:nvSpPr>
        <xdr:spPr>
          <a:xfrm>
            <a:off x="4388037" y="3074918"/>
            <a:ext cx="564963" cy="382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>
                <a:solidFill>
                  <a:schemeClr val="bg1"/>
                </a:solidFill>
              </a:rPr>
              <a:t>fgt3</a:t>
            </a:r>
          </a:p>
        </xdr:txBody>
      </xdr:sp>
      <xdr:sp macro="" textlink="">
        <xdr:nvSpPr>
          <xdr:cNvPr id="57" name="Rectangle 56"/>
          <xdr:cNvSpPr/>
        </xdr:nvSpPr>
        <xdr:spPr>
          <a:xfrm>
            <a:off x="2186868" y="1296879"/>
            <a:ext cx="1066800" cy="1828800"/>
          </a:xfrm>
          <a:prstGeom prst="rect">
            <a:avLst/>
          </a:prstGeom>
          <a:noFill/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00"/>
          </a:p>
        </xdr:txBody>
      </xdr:sp>
      <xdr:sp macro="" textlink="">
        <xdr:nvSpPr>
          <xdr:cNvPr id="58" name="TextBox 7"/>
          <xdr:cNvSpPr txBox="1"/>
        </xdr:nvSpPr>
        <xdr:spPr>
          <a:xfrm>
            <a:off x="2286000" y="3076397"/>
            <a:ext cx="925639" cy="6519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>
                <a:solidFill>
                  <a:schemeClr val="bg1"/>
                </a:solidFill>
              </a:rPr>
              <a:t>gHSFA3</a:t>
            </a:r>
          </a:p>
          <a:p>
            <a:r>
              <a:rPr lang="en-US" sz="1400" i="1">
                <a:solidFill>
                  <a:schemeClr val="bg1"/>
                </a:solidFill>
              </a:rPr>
              <a:t>in fgt3</a:t>
            </a:r>
          </a:p>
        </xdr:txBody>
      </xdr:sp>
      <xdr:sp macro="" textlink="">
        <xdr:nvSpPr>
          <xdr:cNvPr id="59" name="Rectangle 58"/>
          <xdr:cNvSpPr/>
        </xdr:nvSpPr>
        <xdr:spPr>
          <a:xfrm>
            <a:off x="2215419" y="3890942"/>
            <a:ext cx="1066800" cy="1720795"/>
          </a:xfrm>
          <a:prstGeom prst="rect">
            <a:avLst/>
          </a:prstGeom>
          <a:noFill/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00"/>
          </a:p>
        </xdr:txBody>
      </xdr:sp>
      <xdr:sp macro="" textlink="">
        <xdr:nvSpPr>
          <xdr:cNvPr id="60" name="TextBox 9"/>
          <xdr:cNvSpPr txBox="1"/>
        </xdr:nvSpPr>
        <xdr:spPr>
          <a:xfrm>
            <a:off x="2171938" y="5611737"/>
            <a:ext cx="1324464" cy="6519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>
                <a:solidFill>
                  <a:schemeClr val="bg1"/>
                </a:solidFill>
              </a:rPr>
              <a:t>FLAG-HSFA3</a:t>
            </a:r>
          </a:p>
          <a:p>
            <a:r>
              <a:rPr lang="en-US" sz="1400" i="1">
                <a:solidFill>
                  <a:schemeClr val="bg1"/>
                </a:solidFill>
              </a:rPr>
              <a:t>in fgt3</a:t>
            </a:r>
          </a:p>
        </xdr:txBody>
      </xdr:sp>
    </xdr:grpSp>
    <xdr:clientData/>
  </xdr:twoCellAnchor>
  <xdr:twoCellAnchor>
    <xdr:from>
      <xdr:col>17</xdr:col>
      <xdr:colOff>17312</xdr:colOff>
      <xdr:row>24</xdr:row>
      <xdr:rowOff>86591</xdr:rowOff>
    </xdr:from>
    <xdr:to>
      <xdr:col>24</xdr:col>
      <xdr:colOff>294402</xdr:colOff>
      <xdr:row>46</xdr:row>
      <xdr:rowOff>146224</xdr:rowOff>
    </xdr:to>
    <xdr:grpSp>
      <xdr:nvGrpSpPr>
        <xdr:cNvPr id="61" name="Group 60"/>
        <xdr:cNvGrpSpPr/>
      </xdr:nvGrpSpPr>
      <xdr:grpSpPr>
        <a:xfrm>
          <a:off x="10321630" y="4658591"/>
          <a:ext cx="4520045" cy="4250633"/>
          <a:chOff x="1905000" y="838200"/>
          <a:chExt cx="4913790" cy="5084812"/>
        </a:xfrm>
      </xdr:grpSpPr>
      <xdr:pic>
        <xdr:nvPicPr>
          <xdr:cNvPr id="62" name="Picture 61" descr="Z:\Heat\HSFA3\20190920_Luc619-1077\newRunday3InclRescue-plate1.pn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90" t="1274" r="195" b="126"/>
          <a:stretch/>
        </xdr:blipFill>
        <xdr:spPr bwMode="auto">
          <a:xfrm>
            <a:off x="1905000" y="838200"/>
            <a:ext cx="4913790" cy="496261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3" name="Rectangle 62"/>
          <xdr:cNvSpPr/>
        </xdr:nvSpPr>
        <xdr:spPr>
          <a:xfrm>
            <a:off x="5615868" y="971876"/>
            <a:ext cx="1066800" cy="1828800"/>
          </a:xfrm>
          <a:prstGeom prst="rect">
            <a:avLst/>
          </a:prstGeom>
          <a:noFill/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00"/>
          </a:p>
        </xdr:txBody>
      </xdr:sp>
      <xdr:sp macro="" textlink="">
        <xdr:nvSpPr>
          <xdr:cNvPr id="64" name="TextBox 3"/>
          <xdr:cNvSpPr txBox="1"/>
        </xdr:nvSpPr>
        <xdr:spPr>
          <a:xfrm>
            <a:off x="5746112" y="2751394"/>
            <a:ext cx="806311" cy="37262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solidFill>
                  <a:schemeClr val="bg1"/>
                </a:solidFill>
              </a:rPr>
              <a:t>parent</a:t>
            </a:r>
          </a:p>
        </xdr:txBody>
      </xdr:sp>
      <xdr:sp macro="" textlink="">
        <xdr:nvSpPr>
          <xdr:cNvPr id="65" name="Rectangle 64"/>
          <xdr:cNvSpPr/>
        </xdr:nvSpPr>
        <xdr:spPr>
          <a:xfrm>
            <a:off x="3997912" y="971876"/>
            <a:ext cx="1066800" cy="1828800"/>
          </a:xfrm>
          <a:prstGeom prst="rect">
            <a:avLst/>
          </a:prstGeom>
          <a:noFill/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00"/>
          </a:p>
        </xdr:txBody>
      </xdr:sp>
      <xdr:sp macro="" textlink="">
        <xdr:nvSpPr>
          <xdr:cNvPr id="66" name="TextBox 5"/>
          <xdr:cNvSpPr txBox="1"/>
        </xdr:nvSpPr>
        <xdr:spPr>
          <a:xfrm>
            <a:off x="4288905" y="2751394"/>
            <a:ext cx="564963" cy="37262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>
                <a:solidFill>
                  <a:schemeClr val="bg1"/>
                </a:solidFill>
              </a:rPr>
              <a:t>fgt3</a:t>
            </a:r>
          </a:p>
        </xdr:txBody>
      </xdr:sp>
      <xdr:sp macro="" textlink="">
        <xdr:nvSpPr>
          <xdr:cNvPr id="67" name="Rectangle 66"/>
          <xdr:cNvSpPr/>
        </xdr:nvSpPr>
        <xdr:spPr>
          <a:xfrm>
            <a:off x="2087736" y="973355"/>
            <a:ext cx="1066800" cy="1828800"/>
          </a:xfrm>
          <a:prstGeom prst="rect">
            <a:avLst/>
          </a:prstGeom>
          <a:noFill/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00"/>
          </a:p>
        </xdr:txBody>
      </xdr:sp>
      <xdr:sp macro="" textlink="">
        <xdr:nvSpPr>
          <xdr:cNvPr id="68" name="TextBox 7"/>
          <xdr:cNvSpPr txBox="1"/>
        </xdr:nvSpPr>
        <xdr:spPr>
          <a:xfrm>
            <a:off x="2186868" y="2752873"/>
            <a:ext cx="925638" cy="6347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>
                <a:solidFill>
                  <a:schemeClr val="bg1"/>
                </a:solidFill>
              </a:rPr>
              <a:t>gHSFA3</a:t>
            </a:r>
          </a:p>
          <a:p>
            <a:r>
              <a:rPr lang="en-US" sz="1400" i="1">
                <a:solidFill>
                  <a:schemeClr val="bg1"/>
                </a:solidFill>
              </a:rPr>
              <a:t>in fgt3</a:t>
            </a:r>
          </a:p>
        </xdr:txBody>
      </xdr:sp>
      <xdr:sp macro="" textlink="">
        <xdr:nvSpPr>
          <xdr:cNvPr id="69" name="Rectangle 68"/>
          <xdr:cNvSpPr/>
        </xdr:nvSpPr>
        <xdr:spPr>
          <a:xfrm>
            <a:off x="2116287" y="3567418"/>
            <a:ext cx="1066800" cy="1720795"/>
          </a:xfrm>
          <a:prstGeom prst="rect">
            <a:avLst/>
          </a:prstGeom>
          <a:noFill/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sz="1400"/>
          </a:p>
        </xdr:txBody>
      </xdr:sp>
      <xdr:sp macro="" textlink="">
        <xdr:nvSpPr>
          <xdr:cNvPr id="70" name="TextBox 9"/>
          <xdr:cNvSpPr txBox="1"/>
        </xdr:nvSpPr>
        <xdr:spPr>
          <a:xfrm>
            <a:off x="2072806" y="5288213"/>
            <a:ext cx="1324465" cy="6347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>
                <a:solidFill>
                  <a:schemeClr val="bg1"/>
                </a:solidFill>
              </a:rPr>
              <a:t>FLAG-HSFA3</a:t>
            </a:r>
          </a:p>
          <a:p>
            <a:r>
              <a:rPr lang="en-US" sz="1400" i="1">
                <a:solidFill>
                  <a:schemeClr val="bg1"/>
                </a:solidFill>
              </a:rPr>
              <a:t>in fgt3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</xdr:rowOff>
    </xdr:from>
    <xdr:to>
      <xdr:col>7</xdr:col>
      <xdr:colOff>507225</xdr:colOff>
      <xdr:row>21</xdr:row>
      <xdr:rowOff>157640</xdr:rowOff>
    </xdr:to>
    <xdr:grpSp>
      <xdr:nvGrpSpPr>
        <xdr:cNvPr id="2" name="Group 1"/>
        <xdr:cNvGrpSpPr/>
      </xdr:nvGrpSpPr>
      <xdr:grpSpPr>
        <a:xfrm>
          <a:off x="605118" y="762001"/>
          <a:ext cx="4216372" cy="3396139"/>
          <a:chOff x="354666" y="218371"/>
          <a:chExt cx="6444742" cy="4995420"/>
        </a:xfrm>
      </xdr:grpSpPr>
      <xdr:pic>
        <xdr:nvPicPr>
          <xdr:cNvPr id="3" name="Picture 2" descr="Z:\Heat\HSFA3\20190705_survivalAssaya2a3FLAG-A3atx3-4-5\DSC_1537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240" t="3600" r="26116" b="4167"/>
          <a:stretch/>
        </xdr:blipFill>
        <xdr:spPr bwMode="auto">
          <a:xfrm>
            <a:off x="1309303" y="541537"/>
            <a:ext cx="4358936" cy="4216893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TextBox 21"/>
          <xdr:cNvSpPr txBox="1"/>
        </xdr:nvSpPr>
        <xdr:spPr>
          <a:xfrm>
            <a:off x="2025435" y="322217"/>
            <a:ext cx="1191240" cy="396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6" name="TextBox 23"/>
          <xdr:cNvSpPr txBox="1"/>
        </xdr:nvSpPr>
        <xdr:spPr>
          <a:xfrm>
            <a:off x="4064926" y="304800"/>
            <a:ext cx="1191240" cy="396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7" name="TextBox 24"/>
          <xdr:cNvSpPr txBox="1"/>
        </xdr:nvSpPr>
        <xdr:spPr>
          <a:xfrm>
            <a:off x="5608168" y="2560093"/>
            <a:ext cx="1191240" cy="396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8" name="TextBox 25"/>
          <xdr:cNvSpPr txBox="1"/>
        </xdr:nvSpPr>
        <xdr:spPr>
          <a:xfrm>
            <a:off x="354666" y="1914101"/>
            <a:ext cx="1191240" cy="6566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9" name="TextBox 26"/>
          <xdr:cNvSpPr txBox="1"/>
        </xdr:nvSpPr>
        <xdr:spPr>
          <a:xfrm>
            <a:off x="1524000" y="4296766"/>
            <a:ext cx="1425658" cy="9170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FLAG-HSFA3</a:t>
            </a:r>
          </a:p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#12</a:t>
            </a:r>
          </a:p>
        </xdr:txBody>
      </xdr:sp>
      <xdr:sp macro="" textlink="">
        <xdr:nvSpPr>
          <xdr:cNvPr id="10" name="TextBox 27"/>
          <xdr:cNvSpPr txBox="1"/>
        </xdr:nvSpPr>
        <xdr:spPr>
          <a:xfrm>
            <a:off x="369009" y="218371"/>
            <a:ext cx="1191240" cy="396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No HS</a:t>
            </a:r>
          </a:p>
        </xdr:txBody>
      </xdr:sp>
      <xdr:cxnSp macro="">
        <xdr:nvCxnSpPr>
          <xdr:cNvPr id="12" name="Straight Connector 11"/>
          <xdr:cNvCxnSpPr/>
        </xdr:nvCxnSpPr>
        <xdr:spPr>
          <a:xfrm flipH="1">
            <a:off x="3216676" y="725631"/>
            <a:ext cx="517124" cy="3765518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Straight Connector 12"/>
          <xdr:cNvCxnSpPr/>
        </xdr:nvCxnSpPr>
        <xdr:spPr>
          <a:xfrm flipH="1">
            <a:off x="1648442" y="1914101"/>
            <a:ext cx="3607727" cy="1392242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Straight Connector 13"/>
          <xdr:cNvCxnSpPr/>
        </xdr:nvCxnSpPr>
        <xdr:spPr>
          <a:xfrm flipH="1" flipV="1">
            <a:off x="2025436" y="1447801"/>
            <a:ext cx="3093404" cy="2362198"/>
          </a:xfrm>
          <a:prstGeom prst="line">
            <a:avLst/>
          </a:prstGeom>
          <a:ln w="1905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565241</xdr:colOff>
      <xdr:row>4</xdr:row>
      <xdr:rowOff>1</xdr:rowOff>
    </xdr:from>
    <xdr:to>
      <xdr:col>16</xdr:col>
      <xdr:colOff>233009</xdr:colOff>
      <xdr:row>7</xdr:row>
      <xdr:rowOff>51941</xdr:rowOff>
    </xdr:to>
    <xdr:sp macro="" textlink="">
      <xdr:nvSpPr>
        <xdr:cNvPr id="41" name="TextBox 27"/>
        <xdr:cNvSpPr txBox="1"/>
      </xdr:nvSpPr>
      <xdr:spPr>
        <a:xfrm>
          <a:off x="9276286" y="762001"/>
          <a:ext cx="880041" cy="62344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T d+3 </a:t>
          </a:r>
        </a:p>
        <a:p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44°C 30min</a:t>
          </a:r>
        </a:p>
      </xdr:txBody>
    </xdr:sp>
    <xdr:clientData/>
  </xdr:twoCellAnchor>
  <xdr:twoCellAnchor>
    <xdr:from>
      <xdr:col>22</xdr:col>
      <xdr:colOff>0</xdr:colOff>
      <xdr:row>4</xdr:row>
      <xdr:rowOff>0</xdr:rowOff>
    </xdr:from>
    <xdr:to>
      <xdr:col>23</xdr:col>
      <xdr:colOff>286550</xdr:colOff>
      <xdr:row>8</xdr:row>
      <xdr:rowOff>12533</xdr:rowOff>
    </xdr:to>
    <xdr:sp macro="" textlink="">
      <xdr:nvSpPr>
        <xdr:cNvPr id="54" name="TextBox 27"/>
        <xdr:cNvSpPr txBox="1"/>
      </xdr:nvSpPr>
      <xdr:spPr>
        <a:xfrm>
          <a:off x="13560136" y="762000"/>
          <a:ext cx="892687" cy="77453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ACC+</a:t>
          </a:r>
        </a:p>
        <a:p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T d+3 </a:t>
          </a:r>
        </a:p>
        <a:p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44°C 70min</a:t>
          </a:r>
        </a:p>
      </xdr:txBody>
    </xdr:sp>
    <xdr:clientData/>
  </xdr:twoCellAnchor>
  <xdr:twoCellAnchor>
    <xdr:from>
      <xdr:col>30</xdr:col>
      <xdr:colOff>205023</xdr:colOff>
      <xdr:row>4</xdr:row>
      <xdr:rowOff>48491</xdr:rowOff>
    </xdr:from>
    <xdr:to>
      <xdr:col>31</xdr:col>
      <xdr:colOff>421894</xdr:colOff>
      <xdr:row>5</xdr:row>
      <xdr:rowOff>51352</xdr:rowOff>
    </xdr:to>
    <xdr:sp macro="" textlink="">
      <xdr:nvSpPr>
        <xdr:cNvPr id="64" name="TextBox 27"/>
        <xdr:cNvSpPr txBox="1"/>
      </xdr:nvSpPr>
      <xdr:spPr>
        <a:xfrm>
          <a:off x="18389114" y="810491"/>
          <a:ext cx="823007" cy="19336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ACC</a:t>
          </a:r>
        </a:p>
      </xdr:txBody>
    </xdr:sp>
    <xdr:clientData/>
  </xdr:twoCellAnchor>
  <xdr:twoCellAnchor>
    <xdr:from>
      <xdr:col>29</xdr:col>
      <xdr:colOff>545522</xdr:colOff>
      <xdr:row>4</xdr:row>
      <xdr:rowOff>1</xdr:rowOff>
    </xdr:from>
    <xdr:to>
      <xdr:col>36</xdr:col>
      <xdr:colOff>484909</xdr:colOff>
      <xdr:row>21</xdr:row>
      <xdr:rowOff>47176</xdr:rowOff>
    </xdr:to>
    <xdr:grpSp>
      <xdr:nvGrpSpPr>
        <xdr:cNvPr id="65" name="Group 64"/>
        <xdr:cNvGrpSpPr/>
      </xdr:nvGrpSpPr>
      <xdr:grpSpPr>
        <a:xfrm>
          <a:off x="18306846" y="762001"/>
          <a:ext cx="4175210" cy="3285675"/>
          <a:chOff x="-2934542" y="496278"/>
          <a:chExt cx="4496642" cy="3670330"/>
        </a:xfrm>
      </xdr:grpSpPr>
      <xdr:pic>
        <xdr:nvPicPr>
          <xdr:cNvPr id="66" name="Picture 65" descr="Z:\Heat\HSFA3\20170724-day4MemoryAssayAndBTTHSFA2-3-FLAGlines(photos-day17afterACC)\DSC_7213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40" t="8375" r="37002" b="4693"/>
          <a:stretch/>
        </xdr:blipFill>
        <xdr:spPr bwMode="auto">
          <a:xfrm>
            <a:off x="-2173164" y="649069"/>
            <a:ext cx="3252440" cy="3179647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67" name="Straight Connector 66"/>
          <xdr:cNvCxnSpPr/>
        </xdr:nvCxnSpPr>
        <xdr:spPr>
          <a:xfrm flipH="1">
            <a:off x="-557330" y="781025"/>
            <a:ext cx="60566" cy="291604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" name="Straight Connector 67"/>
          <xdr:cNvCxnSpPr/>
        </xdr:nvCxnSpPr>
        <xdr:spPr>
          <a:xfrm flipH="1">
            <a:off x="-1792164" y="1411069"/>
            <a:ext cx="2438400" cy="16764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" name="Straight Connector 68"/>
          <xdr:cNvCxnSpPr/>
        </xdr:nvCxnSpPr>
        <xdr:spPr>
          <a:xfrm>
            <a:off x="-1792164" y="1334869"/>
            <a:ext cx="2514600" cy="17526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0" name="TextBox 80"/>
          <xdr:cNvSpPr txBox="1"/>
        </xdr:nvSpPr>
        <xdr:spPr>
          <a:xfrm>
            <a:off x="1079276" y="2026503"/>
            <a:ext cx="482824" cy="3009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71" name="TextBox 81"/>
          <xdr:cNvSpPr txBox="1"/>
        </xdr:nvSpPr>
        <xdr:spPr>
          <a:xfrm>
            <a:off x="-1792164" y="496278"/>
            <a:ext cx="696409" cy="3009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72" name="TextBox 82"/>
          <xdr:cNvSpPr txBox="1"/>
        </xdr:nvSpPr>
        <xdr:spPr>
          <a:xfrm>
            <a:off x="-128061" y="3667943"/>
            <a:ext cx="1442446" cy="498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pA3::3xFLAG-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 #12</a:t>
            </a:r>
          </a:p>
        </xdr:txBody>
      </xdr:sp>
      <xdr:sp macro="" textlink="">
        <xdr:nvSpPr>
          <xdr:cNvPr id="73" name="TextBox 91"/>
          <xdr:cNvSpPr txBox="1"/>
        </xdr:nvSpPr>
        <xdr:spPr>
          <a:xfrm>
            <a:off x="215998" y="592141"/>
            <a:ext cx="696409" cy="3009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74" name="TextBox 92"/>
          <xdr:cNvSpPr txBox="1"/>
        </xdr:nvSpPr>
        <xdr:spPr>
          <a:xfrm>
            <a:off x="-2934542" y="1941994"/>
            <a:ext cx="896784" cy="3009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</xdr:grpSp>
    <xdr:clientData/>
  </xdr:twoCellAnchor>
  <xdr:twoCellAnchor>
    <xdr:from>
      <xdr:col>37</xdr:col>
      <xdr:colOff>163286</xdr:colOff>
      <xdr:row>4</xdr:row>
      <xdr:rowOff>92377</xdr:rowOff>
    </xdr:from>
    <xdr:to>
      <xdr:col>44</xdr:col>
      <xdr:colOff>163286</xdr:colOff>
      <xdr:row>22</xdr:row>
      <xdr:rowOff>13607</xdr:rowOff>
    </xdr:to>
    <xdr:grpSp>
      <xdr:nvGrpSpPr>
        <xdr:cNvPr id="75" name="Group 74"/>
        <xdr:cNvGrpSpPr/>
      </xdr:nvGrpSpPr>
      <xdr:grpSpPr>
        <a:xfrm>
          <a:off x="22765551" y="854377"/>
          <a:ext cx="4235823" cy="3350230"/>
          <a:chOff x="4944797" y="2116646"/>
          <a:chExt cx="4429267" cy="3476606"/>
        </a:xfrm>
      </xdr:grpSpPr>
      <xdr:pic>
        <xdr:nvPicPr>
          <xdr:cNvPr id="76" name="Picture 75" descr="Z:\Heat\HSFA3\20170724-day4MemoryAssayAndBTTHSFA2-3-FLAGlines(photos-day17afterACC)\DSC_7215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030" t="7608" r="37544" b="4796"/>
          <a:stretch/>
        </xdr:blipFill>
        <xdr:spPr bwMode="auto">
          <a:xfrm>
            <a:off x="5715000" y="2131732"/>
            <a:ext cx="3256156" cy="3204135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77" name="Straight Connector 76"/>
          <xdr:cNvCxnSpPr/>
        </xdr:nvCxnSpPr>
        <xdr:spPr>
          <a:xfrm>
            <a:off x="7315200" y="2305531"/>
            <a:ext cx="27878" cy="2890937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" name="Straight Connector 77"/>
          <xdr:cNvCxnSpPr/>
        </xdr:nvCxnSpPr>
        <xdr:spPr>
          <a:xfrm flipH="1">
            <a:off x="6172200" y="2957657"/>
            <a:ext cx="2286000" cy="151739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" name="Straight Connector 78"/>
          <xdr:cNvCxnSpPr/>
        </xdr:nvCxnSpPr>
        <xdr:spPr>
          <a:xfrm>
            <a:off x="6019800" y="3042166"/>
            <a:ext cx="2590800" cy="1432881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0" name="TextBox 96"/>
          <xdr:cNvSpPr txBox="1"/>
        </xdr:nvSpPr>
        <xdr:spPr>
          <a:xfrm>
            <a:off x="8891240" y="3551009"/>
            <a:ext cx="482824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81" name="TextBox 97"/>
          <xdr:cNvSpPr txBox="1"/>
        </xdr:nvSpPr>
        <xdr:spPr>
          <a:xfrm>
            <a:off x="5837005" y="2161988"/>
            <a:ext cx="696409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82" name="TextBox 98"/>
          <xdr:cNvSpPr txBox="1"/>
        </xdr:nvSpPr>
        <xdr:spPr>
          <a:xfrm>
            <a:off x="7837738" y="5146848"/>
            <a:ext cx="1442446" cy="4464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pA3::3xFLAG-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 #12</a:t>
            </a:r>
          </a:p>
        </xdr:txBody>
      </xdr:sp>
      <xdr:sp macro="" textlink="">
        <xdr:nvSpPr>
          <xdr:cNvPr id="83" name="TextBox 99"/>
          <xdr:cNvSpPr txBox="1"/>
        </xdr:nvSpPr>
        <xdr:spPr>
          <a:xfrm>
            <a:off x="8027962" y="2116646"/>
            <a:ext cx="696409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84" name="TextBox 100"/>
          <xdr:cNvSpPr txBox="1"/>
        </xdr:nvSpPr>
        <xdr:spPr>
          <a:xfrm>
            <a:off x="4944797" y="3466499"/>
            <a:ext cx="896784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</xdr:grpSp>
    <xdr:clientData/>
  </xdr:twoCellAnchor>
  <xdr:twoCellAnchor>
    <xdr:from>
      <xdr:col>37</xdr:col>
      <xdr:colOff>209971</xdr:colOff>
      <xdr:row>3</xdr:row>
      <xdr:rowOff>170956</xdr:rowOff>
    </xdr:from>
    <xdr:to>
      <xdr:col>38</xdr:col>
      <xdr:colOff>426842</xdr:colOff>
      <xdr:row>4</xdr:row>
      <xdr:rowOff>173817</xdr:rowOff>
    </xdr:to>
    <xdr:sp macro="" textlink="">
      <xdr:nvSpPr>
        <xdr:cNvPr id="85" name="TextBox 27"/>
        <xdr:cNvSpPr txBox="1"/>
      </xdr:nvSpPr>
      <xdr:spPr>
        <a:xfrm>
          <a:off x="22865864" y="742456"/>
          <a:ext cx="829192" cy="19336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d+4 44°C-30min</a:t>
          </a:r>
        </a:p>
      </xdr:txBody>
    </xdr:sp>
    <xdr:clientData/>
  </xdr:twoCellAnchor>
  <xdr:twoCellAnchor>
    <xdr:from>
      <xdr:col>44</xdr:col>
      <xdr:colOff>435429</xdr:colOff>
      <xdr:row>4</xdr:row>
      <xdr:rowOff>122466</xdr:rowOff>
    </xdr:from>
    <xdr:to>
      <xdr:col>51</xdr:col>
      <xdr:colOff>408215</xdr:colOff>
      <xdr:row>22</xdr:row>
      <xdr:rowOff>177468</xdr:rowOff>
    </xdr:to>
    <xdr:grpSp>
      <xdr:nvGrpSpPr>
        <xdr:cNvPr id="86" name="Group 85"/>
        <xdr:cNvGrpSpPr/>
      </xdr:nvGrpSpPr>
      <xdr:grpSpPr>
        <a:xfrm>
          <a:off x="27273517" y="884466"/>
          <a:ext cx="4208610" cy="3484002"/>
          <a:chOff x="624763" y="5085164"/>
          <a:chExt cx="4525705" cy="3781336"/>
        </a:xfrm>
      </xdr:grpSpPr>
      <xdr:pic>
        <xdr:nvPicPr>
          <xdr:cNvPr id="87" name="Picture 86" descr="Z:\Heat\HSFA3\20170724-day4MemoryAssayAndBTTHSFA2-3-FLAGlines(photos-day17afterACC)\DSC_7220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086" t="7484" r="36595" b="2325"/>
          <a:stretch/>
        </xdr:blipFill>
        <xdr:spPr bwMode="auto">
          <a:xfrm>
            <a:off x="1379034" y="5196468"/>
            <a:ext cx="3304874" cy="3298902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8" name="Straight Connector 87"/>
          <xdr:cNvCxnSpPr/>
        </xdr:nvCxnSpPr>
        <xdr:spPr>
          <a:xfrm>
            <a:off x="3019308" y="5369911"/>
            <a:ext cx="27878" cy="2890937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9" name="Straight Connector 88"/>
          <xdr:cNvCxnSpPr/>
        </xdr:nvCxnSpPr>
        <xdr:spPr>
          <a:xfrm flipH="1">
            <a:off x="1876308" y="6022037"/>
            <a:ext cx="2286000" cy="151739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0" name="Straight Connector 89"/>
          <xdr:cNvCxnSpPr/>
        </xdr:nvCxnSpPr>
        <xdr:spPr>
          <a:xfrm>
            <a:off x="1723908" y="6106546"/>
            <a:ext cx="2590800" cy="1432881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1" name="TextBox 110"/>
          <xdr:cNvSpPr txBox="1"/>
        </xdr:nvSpPr>
        <xdr:spPr>
          <a:xfrm>
            <a:off x="4667644" y="6600620"/>
            <a:ext cx="482824" cy="29235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92" name="TextBox 111"/>
          <xdr:cNvSpPr txBox="1"/>
        </xdr:nvSpPr>
        <xdr:spPr>
          <a:xfrm>
            <a:off x="1723908" y="5085164"/>
            <a:ext cx="696409" cy="29235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93" name="TextBox 112"/>
          <xdr:cNvSpPr txBox="1"/>
        </xdr:nvSpPr>
        <xdr:spPr>
          <a:xfrm>
            <a:off x="3550270" y="8381999"/>
            <a:ext cx="1442446" cy="48450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pA3::3xFLAG-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 #12</a:t>
            </a:r>
          </a:p>
        </xdr:txBody>
      </xdr:sp>
      <xdr:sp macro="" textlink="">
        <xdr:nvSpPr>
          <xdr:cNvPr id="94" name="TextBox 113"/>
          <xdr:cNvSpPr txBox="1"/>
        </xdr:nvSpPr>
        <xdr:spPr>
          <a:xfrm>
            <a:off x="3732070" y="5106024"/>
            <a:ext cx="696409" cy="29235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95" name="TextBox 114"/>
          <xdr:cNvSpPr txBox="1"/>
        </xdr:nvSpPr>
        <xdr:spPr>
          <a:xfrm>
            <a:off x="624763" y="6545648"/>
            <a:ext cx="896784" cy="29235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</xdr:grpSp>
    <xdr:clientData/>
  </xdr:twoCellAnchor>
  <xdr:twoCellAnchor>
    <xdr:from>
      <xdr:col>44</xdr:col>
      <xdr:colOff>329292</xdr:colOff>
      <xdr:row>3</xdr:row>
      <xdr:rowOff>179614</xdr:rowOff>
    </xdr:from>
    <xdr:to>
      <xdr:col>46</xdr:col>
      <xdr:colOff>6420</xdr:colOff>
      <xdr:row>8</xdr:row>
      <xdr:rowOff>1647</xdr:rowOff>
    </xdr:to>
    <xdr:sp macro="" textlink="">
      <xdr:nvSpPr>
        <xdr:cNvPr id="96" name="TextBox 27"/>
        <xdr:cNvSpPr txBox="1"/>
      </xdr:nvSpPr>
      <xdr:spPr>
        <a:xfrm>
          <a:off x="27271435" y="751114"/>
          <a:ext cx="901771" cy="77453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ACC+</a:t>
          </a:r>
        </a:p>
        <a:p>
          <a:pPr algn="r"/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T d+4 </a:t>
          </a:r>
        </a:p>
        <a:p>
          <a:pPr algn="r"/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44°C 50min</a:t>
          </a:r>
        </a:p>
      </xdr:txBody>
    </xdr:sp>
    <xdr:clientData/>
  </xdr:twoCellAnchor>
  <xdr:twoCellAnchor>
    <xdr:from>
      <xdr:col>52</xdr:col>
      <xdr:colOff>346363</xdr:colOff>
      <xdr:row>5</xdr:row>
      <xdr:rowOff>34636</xdr:rowOff>
    </xdr:from>
    <xdr:to>
      <xdr:col>59</xdr:col>
      <xdr:colOff>229466</xdr:colOff>
      <xdr:row>22</xdr:row>
      <xdr:rowOff>153036</xdr:rowOff>
    </xdr:to>
    <xdr:grpSp>
      <xdr:nvGrpSpPr>
        <xdr:cNvPr id="97" name="Group 96"/>
        <xdr:cNvGrpSpPr/>
      </xdr:nvGrpSpPr>
      <xdr:grpSpPr>
        <a:xfrm>
          <a:off x="32025392" y="987136"/>
          <a:ext cx="4118927" cy="3356900"/>
          <a:chOff x="-3611240" y="-114300"/>
          <a:chExt cx="4778512" cy="3953410"/>
        </a:xfrm>
      </xdr:grpSpPr>
      <xdr:pic>
        <xdr:nvPicPr>
          <xdr:cNvPr id="98" name="Picture 97" descr="Z:\A3-Manuscript\FiguresAndData\Figure1-1077isA3-LUC-mATT\data\survival Assays\20170818_SurvivalAssayD5D6\Photos day 14 after ACC\DSC_7519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3025" t="20003" r="17496" b="21480"/>
          <a:stretch/>
        </xdr:blipFill>
        <xdr:spPr bwMode="auto">
          <a:xfrm>
            <a:off x="-2838990" y="-114300"/>
            <a:ext cx="3609975" cy="3571875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99" name="Straight Connector 98"/>
          <xdr:cNvCxnSpPr/>
        </xdr:nvCxnSpPr>
        <xdr:spPr>
          <a:xfrm flipH="1">
            <a:off x="-1083335" y="168028"/>
            <a:ext cx="49333" cy="3016125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0" name="Straight Connector 99"/>
          <xdr:cNvCxnSpPr/>
        </xdr:nvCxnSpPr>
        <xdr:spPr>
          <a:xfrm flipH="1">
            <a:off x="-2514599" y="982091"/>
            <a:ext cx="2895599" cy="1532509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1" name="Straight Connector 100"/>
          <xdr:cNvCxnSpPr/>
        </xdr:nvCxnSpPr>
        <xdr:spPr>
          <a:xfrm>
            <a:off x="-2367503" y="914400"/>
            <a:ext cx="2704571" cy="1660153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2" name="TextBox 81"/>
          <xdr:cNvSpPr txBox="1"/>
        </xdr:nvSpPr>
        <xdr:spPr>
          <a:xfrm>
            <a:off x="684447" y="1493192"/>
            <a:ext cx="482825" cy="317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03" name="TextBox 82"/>
          <xdr:cNvSpPr txBox="1"/>
        </xdr:nvSpPr>
        <xdr:spPr>
          <a:xfrm>
            <a:off x="-2588127" y="-98220"/>
            <a:ext cx="696409" cy="317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04" name="TextBox 83"/>
          <xdr:cNvSpPr txBox="1"/>
        </xdr:nvSpPr>
        <xdr:spPr>
          <a:xfrm>
            <a:off x="-531792" y="3313381"/>
            <a:ext cx="1442447" cy="52572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pA3::3xFLAG-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 #12</a:t>
            </a:r>
          </a:p>
        </xdr:txBody>
      </xdr:sp>
      <xdr:sp macro="" textlink="">
        <xdr:nvSpPr>
          <xdr:cNvPr id="105" name="TextBox 84"/>
          <xdr:cNvSpPr txBox="1"/>
        </xdr:nvSpPr>
        <xdr:spPr>
          <a:xfrm>
            <a:off x="-78547" y="-2359"/>
            <a:ext cx="696409" cy="317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06" name="TextBox 91"/>
          <xdr:cNvSpPr txBox="1"/>
        </xdr:nvSpPr>
        <xdr:spPr>
          <a:xfrm>
            <a:off x="-3611240" y="1429077"/>
            <a:ext cx="896784" cy="3172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</xdr:grpSp>
    <xdr:clientData/>
  </xdr:twoCellAnchor>
  <xdr:twoCellAnchor>
    <xdr:from>
      <xdr:col>52</xdr:col>
      <xdr:colOff>571500</xdr:colOff>
      <xdr:row>4</xdr:row>
      <xdr:rowOff>173182</xdr:rowOff>
    </xdr:from>
    <xdr:to>
      <xdr:col>54</xdr:col>
      <xdr:colOff>182234</xdr:colOff>
      <xdr:row>5</xdr:row>
      <xdr:rowOff>176043</xdr:rowOff>
    </xdr:to>
    <xdr:sp macro="" textlink="">
      <xdr:nvSpPr>
        <xdr:cNvPr id="107" name="TextBox 27"/>
        <xdr:cNvSpPr txBox="1"/>
      </xdr:nvSpPr>
      <xdr:spPr>
        <a:xfrm>
          <a:off x="32090591" y="935182"/>
          <a:ext cx="823007" cy="19336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ACC</a:t>
          </a:r>
        </a:p>
      </xdr:txBody>
    </xdr:sp>
    <xdr:clientData/>
  </xdr:twoCellAnchor>
  <xdr:twoCellAnchor>
    <xdr:from>
      <xdr:col>59</xdr:col>
      <xdr:colOff>450273</xdr:colOff>
      <xdr:row>5</xdr:row>
      <xdr:rowOff>0</xdr:rowOff>
    </xdr:from>
    <xdr:to>
      <xdr:col>66</xdr:col>
      <xdr:colOff>207817</xdr:colOff>
      <xdr:row>22</xdr:row>
      <xdr:rowOff>1</xdr:rowOff>
    </xdr:to>
    <xdr:grpSp>
      <xdr:nvGrpSpPr>
        <xdr:cNvPr id="108" name="Group 107"/>
        <xdr:cNvGrpSpPr/>
      </xdr:nvGrpSpPr>
      <xdr:grpSpPr>
        <a:xfrm>
          <a:off x="36365126" y="952500"/>
          <a:ext cx="3993367" cy="3238501"/>
          <a:chOff x="-789253" y="3429001"/>
          <a:chExt cx="4598001" cy="3717899"/>
        </a:xfrm>
      </xdr:grpSpPr>
      <xdr:pic>
        <xdr:nvPicPr>
          <xdr:cNvPr id="109" name="Picture 108" descr="Z:\A3-Manuscript\FiguresAndData\Figure1-1077isA3-LUC-mATT\data\survival Assays\20170818_SurvivalAssayD5D6\Photos day 14 after ACC\DSC_7521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1723" t="25396" r="19944" b="17053"/>
          <a:stretch/>
        </xdr:blipFill>
        <xdr:spPr bwMode="auto">
          <a:xfrm>
            <a:off x="-76199" y="3429001"/>
            <a:ext cx="3505200" cy="351282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10" name="Straight Connector 109"/>
          <xdr:cNvCxnSpPr/>
        </xdr:nvCxnSpPr>
        <xdr:spPr>
          <a:xfrm>
            <a:off x="1676401" y="3681641"/>
            <a:ext cx="130368" cy="3109841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1" name="Straight Connector 110"/>
          <xdr:cNvCxnSpPr/>
        </xdr:nvCxnSpPr>
        <xdr:spPr>
          <a:xfrm flipH="1">
            <a:off x="381000" y="4343400"/>
            <a:ext cx="2667001" cy="1744766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2" name="Straight Connector 111"/>
          <xdr:cNvCxnSpPr/>
        </xdr:nvCxnSpPr>
        <xdr:spPr>
          <a:xfrm>
            <a:off x="337068" y="4495800"/>
            <a:ext cx="2710932" cy="13683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3" name="TextBox 96"/>
          <xdr:cNvSpPr txBox="1"/>
        </xdr:nvSpPr>
        <xdr:spPr>
          <a:xfrm>
            <a:off x="3325924" y="5027200"/>
            <a:ext cx="482824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14" name="TextBox 97"/>
          <xdr:cNvSpPr txBox="1"/>
        </xdr:nvSpPr>
        <xdr:spPr>
          <a:xfrm>
            <a:off x="259653" y="3458247"/>
            <a:ext cx="696409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15" name="TextBox 98"/>
          <xdr:cNvSpPr txBox="1"/>
        </xdr:nvSpPr>
        <xdr:spPr>
          <a:xfrm>
            <a:off x="2206525" y="6700496"/>
            <a:ext cx="1442446" cy="4464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pA3::3xFLAG-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 #12</a:t>
            </a:r>
          </a:p>
        </xdr:txBody>
      </xdr:sp>
      <xdr:sp macro="" textlink="">
        <xdr:nvSpPr>
          <xdr:cNvPr id="116" name="TextBox 99"/>
          <xdr:cNvSpPr txBox="1"/>
        </xdr:nvSpPr>
        <xdr:spPr>
          <a:xfrm>
            <a:off x="2715926" y="3592837"/>
            <a:ext cx="696409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17" name="TextBox 100"/>
          <xdr:cNvSpPr txBox="1"/>
        </xdr:nvSpPr>
        <xdr:spPr>
          <a:xfrm>
            <a:off x="-789253" y="4942691"/>
            <a:ext cx="896784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</xdr:grpSp>
    <xdr:clientData/>
  </xdr:twoCellAnchor>
  <xdr:twoCellAnchor>
    <xdr:from>
      <xdr:col>59</xdr:col>
      <xdr:colOff>594683</xdr:colOff>
      <xdr:row>4</xdr:row>
      <xdr:rowOff>67047</xdr:rowOff>
    </xdr:from>
    <xdr:to>
      <xdr:col>61</xdr:col>
      <xdr:colOff>205418</xdr:colOff>
      <xdr:row>5</xdr:row>
      <xdr:rowOff>69908</xdr:rowOff>
    </xdr:to>
    <xdr:sp macro="" textlink="">
      <xdr:nvSpPr>
        <xdr:cNvPr id="118" name="TextBox 27"/>
        <xdr:cNvSpPr txBox="1"/>
      </xdr:nvSpPr>
      <xdr:spPr>
        <a:xfrm>
          <a:off x="36356728" y="829047"/>
          <a:ext cx="823008" cy="19336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d+5 44°C-30min</a:t>
          </a:r>
        </a:p>
      </xdr:txBody>
    </xdr:sp>
    <xdr:clientData/>
  </xdr:twoCellAnchor>
  <xdr:twoCellAnchor>
    <xdr:from>
      <xdr:col>67</xdr:col>
      <xdr:colOff>0</xdr:colOff>
      <xdr:row>5</xdr:row>
      <xdr:rowOff>1</xdr:rowOff>
    </xdr:from>
    <xdr:to>
      <xdr:col>74</xdr:col>
      <xdr:colOff>17318</xdr:colOff>
      <xdr:row>22</xdr:row>
      <xdr:rowOff>95983</xdr:rowOff>
    </xdr:to>
    <xdr:grpSp>
      <xdr:nvGrpSpPr>
        <xdr:cNvPr id="119" name="Group 118"/>
        <xdr:cNvGrpSpPr/>
      </xdr:nvGrpSpPr>
      <xdr:grpSpPr>
        <a:xfrm>
          <a:off x="40755794" y="952501"/>
          <a:ext cx="4253142" cy="3334482"/>
          <a:chOff x="3952647" y="3167789"/>
          <a:chExt cx="4839413" cy="3984261"/>
        </a:xfrm>
      </xdr:grpSpPr>
      <xdr:pic>
        <xdr:nvPicPr>
          <xdr:cNvPr id="120" name="Picture 119" descr="Z:\A3-Manuscript\FiguresAndData\Figure1-1077isA3-LUC-mATT\data\survival Assays\20170818_SurvivalAssayD5D6\Photos day 14 after ACC\DSC_7524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9525" t="27689" r="21663" b="14353"/>
          <a:stretch/>
        </xdr:blipFill>
        <xdr:spPr bwMode="auto">
          <a:xfrm>
            <a:off x="4775607" y="3319086"/>
            <a:ext cx="3549014" cy="3537742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21" name="Straight Connector 120"/>
          <xdr:cNvCxnSpPr/>
        </xdr:nvCxnSpPr>
        <xdr:spPr>
          <a:xfrm>
            <a:off x="6467247" y="3522921"/>
            <a:ext cx="152400" cy="3165464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2" name="Straight Connector 121"/>
          <xdr:cNvCxnSpPr/>
        </xdr:nvCxnSpPr>
        <xdr:spPr>
          <a:xfrm flipH="1">
            <a:off x="5196384" y="4180146"/>
            <a:ext cx="2704572" cy="17493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3" name="Straight Connector 122"/>
          <xdr:cNvCxnSpPr/>
        </xdr:nvCxnSpPr>
        <xdr:spPr>
          <a:xfrm>
            <a:off x="5090576" y="4336984"/>
            <a:ext cx="2854310" cy="1443362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4" name="TextBox 104"/>
          <xdr:cNvSpPr txBox="1"/>
        </xdr:nvSpPr>
        <xdr:spPr>
          <a:xfrm>
            <a:off x="8309236" y="4810618"/>
            <a:ext cx="482824" cy="3218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25" name="TextBox 105"/>
          <xdr:cNvSpPr txBox="1"/>
        </xdr:nvSpPr>
        <xdr:spPr>
          <a:xfrm>
            <a:off x="5043811" y="3229375"/>
            <a:ext cx="696409" cy="3218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26" name="TextBox 106"/>
          <xdr:cNvSpPr txBox="1"/>
        </xdr:nvSpPr>
        <xdr:spPr>
          <a:xfrm>
            <a:off x="7108202" y="6618657"/>
            <a:ext cx="1442446" cy="53339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pA3::3xFLAG-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 #12</a:t>
            </a:r>
          </a:p>
        </xdr:txBody>
      </xdr:sp>
      <xdr:sp macro="" textlink="">
        <xdr:nvSpPr>
          <xdr:cNvPr id="127" name="TextBox 107"/>
          <xdr:cNvSpPr txBox="1"/>
        </xdr:nvSpPr>
        <xdr:spPr>
          <a:xfrm>
            <a:off x="7235613" y="3167789"/>
            <a:ext cx="696409" cy="3218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28" name="TextBox 108"/>
          <xdr:cNvSpPr txBox="1"/>
        </xdr:nvSpPr>
        <xdr:spPr>
          <a:xfrm>
            <a:off x="3952647" y="4783971"/>
            <a:ext cx="896783" cy="3218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</xdr:grpSp>
    <xdr:clientData/>
  </xdr:twoCellAnchor>
  <xdr:twoCellAnchor>
    <xdr:from>
      <xdr:col>67</xdr:col>
      <xdr:colOff>29935</xdr:colOff>
      <xdr:row>4</xdr:row>
      <xdr:rowOff>110341</xdr:rowOff>
    </xdr:from>
    <xdr:to>
      <xdr:col>68</xdr:col>
      <xdr:colOff>313199</xdr:colOff>
      <xdr:row>8</xdr:row>
      <xdr:rowOff>122874</xdr:rowOff>
    </xdr:to>
    <xdr:sp macro="" textlink="">
      <xdr:nvSpPr>
        <xdr:cNvPr id="129" name="TextBox 27"/>
        <xdr:cNvSpPr txBox="1"/>
      </xdr:nvSpPr>
      <xdr:spPr>
        <a:xfrm>
          <a:off x="40641071" y="872341"/>
          <a:ext cx="889401" cy="77453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ACC+</a:t>
          </a:r>
        </a:p>
        <a:p>
          <a:pPr algn="r"/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T d+5 </a:t>
          </a:r>
        </a:p>
        <a:p>
          <a:pPr algn="r"/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44°C 30min</a:t>
          </a:r>
        </a:p>
      </xdr:txBody>
    </xdr:sp>
    <xdr:clientData/>
  </xdr:twoCellAnchor>
  <xdr:twoCellAnchor>
    <xdr:from>
      <xdr:col>76</xdr:col>
      <xdr:colOff>0</xdr:colOff>
      <xdr:row>5</xdr:row>
      <xdr:rowOff>1</xdr:rowOff>
    </xdr:from>
    <xdr:to>
      <xdr:col>83</xdr:col>
      <xdr:colOff>86591</xdr:colOff>
      <xdr:row>23</xdr:row>
      <xdr:rowOff>148696</xdr:rowOff>
    </xdr:to>
    <xdr:grpSp>
      <xdr:nvGrpSpPr>
        <xdr:cNvPr id="130" name="Group 129"/>
        <xdr:cNvGrpSpPr/>
      </xdr:nvGrpSpPr>
      <xdr:grpSpPr>
        <a:xfrm>
          <a:off x="46201853" y="952501"/>
          <a:ext cx="4322414" cy="3577695"/>
          <a:chOff x="2633825" y="417999"/>
          <a:chExt cx="4641758" cy="3794290"/>
        </a:xfrm>
      </xdr:grpSpPr>
      <xdr:pic>
        <xdr:nvPicPr>
          <xdr:cNvPr id="131" name="Picture 130" descr="Z:\A3-Manuscript\FiguresAndData\Figure1-1077isA3-LUC-mATT\data\survival Assays\20170818_SurvivalAssayD5D6\Photos day 14 after ACC\DSC_7519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3794" t="21679" r="18495" b="21208"/>
          <a:stretch/>
        </xdr:blipFill>
        <xdr:spPr bwMode="auto">
          <a:xfrm>
            <a:off x="3419475" y="466725"/>
            <a:ext cx="3448223" cy="348615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32" name="Straight Connector 131"/>
          <xdr:cNvCxnSpPr>
            <a:endCxn id="131" idx="4"/>
          </xdr:cNvCxnSpPr>
        </xdr:nvCxnSpPr>
        <xdr:spPr>
          <a:xfrm flipH="1">
            <a:off x="5143587" y="602665"/>
            <a:ext cx="10872" cy="335021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3" name="Straight Connector 132"/>
          <xdr:cNvCxnSpPr/>
        </xdr:nvCxnSpPr>
        <xdr:spPr>
          <a:xfrm flipH="1">
            <a:off x="3773336" y="1447294"/>
            <a:ext cx="2764348" cy="1448306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4" name="Straight Connector 133"/>
          <xdr:cNvCxnSpPr/>
        </xdr:nvCxnSpPr>
        <xdr:spPr>
          <a:xfrm>
            <a:off x="3833112" y="1371600"/>
            <a:ext cx="2748502" cy="1681459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5" name="TextBox 99"/>
          <xdr:cNvSpPr txBox="1"/>
        </xdr:nvSpPr>
        <xdr:spPr>
          <a:xfrm>
            <a:off x="6792759" y="2011407"/>
            <a:ext cx="482824" cy="2856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36" name="TextBox 100"/>
          <xdr:cNvSpPr txBox="1"/>
        </xdr:nvSpPr>
        <xdr:spPr>
          <a:xfrm>
            <a:off x="3725709" y="417999"/>
            <a:ext cx="696409" cy="2856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37" name="TextBox 101"/>
          <xdr:cNvSpPr txBox="1"/>
        </xdr:nvSpPr>
        <xdr:spPr>
          <a:xfrm>
            <a:off x="5638690" y="3738860"/>
            <a:ext cx="1442445" cy="47342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pA3::3xFLAG-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 #12</a:t>
            </a:r>
          </a:p>
        </xdr:txBody>
      </xdr:sp>
      <xdr:sp macro="" textlink="">
        <xdr:nvSpPr>
          <xdr:cNvPr id="138" name="TextBox 102"/>
          <xdr:cNvSpPr txBox="1"/>
        </xdr:nvSpPr>
        <xdr:spPr>
          <a:xfrm>
            <a:off x="6011709" y="462259"/>
            <a:ext cx="696409" cy="2856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39" name="TextBox 103"/>
          <xdr:cNvSpPr txBox="1"/>
        </xdr:nvSpPr>
        <xdr:spPr>
          <a:xfrm>
            <a:off x="2633825" y="1955599"/>
            <a:ext cx="896784" cy="2856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</xdr:grpSp>
    <xdr:clientData/>
  </xdr:twoCellAnchor>
  <xdr:twoCellAnchor>
    <xdr:from>
      <xdr:col>76</xdr:col>
      <xdr:colOff>0</xdr:colOff>
      <xdr:row>5</xdr:row>
      <xdr:rowOff>0</xdr:rowOff>
    </xdr:from>
    <xdr:to>
      <xdr:col>77</xdr:col>
      <xdr:colOff>216871</xdr:colOff>
      <xdr:row>6</xdr:row>
      <xdr:rowOff>2861</xdr:rowOff>
    </xdr:to>
    <xdr:sp macro="" textlink="">
      <xdr:nvSpPr>
        <xdr:cNvPr id="140" name="TextBox 27"/>
        <xdr:cNvSpPr txBox="1"/>
      </xdr:nvSpPr>
      <xdr:spPr>
        <a:xfrm>
          <a:off x="46066364" y="952500"/>
          <a:ext cx="823007" cy="19336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ACC</a:t>
          </a:r>
        </a:p>
      </xdr:txBody>
    </xdr:sp>
    <xdr:clientData/>
  </xdr:twoCellAnchor>
  <xdr:twoCellAnchor>
    <xdr:from>
      <xdr:col>83</xdr:col>
      <xdr:colOff>155865</xdr:colOff>
      <xdr:row>5</xdr:row>
      <xdr:rowOff>17319</xdr:rowOff>
    </xdr:from>
    <xdr:to>
      <xdr:col>90</xdr:col>
      <xdr:colOff>519545</xdr:colOff>
      <xdr:row>24</xdr:row>
      <xdr:rowOff>47996</xdr:rowOff>
    </xdr:to>
    <xdr:grpSp>
      <xdr:nvGrpSpPr>
        <xdr:cNvPr id="141" name="Group 140"/>
        <xdr:cNvGrpSpPr/>
      </xdr:nvGrpSpPr>
      <xdr:grpSpPr>
        <a:xfrm>
          <a:off x="50593541" y="969819"/>
          <a:ext cx="4599504" cy="3650177"/>
          <a:chOff x="-1475889" y="1262628"/>
          <a:chExt cx="4641758" cy="3783576"/>
        </a:xfrm>
      </xdr:grpSpPr>
      <xdr:pic>
        <xdr:nvPicPr>
          <xdr:cNvPr id="142" name="Picture 141" descr="Z:\A3-Manuscript\FiguresAndData\Figure1-1077isA3-LUC-mATT\data\survival Assays\20170818_SurvivalAssayD5D6\Photos day 14 after ACC\DSC_7531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0797" t="28206" r="21494" b="15341"/>
          <a:stretch/>
        </xdr:blipFill>
        <xdr:spPr bwMode="auto">
          <a:xfrm>
            <a:off x="-733424" y="1352491"/>
            <a:ext cx="3448050" cy="3445745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43" name="Straight Connector 142"/>
          <xdr:cNvCxnSpPr/>
        </xdr:nvCxnSpPr>
        <xdr:spPr>
          <a:xfrm>
            <a:off x="990601" y="1539178"/>
            <a:ext cx="107048" cy="304431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4" name="Straight Connector 143"/>
          <xdr:cNvCxnSpPr/>
        </xdr:nvCxnSpPr>
        <xdr:spPr>
          <a:xfrm flipH="1">
            <a:off x="-276600" y="2209800"/>
            <a:ext cx="2657851" cy="1687888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5" name="Straight Connector 144"/>
          <xdr:cNvCxnSpPr/>
        </xdr:nvCxnSpPr>
        <xdr:spPr>
          <a:xfrm>
            <a:off x="-276602" y="2297488"/>
            <a:ext cx="2748502" cy="1512512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6" name="TextBox 91"/>
          <xdr:cNvSpPr txBox="1"/>
        </xdr:nvSpPr>
        <xdr:spPr>
          <a:xfrm>
            <a:off x="2683045" y="2856036"/>
            <a:ext cx="482824" cy="2792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47" name="TextBox 92"/>
          <xdr:cNvSpPr txBox="1"/>
        </xdr:nvSpPr>
        <xdr:spPr>
          <a:xfrm>
            <a:off x="-384005" y="1262628"/>
            <a:ext cx="696409" cy="2792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48" name="TextBox 93"/>
          <xdr:cNvSpPr txBox="1"/>
        </xdr:nvSpPr>
        <xdr:spPr>
          <a:xfrm>
            <a:off x="1528976" y="4583486"/>
            <a:ext cx="1442446" cy="4627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pA3::3xFLAG-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 #12</a:t>
            </a:r>
          </a:p>
        </xdr:txBody>
      </xdr:sp>
      <xdr:sp macro="" textlink="">
        <xdr:nvSpPr>
          <xdr:cNvPr id="149" name="TextBox 94"/>
          <xdr:cNvSpPr txBox="1"/>
        </xdr:nvSpPr>
        <xdr:spPr>
          <a:xfrm>
            <a:off x="1901995" y="1306889"/>
            <a:ext cx="696409" cy="2792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50" name="TextBox 95"/>
          <xdr:cNvSpPr txBox="1"/>
        </xdr:nvSpPr>
        <xdr:spPr>
          <a:xfrm>
            <a:off x="-1475889" y="2800228"/>
            <a:ext cx="896784" cy="2792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</xdr:grpSp>
    <xdr:clientData/>
  </xdr:twoCellAnchor>
  <xdr:twoCellAnchor>
    <xdr:from>
      <xdr:col>90</xdr:col>
      <xdr:colOff>571500</xdr:colOff>
      <xdr:row>5</xdr:row>
      <xdr:rowOff>86592</xdr:rowOff>
    </xdr:from>
    <xdr:to>
      <xdr:col>98</xdr:col>
      <xdr:colOff>161367</xdr:colOff>
      <xdr:row>24</xdr:row>
      <xdr:rowOff>105597</xdr:rowOff>
    </xdr:to>
    <xdr:grpSp>
      <xdr:nvGrpSpPr>
        <xdr:cNvPr id="151" name="Group 150"/>
        <xdr:cNvGrpSpPr/>
      </xdr:nvGrpSpPr>
      <xdr:grpSpPr>
        <a:xfrm>
          <a:off x="55245000" y="1039092"/>
          <a:ext cx="4430808" cy="3638505"/>
          <a:chOff x="1575116" y="4146740"/>
          <a:chExt cx="4665746" cy="3805920"/>
        </a:xfrm>
      </xdr:grpSpPr>
      <xdr:pic>
        <xdr:nvPicPr>
          <xdr:cNvPr id="152" name="Picture 151" descr="Z:\A3-Manuscript\FiguresAndData\Figure1-1077isA3-LUC-mATT\data\survival Assays\20170818_SurvivalAssayD5D6\Photos day 14 after ACC\DSC_7533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9093" t="27871" r="23407" b="14860"/>
          <a:stretch/>
        </xdr:blipFill>
        <xdr:spPr bwMode="auto">
          <a:xfrm>
            <a:off x="2381250" y="4219574"/>
            <a:ext cx="3429000" cy="3495675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53" name="Straight Connector 152"/>
          <xdr:cNvCxnSpPr>
            <a:endCxn id="152" idx="4"/>
          </xdr:cNvCxnSpPr>
        </xdr:nvCxnSpPr>
        <xdr:spPr>
          <a:xfrm>
            <a:off x="4095750" y="4423290"/>
            <a:ext cx="0" cy="3291959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4" name="Straight Connector 153"/>
          <xdr:cNvCxnSpPr/>
        </xdr:nvCxnSpPr>
        <xdr:spPr>
          <a:xfrm flipH="1">
            <a:off x="2714627" y="5080515"/>
            <a:ext cx="2764349" cy="1625085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5" name="Straight Connector 154"/>
          <xdr:cNvCxnSpPr/>
        </xdr:nvCxnSpPr>
        <xdr:spPr>
          <a:xfrm>
            <a:off x="2774403" y="5181600"/>
            <a:ext cx="2748502" cy="1600200"/>
          </a:xfrm>
          <a:prstGeom prst="line">
            <a:avLst/>
          </a:prstGeom>
          <a:ln w="2540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6" name="TextBox 83"/>
          <xdr:cNvSpPr txBox="1"/>
        </xdr:nvSpPr>
        <xdr:spPr>
          <a:xfrm>
            <a:off x="5734050" y="5740148"/>
            <a:ext cx="482824" cy="2817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57" name="TextBox 84"/>
          <xdr:cNvSpPr txBox="1"/>
        </xdr:nvSpPr>
        <xdr:spPr>
          <a:xfrm>
            <a:off x="2667000" y="4146740"/>
            <a:ext cx="696409" cy="2817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58" name="TextBox 85"/>
          <xdr:cNvSpPr txBox="1"/>
        </xdr:nvSpPr>
        <xdr:spPr>
          <a:xfrm>
            <a:off x="4798416" y="7485716"/>
            <a:ext cx="1442446" cy="4669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pA3::3xFLAG-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 #12</a:t>
            </a:r>
          </a:p>
        </xdr:txBody>
      </xdr:sp>
      <xdr:sp macro="" textlink="">
        <xdr:nvSpPr>
          <xdr:cNvPr id="159" name="TextBox 86"/>
          <xdr:cNvSpPr txBox="1"/>
        </xdr:nvSpPr>
        <xdr:spPr>
          <a:xfrm>
            <a:off x="4953000" y="4191000"/>
            <a:ext cx="696409" cy="2817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60" name="TextBox 87"/>
          <xdr:cNvSpPr txBox="1"/>
        </xdr:nvSpPr>
        <xdr:spPr>
          <a:xfrm>
            <a:off x="1575116" y="5684340"/>
            <a:ext cx="896784" cy="2817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</xdr:grpSp>
    <xdr:clientData/>
  </xdr:twoCellAnchor>
  <xdr:twoCellAnchor>
    <xdr:from>
      <xdr:col>83</xdr:col>
      <xdr:colOff>314128</xdr:colOff>
      <xdr:row>5</xdr:row>
      <xdr:rowOff>28947</xdr:rowOff>
    </xdr:from>
    <xdr:to>
      <xdr:col>84</xdr:col>
      <xdr:colOff>530999</xdr:colOff>
      <xdr:row>6</xdr:row>
      <xdr:rowOff>31808</xdr:rowOff>
    </xdr:to>
    <xdr:sp macro="" textlink="">
      <xdr:nvSpPr>
        <xdr:cNvPr id="161" name="TextBox 27"/>
        <xdr:cNvSpPr txBox="1"/>
      </xdr:nvSpPr>
      <xdr:spPr>
        <a:xfrm>
          <a:off x="50623446" y="981447"/>
          <a:ext cx="823008" cy="19336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d+6 44°C-30min</a:t>
          </a:r>
        </a:p>
      </xdr:txBody>
    </xdr:sp>
    <xdr:clientData/>
  </xdr:twoCellAnchor>
  <xdr:twoCellAnchor>
    <xdr:from>
      <xdr:col>90</xdr:col>
      <xdr:colOff>476742</xdr:colOff>
      <xdr:row>5</xdr:row>
      <xdr:rowOff>72241</xdr:rowOff>
    </xdr:from>
    <xdr:to>
      <xdr:col>92</xdr:col>
      <xdr:colOff>153871</xdr:colOff>
      <xdr:row>9</xdr:row>
      <xdr:rowOff>84774</xdr:rowOff>
    </xdr:to>
    <xdr:sp macro="" textlink="">
      <xdr:nvSpPr>
        <xdr:cNvPr id="162" name="TextBox 27"/>
        <xdr:cNvSpPr txBox="1"/>
      </xdr:nvSpPr>
      <xdr:spPr>
        <a:xfrm>
          <a:off x="55029015" y="1024741"/>
          <a:ext cx="889401" cy="77453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ACC+</a:t>
          </a:r>
        </a:p>
        <a:p>
          <a:pPr algn="r"/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T d+6 </a:t>
          </a:r>
        </a:p>
        <a:p>
          <a:pPr algn="r"/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44°C 30min</a:t>
          </a:r>
        </a:p>
      </xdr:txBody>
    </xdr:sp>
    <xdr:clientData/>
  </xdr:twoCellAnchor>
  <xdr:twoCellAnchor>
    <xdr:from>
      <xdr:col>8</xdr:col>
      <xdr:colOff>155863</xdr:colOff>
      <xdr:row>5</xdr:row>
      <xdr:rowOff>51956</xdr:rowOff>
    </xdr:from>
    <xdr:to>
      <xdr:col>15</xdr:col>
      <xdr:colOff>138545</xdr:colOff>
      <xdr:row>22</xdr:row>
      <xdr:rowOff>119319</xdr:rowOff>
    </xdr:to>
    <xdr:grpSp>
      <xdr:nvGrpSpPr>
        <xdr:cNvPr id="163" name="Group 162"/>
        <xdr:cNvGrpSpPr/>
      </xdr:nvGrpSpPr>
      <xdr:grpSpPr>
        <a:xfrm>
          <a:off x="5075245" y="1004456"/>
          <a:ext cx="4352976" cy="3305863"/>
          <a:chOff x="-533920" y="2177534"/>
          <a:chExt cx="5553324" cy="4287458"/>
        </a:xfrm>
      </xdr:grpSpPr>
      <xdr:pic>
        <xdr:nvPicPr>
          <xdr:cNvPr id="164" name="Picture 163" descr="Z:\Heat\HSFA3\20190705_survivalAssaya2a3FLAG-A3atx3-4-5\DSC_1537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406" t="5203" r="29061" b="5012"/>
          <a:stretch/>
        </xdr:blipFill>
        <xdr:spPr bwMode="auto">
          <a:xfrm>
            <a:off x="533400" y="2209800"/>
            <a:ext cx="3870960" cy="392430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65" name="Straight Connector 164"/>
          <xdr:cNvCxnSpPr/>
        </xdr:nvCxnSpPr>
        <xdr:spPr>
          <a:xfrm flipH="1">
            <a:off x="2438400" y="2380913"/>
            <a:ext cx="30480" cy="3616026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6" name="Straight Connector 165"/>
          <xdr:cNvCxnSpPr/>
        </xdr:nvCxnSpPr>
        <xdr:spPr>
          <a:xfrm flipH="1">
            <a:off x="762000" y="3523913"/>
            <a:ext cx="3352800" cy="12192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7" name="Straight Connector 166"/>
          <xdr:cNvCxnSpPr/>
        </xdr:nvCxnSpPr>
        <xdr:spPr>
          <a:xfrm flipH="1" flipV="1">
            <a:off x="1066800" y="3142913"/>
            <a:ext cx="2819400" cy="20574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8" name="TextBox 11"/>
          <xdr:cNvSpPr txBox="1"/>
        </xdr:nvSpPr>
        <xdr:spPr>
          <a:xfrm>
            <a:off x="4404360" y="4004261"/>
            <a:ext cx="615044" cy="34935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69" name="TextBox 43"/>
          <xdr:cNvSpPr txBox="1"/>
        </xdr:nvSpPr>
        <xdr:spPr>
          <a:xfrm>
            <a:off x="3505201" y="2209800"/>
            <a:ext cx="696409" cy="5789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70" name="TextBox 44"/>
          <xdr:cNvSpPr txBox="1"/>
        </xdr:nvSpPr>
        <xdr:spPr>
          <a:xfrm>
            <a:off x="761999" y="2177534"/>
            <a:ext cx="909608" cy="34935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71" name="TextBox 45"/>
          <xdr:cNvSpPr txBox="1"/>
        </xdr:nvSpPr>
        <xdr:spPr>
          <a:xfrm>
            <a:off x="-533920" y="3612267"/>
            <a:ext cx="1084336" cy="34935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hsfa2,3-1</a:t>
            </a:r>
          </a:p>
        </xdr:txBody>
      </xdr:sp>
      <xdr:sp macro="" textlink="">
        <xdr:nvSpPr>
          <xdr:cNvPr id="172" name="TextBox 46"/>
          <xdr:cNvSpPr txBox="1"/>
        </xdr:nvSpPr>
        <xdr:spPr>
          <a:xfrm>
            <a:off x="127191" y="5656437"/>
            <a:ext cx="1319244" cy="8085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</a:t>
            </a:r>
          </a:p>
          <a:p>
            <a:pPr algn="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 </a:t>
            </a:r>
          </a:p>
          <a:p>
            <a:pPr algn="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#12</a:t>
            </a:r>
          </a:p>
        </xdr:txBody>
      </xdr:sp>
    </xdr:grpSp>
    <xdr:clientData/>
  </xdr:twoCellAnchor>
  <xdr:twoCellAnchor>
    <xdr:from>
      <xdr:col>8</xdr:col>
      <xdr:colOff>308932</xdr:colOff>
      <xdr:row>4</xdr:row>
      <xdr:rowOff>13854</xdr:rowOff>
    </xdr:from>
    <xdr:to>
      <xdr:col>9</xdr:col>
      <xdr:colOff>525804</xdr:colOff>
      <xdr:row>5</xdr:row>
      <xdr:rowOff>16715</xdr:rowOff>
    </xdr:to>
    <xdr:sp macro="" textlink="">
      <xdr:nvSpPr>
        <xdr:cNvPr id="173" name="TextBox 27"/>
        <xdr:cNvSpPr txBox="1"/>
      </xdr:nvSpPr>
      <xdr:spPr>
        <a:xfrm>
          <a:off x="5244614" y="775854"/>
          <a:ext cx="823008" cy="19336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ACC</a:t>
          </a:r>
        </a:p>
      </xdr:txBody>
    </xdr:sp>
    <xdr:clientData/>
  </xdr:twoCellAnchor>
  <xdr:twoCellAnchor>
    <xdr:from>
      <xdr:col>22</xdr:col>
      <xdr:colOff>173181</xdr:colOff>
      <xdr:row>4</xdr:row>
      <xdr:rowOff>69273</xdr:rowOff>
    </xdr:from>
    <xdr:to>
      <xdr:col>30</xdr:col>
      <xdr:colOff>69785</xdr:colOff>
      <xdr:row>23</xdr:row>
      <xdr:rowOff>176806</xdr:rowOff>
    </xdr:to>
    <xdr:grpSp>
      <xdr:nvGrpSpPr>
        <xdr:cNvPr id="174" name="Group 173"/>
        <xdr:cNvGrpSpPr/>
      </xdr:nvGrpSpPr>
      <xdr:grpSpPr>
        <a:xfrm>
          <a:off x="13698681" y="831273"/>
          <a:ext cx="4737545" cy="3727033"/>
          <a:chOff x="4076180" y="2499051"/>
          <a:chExt cx="5421104" cy="4339571"/>
        </a:xfrm>
      </xdr:grpSpPr>
      <xdr:pic>
        <xdr:nvPicPr>
          <xdr:cNvPr id="175" name="Picture 174" descr="Z:\Heat\HSFA3\20190705_survivalAssaya2a3FLAG-A3atx3-4-5\DSC_1541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342" t="5719" r="27706" b="8330"/>
          <a:stretch/>
        </xdr:blipFill>
        <xdr:spPr bwMode="auto">
          <a:xfrm>
            <a:off x="5181600" y="2667000"/>
            <a:ext cx="3832860" cy="3756659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76" name="Straight Connector 175"/>
          <xdr:cNvCxnSpPr/>
        </xdr:nvCxnSpPr>
        <xdr:spPr>
          <a:xfrm flipH="1">
            <a:off x="7071360" y="2773602"/>
            <a:ext cx="30480" cy="3616026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7" name="Straight Connector 176"/>
          <xdr:cNvCxnSpPr/>
        </xdr:nvCxnSpPr>
        <xdr:spPr>
          <a:xfrm flipH="1">
            <a:off x="5497830" y="3628778"/>
            <a:ext cx="3200400" cy="1828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8" name="Straight Connector 177"/>
          <xdr:cNvCxnSpPr/>
        </xdr:nvCxnSpPr>
        <xdr:spPr>
          <a:xfrm flipH="1" flipV="1">
            <a:off x="5574030" y="3628778"/>
            <a:ext cx="3048000" cy="17526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9" name="TextBox 48"/>
          <xdr:cNvSpPr txBox="1"/>
        </xdr:nvSpPr>
        <xdr:spPr>
          <a:xfrm>
            <a:off x="9014459" y="4325777"/>
            <a:ext cx="482825" cy="3136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80" name="TextBox 49"/>
          <xdr:cNvSpPr txBox="1"/>
        </xdr:nvSpPr>
        <xdr:spPr>
          <a:xfrm>
            <a:off x="8115300" y="2531317"/>
            <a:ext cx="696409" cy="3136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81" name="TextBox 50"/>
          <xdr:cNvSpPr txBox="1"/>
        </xdr:nvSpPr>
        <xdr:spPr>
          <a:xfrm>
            <a:off x="5372100" y="2499051"/>
            <a:ext cx="909608" cy="3136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82" name="TextBox 51"/>
          <xdr:cNvSpPr txBox="1"/>
        </xdr:nvSpPr>
        <xdr:spPr>
          <a:xfrm>
            <a:off x="4076180" y="3933783"/>
            <a:ext cx="1084336" cy="3136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hsfa2,3-1</a:t>
            </a:r>
          </a:p>
        </xdr:txBody>
      </xdr:sp>
      <xdr:sp macro="" textlink="">
        <xdr:nvSpPr>
          <xdr:cNvPr id="183" name="TextBox 52"/>
          <xdr:cNvSpPr txBox="1"/>
        </xdr:nvSpPr>
        <xdr:spPr>
          <a:xfrm>
            <a:off x="5107813" y="6112720"/>
            <a:ext cx="948721" cy="7259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 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#12</a:t>
            </a:r>
          </a:p>
        </xdr:txBody>
      </xdr:sp>
    </xdr:grpSp>
    <xdr:clientData/>
  </xdr:twoCellAnchor>
  <xdr:twoCellAnchor>
    <xdr:from>
      <xdr:col>15</xdr:col>
      <xdr:colOff>121229</xdr:colOff>
      <xdr:row>5</xdr:row>
      <xdr:rowOff>164602</xdr:rowOff>
    </xdr:from>
    <xdr:to>
      <xdr:col>21</xdr:col>
      <xdr:colOff>571501</xdr:colOff>
      <xdr:row>22</xdr:row>
      <xdr:rowOff>173183</xdr:rowOff>
    </xdr:to>
    <xdr:grpSp>
      <xdr:nvGrpSpPr>
        <xdr:cNvPr id="24" name="Group 23"/>
        <xdr:cNvGrpSpPr/>
      </xdr:nvGrpSpPr>
      <xdr:grpSpPr>
        <a:xfrm>
          <a:off x="9410905" y="1117102"/>
          <a:ext cx="4080978" cy="3247081"/>
          <a:chOff x="17395834" y="7409811"/>
          <a:chExt cx="4693530" cy="4021093"/>
        </a:xfrm>
      </xdr:grpSpPr>
      <xdr:pic>
        <xdr:nvPicPr>
          <xdr:cNvPr id="184" name="Picture 183" descr="Z:\Heat\HSFA3\20190705_survivalAssaya2a3FLAG-A3atx3-4-5\DSC_1540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607" t="4468" r="30133" b="8885"/>
          <a:stretch/>
        </xdr:blipFill>
        <xdr:spPr bwMode="auto">
          <a:xfrm>
            <a:off x="18302224" y="7470869"/>
            <a:ext cx="3787140" cy="3787139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85" name="Straight Connector 184"/>
          <xdr:cNvCxnSpPr/>
        </xdr:nvCxnSpPr>
        <xdr:spPr>
          <a:xfrm flipH="1">
            <a:off x="20180554" y="7625006"/>
            <a:ext cx="30480" cy="3616026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6" name="Straight Connector 185"/>
          <xdr:cNvCxnSpPr/>
        </xdr:nvCxnSpPr>
        <xdr:spPr>
          <a:xfrm flipH="1">
            <a:off x="18607024" y="8480182"/>
            <a:ext cx="3200400" cy="1828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7" name="Straight Connector 186"/>
          <xdr:cNvCxnSpPr/>
        </xdr:nvCxnSpPr>
        <xdr:spPr>
          <a:xfrm flipH="1" flipV="1">
            <a:off x="18683224" y="8480182"/>
            <a:ext cx="3048000" cy="17526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8" name="TextBox 18"/>
          <xdr:cNvSpPr txBox="1"/>
        </xdr:nvSpPr>
        <xdr:spPr>
          <a:xfrm>
            <a:off x="21236075" y="7409811"/>
            <a:ext cx="696409" cy="310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89" name="TextBox 19"/>
          <xdr:cNvSpPr txBox="1"/>
        </xdr:nvSpPr>
        <xdr:spPr>
          <a:xfrm>
            <a:off x="18592314" y="7484777"/>
            <a:ext cx="909608" cy="310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190" name="TextBox 20"/>
          <xdr:cNvSpPr txBox="1"/>
        </xdr:nvSpPr>
        <xdr:spPr>
          <a:xfrm>
            <a:off x="17395834" y="8812275"/>
            <a:ext cx="1084336" cy="3108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hsfa2,3-1</a:t>
            </a:r>
          </a:p>
        </xdr:txBody>
      </xdr:sp>
      <xdr:sp macro="" textlink="">
        <xdr:nvSpPr>
          <xdr:cNvPr id="191" name="TextBox 21"/>
          <xdr:cNvSpPr txBox="1"/>
        </xdr:nvSpPr>
        <xdr:spPr>
          <a:xfrm>
            <a:off x="18209325" y="10711398"/>
            <a:ext cx="948721" cy="71950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 </a:t>
            </a:r>
          </a:p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#12</a:t>
            </a:r>
          </a:p>
        </xdr:txBody>
      </xdr:sp>
    </xdr:grpSp>
    <xdr:clientData/>
  </xdr:twoCellAnchor>
  <xdr:twoCellAnchor>
    <xdr:from>
      <xdr:col>21</xdr:col>
      <xdr:colOff>502227</xdr:colOff>
      <xdr:row>13</xdr:row>
      <xdr:rowOff>1</xdr:rowOff>
    </xdr:from>
    <xdr:to>
      <xdr:col>22</xdr:col>
      <xdr:colOff>379435</xdr:colOff>
      <xdr:row>14</xdr:row>
      <xdr:rowOff>78870</xdr:rowOff>
    </xdr:to>
    <xdr:sp macro="" textlink="">
      <xdr:nvSpPr>
        <xdr:cNvPr id="192" name="TextBox 11"/>
        <xdr:cNvSpPr txBox="1"/>
      </xdr:nvSpPr>
      <xdr:spPr>
        <a:xfrm>
          <a:off x="13456227" y="2476501"/>
          <a:ext cx="483344" cy="26936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Col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10491</xdr:rowOff>
    </xdr:from>
    <xdr:to>
      <xdr:col>7</xdr:col>
      <xdr:colOff>304800</xdr:colOff>
      <xdr:row>19</xdr:row>
      <xdr:rowOff>154750</xdr:rowOff>
    </xdr:to>
    <xdr:grpSp>
      <xdr:nvGrpSpPr>
        <xdr:cNvPr id="2" name="Group 1"/>
        <xdr:cNvGrpSpPr/>
      </xdr:nvGrpSpPr>
      <xdr:grpSpPr>
        <a:xfrm>
          <a:off x="710045" y="581991"/>
          <a:ext cx="4080164" cy="3192259"/>
          <a:chOff x="1321053" y="3818529"/>
          <a:chExt cx="5020265" cy="3891231"/>
        </a:xfrm>
      </xdr:grpSpPr>
      <xdr:pic>
        <xdr:nvPicPr>
          <xdr:cNvPr id="3" name="Picture 2" descr="Z:\Heat\HSFA3\20181130-BTTATThsfa2-3-23-line12FLAGOX\DSC_9741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848" t="4900" r="37129" b="9422"/>
          <a:stretch/>
        </xdr:blipFill>
        <xdr:spPr bwMode="auto">
          <a:xfrm>
            <a:off x="2285790" y="4035830"/>
            <a:ext cx="3234205" cy="3133725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4" name="Straight Connector 3"/>
          <xdr:cNvCxnSpPr/>
        </xdr:nvCxnSpPr>
        <xdr:spPr>
          <a:xfrm>
            <a:off x="3794138" y="4153757"/>
            <a:ext cx="107560" cy="2942209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4"/>
          <xdr:cNvCxnSpPr/>
        </xdr:nvCxnSpPr>
        <xdr:spPr>
          <a:xfrm flipH="1">
            <a:off x="2613038" y="4802592"/>
            <a:ext cx="2362200" cy="16002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/>
          <xdr:cNvCxnSpPr/>
        </xdr:nvCxnSpPr>
        <xdr:spPr>
          <a:xfrm flipH="1" flipV="1">
            <a:off x="2536838" y="4973992"/>
            <a:ext cx="2590800" cy="127640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69"/>
          <xdr:cNvSpPr txBox="1"/>
        </xdr:nvSpPr>
        <xdr:spPr>
          <a:xfrm>
            <a:off x="4527652" y="3909654"/>
            <a:ext cx="533400" cy="33474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8" name="TextBox 70"/>
          <xdr:cNvSpPr txBox="1"/>
        </xdr:nvSpPr>
        <xdr:spPr>
          <a:xfrm>
            <a:off x="2285133" y="3980929"/>
            <a:ext cx="771658" cy="33474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9" name="TextBox 71"/>
          <xdr:cNvSpPr txBox="1"/>
        </xdr:nvSpPr>
        <xdr:spPr>
          <a:xfrm>
            <a:off x="1616195" y="5377562"/>
            <a:ext cx="771658" cy="33474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0" name="TextBox 72"/>
          <xdr:cNvSpPr txBox="1"/>
        </xdr:nvSpPr>
        <xdr:spPr>
          <a:xfrm>
            <a:off x="2285133" y="6955617"/>
            <a:ext cx="959571" cy="33474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11" name="TextBox 73"/>
          <xdr:cNvSpPr txBox="1"/>
        </xdr:nvSpPr>
        <xdr:spPr>
          <a:xfrm>
            <a:off x="4582089" y="6935018"/>
            <a:ext cx="929964" cy="77474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12" name="TextBox 74"/>
          <xdr:cNvSpPr txBox="1"/>
        </xdr:nvSpPr>
        <xdr:spPr>
          <a:xfrm>
            <a:off x="5417260" y="5418610"/>
            <a:ext cx="924058" cy="33474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sp macro="" textlink="">
        <xdr:nvSpPr>
          <xdr:cNvPr id="13" name="TextBox 75"/>
          <xdr:cNvSpPr txBox="1"/>
        </xdr:nvSpPr>
        <xdr:spPr>
          <a:xfrm>
            <a:off x="1321053" y="3818529"/>
            <a:ext cx="877235" cy="33474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No HS</a:t>
            </a:r>
          </a:p>
        </xdr:txBody>
      </xdr:sp>
    </xdr:grpSp>
    <xdr:clientData/>
  </xdr:twoCellAnchor>
  <xdr:twoCellAnchor>
    <xdr:from>
      <xdr:col>7</xdr:col>
      <xdr:colOff>0</xdr:colOff>
      <xdr:row>3</xdr:row>
      <xdr:rowOff>0</xdr:rowOff>
    </xdr:from>
    <xdr:to>
      <xdr:col>13</xdr:col>
      <xdr:colOff>579120</xdr:colOff>
      <xdr:row>19</xdr:row>
      <xdr:rowOff>160634</xdr:rowOff>
    </xdr:to>
    <xdr:grpSp>
      <xdr:nvGrpSpPr>
        <xdr:cNvPr id="14" name="Group 13"/>
        <xdr:cNvGrpSpPr/>
      </xdr:nvGrpSpPr>
      <xdr:grpSpPr>
        <a:xfrm>
          <a:off x="4485409" y="571500"/>
          <a:ext cx="4215938" cy="3208634"/>
          <a:chOff x="5519995" y="836981"/>
          <a:chExt cx="5038858" cy="3902462"/>
        </a:xfrm>
      </xdr:grpSpPr>
      <xdr:pic>
        <xdr:nvPicPr>
          <xdr:cNvPr id="15" name="Picture 14" descr="Z:\Heat\HSFA3\20181130-BTTATThsfa2-3-23-line12FLAGOX\DSC_9742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780" t="8924" r="38286" b="2324"/>
          <a:stretch/>
        </xdr:blipFill>
        <xdr:spPr bwMode="auto">
          <a:xfrm>
            <a:off x="6479379" y="1012567"/>
            <a:ext cx="3228975" cy="324608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6" name="TextBox 4"/>
          <xdr:cNvSpPr txBox="1"/>
        </xdr:nvSpPr>
        <xdr:spPr>
          <a:xfrm>
            <a:off x="8698704" y="836981"/>
            <a:ext cx="533400" cy="3339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7" name="TextBox 41"/>
          <xdr:cNvSpPr txBox="1"/>
        </xdr:nvSpPr>
        <xdr:spPr>
          <a:xfrm>
            <a:off x="6484075" y="1012418"/>
            <a:ext cx="771657" cy="3339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8" name="TextBox 42"/>
          <xdr:cNvSpPr txBox="1"/>
        </xdr:nvSpPr>
        <xdr:spPr>
          <a:xfrm>
            <a:off x="5815137" y="2409051"/>
            <a:ext cx="771657" cy="3339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9" name="TextBox 43"/>
          <xdr:cNvSpPr txBox="1"/>
        </xdr:nvSpPr>
        <xdr:spPr>
          <a:xfrm>
            <a:off x="6484075" y="3987105"/>
            <a:ext cx="959570" cy="3339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20" name="TextBox 44"/>
          <xdr:cNvSpPr txBox="1"/>
        </xdr:nvSpPr>
        <xdr:spPr>
          <a:xfrm>
            <a:off x="8781031" y="3966507"/>
            <a:ext cx="929964" cy="7729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21" name="TextBox 45"/>
          <xdr:cNvSpPr txBox="1"/>
        </xdr:nvSpPr>
        <xdr:spPr>
          <a:xfrm>
            <a:off x="9634795" y="2222837"/>
            <a:ext cx="924058" cy="3339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22" name="Straight Connector 21"/>
          <xdr:cNvCxnSpPr/>
        </xdr:nvCxnSpPr>
        <xdr:spPr>
          <a:xfrm>
            <a:off x="8006164" y="1184227"/>
            <a:ext cx="152400" cy="2902764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Straight Connector 22"/>
          <xdr:cNvCxnSpPr/>
        </xdr:nvCxnSpPr>
        <xdr:spPr>
          <a:xfrm flipH="1">
            <a:off x="6869904" y="1793617"/>
            <a:ext cx="2362200" cy="16002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Straight Connector 23"/>
          <xdr:cNvCxnSpPr/>
        </xdr:nvCxnSpPr>
        <xdr:spPr>
          <a:xfrm flipH="1" flipV="1">
            <a:off x="6793704" y="1965017"/>
            <a:ext cx="2590800" cy="127640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" name="TextBox 67"/>
          <xdr:cNvSpPr txBox="1"/>
        </xdr:nvSpPr>
        <xdr:spPr>
          <a:xfrm>
            <a:off x="5519995" y="850017"/>
            <a:ext cx="877236" cy="55344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BTT 25min</a:t>
            </a:r>
          </a:p>
        </xdr:txBody>
      </xdr:sp>
    </xdr:grpSp>
    <xdr:clientData/>
  </xdr:twoCellAnchor>
  <xdr:twoCellAnchor>
    <xdr:from>
      <xdr:col>14</xdr:col>
      <xdr:colOff>0</xdr:colOff>
      <xdr:row>3</xdr:row>
      <xdr:rowOff>0</xdr:rowOff>
    </xdr:from>
    <xdr:to>
      <xdr:col>21</xdr:col>
      <xdr:colOff>15240</xdr:colOff>
      <xdr:row>20</xdr:row>
      <xdr:rowOff>18942</xdr:rowOff>
    </xdr:to>
    <xdr:grpSp>
      <xdr:nvGrpSpPr>
        <xdr:cNvPr id="26" name="Group 25"/>
        <xdr:cNvGrpSpPr/>
      </xdr:nvGrpSpPr>
      <xdr:grpSpPr>
        <a:xfrm>
          <a:off x="8728364" y="571500"/>
          <a:ext cx="4258194" cy="3257442"/>
          <a:chOff x="1100665" y="846667"/>
          <a:chExt cx="5038858" cy="3890051"/>
        </a:xfrm>
      </xdr:grpSpPr>
      <xdr:pic>
        <xdr:nvPicPr>
          <xdr:cNvPr id="27" name="Picture 26" descr="Z:\Heat\HSFA3\20181130-BTTATThsfa2-3-23-line12FLAGOX\DSC_9743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216" t="11105" r="38528" b="4696"/>
          <a:stretch/>
        </xdr:blipFill>
        <xdr:spPr bwMode="auto">
          <a:xfrm>
            <a:off x="2099733" y="1092200"/>
            <a:ext cx="3191934" cy="3079571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8" name="TextBox 35"/>
          <xdr:cNvSpPr txBox="1"/>
        </xdr:nvSpPr>
        <xdr:spPr>
          <a:xfrm>
            <a:off x="4279374" y="846667"/>
            <a:ext cx="533400" cy="3286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29" name="TextBox 36"/>
          <xdr:cNvSpPr txBox="1"/>
        </xdr:nvSpPr>
        <xdr:spPr>
          <a:xfrm>
            <a:off x="2064745" y="1022104"/>
            <a:ext cx="771658" cy="3286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30" name="TextBox 37"/>
          <xdr:cNvSpPr txBox="1"/>
        </xdr:nvSpPr>
        <xdr:spPr>
          <a:xfrm>
            <a:off x="1395807" y="2418737"/>
            <a:ext cx="771658" cy="3286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31" name="TextBox 38"/>
          <xdr:cNvSpPr txBox="1"/>
        </xdr:nvSpPr>
        <xdr:spPr>
          <a:xfrm>
            <a:off x="2064745" y="3996790"/>
            <a:ext cx="959571" cy="3286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32" name="TextBox 39"/>
          <xdr:cNvSpPr txBox="1"/>
        </xdr:nvSpPr>
        <xdr:spPr>
          <a:xfrm>
            <a:off x="4361701" y="3976192"/>
            <a:ext cx="929964" cy="76052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33" name="TextBox 40"/>
          <xdr:cNvSpPr txBox="1"/>
        </xdr:nvSpPr>
        <xdr:spPr>
          <a:xfrm>
            <a:off x="5215465" y="2232523"/>
            <a:ext cx="924058" cy="3286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34" name="Straight Connector 33"/>
          <xdr:cNvCxnSpPr>
            <a:stCxn id="27" idx="0"/>
            <a:endCxn id="27" idx="4"/>
          </xdr:cNvCxnSpPr>
        </xdr:nvCxnSpPr>
        <xdr:spPr>
          <a:xfrm>
            <a:off x="3695700" y="1092200"/>
            <a:ext cx="0" cy="307957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Straight Connector 34"/>
          <xdr:cNvCxnSpPr/>
        </xdr:nvCxnSpPr>
        <xdr:spPr>
          <a:xfrm flipH="1">
            <a:off x="2450574" y="1905000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Straight Connector 35"/>
          <xdr:cNvCxnSpPr/>
        </xdr:nvCxnSpPr>
        <xdr:spPr>
          <a:xfrm flipH="1" flipV="1">
            <a:off x="2450574" y="1905000"/>
            <a:ext cx="2514600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TextBox 54"/>
          <xdr:cNvSpPr txBox="1"/>
        </xdr:nvSpPr>
        <xdr:spPr>
          <a:xfrm>
            <a:off x="1100665" y="859704"/>
            <a:ext cx="877235" cy="5445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BTT 30min</a:t>
            </a:r>
          </a:p>
        </xdr:txBody>
      </xdr:sp>
    </xdr:grpSp>
    <xdr:clientData/>
  </xdr:twoCellAnchor>
  <xdr:twoCellAnchor>
    <xdr:from>
      <xdr:col>21</xdr:col>
      <xdr:colOff>0</xdr:colOff>
      <xdr:row>3</xdr:row>
      <xdr:rowOff>0</xdr:rowOff>
    </xdr:from>
    <xdr:to>
      <xdr:col>27</xdr:col>
      <xdr:colOff>510540</xdr:colOff>
      <xdr:row>20</xdr:row>
      <xdr:rowOff>42478</xdr:rowOff>
    </xdr:to>
    <xdr:grpSp>
      <xdr:nvGrpSpPr>
        <xdr:cNvPr id="38" name="Group 37"/>
        <xdr:cNvGrpSpPr/>
      </xdr:nvGrpSpPr>
      <xdr:grpSpPr>
        <a:xfrm>
          <a:off x="12971318" y="571500"/>
          <a:ext cx="4147358" cy="3280978"/>
          <a:chOff x="5519995" y="836981"/>
          <a:chExt cx="5038858" cy="3883139"/>
        </a:xfrm>
      </xdr:grpSpPr>
      <xdr:pic>
        <xdr:nvPicPr>
          <xdr:cNvPr id="39" name="Picture 38" descr="Z:\Heat\HSFA3\20181130-BTTATThsfa2-3-23-line12FLAGOX\DSC_9744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205" t="6745" r="38632" b="5753"/>
          <a:stretch/>
        </xdr:blipFill>
        <xdr:spPr bwMode="auto">
          <a:xfrm>
            <a:off x="6486130" y="1038208"/>
            <a:ext cx="3186787" cy="3200399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0" name="TextBox 4"/>
          <xdr:cNvSpPr txBox="1"/>
        </xdr:nvSpPr>
        <xdr:spPr>
          <a:xfrm>
            <a:off x="8698704" y="836981"/>
            <a:ext cx="533400" cy="3256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41" name="TextBox 41"/>
          <xdr:cNvSpPr txBox="1"/>
        </xdr:nvSpPr>
        <xdr:spPr>
          <a:xfrm>
            <a:off x="6484075" y="1012417"/>
            <a:ext cx="771658" cy="3256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42" name="TextBox 42"/>
          <xdr:cNvSpPr txBox="1"/>
        </xdr:nvSpPr>
        <xdr:spPr>
          <a:xfrm>
            <a:off x="5815137" y="2409051"/>
            <a:ext cx="771658" cy="3256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43" name="TextBox 43"/>
          <xdr:cNvSpPr txBox="1"/>
        </xdr:nvSpPr>
        <xdr:spPr>
          <a:xfrm>
            <a:off x="6484075" y="3987105"/>
            <a:ext cx="959570" cy="3256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44" name="TextBox 44"/>
          <xdr:cNvSpPr txBox="1"/>
        </xdr:nvSpPr>
        <xdr:spPr>
          <a:xfrm>
            <a:off x="8781031" y="3966507"/>
            <a:ext cx="929964" cy="7536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45" name="TextBox 45"/>
          <xdr:cNvSpPr txBox="1"/>
        </xdr:nvSpPr>
        <xdr:spPr>
          <a:xfrm>
            <a:off x="9634795" y="2222837"/>
            <a:ext cx="924058" cy="3256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46" name="Straight Connector 45"/>
          <xdr:cNvCxnSpPr/>
        </xdr:nvCxnSpPr>
        <xdr:spPr>
          <a:xfrm>
            <a:off x="8079523" y="1173183"/>
            <a:ext cx="39520" cy="2913808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Straight Connector 46"/>
          <xdr:cNvCxnSpPr/>
        </xdr:nvCxnSpPr>
        <xdr:spPr>
          <a:xfrm flipH="1">
            <a:off x="6869904" y="1905000"/>
            <a:ext cx="2426496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Straight Connector 47"/>
          <xdr:cNvCxnSpPr/>
        </xdr:nvCxnSpPr>
        <xdr:spPr>
          <a:xfrm flipH="1" flipV="1">
            <a:off x="6869904" y="1905001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9" name="TextBox 67"/>
          <xdr:cNvSpPr txBox="1"/>
        </xdr:nvSpPr>
        <xdr:spPr>
          <a:xfrm>
            <a:off x="5519995" y="850018"/>
            <a:ext cx="877235" cy="5396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BTT 35min</a:t>
            </a:r>
          </a:p>
        </xdr:txBody>
      </xdr:sp>
    </xdr:grpSp>
    <xdr:clientData/>
  </xdr:twoCellAnchor>
  <xdr:twoCellAnchor>
    <xdr:from>
      <xdr:col>28</xdr:col>
      <xdr:colOff>0</xdr:colOff>
      <xdr:row>3</xdr:row>
      <xdr:rowOff>0</xdr:rowOff>
    </xdr:from>
    <xdr:to>
      <xdr:col>35</xdr:col>
      <xdr:colOff>91440</xdr:colOff>
      <xdr:row>20</xdr:row>
      <xdr:rowOff>30710</xdr:rowOff>
    </xdr:to>
    <xdr:grpSp>
      <xdr:nvGrpSpPr>
        <xdr:cNvPr id="50" name="Group 49"/>
        <xdr:cNvGrpSpPr/>
      </xdr:nvGrpSpPr>
      <xdr:grpSpPr>
        <a:xfrm>
          <a:off x="17214273" y="571500"/>
          <a:ext cx="4334394" cy="3269210"/>
          <a:chOff x="1100665" y="846667"/>
          <a:chExt cx="5038858" cy="3886579"/>
        </a:xfrm>
      </xdr:grpSpPr>
      <xdr:pic>
        <xdr:nvPicPr>
          <xdr:cNvPr id="51" name="Picture 50" descr="Z:\Heat\HSFA3\20181130-BTTATThsfa2-3-23-line12FLAGOX\DSC_9745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046" t="7175" r="39689" b="4448"/>
          <a:stretch/>
        </xdr:blipFill>
        <xdr:spPr bwMode="auto">
          <a:xfrm>
            <a:off x="2191675" y="1006199"/>
            <a:ext cx="3083059" cy="3232408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2" name="TextBox 35"/>
          <xdr:cNvSpPr txBox="1"/>
        </xdr:nvSpPr>
        <xdr:spPr>
          <a:xfrm>
            <a:off x="4279374" y="846667"/>
            <a:ext cx="533400" cy="3270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53" name="TextBox 36"/>
          <xdr:cNvSpPr txBox="1"/>
        </xdr:nvSpPr>
        <xdr:spPr>
          <a:xfrm>
            <a:off x="2064746" y="1022104"/>
            <a:ext cx="771658" cy="3270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54" name="TextBox 37"/>
          <xdr:cNvSpPr txBox="1"/>
        </xdr:nvSpPr>
        <xdr:spPr>
          <a:xfrm>
            <a:off x="1395806" y="2418736"/>
            <a:ext cx="771658" cy="3270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55" name="TextBox 38"/>
          <xdr:cNvSpPr txBox="1"/>
        </xdr:nvSpPr>
        <xdr:spPr>
          <a:xfrm>
            <a:off x="2064746" y="3996790"/>
            <a:ext cx="959571" cy="3270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56" name="TextBox 39"/>
          <xdr:cNvSpPr txBox="1"/>
        </xdr:nvSpPr>
        <xdr:spPr>
          <a:xfrm>
            <a:off x="4361701" y="3976192"/>
            <a:ext cx="929964" cy="75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57" name="TextBox 40"/>
          <xdr:cNvSpPr txBox="1"/>
        </xdr:nvSpPr>
        <xdr:spPr>
          <a:xfrm>
            <a:off x="5215465" y="2232523"/>
            <a:ext cx="924058" cy="3270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58" name="Straight Connector 57"/>
          <xdr:cNvCxnSpPr/>
        </xdr:nvCxnSpPr>
        <xdr:spPr>
          <a:xfrm>
            <a:off x="3695700" y="1092200"/>
            <a:ext cx="0" cy="307957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" name="Straight Connector 58"/>
          <xdr:cNvCxnSpPr/>
        </xdr:nvCxnSpPr>
        <xdr:spPr>
          <a:xfrm flipH="1">
            <a:off x="2450574" y="1905000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" name="Straight Connector 59"/>
          <xdr:cNvCxnSpPr/>
        </xdr:nvCxnSpPr>
        <xdr:spPr>
          <a:xfrm flipH="1" flipV="1">
            <a:off x="2450574" y="1905000"/>
            <a:ext cx="2514600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1" name="TextBox 54"/>
          <xdr:cNvSpPr txBox="1"/>
        </xdr:nvSpPr>
        <xdr:spPr>
          <a:xfrm>
            <a:off x="1100665" y="859704"/>
            <a:ext cx="877235" cy="5420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BTT 40min</a:t>
            </a:r>
          </a:p>
        </xdr:txBody>
      </xdr:sp>
    </xdr:grpSp>
    <xdr:clientData/>
  </xdr:twoCellAnchor>
  <xdr:twoCellAnchor>
    <xdr:from>
      <xdr:col>35</xdr:col>
      <xdr:colOff>0</xdr:colOff>
      <xdr:row>3</xdr:row>
      <xdr:rowOff>11177</xdr:rowOff>
    </xdr:from>
    <xdr:to>
      <xdr:col>41</xdr:col>
      <xdr:colOff>556260</xdr:colOff>
      <xdr:row>20</xdr:row>
      <xdr:rowOff>136622</xdr:rowOff>
    </xdr:to>
    <xdr:grpSp>
      <xdr:nvGrpSpPr>
        <xdr:cNvPr id="62" name="Group 61"/>
        <xdr:cNvGrpSpPr/>
      </xdr:nvGrpSpPr>
      <xdr:grpSpPr>
        <a:xfrm>
          <a:off x="21457227" y="582677"/>
          <a:ext cx="4193078" cy="3363945"/>
          <a:chOff x="5519995" y="850018"/>
          <a:chExt cx="5038858" cy="3843659"/>
        </a:xfrm>
      </xdr:grpSpPr>
      <xdr:pic>
        <xdr:nvPicPr>
          <xdr:cNvPr id="63" name="Picture 62" descr="Z:\Heat\HSFA3\20181130-BTTATThsfa2-3-23-line12FLAGOX\DSC_9748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1" cstate="print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7402" t="12738" r="16071" b="3583"/>
          <a:stretch/>
        </xdr:blipFill>
        <xdr:spPr bwMode="auto">
          <a:xfrm>
            <a:off x="6521545" y="1126532"/>
            <a:ext cx="3097107" cy="306083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4" name="TextBox 4"/>
          <xdr:cNvSpPr txBox="1"/>
        </xdr:nvSpPr>
        <xdr:spPr>
          <a:xfrm>
            <a:off x="8662257" y="996962"/>
            <a:ext cx="533400" cy="3141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65" name="TextBox 41"/>
          <xdr:cNvSpPr txBox="1"/>
        </xdr:nvSpPr>
        <xdr:spPr>
          <a:xfrm>
            <a:off x="6484075" y="1012418"/>
            <a:ext cx="771658" cy="3141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66" name="TextBox 42"/>
          <xdr:cNvSpPr txBox="1"/>
        </xdr:nvSpPr>
        <xdr:spPr>
          <a:xfrm>
            <a:off x="5815137" y="2409051"/>
            <a:ext cx="771658" cy="3141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67" name="TextBox 43"/>
          <xdr:cNvSpPr txBox="1"/>
        </xdr:nvSpPr>
        <xdr:spPr>
          <a:xfrm>
            <a:off x="6484075" y="3987105"/>
            <a:ext cx="959571" cy="3141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68" name="TextBox 44"/>
          <xdr:cNvSpPr txBox="1"/>
        </xdr:nvSpPr>
        <xdr:spPr>
          <a:xfrm>
            <a:off x="8781031" y="3966507"/>
            <a:ext cx="929964" cy="7271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69" name="TextBox 45"/>
          <xdr:cNvSpPr txBox="1"/>
        </xdr:nvSpPr>
        <xdr:spPr>
          <a:xfrm>
            <a:off x="9634795" y="2222837"/>
            <a:ext cx="924058" cy="3141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70" name="Straight Connector 69"/>
          <xdr:cNvCxnSpPr/>
        </xdr:nvCxnSpPr>
        <xdr:spPr>
          <a:xfrm>
            <a:off x="8079523" y="1173183"/>
            <a:ext cx="39520" cy="2913808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" name="Straight Connector 70"/>
          <xdr:cNvCxnSpPr/>
        </xdr:nvCxnSpPr>
        <xdr:spPr>
          <a:xfrm flipH="1">
            <a:off x="6869904" y="1905000"/>
            <a:ext cx="2426496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" name="Straight Connector 71"/>
          <xdr:cNvCxnSpPr/>
        </xdr:nvCxnSpPr>
        <xdr:spPr>
          <a:xfrm flipH="1" flipV="1">
            <a:off x="6869904" y="1905001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3" name="TextBox 67"/>
          <xdr:cNvSpPr txBox="1"/>
        </xdr:nvSpPr>
        <xdr:spPr>
          <a:xfrm>
            <a:off x="5519995" y="850018"/>
            <a:ext cx="877235" cy="520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BTT 45min</a:t>
            </a:r>
          </a:p>
        </xdr:txBody>
      </xdr:sp>
    </xdr:grpSp>
    <xdr:clientData/>
  </xdr:twoCellAnchor>
  <xdr:twoCellAnchor>
    <xdr:from>
      <xdr:col>1</xdr:col>
      <xdr:colOff>0</xdr:colOff>
      <xdr:row>33</xdr:row>
      <xdr:rowOff>1</xdr:rowOff>
    </xdr:from>
    <xdr:to>
      <xdr:col>7</xdr:col>
      <xdr:colOff>182880</xdr:colOff>
      <xdr:row>51</xdr:row>
      <xdr:rowOff>88546</xdr:rowOff>
    </xdr:to>
    <xdr:grpSp>
      <xdr:nvGrpSpPr>
        <xdr:cNvPr id="74" name="Group 73"/>
        <xdr:cNvGrpSpPr/>
      </xdr:nvGrpSpPr>
      <xdr:grpSpPr>
        <a:xfrm>
          <a:off x="710045" y="6269183"/>
          <a:ext cx="3958244" cy="3517545"/>
          <a:chOff x="2321845" y="2777079"/>
          <a:chExt cx="4743716" cy="4047660"/>
        </a:xfrm>
      </xdr:grpSpPr>
      <xdr:pic>
        <xdr:nvPicPr>
          <xdr:cNvPr id="75" name="Picture 74" descr="Z:\Heat\HSFA3\20181130-BTTATThsfa2-3-23-line12FLAGOX\DSC_9773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589" t="7092" r="29872" b="7003"/>
          <a:stretch/>
        </xdr:blipFill>
        <xdr:spPr bwMode="auto">
          <a:xfrm>
            <a:off x="3057524" y="3134543"/>
            <a:ext cx="3152776" cy="3142012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6" name="TextBox 80"/>
          <xdr:cNvSpPr txBox="1"/>
        </xdr:nvSpPr>
        <xdr:spPr>
          <a:xfrm>
            <a:off x="5205412" y="2948708"/>
            <a:ext cx="533400" cy="3225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77" name="TextBox 81"/>
          <xdr:cNvSpPr txBox="1"/>
        </xdr:nvSpPr>
        <xdr:spPr>
          <a:xfrm>
            <a:off x="2990783" y="3124145"/>
            <a:ext cx="771658" cy="3225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78" name="TextBox 82"/>
          <xdr:cNvSpPr txBox="1"/>
        </xdr:nvSpPr>
        <xdr:spPr>
          <a:xfrm>
            <a:off x="2321845" y="4520779"/>
            <a:ext cx="771658" cy="3225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79" name="TextBox 83"/>
          <xdr:cNvSpPr txBox="1"/>
        </xdr:nvSpPr>
        <xdr:spPr>
          <a:xfrm>
            <a:off x="2990783" y="6098832"/>
            <a:ext cx="959571" cy="3225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80" name="TextBox 84"/>
          <xdr:cNvSpPr txBox="1"/>
        </xdr:nvSpPr>
        <xdr:spPr>
          <a:xfrm>
            <a:off x="5287739" y="6078234"/>
            <a:ext cx="929964" cy="7465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81" name="TextBox 85"/>
          <xdr:cNvSpPr txBox="1"/>
        </xdr:nvSpPr>
        <xdr:spPr>
          <a:xfrm>
            <a:off x="6141503" y="4334565"/>
            <a:ext cx="924058" cy="3225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82" name="Straight Connector 81"/>
          <xdr:cNvCxnSpPr/>
        </xdr:nvCxnSpPr>
        <xdr:spPr>
          <a:xfrm>
            <a:off x="4621738" y="3194241"/>
            <a:ext cx="0" cy="307957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3" name="Straight Connector 82"/>
          <xdr:cNvCxnSpPr/>
        </xdr:nvCxnSpPr>
        <xdr:spPr>
          <a:xfrm flipH="1">
            <a:off x="3376612" y="4007041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4" name="Straight Connector 83"/>
          <xdr:cNvCxnSpPr/>
        </xdr:nvCxnSpPr>
        <xdr:spPr>
          <a:xfrm flipH="1" flipV="1">
            <a:off x="3376612" y="4007041"/>
            <a:ext cx="2514600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5" name="TextBox 89"/>
          <xdr:cNvSpPr txBox="1"/>
        </xdr:nvSpPr>
        <xdr:spPr>
          <a:xfrm>
            <a:off x="2438400" y="2777079"/>
            <a:ext cx="877235" cy="3225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No HS</a:t>
            </a:r>
          </a:p>
        </xdr:txBody>
      </xdr:sp>
    </xdr:grpSp>
    <xdr:clientData/>
  </xdr:twoCellAnchor>
  <xdr:twoCellAnchor>
    <xdr:from>
      <xdr:col>6</xdr:col>
      <xdr:colOff>586741</xdr:colOff>
      <xdr:row>32</xdr:row>
      <xdr:rowOff>137160</xdr:rowOff>
    </xdr:from>
    <xdr:to>
      <xdr:col>13</xdr:col>
      <xdr:colOff>594361</xdr:colOff>
      <xdr:row>51</xdr:row>
      <xdr:rowOff>127653</xdr:rowOff>
    </xdr:to>
    <xdr:grpSp>
      <xdr:nvGrpSpPr>
        <xdr:cNvPr id="86" name="Group 85"/>
        <xdr:cNvGrpSpPr/>
      </xdr:nvGrpSpPr>
      <xdr:grpSpPr>
        <a:xfrm>
          <a:off x="4466014" y="6215842"/>
          <a:ext cx="4250574" cy="3609993"/>
          <a:chOff x="2185624" y="2737174"/>
          <a:chExt cx="4879937" cy="4074036"/>
        </a:xfrm>
      </xdr:grpSpPr>
      <xdr:pic>
        <xdr:nvPicPr>
          <xdr:cNvPr id="87" name="Picture 86" descr="Z:\Heat\HSFA3\20181130-BTTATThsfa2-3-23-line12FLAGOX\DSC_9771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967" t="5994" r="38319" b="6470"/>
          <a:stretch/>
        </xdr:blipFill>
        <xdr:spPr bwMode="auto">
          <a:xfrm>
            <a:off x="2967718" y="3106506"/>
            <a:ext cx="3162299" cy="320168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8" name="TextBox 80"/>
          <xdr:cNvSpPr txBox="1"/>
        </xdr:nvSpPr>
        <xdr:spPr>
          <a:xfrm>
            <a:off x="5205412" y="2948708"/>
            <a:ext cx="533400" cy="3166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89" name="TextBox 81"/>
          <xdr:cNvSpPr txBox="1"/>
        </xdr:nvSpPr>
        <xdr:spPr>
          <a:xfrm>
            <a:off x="2990782" y="3124145"/>
            <a:ext cx="771658" cy="3166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90" name="TextBox 82"/>
          <xdr:cNvSpPr txBox="1"/>
        </xdr:nvSpPr>
        <xdr:spPr>
          <a:xfrm>
            <a:off x="2321844" y="4520777"/>
            <a:ext cx="771658" cy="3166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91" name="TextBox 83"/>
          <xdr:cNvSpPr txBox="1"/>
        </xdr:nvSpPr>
        <xdr:spPr>
          <a:xfrm>
            <a:off x="2990782" y="6098831"/>
            <a:ext cx="959571" cy="3166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92" name="TextBox 84"/>
          <xdr:cNvSpPr txBox="1"/>
        </xdr:nvSpPr>
        <xdr:spPr>
          <a:xfrm>
            <a:off x="5287739" y="6078234"/>
            <a:ext cx="929965" cy="7329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93" name="TextBox 85"/>
          <xdr:cNvSpPr txBox="1"/>
        </xdr:nvSpPr>
        <xdr:spPr>
          <a:xfrm>
            <a:off x="6141503" y="4334564"/>
            <a:ext cx="924058" cy="3166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94" name="Straight Connector 93"/>
          <xdr:cNvCxnSpPr/>
        </xdr:nvCxnSpPr>
        <xdr:spPr>
          <a:xfrm>
            <a:off x="4621738" y="3194241"/>
            <a:ext cx="0" cy="307957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5" name="Straight Connector 94"/>
          <xdr:cNvCxnSpPr/>
        </xdr:nvCxnSpPr>
        <xdr:spPr>
          <a:xfrm flipH="1">
            <a:off x="3376612" y="4007041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Connector 95"/>
          <xdr:cNvCxnSpPr/>
        </xdr:nvCxnSpPr>
        <xdr:spPr>
          <a:xfrm flipH="1" flipV="1">
            <a:off x="3376612" y="4007041"/>
            <a:ext cx="2514600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7" name="TextBox 89"/>
          <xdr:cNvSpPr txBox="1"/>
        </xdr:nvSpPr>
        <xdr:spPr>
          <a:xfrm>
            <a:off x="2185624" y="2737174"/>
            <a:ext cx="1440595" cy="3166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ATT 160min</a:t>
            </a:r>
          </a:p>
        </xdr:txBody>
      </xdr:sp>
    </xdr:grpSp>
    <xdr:clientData/>
  </xdr:twoCellAnchor>
  <xdr:twoCellAnchor>
    <xdr:from>
      <xdr:col>14</xdr:col>
      <xdr:colOff>1</xdr:colOff>
      <xdr:row>33</xdr:row>
      <xdr:rowOff>0</xdr:rowOff>
    </xdr:from>
    <xdr:to>
      <xdr:col>20</xdr:col>
      <xdr:colOff>594361</xdr:colOff>
      <xdr:row>51</xdr:row>
      <xdr:rowOff>131583</xdr:rowOff>
    </xdr:to>
    <xdr:grpSp>
      <xdr:nvGrpSpPr>
        <xdr:cNvPr id="98" name="Group 97"/>
        <xdr:cNvGrpSpPr/>
      </xdr:nvGrpSpPr>
      <xdr:grpSpPr>
        <a:xfrm>
          <a:off x="8728365" y="6269182"/>
          <a:ext cx="4231178" cy="3560583"/>
          <a:chOff x="2185624" y="2737174"/>
          <a:chExt cx="4879937" cy="4084978"/>
        </a:xfrm>
      </xdr:grpSpPr>
      <xdr:pic>
        <xdr:nvPicPr>
          <xdr:cNvPr id="99" name="Picture 98" descr="Z:\Heat\HSFA3\20181130-BTTATThsfa2-3-23-line12FLAGOX\DSC_9769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026" t="5753" r="32580" b="6614"/>
          <a:stretch/>
        </xdr:blipFill>
        <xdr:spPr bwMode="auto">
          <a:xfrm>
            <a:off x="2986892" y="3087811"/>
            <a:ext cx="3199224" cy="3205213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0" name="TextBox 80"/>
          <xdr:cNvSpPr txBox="1"/>
        </xdr:nvSpPr>
        <xdr:spPr>
          <a:xfrm>
            <a:off x="5205412" y="2948707"/>
            <a:ext cx="533400" cy="3214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01" name="TextBox 81"/>
          <xdr:cNvSpPr txBox="1"/>
        </xdr:nvSpPr>
        <xdr:spPr>
          <a:xfrm>
            <a:off x="2990783" y="3124145"/>
            <a:ext cx="771658" cy="3214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02" name="TextBox 82"/>
          <xdr:cNvSpPr txBox="1"/>
        </xdr:nvSpPr>
        <xdr:spPr>
          <a:xfrm>
            <a:off x="2321845" y="4520778"/>
            <a:ext cx="771658" cy="3214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03" name="TextBox 83"/>
          <xdr:cNvSpPr txBox="1"/>
        </xdr:nvSpPr>
        <xdr:spPr>
          <a:xfrm>
            <a:off x="2990783" y="6098832"/>
            <a:ext cx="959571" cy="3214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104" name="TextBox 84"/>
          <xdr:cNvSpPr txBox="1"/>
        </xdr:nvSpPr>
        <xdr:spPr>
          <a:xfrm>
            <a:off x="5287739" y="6078236"/>
            <a:ext cx="929964" cy="74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105" name="TextBox 85"/>
          <xdr:cNvSpPr txBox="1"/>
        </xdr:nvSpPr>
        <xdr:spPr>
          <a:xfrm>
            <a:off x="6141503" y="4334563"/>
            <a:ext cx="924058" cy="3214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106" name="Straight Connector 105"/>
          <xdr:cNvCxnSpPr/>
        </xdr:nvCxnSpPr>
        <xdr:spPr>
          <a:xfrm>
            <a:off x="4621738" y="3194241"/>
            <a:ext cx="0" cy="307957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7" name="Straight Connector 106"/>
          <xdr:cNvCxnSpPr/>
        </xdr:nvCxnSpPr>
        <xdr:spPr>
          <a:xfrm flipH="1">
            <a:off x="3376612" y="4007041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8" name="Straight Connector 107"/>
          <xdr:cNvCxnSpPr/>
        </xdr:nvCxnSpPr>
        <xdr:spPr>
          <a:xfrm flipH="1" flipV="1">
            <a:off x="3376612" y="4007041"/>
            <a:ext cx="2514600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9" name="TextBox 89"/>
          <xdr:cNvSpPr txBox="1"/>
        </xdr:nvSpPr>
        <xdr:spPr>
          <a:xfrm>
            <a:off x="2185624" y="2737174"/>
            <a:ext cx="1440595" cy="3214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ATT 180min</a:t>
            </a:r>
          </a:p>
        </xdr:txBody>
      </xdr:sp>
    </xdr:grpSp>
    <xdr:clientData/>
  </xdr:twoCellAnchor>
  <xdr:twoCellAnchor>
    <xdr:from>
      <xdr:col>21</xdr:col>
      <xdr:colOff>1</xdr:colOff>
      <xdr:row>33</xdr:row>
      <xdr:rowOff>0</xdr:rowOff>
    </xdr:from>
    <xdr:to>
      <xdr:col>28</xdr:col>
      <xdr:colOff>30480</xdr:colOff>
      <xdr:row>51</xdr:row>
      <xdr:rowOff>173373</xdr:rowOff>
    </xdr:to>
    <xdr:grpSp>
      <xdr:nvGrpSpPr>
        <xdr:cNvPr id="110" name="Group 109"/>
        <xdr:cNvGrpSpPr/>
      </xdr:nvGrpSpPr>
      <xdr:grpSpPr>
        <a:xfrm>
          <a:off x="12971319" y="6269182"/>
          <a:ext cx="4273434" cy="3602373"/>
          <a:chOff x="2185624" y="2737174"/>
          <a:chExt cx="4879937" cy="4074036"/>
        </a:xfrm>
      </xdr:grpSpPr>
      <xdr:pic>
        <xdr:nvPicPr>
          <xdr:cNvPr id="111" name="Picture 110" descr="Z:\Heat\HSFA3\20181130-BTTATThsfa2-3-23-line12FLAGOX\DSC_9768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3348" t="8780" r="18536" b="2575"/>
          <a:stretch/>
        </xdr:blipFill>
        <xdr:spPr bwMode="auto">
          <a:xfrm>
            <a:off x="3028413" y="3106506"/>
            <a:ext cx="3184060" cy="3242352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12" name="TextBox 80"/>
          <xdr:cNvSpPr txBox="1"/>
        </xdr:nvSpPr>
        <xdr:spPr>
          <a:xfrm>
            <a:off x="5205412" y="2948708"/>
            <a:ext cx="533399" cy="3166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13" name="TextBox 81"/>
          <xdr:cNvSpPr txBox="1"/>
        </xdr:nvSpPr>
        <xdr:spPr>
          <a:xfrm>
            <a:off x="2990783" y="3124145"/>
            <a:ext cx="771658" cy="3166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14" name="TextBox 82"/>
          <xdr:cNvSpPr txBox="1"/>
        </xdr:nvSpPr>
        <xdr:spPr>
          <a:xfrm>
            <a:off x="2321846" y="4520777"/>
            <a:ext cx="771658" cy="3166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15" name="TextBox 83"/>
          <xdr:cNvSpPr txBox="1"/>
        </xdr:nvSpPr>
        <xdr:spPr>
          <a:xfrm>
            <a:off x="2990783" y="6098831"/>
            <a:ext cx="959571" cy="3166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116" name="TextBox 84"/>
          <xdr:cNvSpPr txBox="1"/>
        </xdr:nvSpPr>
        <xdr:spPr>
          <a:xfrm>
            <a:off x="5287739" y="6078234"/>
            <a:ext cx="929964" cy="7329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117" name="TextBox 85"/>
          <xdr:cNvSpPr txBox="1"/>
        </xdr:nvSpPr>
        <xdr:spPr>
          <a:xfrm>
            <a:off x="6141504" y="4334564"/>
            <a:ext cx="924057" cy="3166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118" name="Straight Connector 117"/>
          <xdr:cNvCxnSpPr/>
        </xdr:nvCxnSpPr>
        <xdr:spPr>
          <a:xfrm>
            <a:off x="4621738" y="3194241"/>
            <a:ext cx="0" cy="307957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9" name="Straight Connector 118"/>
          <xdr:cNvCxnSpPr/>
        </xdr:nvCxnSpPr>
        <xdr:spPr>
          <a:xfrm flipH="1">
            <a:off x="3376612" y="4007041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0" name="Straight Connector 119"/>
          <xdr:cNvCxnSpPr/>
        </xdr:nvCxnSpPr>
        <xdr:spPr>
          <a:xfrm flipH="1" flipV="1">
            <a:off x="3376612" y="4007041"/>
            <a:ext cx="2514600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1" name="TextBox 89"/>
          <xdr:cNvSpPr txBox="1"/>
        </xdr:nvSpPr>
        <xdr:spPr>
          <a:xfrm>
            <a:off x="2185624" y="2737174"/>
            <a:ext cx="1440595" cy="3166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ATT 190min</a:t>
            </a:r>
          </a:p>
        </xdr:txBody>
      </xdr:sp>
    </xdr:grpSp>
    <xdr:clientData/>
  </xdr:twoCellAnchor>
  <xdr:twoCellAnchor>
    <xdr:from>
      <xdr:col>28</xdr:col>
      <xdr:colOff>0</xdr:colOff>
      <xdr:row>33</xdr:row>
      <xdr:rowOff>0</xdr:rowOff>
    </xdr:from>
    <xdr:to>
      <xdr:col>34</xdr:col>
      <xdr:colOff>601980</xdr:colOff>
      <xdr:row>51</xdr:row>
      <xdr:rowOff>161432</xdr:rowOff>
    </xdr:to>
    <xdr:grpSp>
      <xdr:nvGrpSpPr>
        <xdr:cNvPr id="122" name="Group 121"/>
        <xdr:cNvGrpSpPr/>
      </xdr:nvGrpSpPr>
      <xdr:grpSpPr>
        <a:xfrm>
          <a:off x="17214273" y="6269182"/>
          <a:ext cx="4238798" cy="3590432"/>
          <a:chOff x="2185624" y="2737174"/>
          <a:chExt cx="4879937" cy="4077129"/>
        </a:xfrm>
      </xdr:grpSpPr>
      <xdr:pic>
        <xdr:nvPicPr>
          <xdr:cNvPr id="123" name="Picture 122" descr="Z:\Heat\HSFA3\20181130-BTTATThsfa2-3-23-line12FLAGOX\DSC_9765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778" t="5600" r="14144" b="5784"/>
          <a:stretch/>
        </xdr:blipFill>
        <xdr:spPr bwMode="auto">
          <a:xfrm>
            <a:off x="3000067" y="3097222"/>
            <a:ext cx="3182223" cy="3241327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4" name="TextBox 80"/>
          <xdr:cNvSpPr txBox="1"/>
        </xdr:nvSpPr>
        <xdr:spPr>
          <a:xfrm>
            <a:off x="5205413" y="2948708"/>
            <a:ext cx="533400" cy="3180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25" name="TextBox 81"/>
          <xdr:cNvSpPr txBox="1"/>
        </xdr:nvSpPr>
        <xdr:spPr>
          <a:xfrm>
            <a:off x="2990783" y="3124145"/>
            <a:ext cx="771658" cy="3180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26" name="TextBox 82"/>
          <xdr:cNvSpPr txBox="1"/>
        </xdr:nvSpPr>
        <xdr:spPr>
          <a:xfrm>
            <a:off x="2321845" y="4520778"/>
            <a:ext cx="771658" cy="3180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27" name="TextBox 83"/>
          <xdr:cNvSpPr txBox="1"/>
        </xdr:nvSpPr>
        <xdr:spPr>
          <a:xfrm>
            <a:off x="2990783" y="6098832"/>
            <a:ext cx="959572" cy="3180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128" name="TextBox 84"/>
          <xdr:cNvSpPr txBox="1"/>
        </xdr:nvSpPr>
        <xdr:spPr>
          <a:xfrm>
            <a:off x="5287739" y="6078234"/>
            <a:ext cx="929964" cy="7360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129" name="TextBox 85"/>
          <xdr:cNvSpPr txBox="1"/>
        </xdr:nvSpPr>
        <xdr:spPr>
          <a:xfrm>
            <a:off x="6141503" y="4334564"/>
            <a:ext cx="924058" cy="3180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130" name="Straight Connector 129"/>
          <xdr:cNvCxnSpPr/>
        </xdr:nvCxnSpPr>
        <xdr:spPr>
          <a:xfrm>
            <a:off x="4621738" y="3194241"/>
            <a:ext cx="0" cy="307957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1" name="Straight Connector 130"/>
          <xdr:cNvCxnSpPr/>
        </xdr:nvCxnSpPr>
        <xdr:spPr>
          <a:xfrm flipH="1">
            <a:off x="3376612" y="4007041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2" name="Straight Connector 131"/>
          <xdr:cNvCxnSpPr/>
        </xdr:nvCxnSpPr>
        <xdr:spPr>
          <a:xfrm flipH="1" flipV="1">
            <a:off x="3376612" y="4007041"/>
            <a:ext cx="2514600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3" name="TextBox 89"/>
          <xdr:cNvSpPr txBox="1"/>
        </xdr:nvSpPr>
        <xdr:spPr>
          <a:xfrm>
            <a:off x="2185624" y="2737174"/>
            <a:ext cx="1440595" cy="3180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ATT 200min</a:t>
            </a:r>
          </a:p>
        </xdr:txBody>
      </xdr:sp>
    </xdr:grpSp>
    <xdr:clientData/>
  </xdr:twoCellAnchor>
  <xdr:twoCellAnchor>
    <xdr:from>
      <xdr:col>34</xdr:col>
      <xdr:colOff>533401</xdr:colOff>
      <xdr:row>32</xdr:row>
      <xdr:rowOff>160021</xdr:rowOff>
    </xdr:from>
    <xdr:to>
      <xdr:col>42</xdr:col>
      <xdr:colOff>106681</xdr:colOff>
      <xdr:row>52</xdr:row>
      <xdr:rowOff>38100</xdr:rowOff>
    </xdr:to>
    <xdr:grpSp>
      <xdr:nvGrpSpPr>
        <xdr:cNvPr id="134" name="Group 133"/>
        <xdr:cNvGrpSpPr/>
      </xdr:nvGrpSpPr>
      <xdr:grpSpPr>
        <a:xfrm>
          <a:off x="21384492" y="6238703"/>
          <a:ext cx="4422371" cy="3688079"/>
          <a:chOff x="2185624" y="2737174"/>
          <a:chExt cx="4879937" cy="4033314"/>
        </a:xfrm>
      </xdr:grpSpPr>
      <xdr:pic>
        <xdr:nvPicPr>
          <xdr:cNvPr id="135" name="Picture 134" descr="Z:\Heat\HSFA3\20181130-BTTATThsfa2-3-23-line12FLAGOX\DSC_9762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68" t="4808" r="37692" b="8354"/>
          <a:stretch/>
        </xdr:blipFill>
        <xdr:spPr bwMode="auto">
          <a:xfrm>
            <a:off x="3025348" y="3138971"/>
            <a:ext cx="3147059" cy="317632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36" name="TextBox 80"/>
          <xdr:cNvSpPr txBox="1"/>
        </xdr:nvSpPr>
        <xdr:spPr>
          <a:xfrm>
            <a:off x="5205412" y="2948708"/>
            <a:ext cx="533400" cy="29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37" name="TextBox 81"/>
          <xdr:cNvSpPr txBox="1"/>
        </xdr:nvSpPr>
        <xdr:spPr>
          <a:xfrm>
            <a:off x="2990783" y="3124145"/>
            <a:ext cx="771658" cy="29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38" name="TextBox 82"/>
          <xdr:cNvSpPr txBox="1"/>
        </xdr:nvSpPr>
        <xdr:spPr>
          <a:xfrm>
            <a:off x="2321845" y="4520777"/>
            <a:ext cx="771658" cy="29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39" name="TextBox 83"/>
          <xdr:cNvSpPr txBox="1"/>
        </xdr:nvSpPr>
        <xdr:spPr>
          <a:xfrm>
            <a:off x="2990783" y="6098832"/>
            <a:ext cx="959571" cy="29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140" name="TextBox 84"/>
          <xdr:cNvSpPr txBox="1"/>
        </xdr:nvSpPr>
        <xdr:spPr>
          <a:xfrm>
            <a:off x="5287739" y="6078233"/>
            <a:ext cx="929964" cy="6922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141" name="TextBox 85"/>
          <xdr:cNvSpPr txBox="1"/>
        </xdr:nvSpPr>
        <xdr:spPr>
          <a:xfrm>
            <a:off x="6141503" y="4334565"/>
            <a:ext cx="924058" cy="29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142" name="Straight Connector 141"/>
          <xdr:cNvCxnSpPr/>
        </xdr:nvCxnSpPr>
        <xdr:spPr>
          <a:xfrm>
            <a:off x="4621738" y="3194241"/>
            <a:ext cx="0" cy="307957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3" name="Straight Connector 142"/>
          <xdr:cNvCxnSpPr/>
        </xdr:nvCxnSpPr>
        <xdr:spPr>
          <a:xfrm flipH="1">
            <a:off x="3376612" y="4007041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4" name="Straight Connector 143"/>
          <xdr:cNvCxnSpPr/>
        </xdr:nvCxnSpPr>
        <xdr:spPr>
          <a:xfrm flipH="1" flipV="1">
            <a:off x="3376612" y="4007041"/>
            <a:ext cx="2514600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5" name="TextBox 89"/>
          <xdr:cNvSpPr txBox="1"/>
        </xdr:nvSpPr>
        <xdr:spPr>
          <a:xfrm>
            <a:off x="2185624" y="2737174"/>
            <a:ext cx="1440595" cy="29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ATT 210min</a:t>
            </a:r>
          </a:p>
        </xdr:txBody>
      </xdr:sp>
    </xdr:grpSp>
    <xdr:clientData/>
  </xdr:twoCellAnchor>
  <xdr:twoCellAnchor>
    <xdr:from>
      <xdr:col>42</xdr:col>
      <xdr:colOff>1</xdr:colOff>
      <xdr:row>33</xdr:row>
      <xdr:rowOff>0</xdr:rowOff>
    </xdr:from>
    <xdr:to>
      <xdr:col>49</xdr:col>
      <xdr:colOff>91440</xdr:colOff>
      <xdr:row>52</xdr:row>
      <xdr:rowOff>160020</xdr:rowOff>
    </xdr:to>
    <xdr:grpSp>
      <xdr:nvGrpSpPr>
        <xdr:cNvPr id="146" name="Group 145"/>
        <xdr:cNvGrpSpPr/>
      </xdr:nvGrpSpPr>
      <xdr:grpSpPr>
        <a:xfrm>
          <a:off x="25700183" y="6269182"/>
          <a:ext cx="4334393" cy="3779520"/>
          <a:chOff x="2185624" y="2737174"/>
          <a:chExt cx="4879937" cy="3964500"/>
        </a:xfrm>
      </xdr:grpSpPr>
      <xdr:pic>
        <xdr:nvPicPr>
          <xdr:cNvPr id="147" name="Picture 146" descr="Z:\Heat\HSFA3\20181130-BTTATThsfa2-3-23-line12FLAGOX\DSC_9760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56" t="6440" r="33430" b="6683"/>
          <a:stretch/>
        </xdr:blipFill>
        <xdr:spPr bwMode="auto">
          <a:xfrm>
            <a:off x="2990783" y="3101509"/>
            <a:ext cx="3162300" cy="317754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48" name="TextBox 80"/>
          <xdr:cNvSpPr txBox="1"/>
        </xdr:nvSpPr>
        <xdr:spPr>
          <a:xfrm>
            <a:off x="5205412" y="2948708"/>
            <a:ext cx="533400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49" name="TextBox 81"/>
          <xdr:cNvSpPr txBox="1"/>
        </xdr:nvSpPr>
        <xdr:spPr>
          <a:xfrm>
            <a:off x="2990783" y="3124145"/>
            <a:ext cx="771658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50" name="TextBox 82"/>
          <xdr:cNvSpPr txBox="1"/>
        </xdr:nvSpPr>
        <xdr:spPr>
          <a:xfrm>
            <a:off x="2321845" y="4520778"/>
            <a:ext cx="771658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51" name="TextBox 83"/>
          <xdr:cNvSpPr txBox="1"/>
        </xdr:nvSpPr>
        <xdr:spPr>
          <a:xfrm>
            <a:off x="2990783" y="6098832"/>
            <a:ext cx="959571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152" name="TextBox 84"/>
          <xdr:cNvSpPr txBox="1"/>
        </xdr:nvSpPr>
        <xdr:spPr>
          <a:xfrm>
            <a:off x="5287739" y="6078234"/>
            <a:ext cx="929964" cy="6234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153" name="TextBox 85"/>
          <xdr:cNvSpPr txBox="1"/>
        </xdr:nvSpPr>
        <xdr:spPr>
          <a:xfrm>
            <a:off x="6141503" y="4334564"/>
            <a:ext cx="924058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154" name="Straight Connector 153"/>
          <xdr:cNvCxnSpPr/>
        </xdr:nvCxnSpPr>
        <xdr:spPr>
          <a:xfrm>
            <a:off x="4621738" y="3194241"/>
            <a:ext cx="0" cy="307957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5" name="Straight Connector 154"/>
          <xdr:cNvCxnSpPr/>
        </xdr:nvCxnSpPr>
        <xdr:spPr>
          <a:xfrm flipH="1">
            <a:off x="3376612" y="4007041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6" name="Straight Connector 155"/>
          <xdr:cNvCxnSpPr/>
        </xdr:nvCxnSpPr>
        <xdr:spPr>
          <a:xfrm flipH="1" flipV="1">
            <a:off x="3376612" y="4007041"/>
            <a:ext cx="2514600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7" name="TextBox 89"/>
          <xdr:cNvSpPr txBox="1"/>
        </xdr:nvSpPr>
        <xdr:spPr>
          <a:xfrm>
            <a:off x="2185624" y="2737174"/>
            <a:ext cx="1440595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ATT 220min</a:t>
            </a:r>
          </a:p>
        </xdr:txBody>
      </xdr:sp>
    </xdr:grpSp>
    <xdr:clientData/>
  </xdr:twoCellAnchor>
  <xdr:twoCellAnchor>
    <xdr:from>
      <xdr:col>48</xdr:col>
      <xdr:colOff>518160</xdr:colOff>
      <xdr:row>33</xdr:row>
      <xdr:rowOff>0</xdr:rowOff>
    </xdr:from>
    <xdr:to>
      <xdr:col>56</xdr:col>
      <xdr:colOff>15239</xdr:colOff>
      <xdr:row>52</xdr:row>
      <xdr:rowOff>163626</xdr:rowOff>
    </xdr:to>
    <xdr:grpSp>
      <xdr:nvGrpSpPr>
        <xdr:cNvPr id="158" name="Group 157"/>
        <xdr:cNvGrpSpPr/>
      </xdr:nvGrpSpPr>
      <xdr:grpSpPr>
        <a:xfrm>
          <a:off x="29855160" y="6269182"/>
          <a:ext cx="4346170" cy="3783126"/>
          <a:chOff x="2185624" y="2737174"/>
          <a:chExt cx="4879937" cy="4031946"/>
        </a:xfrm>
      </xdr:grpSpPr>
      <xdr:pic>
        <xdr:nvPicPr>
          <xdr:cNvPr id="159" name="Picture 158" descr="Z:\Heat\HSFA3\20181130-BTTATThsfa2-3-23-line12FLAGOX\DSC_9758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17" t="6393" r="37069" b="4482"/>
          <a:stretch/>
        </xdr:blipFill>
        <xdr:spPr bwMode="auto">
          <a:xfrm>
            <a:off x="3011644" y="3125018"/>
            <a:ext cx="3189708" cy="3260143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60" name="TextBox 80"/>
          <xdr:cNvSpPr txBox="1"/>
        </xdr:nvSpPr>
        <xdr:spPr>
          <a:xfrm>
            <a:off x="5205412" y="2948708"/>
            <a:ext cx="533399" cy="2985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61" name="TextBox 81"/>
          <xdr:cNvSpPr txBox="1"/>
        </xdr:nvSpPr>
        <xdr:spPr>
          <a:xfrm>
            <a:off x="2990783" y="3124145"/>
            <a:ext cx="771658" cy="2985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62" name="TextBox 82"/>
          <xdr:cNvSpPr txBox="1"/>
        </xdr:nvSpPr>
        <xdr:spPr>
          <a:xfrm>
            <a:off x="2321845" y="4520777"/>
            <a:ext cx="771658" cy="2985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63" name="TextBox 83"/>
          <xdr:cNvSpPr txBox="1"/>
        </xdr:nvSpPr>
        <xdr:spPr>
          <a:xfrm>
            <a:off x="2990783" y="6098833"/>
            <a:ext cx="959571" cy="2985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164" name="TextBox 84"/>
          <xdr:cNvSpPr txBox="1"/>
        </xdr:nvSpPr>
        <xdr:spPr>
          <a:xfrm>
            <a:off x="5287739" y="6078236"/>
            <a:ext cx="929964" cy="6908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165" name="TextBox 85"/>
          <xdr:cNvSpPr txBox="1"/>
        </xdr:nvSpPr>
        <xdr:spPr>
          <a:xfrm>
            <a:off x="6141503" y="4334562"/>
            <a:ext cx="924058" cy="2985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166" name="Straight Connector 165"/>
          <xdr:cNvCxnSpPr/>
        </xdr:nvCxnSpPr>
        <xdr:spPr>
          <a:xfrm>
            <a:off x="4621738" y="3194241"/>
            <a:ext cx="0" cy="307957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7" name="Straight Connector 166"/>
          <xdr:cNvCxnSpPr/>
        </xdr:nvCxnSpPr>
        <xdr:spPr>
          <a:xfrm flipH="1">
            <a:off x="3376612" y="4007041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8" name="Straight Connector 167"/>
          <xdr:cNvCxnSpPr/>
        </xdr:nvCxnSpPr>
        <xdr:spPr>
          <a:xfrm flipH="1" flipV="1">
            <a:off x="3376612" y="4007041"/>
            <a:ext cx="2514600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9" name="TextBox 89"/>
          <xdr:cNvSpPr txBox="1"/>
        </xdr:nvSpPr>
        <xdr:spPr>
          <a:xfrm>
            <a:off x="2185624" y="2737174"/>
            <a:ext cx="1440595" cy="2985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ATT 230min</a:t>
            </a:r>
          </a:p>
        </xdr:txBody>
      </xdr:sp>
    </xdr:grpSp>
    <xdr:clientData/>
  </xdr:twoCellAnchor>
  <xdr:twoCellAnchor>
    <xdr:from>
      <xdr:col>56</xdr:col>
      <xdr:colOff>0</xdr:colOff>
      <xdr:row>33</xdr:row>
      <xdr:rowOff>0</xdr:rowOff>
    </xdr:from>
    <xdr:to>
      <xdr:col>63</xdr:col>
      <xdr:colOff>91439</xdr:colOff>
      <xdr:row>52</xdr:row>
      <xdr:rowOff>157655</xdr:rowOff>
    </xdr:to>
    <xdr:grpSp>
      <xdr:nvGrpSpPr>
        <xdr:cNvPr id="170" name="Group 169"/>
        <xdr:cNvGrpSpPr/>
      </xdr:nvGrpSpPr>
      <xdr:grpSpPr>
        <a:xfrm>
          <a:off x="34186091" y="6269182"/>
          <a:ext cx="4334393" cy="3777155"/>
          <a:chOff x="2185624" y="2737174"/>
          <a:chExt cx="4879937" cy="4033314"/>
        </a:xfrm>
      </xdr:grpSpPr>
      <xdr:pic>
        <xdr:nvPicPr>
          <xdr:cNvPr id="171" name="Picture 170" descr="Z:\Heat\HSFA3\20181130-BTTATThsfa2-3-23-line12FLAGOX\DSC_9757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359" t="8817" r="37160" b="7357"/>
          <a:stretch/>
        </xdr:blipFill>
        <xdr:spPr bwMode="auto">
          <a:xfrm>
            <a:off x="3092479" y="3157327"/>
            <a:ext cx="3094744" cy="3065962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72" name="TextBox 80"/>
          <xdr:cNvSpPr txBox="1"/>
        </xdr:nvSpPr>
        <xdr:spPr>
          <a:xfrm>
            <a:off x="5205412" y="2948708"/>
            <a:ext cx="533400" cy="29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73" name="TextBox 81"/>
          <xdr:cNvSpPr txBox="1"/>
        </xdr:nvSpPr>
        <xdr:spPr>
          <a:xfrm>
            <a:off x="2990783" y="3124144"/>
            <a:ext cx="771658" cy="29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74" name="TextBox 82"/>
          <xdr:cNvSpPr txBox="1"/>
        </xdr:nvSpPr>
        <xdr:spPr>
          <a:xfrm>
            <a:off x="2321845" y="4520777"/>
            <a:ext cx="771658" cy="29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75" name="TextBox 83"/>
          <xdr:cNvSpPr txBox="1"/>
        </xdr:nvSpPr>
        <xdr:spPr>
          <a:xfrm>
            <a:off x="2990783" y="6098831"/>
            <a:ext cx="959571" cy="29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176" name="TextBox 84"/>
          <xdr:cNvSpPr txBox="1"/>
        </xdr:nvSpPr>
        <xdr:spPr>
          <a:xfrm>
            <a:off x="5287739" y="6078233"/>
            <a:ext cx="929964" cy="6922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177" name="TextBox 85"/>
          <xdr:cNvSpPr txBox="1"/>
        </xdr:nvSpPr>
        <xdr:spPr>
          <a:xfrm>
            <a:off x="6141503" y="4334566"/>
            <a:ext cx="924058" cy="29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178" name="Straight Connector 177"/>
          <xdr:cNvCxnSpPr/>
        </xdr:nvCxnSpPr>
        <xdr:spPr>
          <a:xfrm>
            <a:off x="4621738" y="3194241"/>
            <a:ext cx="0" cy="307957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9" name="Straight Connector 178"/>
          <xdr:cNvCxnSpPr/>
        </xdr:nvCxnSpPr>
        <xdr:spPr>
          <a:xfrm flipH="1">
            <a:off x="3376612" y="4007041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0" name="Straight Connector 179"/>
          <xdr:cNvCxnSpPr/>
        </xdr:nvCxnSpPr>
        <xdr:spPr>
          <a:xfrm flipH="1" flipV="1">
            <a:off x="3376612" y="4007041"/>
            <a:ext cx="2514600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1" name="TextBox 89"/>
          <xdr:cNvSpPr txBox="1"/>
        </xdr:nvSpPr>
        <xdr:spPr>
          <a:xfrm>
            <a:off x="2185624" y="2737174"/>
            <a:ext cx="1440595" cy="29910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ATT 240min</a:t>
            </a:r>
          </a:p>
        </xdr:txBody>
      </xdr:sp>
    </xdr:grpSp>
    <xdr:clientData/>
  </xdr:twoCellAnchor>
  <xdr:twoCellAnchor>
    <xdr:from>
      <xdr:col>63</xdr:col>
      <xdr:colOff>0</xdr:colOff>
      <xdr:row>33</xdr:row>
      <xdr:rowOff>0</xdr:rowOff>
    </xdr:from>
    <xdr:to>
      <xdr:col>70</xdr:col>
      <xdr:colOff>198119</xdr:colOff>
      <xdr:row>53</xdr:row>
      <xdr:rowOff>22536</xdr:rowOff>
    </xdr:to>
    <xdr:grpSp>
      <xdr:nvGrpSpPr>
        <xdr:cNvPr id="182" name="Group 181"/>
        <xdr:cNvGrpSpPr/>
      </xdr:nvGrpSpPr>
      <xdr:grpSpPr>
        <a:xfrm>
          <a:off x="38429045" y="6269182"/>
          <a:ext cx="4441074" cy="3832536"/>
          <a:chOff x="2185624" y="2737174"/>
          <a:chExt cx="4879937" cy="4022498"/>
        </a:xfrm>
      </xdr:grpSpPr>
      <xdr:pic>
        <xdr:nvPicPr>
          <xdr:cNvPr id="183" name="Picture 182" descr="Z:\Heat\HSFA3\20181130-BTTATThsfa2-3-23-line12FLAGOX\DSC_9755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671" t="12187" r="38943" b="3991"/>
          <a:stretch/>
        </xdr:blipFill>
        <xdr:spPr bwMode="auto">
          <a:xfrm>
            <a:off x="3139006" y="3186621"/>
            <a:ext cx="2979637" cy="3065962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84" name="TextBox 80"/>
          <xdr:cNvSpPr txBox="1"/>
        </xdr:nvSpPr>
        <xdr:spPr>
          <a:xfrm>
            <a:off x="5205412" y="2948708"/>
            <a:ext cx="533400" cy="2944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85" name="TextBox 81"/>
          <xdr:cNvSpPr txBox="1"/>
        </xdr:nvSpPr>
        <xdr:spPr>
          <a:xfrm>
            <a:off x="2990783" y="3124145"/>
            <a:ext cx="771658" cy="2944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86" name="TextBox 82"/>
          <xdr:cNvSpPr txBox="1"/>
        </xdr:nvSpPr>
        <xdr:spPr>
          <a:xfrm>
            <a:off x="2321845" y="4520778"/>
            <a:ext cx="771658" cy="2944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hsfa3</a:t>
            </a:r>
          </a:p>
        </xdr:txBody>
      </xdr:sp>
      <xdr:sp macro="" textlink="">
        <xdr:nvSpPr>
          <xdr:cNvPr id="187" name="TextBox 83"/>
          <xdr:cNvSpPr txBox="1"/>
        </xdr:nvSpPr>
        <xdr:spPr>
          <a:xfrm>
            <a:off x="2990783" y="6098831"/>
            <a:ext cx="959571" cy="2944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hsfa2,3</a:t>
            </a:r>
          </a:p>
        </xdr:txBody>
      </xdr:sp>
      <xdr:sp macro="" textlink="">
        <xdr:nvSpPr>
          <xdr:cNvPr id="188" name="TextBox 84"/>
          <xdr:cNvSpPr txBox="1"/>
        </xdr:nvSpPr>
        <xdr:spPr>
          <a:xfrm>
            <a:off x="5287740" y="6078234"/>
            <a:ext cx="929964" cy="6814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3xFLAG-HSFA3 #12</a:t>
            </a:r>
          </a:p>
        </xdr:txBody>
      </xdr:sp>
      <xdr:sp macro="" textlink="">
        <xdr:nvSpPr>
          <xdr:cNvPr id="189" name="TextBox 85"/>
          <xdr:cNvSpPr txBox="1"/>
        </xdr:nvSpPr>
        <xdr:spPr>
          <a:xfrm>
            <a:off x="6141502" y="4334564"/>
            <a:ext cx="924059" cy="2944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i="1">
                <a:latin typeface="Arial" panose="020B0604020202020204" pitchFamily="34" charset="0"/>
                <a:cs typeface="Arial" panose="020B0604020202020204" pitchFamily="34" charset="0"/>
              </a:rPr>
              <a:t>hsp101</a:t>
            </a:r>
          </a:p>
        </xdr:txBody>
      </xdr:sp>
      <xdr:cxnSp macro="">
        <xdr:nvCxnSpPr>
          <xdr:cNvPr id="190" name="Straight Connector 189"/>
          <xdr:cNvCxnSpPr/>
        </xdr:nvCxnSpPr>
        <xdr:spPr>
          <a:xfrm>
            <a:off x="4621738" y="3194241"/>
            <a:ext cx="0" cy="3079571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1" name="Straight Connector 190"/>
          <xdr:cNvCxnSpPr/>
        </xdr:nvCxnSpPr>
        <xdr:spPr>
          <a:xfrm flipH="1">
            <a:off x="3376612" y="4007041"/>
            <a:ext cx="2514600" cy="1397015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2" name="Straight Connector 191"/>
          <xdr:cNvCxnSpPr/>
        </xdr:nvCxnSpPr>
        <xdr:spPr>
          <a:xfrm flipH="1" flipV="1">
            <a:off x="3376612" y="4007041"/>
            <a:ext cx="2514600" cy="1447800"/>
          </a:xfrm>
          <a:prstGeom prst="line">
            <a:avLst/>
          </a:prstGeom>
          <a:ln w="19050"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3" name="TextBox 89"/>
          <xdr:cNvSpPr txBox="1"/>
        </xdr:nvSpPr>
        <xdr:spPr>
          <a:xfrm>
            <a:off x="2185624" y="2737174"/>
            <a:ext cx="1440595" cy="2944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u="sng">
                <a:latin typeface="Arial" panose="020B0604020202020204" pitchFamily="34" charset="0"/>
                <a:cs typeface="Arial" panose="020B0604020202020204" pitchFamily="34" charset="0"/>
              </a:rPr>
              <a:t>ATT 250min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275617</xdr:colOff>
      <xdr:row>22</xdr:row>
      <xdr:rowOff>145915</xdr:rowOff>
    </xdr:from>
    <xdr:to>
      <xdr:col>11</xdr:col>
      <xdr:colOff>466645</xdr:colOff>
      <xdr:row>37</xdr:row>
      <xdr:rowOff>20943</xdr:rowOff>
    </xdr:to>
    <xdr:grpSp>
      <xdr:nvGrpSpPr>
        <xdr:cNvPr id="31" name="Group 30"/>
        <xdr:cNvGrpSpPr/>
      </xdr:nvGrpSpPr>
      <xdr:grpSpPr>
        <a:xfrm>
          <a:off x="275617" y="4296094"/>
          <a:ext cx="6926564" cy="2664492"/>
          <a:chOff x="-15768" y="4007604"/>
          <a:chExt cx="6896628" cy="2621795"/>
        </a:xfrm>
      </xdr:grpSpPr>
      <xdr:pic>
        <xdr:nvPicPr>
          <xdr:cNvPr id="32" name="Picture 31" descr="E:\HSFA3\20190619_NewSwapBlots\71a3FLAG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355" r="-325" b="1046"/>
          <a:stretch/>
        </xdr:blipFill>
        <xdr:spPr bwMode="auto">
          <a:xfrm rot="10800000">
            <a:off x="380999" y="4669970"/>
            <a:ext cx="3070099" cy="19594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3" name="Picture 32" descr="E:\HSFA3\20190619_NewSwapBlots\71a3Tub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" t="10384" r="-2321" b="5134"/>
          <a:stretch/>
        </xdr:blipFill>
        <xdr:spPr bwMode="auto">
          <a:xfrm rot="10800000">
            <a:off x="3678283" y="4669969"/>
            <a:ext cx="3202577" cy="19594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4" name="Rectangle 33"/>
          <xdr:cNvSpPr/>
        </xdr:nvSpPr>
        <xdr:spPr>
          <a:xfrm rot="120000">
            <a:off x="630746" y="5110398"/>
            <a:ext cx="944797" cy="228600"/>
          </a:xfrm>
          <a:prstGeom prst="rect">
            <a:avLst/>
          </a:prstGeom>
          <a:noFill/>
          <a:ln>
            <a:solidFill>
              <a:schemeClr val="bg1">
                <a:lumMod val="9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35" name="TextBox 107"/>
          <xdr:cNvSpPr txBox="1"/>
        </xdr:nvSpPr>
        <xdr:spPr>
          <a:xfrm>
            <a:off x="370116" y="4491697"/>
            <a:ext cx="2723823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HS:    -      +      -     +                    -     +      -     +   </a:t>
            </a:r>
          </a:p>
        </xdr:txBody>
      </xdr:sp>
      <xdr:cxnSp macro="">
        <xdr:nvCxnSpPr>
          <xdr:cNvPr id="36" name="Straight Connector 35"/>
          <xdr:cNvCxnSpPr/>
        </xdr:nvCxnSpPr>
        <xdr:spPr>
          <a:xfrm>
            <a:off x="736462" y="4545621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Straight Connector 36"/>
          <xdr:cNvCxnSpPr/>
        </xdr:nvCxnSpPr>
        <xdr:spPr>
          <a:xfrm>
            <a:off x="1176081" y="4545621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Straight Connector 37"/>
          <xdr:cNvCxnSpPr/>
        </xdr:nvCxnSpPr>
        <xdr:spPr>
          <a:xfrm>
            <a:off x="2105380" y="4545621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Straight Connector 38"/>
          <xdr:cNvCxnSpPr/>
        </xdr:nvCxnSpPr>
        <xdr:spPr>
          <a:xfrm>
            <a:off x="2539138" y="4545621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TextBox 112"/>
          <xdr:cNvSpPr txBox="1"/>
        </xdr:nvSpPr>
        <xdr:spPr>
          <a:xfrm>
            <a:off x="715950" y="4322883"/>
            <a:ext cx="35779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41" name="TextBox 113"/>
          <xdr:cNvSpPr txBox="1"/>
        </xdr:nvSpPr>
        <xdr:spPr>
          <a:xfrm>
            <a:off x="1069063" y="4325812"/>
            <a:ext cx="595035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pA3::A3</a:t>
            </a:r>
          </a:p>
        </xdr:txBody>
      </xdr:sp>
      <xdr:sp macro="" textlink="">
        <xdr:nvSpPr>
          <xdr:cNvPr id="42" name="TextBox 114"/>
          <xdr:cNvSpPr txBox="1"/>
        </xdr:nvSpPr>
        <xdr:spPr>
          <a:xfrm>
            <a:off x="1986162" y="4220254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pA2::A3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#2</a:t>
            </a:r>
          </a:p>
        </xdr:txBody>
      </xdr:sp>
      <xdr:sp macro="" textlink="">
        <xdr:nvSpPr>
          <xdr:cNvPr id="43" name="TextBox 115"/>
          <xdr:cNvSpPr txBox="1"/>
        </xdr:nvSpPr>
        <xdr:spPr>
          <a:xfrm>
            <a:off x="2439490" y="4220254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pA2::A3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#5</a:t>
            </a:r>
          </a:p>
        </xdr:txBody>
      </xdr:sp>
      <xdr:cxnSp macro="">
        <xdr:nvCxnSpPr>
          <xdr:cNvPr id="44" name="Straight Connector 43"/>
          <xdr:cNvCxnSpPr/>
        </xdr:nvCxnSpPr>
        <xdr:spPr>
          <a:xfrm>
            <a:off x="1176081" y="4253943"/>
            <a:ext cx="174405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TextBox 117"/>
          <xdr:cNvSpPr txBox="1"/>
        </xdr:nvSpPr>
        <xdr:spPr>
          <a:xfrm>
            <a:off x="1522850" y="4071535"/>
            <a:ext cx="588623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46" name="Rectangle 45"/>
          <xdr:cNvSpPr/>
        </xdr:nvSpPr>
        <xdr:spPr>
          <a:xfrm rot="120000">
            <a:off x="2023235" y="5173253"/>
            <a:ext cx="944797" cy="228600"/>
          </a:xfrm>
          <a:prstGeom prst="rect">
            <a:avLst/>
          </a:prstGeom>
          <a:noFill/>
          <a:ln>
            <a:solidFill>
              <a:schemeClr val="bg1">
                <a:lumMod val="9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47" name="Rectangle 46"/>
          <xdr:cNvSpPr/>
        </xdr:nvSpPr>
        <xdr:spPr>
          <a:xfrm>
            <a:off x="3985648" y="5550882"/>
            <a:ext cx="944797" cy="228600"/>
          </a:xfrm>
          <a:prstGeom prst="rect">
            <a:avLst/>
          </a:prstGeom>
          <a:noFill/>
          <a:ln>
            <a:solidFill>
              <a:schemeClr val="bg1">
                <a:lumMod val="9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48" name="TextBox 120"/>
          <xdr:cNvSpPr txBox="1"/>
        </xdr:nvSpPr>
        <xdr:spPr>
          <a:xfrm>
            <a:off x="3745502" y="4427766"/>
            <a:ext cx="2723823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HS:    -      +      -     +                    -     +      -     +   </a:t>
            </a:r>
          </a:p>
        </xdr:txBody>
      </xdr:sp>
      <xdr:cxnSp macro="">
        <xdr:nvCxnSpPr>
          <xdr:cNvPr id="49" name="Straight Connector 48"/>
          <xdr:cNvCxnSpPr/>
        </xdr:nvCxnSpPr>
        <xdr:spPr>
          <a:xfrm>
            <a:off x="4111848" y="4481690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" name="Straight Connector 49"/>
          <xdr:cNvCxnSpPr/>
        </xdr:nvCxnSpPr>
        <xdr:spPr>
          <a:xfrm>
            <a:off x="4551467" y="4481690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" name="Straight Connector 50"/>
          <xdr:cNvCxnSpPr/>
        </xdr:nvCxnSpPr>
        <xdr:spPr>
          <a:xfrm>
            <a:off x="5480766" y="4481690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" name="Straight Connector 51"/>
          <xdr:cNvCxnSpPr/>
        </xdr:nvCxnSpPr>
        <xdr:spPr>
          <a:xfrm>
            <a:off x="5914524" y="4481690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" name="TextBox 125"/>
          <xdr:cNvSpPr txBox="1"/>
        </xdr:nvSpPr>
        <xdr:spPr>
          <a:xfrm>
            <a:off x="4091336" y="4258952"/>
            <a:ext cx="35779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54" name="TextBox 126"/>
          <xdr:cNvSpPr txBox="1"/>
        </xdr:nvSpPr>
        <xdr:spPr>
          <a:xfrm>
            <a:off x="4444449" y="4261881"/>
            <a:ext cx="595035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pA3::A3</a:t>
            </a:r>
          </a:p>
        </xdr:txBody>
      </xdr:sp>
      <xdr:sp macro="" textlink="">
        <xdr:nvSpPr>
          <xdr:cNvPr id="55" name="TextBox 127"/>
          <xdr:cNvSpPr txBox="1"/>
        </xdr:nvSpPr>
        <xdr:spPr>
          <a:xfrm>
            <a:off x="5361548" y="4156323"/>
            <a:ext cx="627095" cy="3693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pA2::A3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#2</a:t>
            </a:r>
          </a:p>
        </xdr:txBody>
      </xdr:sp>
      <xdr:sp macro="" textlink="">
        <xdr:nvSpPr>
          <xdr:cNvPr id="56" name="TextBox 128"/>
          <xdr:cNvSpPr txBox="1"/>
        </xdr:nvSpPr>
        <xdr:spPr>
          <a:xfrm>
            <a:off x="5814876" y="4156323"/>
            <a:ext cx="627095" cy="36933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pA2::A3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#5</a:t>
            </a:r>
          </a:p>
        </xdr:txBody>
      </xdr:sp>
      <xdr:cxnSp macro="">
        <xdr:nvCxnSpPr>
          <xdr:cNvPr id="57" name="Straight Connector 56"/>
          <xdr:cNvCxnSpPr/>
        </xdr:nvCxnSpPr>
        <xdr:spPr>
          <a:xfrm>
            <a:off x="4551467" y="4190012"/>
            <a:ext cx="174405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" name="TextBox 130"/>
          <xdr:cNvSpPr txBox="1"/>
        </xdr:nvSpPr>
        <xdr:spPr>
          <a:xfrm>
            <a:off x="4898236" y="4007604"/>
            <a:ext cx="588623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59" name="Rectangle 58"/>
          <xdr:cNvSpPr/>
        </xdr:nvSpPr>
        <xdr:spPr>
          <a:xfrm>
            <a:off x="5391505" y="5509647"/>
            <a:ext cx="944797" cy="228600"/>
          </a:xfrm>
          <a:prstGeom prst="rect">
            <a:avLst/>
          </a:prstGeom>
          <a:noFill/>
          <a:ln>
            <a:solidFill>
              <a:schemeClr val="bg1">
                <a:lumMod val="9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60" name="TextBox 132"/>
          <xdr:cNvSpPr txBox="1"/>
        </xdr:nvSpPr>
        <xdr:spPr>
          <a:xfrm>
            <a:off x="-15768" y="4616664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250kD</a:t>
            </a:r>
          </a:p>
        </xdr:txBody>
      </xdr:sp>
      <xdr:sp macro="" textlink="">
        <xdr:nvSpPr>
          <xdr:cNvPr id="61" name="TextBox 133"/>
          <xdr:cNvSpPr txBox="1"/>
        </xdr:nvSpPr>
        <xdr:spPr>
          <a:xfrm>
            <a:off x="-15768" y="4785228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130kD</a:t>
            </a:r>
          </a:p>
        </xdr:txBody>
      </xdr:sp>
      <xdr:sp macro="" textlink="">
        <xdr:nvSpPr>
          <xdr:cNvPr id="62" name="TextBox 134"/>
          <xdr:cNvSpPr txBox="1"/>
        </xdr:nvSpPr>
        <xdr:spPr>
          <a:xfrm>
            <a:off x="-15768" y="4937628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100kD</a:t>
            </a:r>
          </a:p>
        </xdr:txBody>
      </xdr:sp>
      <xdr:sp macro="" textlink="">
        <xdr:nvSpPr>
          <xdr:cNvPr id="63" name="TextBox 135"/>
          <xdr:cNvSpPr txBox="1"/>
        </xdr:nvSpPr>
        <xdr:spPr>
          <a:xfrm>
            <a:off x="44662" y="5079132"/>
            <a:ext cx="375182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70kD</a:t>
            </a:r>
          </a:p>
        </xdr:txBody>
      </xdr:sp>
      <xdr:sp macro="" textlink="">
        <xdr:nvSpPr>
          <xdr:cNvPr id="64" name="TextBox 136"/>
          <xdr:cNvSpPr txBox="1"/>
        </xdr:nvSpPr>
        <xdr:spPr>
          <a:xfrm>
            <a:off x="42036" y="5260824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55kD</a:t>
            </a:r>
          </a:p>
        </xdr:txBody>
      </xdr:sp>
      <xdr:sp macro="" textlink="">
        <xdr:nvSpPr>
          <xdr:cNvPr id="65" name="TextBox 137"/>
          <xdr:cNvSpPr txBox="1"/>
        </xdr:nvSpPr>
        <xdr:spPr>
          <a:xfrm>
            <a:off x="3409950" y="4861677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250kD</a:t>
            </a:r>
          </a:p>
        </xdr:txBody>
      </xdr:sp>
      <xdr:sp macro="" textlink="">
        <xdr:nvSpPr>
          <xdr:cNvPr id="66" name="TextBox 138"/>
          <xdr:cNvSpPr txBox="1"/>
        </xdr:nvSpPr>
        <xdr:spPr>
          <a:xfrm>
            <a:off x="3409950" y="5030241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130kD</a:t>
            </a:r>
          </a:p>
        </xdr:txBody>
      </xdr:sp>
      <xdr:sp macro="" textlink="">
        <xdr:nvSpPr>
          <xdr:cNvPr id="67" name="TextBox 139"/>
          <xdr:cNvSpPr txBox="1"/>
        </xdr:nvSpPr>
        <xdr:spPr>
          <a:xfrm>
            <a:off x="3409950" y="5182641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100kD</a:t>
            </a:r>
          </a:p>
        </xdr:txBody>
      </xdr:sp>
      <xdr:sp macro="" textlink="">
        <xdr:nvSpPr>
          <xdr:cNvPr id="68" name="TextBox 140"/>
          <xdr:cNvSpPr txBox="1"/>
        </xdr:nvSpPr>
        <xdr:spPr>
          <a:xfrm>
            <a:off x="3474071" y="5339385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70kD</a:t>
            </a:r>
          </a:p>
        </xdr:txBody>
      </xdr:sp>
      <xdr:sp macro="" textlink="">
        <xdr:nvSpPr>
          <xdr:cNvPr id="69" name="TextBox 141"/>
          <xdr:cNvSpPr txBox="1"/>
        </xdr:nvSpPr>
        <xdr:spPr>
          <a:xfrm>
            <a:off x="3474071" y="5528697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55kD</a:t>
            </a:r>
          </a:p>
        </xdr:txBody>
      </xdr:sp>
      <xdr:sp macro="" textlink="">
        <xdr:nvSpPr>
          <xdr:cNvPr id="70" name="TextBox 142"/>
          <xdr:cNvSpPr txBox="1"/>
        </xdr:nvSpPr>
        <xdr:spPr>
          <a:xfrm>
            <a:off x="3731036" y="6370746"/>
            <a:ext cx="482824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900">
                <a:latin typeface="Arial" panose="020B0604020202020204" pitchFamily="34" charset="0"/>
                <a:cs typeface="Arial" panose="020B0604020202020204" pitchFamily="34" charset="0"/>
              </a:rPr>
              <a:t>α</a:t>
            </a:r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TUB</a:t>
            </a:r>
          </a:p>
        </xdr:txBody>
      </xdr:sp>
      <xdr:sp macro="" textlink="">
        <xdr:nvSpPr>
          <xdr:cNvPr id="71" name="TextBox 143"/>
          <xdr:cNvSpPr txBox="1"/>
        </xdr:nvSpPr>
        <xdr:spPr>
          <a:xfrm>
            <a:off x="471488" y="6369991"/>
            <a:ext cx="553357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900">
                <a:latin typeface="Arial" panose="020B0604020202020204" pitchFamily="34" charset="0"/>
                <a:cs typeface="Arial" panose="020B0604020202020204" pitchFamily="34" charset="0"/>
              </a:rPr>
              <a:t>α</a:t>
            </a:r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FLAG</a:t>
            </a:r>
          </a:p>
        </xdr:txBody>
      </xdr:sp>
    </xdr:grpSp>
    <xdr:clientData/>
  </xdr:twoCellAnchor>
  <xdr:twoCellAnchor>
    <xdr:from>
      <xdr:col>0</xdr:col>
      <xdr:colOff>194553</xdr:colOff>
      <xdr:row>42</xdr:row>
      <xdr:rowOff>56745</xdr:rowOff>
    </xdr:from>
    <xdr:to>
      <xdr:col>11</xdr:col>
      <xdr:colOff>481223</xdr:colOff>
      <xdr:row>57</xdr:row>
      <xdr:rowOff>98741</xdr:rowOff>
    </xdr:to>
    <xdr:grpSp>
      <xdr:nvGrpSpPr>
        <xdr:cNvPr id="148" name="Group 147"/>
        <xdr:cNvGrpSpPr/>
      </xdr:nvGrpSpPr>
      <xdr:grpSpPr>
        <a:xfrm>
          <a:off x="194553" y="7948888"/>
          <a:ext cx="7022206" cy="2899496"/>
          <a:chOff x="-58070" y="1668376"/>
          <a:chExt cx="6992270" cy="2785196"/>
        </a:xfrm>
      </xdr:grpSpPr>
      <xdr:pic>
        <xdr:nvPicPr>
          <xdr:cNvPr id="149" name="Picture 148" descr="G:\20191002-new70a2blots\70a2GFP30sec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305" t="43925" r="27333" b="7476"/>
          <a:stretch/>
        </xdr:blipFill>
        <xdr:spPr bwMode="auto">
          <a:xfrm>
            <a:off x="314843" y="2249844"/>
            <a:ext cx="3075576" cy="220372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50" name="Picture 149" descr="G:\20191002-new70a2blots\70a2tub2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637" t="46777" r="29259" b="4584"/>
          <a:stretch/>
        </xdr:blipFill>
        <xdr:spPr bwMode="auto">
          <a:xfrm>
            <a:off x="3801758" y="2332640"/>
            <a:ext cx="3132442" cy="210871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51" name="Rectangle 150"/>
          <xdr:cNvSpPr/>
        </xdr:nvSpPr>
        <xdr:spPr>
          <a:xfrm>
            <a:off x="577955" y="2585750"/>
            <a:ext cx="1828800" cy="201491"/>
          </a:xfrm>
          <a:prstGeom prst="rect">
            <a:avLst/>
          </a:prstGeom>
          <a:noFill/>
          <a:ln>
            <a:solidFill>
              <a:schemeClr val="bg1">
                <a:lumMod val="9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152" name="TextBox 145"/>
          <xdr:cNvSpPr txBox="1"/>
        </xdr:nvSpPr>
        <xdr:spPr>
          <a:xfrm>
            <a:off x="241281" y="2088538"/>
            <a:ext cx="2242922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HS:    -      +      -     +     -     +      -     +   </a:t>
            </a:r>
          </a:p>
        </xdr:txBody>
      </xdr:sp>
      <xdr:cxnSp macro="">
        <xdr:nvCxnSpPr>
          <xdr:cNvPr id="153" name="Straight Connector 152"/>
          <xdr:cNvCxnSpPr/>
        </xdr:nvCxnSpPr>
        <xdr:spPr>
          <a:xfrm>
            <a:off x="607627" y="2142462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4" name="Straight Connector 153"/>
          <xdr:cNvCxnSpPr/>
        </xdr:nvCxnSpPr>
        <xdr:spPr>
          <a:xfrm>
            <a:off x="1047246" y="2142462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5" name="Straight Connector 154"/>
          <xdr:cNvCxnSpPr/>
        </xdr:nvCxnSpPr>
        <xdr:spPr>
          <a:xfrm>
            <a:off x="1507371" y="2142462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6" name="Straight Connector 155"/>
          <xdr:cNvCxnSpPr/>
        </xdr:nvCxnSpPr>
        <xdr:spPr>
          <a:xfrm>
            <a:off x="1941129" y="2142462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7" name="TextBox 150"/>
          <xdr:cNvSpPr txBox="1"/>
        </xdr:nvSpPr>
        <xdr:spPr>
          <a:xfrm>
            <a:off x="587115" y="1919724"/>
            <a:ext cx="35779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58" name="TextBox 151"/>
          <xdr:cNvSpPr txBox="1"/>
        </xdr:nvSpPr>
        <xdr:spPr>
          <a:xfrm>
            <a:off x="940228" y="1922653"/>
            <a:ext cx="595035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pA2::A2</a:t>
            </a:r>
          </a:p>
        </xdr:txBody>
      </xdr:sp>
      <xdr:sp macro="" textlink="">
        <xdr:nvSpPr>
          <xdr:cNvPr id="159" name="TextBox 152"/>
          <xdr:cNvSpPr txBox="1"/>
        </xdr:nvSpPr>
        <xdr:spPr>
          <a:xfrm>
            <a:off x="1388153" y="1817095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pA3::A2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#4</a:t>
            </a:r>
          </a:p>
        </xdr:txBody>
      </xdr:sp>
      <xdr:sp macro="" textlink="">
        <xdr:nvSpPr>
          <xdr:cNvPr id="160" name="TextBox 153"/>
          <xdr:cNvSpPr txBox="1"/>
        </xdr:nvSpPr>
        <xdr:spPr>
          <a:xfrm>
            <a:off x="1857782" y="1817095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pA3::A2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#8</a:t>
            </a:r>
          </a:p>
        </xdr:txBody>
      </xdr:sp>
      <xdr:cxnSp macro="">
        <xdr:nvCxnSpPr>
          <xdr:cNvPr id="161" name="Straight Connector 160"/>
          <xdr:cNvCxnSpPr/>
        </xdr:nvCxnSpPr>
        <xdr:spPr>
          <a:xfrm>
            <a:off x="1047246" y="1850784"/>
            <a:ext cx="12748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2" name="TextBox 155"/>
          <xdr:cNvSpPr txBox="1"/>
        </xdr:nvSpPr>
        <xdr:spPr>
          <a:xfrm>
            <a:off x="1447800" y="1668376"/>
            <a:ext cx="466794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63" name="TextBox 156"/>
          <xdr:cNvSpPr txBox="1"/>
        </xdr:nvSpPr>
        <xdr:spPr>
          <a:xfrm>
            <a:off x="-58070" y="2316093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250kD</a:t>
            </a:r>
          </a:p>
        </xdr:txBody>
      </xdr:sp>
      <xdr:sp macro="" textlink="">
        <xdr:nvSpPr>
          <xdr:cNvPr id="164" name="TextBox 157"/>
          <xdr:cNvSpPr txBox="1"/>
        </xdr:nvSpPr>
        <xdr:spPr>
          <a:xfrm>
            <a:off x="-58070" y="2436168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130kD</a:t>
            </a:r>
          </a:p>
        </xdr:txBody>
      </xdr:sp>
      <xdr:sp macro="" textlink="">
        <xdr:nvSpPr>
          <xdr:cNvPr id="165" name="TextBox 158"/>
          <xdr:cNvSpPr txBox="1"/>
        </xdr:nvSpPr>
        <xdr:spPr>
          <a:xfrm>
            <a:off x="-58070" y="2559076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100kD</a:t>
            </a:r>
          </a:p>
        </xdr:txBody>
      </xdr:sp>
      <xdr:sp macro="" textlink="">
        <xdr:nvSpPr>
          <xdr:cNvPr id="166" name="TextBox 159"/>
          <xdr:cNvSpPr txBox="1"/>
        </xdr:nvSpPr>
        <xdr:spPr>
          <a:xfrm>
            <a:off x="6051" y="2681353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70kD</a:t>
            </a:r>
          </a:p>
        </xdr:txBody>
      </xdr:sp>
      <xdr:sp macro="" textlink="">
        <xdr:nvSpPr>
          <xdr:cNvPr id="167" name="TextBox 160"/>
          <xdr:cNvSpPr txBox="1"/>
        </xdr:nvSpPr>
        <xdr:spPr>
          <a:xfrm>
            <a:off x="6051" y="2836317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55kD</a:t>
            </a:r>
          </a:p>
        </xdr:txBody>
      </xdr:sp>
      <xdr:sp macro="" textlink="">
        <xdr:nvSpPr>
          <xdr:cNvPr id="168" name="TextBox 161"/>
          <xdr:cNvSpPr txBox="1"/>
        </xdr:nvSpPr>
        <xdr:spPr>
          <a:xfrm>
            <a:off x="489331" y="4149914"/>
            <a:ext cx="48923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900">
                <a:latin typeface="Arial" panose="020B0604020202020204" pitchFamily="34" charset="0"/>
                <a:cs typeface="Arial" panose="020B0604020202020204" pitchFamily="34" charset="0"/>
              </a:rPr>
              <a:t>α</a:t>
            </a:r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GFP</a:t>
            </a:r>
          </a:p>
        </xdr:txBody>
      </xdr:sp>
      <xdr:sp macro="" textlink="">
        <xdr:nvSpPr>
          <xdr:cNvPr id="169" name="Rectangle 168"/>
          <xdr:cNvSpPr/>
        </xdr:nvSpPr>
        <xdr:spPr>
          <a:xfrm rot="21327607">
            <a:off x="4113007" y="2996885"/>
            <a:ext cx="1747984" cy="201491"/>
          </a:xfrm>
          <a:prstGeom prst="rect">
            <a:avLst/>
          </a:prstGeom>
          <a:noFill/>
          <a:ln>
            <a:solidFill>
              <a:schemeClr val="bg1">
                <a:lumMod val="9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170" name="TextBox 163"/>
          <xdr:cNvSpPr txBox="1"/>
        </xdr:nvSpPr>
        <xdr:spPr>
          <a:xfrm>
            <a:off x="3776204" y="2240938"/>
            <a:ext cx="2242922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HS:    -      +     -     +     -     +     -     +   </a:t>
            </a:r>
          </a:p>
        </xdr:txBody>
      </xdr:sp>
      <xdr:cxnSp macro="">
        <xdr:nvCxnSpPr>
          <xdr:cNvPr id="171" name="Straight Connector 170"/>
          <xdr:cNvCxnSpPr/>
        </xdr:nvCxnSpPr>
        <xdr:spPr>
          <a:xfrm>
            <a:off x="4142550" y="2294862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2" name="Straight Connector 171"/>
          <xdr:cNvCxnSpPr/>
        </xdr:nvCxnSpPr>
        <xdr:spPr>
          <a:xfrm>
            <a:off x="4582169" y="2294862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3" name="Straight Connector 172"/>
          <xdr:cNvCxnSpPr/>
        </xdr:nvCxnSpPr>
        <xdr:spPr>
          <a:xfrm>
            <a:off x="5042294" y="2294862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4" name="Straight Connector 173"/>
          <xdr:cNvCxnSpPr/>
        </xdr:nvCxnSpPr>
        <xdr:spPr>
          <a:xfrm>
            <a:off x="5476052" y="2294862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5" name="TextBox 168"/>
          <xdr:cNvSpPr txBox="1"/>
        </xdr:nvSpPr>
        <xdr:spPr>
          <a:xfrm>
            <a:off x="4122038" y="2072124"/>
            <a:ext cx="35779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76" name="TextBox 169"/>
          <xdr:cNvSpPr txBox="1"/>
        </xdr:nvSpPr>
        <xdr:spPr>
          <a:xfrm>
            <a:off x="4475151" y="2075053"/>
            <a:ext cx="595035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pA2::A2</a:t>
            </a:r>
          </a:p>
        </xdr:txBody>
      </xdr:sp>
      <xdr:sp macro="" textlink="">
        <xdr:nvSpPr>
          <xdr:cNvPr id="177" name="TextBox 170"/>
          <xdr:cNvSpPr txBox="1"/>
        </xdr:nvSpPr>
        <xdr:spPr>
          <a:xfrm>
            <a:off x="4923076" y="1969495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pA3::A2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#4</a:t>
            </a:r>
          </a:p>
        </xdr:txBody>
      </xdr:sp>
      <xdr:sp macro="" textlink="">
        <xdr:nvSpPr>
          <xdr:cNvPr id="178" name="TextBox 171"/>
          <xdr:cNvSpPr txBox="1"/>
        </xdr:nvSpPr>
        <xdr:spPr>
          <a:xfrm>
            <a:off x="5392705" y="1969495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pA3::A2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#8</a:t>
            </a:r>
          </a:p>
        </xdr:txBody>
      </xdr:sp>
      <xdr:cxnSp macro="">
        <xdr:nvCxnSpPr>
          <xdr:cNvPr id="179" name="Straight Connector 178"/>
          <xdr:cNvCxnSpPr/>
        </xdr:nvCxnSpPr>
        <xdr:spPr>
          <a:xfrm>
            <a:off x="4608682" y="2003184"/>
            <a:ext cx="124837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0" name="TextBox 173"/>
          <xdr:cNvSpPr txBox="1"/>
        </xdr:nvSpPr>
        <xdr:spPr>
          <a:xfrm>
            <a:off x="5019606" y="1820776"/>
            <a:ext cx="466794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181" name="TextBox 174"/>
          <xdr:cNvSpPr txBox="1"/>
        </xdr:nvSpPr>
        <xdr:spPr>
          <a:xfrm>
            <a:off x="3467100" y="2508399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250kD</a:t>
            </a:r>
          </a:p>
        </xdr:txBody>
      </xdr:sp>
      <xdr:sp macro="" textlink="">
        <xdr:nvSpPr>
          <xdr:cNvPr id="182" name="TextBox 175"/>
          <xdr:cNvSpPr txBox="1"/>
        </xdr:nvSpPr>
        <xdr:spPr>
          <a:xfrm>
            <a:off x="3467100" y="2617044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130kD</a:t>
            </a:r>
          </a:p>
        </xdr:txBody>
      </xdr:sp>
      <xdr:sp macro="" textlink="">
        <xdr:nvSpPr>
          <xdr:cNvPr id="183" name="TextBox 176"/>
          <xdr:cNvSpPr txBox="1"/>
        </xdr:nvSpPr>
        <xdr:spPr>
          <a:xfrm>
            <a:off x="3467100" y="2739952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100kD</a:t>
            </a:r>
          </a:p>
        </xdr:txBody>
      </xdr:sp>
      <xdr:sp macro="" textlink="">
        <xdr:nvSpPr>
          <xdr:cNvPr id="184" name="TextBox 177"/>
          <xdr:cNvSpPr txBox="1"/>
        </xdr:nvSpPr>
        <xdr:spPr>
          <a:xfrm>
            <a:off x="3531221" y="2867944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70kD</a:t>
            </a:r>
          </a:p>
        </xdr:txBody>
      </xdr:sp>
      <xdr:sp macro="" textlink="">
        <xdr:nvSpPr>
          <xdr:cNvPr id="185" name="TextBox 178"/>
          <xdr:cNvSpPr txBox="1"/>
        </xdr:nvSpPr>
        <xdr:spPr>
          <a:xfrm>
            <a:off x="3531221" y="3013383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55kD</a:t>
            </a:r>
          </a:p>
        </xdr:txBody>
      </xdr:sp>
      <xdr:sp macro="" textlink="">
        <xdr:nvSpPr>
          <xdr:cNvPr id="186" name="TextBox 179"/>
          <xdr:cNvSpPr txBox="1"/>
        </xdr:nvSpPr>
        <xdr:spPr>
          <a:xfrm>
            <a:off x="3877420" y="4176619"/>
            <a:ext cx="450764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900">
                <a:latin typeface="Arial" panose="020B0604020202020204" pitchFamily="34" charset="0"/>
                <a:cs typeface="Arial" panose="020B0604020202020204" pitchFamily="34" charset="0"/>
              </a:rPr>
              <a:t>α</a:t>
            </a:r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Tub</a:t>
            </a:r>
          </a:p>
        </xdr:txBody>
      </xdr:sp>
    </xdr:grpSp>
    <xdr:clientData/>
  </xdr:twoCellAnchor>
  <xdr:twoCellAnchor>
    <xdr:from>
      <xdr:col>0</xdr:col>
      <xdr:colOff>518808</xdr:colOff>
      <xdr:row>4</xdr:row>
      <xdr:rowOff>72958</xdr:rowOff>
    </xdr:from>
    <xdr:to>
      <xdr:col>11</xdr:col>
      <xdr:colOff>310617</xdr:colOff>
      <xdr:row>18</xdr:row>
      <xdr:rowOff>155449</xdr:rowOff>
    </xdr:to>
    <xdr:grpSp>
      <xdr:nvGrpSpPr>
        <xdr:cNvPr id="187" name="Group 186"/>
        <xdr:cNvGrpSpPr/>
      </xdr:nvGrpSpPr>
      <xdr:grpSpPr>
        <a:xfrm>
          <a:off x="518808" y="807744"/>
          <a:ext cx="6527345" cy="2749491"/>
          <a:chOff x="-91783" y="5630333"/>
          <a:chExt cx="6495788" cy="2642811"/>
        </a:xfrm>
      </xdr:grpSpPr>
      <xdr:pic>
        <xdr:nvPicPr>
          <xdr:cNvPr id="188" name="Picture 187" descr="E:\HSFA3\20190619_NewSwapBlots\71a2FLAG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59" t="4640" r="1439" b="777"/>
          <a:stretch/>
        </xdr:blipFill>
        <xdr:spPr bwMode="auto">
          <a:xfrm rot="10800000">
            <a:off x="310118" y="6222998"/>
            <a:ext cx="2959268" cy="201214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89" name="Picture 188" descr="E:\HSFA3\20190619_NewSwapBlots\71a2Tub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575" t="12" r="529" b="-3481"/>
          <a:stretch/>
        </xdr:blipFill>
        <xdr:spPr bwMode="auto">
          <a:xfrm rot="10800000">
            <a:off x="3435312" y="6241245"/>
            <a:ext cx="2968693" cy="199390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90" name="Rectangle 189"/>
          <xdr:cNvSpPr/>
        </xdr:nvSpPr>
        <xdr:spPr>
          <a:xfrm>
            <a:off x="585782" y="6715000"/>
            <a:ext cx="1828800" cy="228600"/>
          </a:xfrm>
          <a:prstGeom prst="rect">
            <a:avLst/>
          </a:prstGeom>
          <a:noFill/>
          <a:ln>
            <a:solidFill>
              <a:schemeClr val="bg1">
                <a:lumMod val="9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191" name="TextBox 65"/>
          <xdr:cNvSpPr txBox="1"/>
        </xdr:nvSpPr>
        <xdr:spPr>
          <a:xfrm>
            <a:off x="280982" y="6050495"/>
            <a:ext cx="2242922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HS:    -      +      -     +     -     +      -     +   </a:t>
            </a:r>
          </a:p>
        </xdr:txBody>
      </xdr:sp>
      <xdr:cxnSp macro="">
        <xdr:nvCxnSpPr>
          <xdr:cNvPr id="192" name="Straight Connector 191"/>
          <xdr:cNvCxnSpPr/>
        </xdr:nvCxnSpPr>
        <xdr:spPr>
          <a:xfrm>
            <a:off x="647328" y="6104419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3" name="Straight Connector 192"/>
          <xdr:cNvCxnSpPr/>
        </xdr:nvCxnSpPr>
        <xdr:spPr>
          <a:xfrm>
            <a:off x="1086947" y="6104419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4" name="Straight Connector 193"/>
          <xdr:cNvCxnSpPr/>
        </xdr:nvCxnSpPr>
        <xdr:spPr>
          <a:xfrm>
            <a:off x="1547072" y="6104419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5" name="Straight Connector 194"/>
          <xdr:cNvCxnSpPr/>
        </xdr:nvCxnSpPr>
        <xdr:spPr>
          <a:xfrm>
            <a:off x="1980830" y="6104419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6" name="TextBox 94"/>
          <xdr:cNvSpPr txBox="1"/>
        </xdr:nvSpPr>
        <xdr:spPr>
          <a:xfrm>
            <a:off x="626816" y="5881681"/>
            <a:ext cx="35779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197" name="TextBox 95"/>
          <xdr:cNvSpPr txBox="1"/>
        </xdr:nvSpPr>
        <xdr:spPr>
          <a:xfrm>
            <a:off x="979929" y="5884610"/>
            <a:ext cx="595035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pA3::A3</a:t>
            </a:r>
          </a:p>
        </xdr:txBody>
      </xdr:sp>
      <xdr:sp macro="" textlink="">
        <xdr:nvSpPr>
          <xdr:cNvPr id="198" name="TextBox 96"/>
          <xdr:cNvSpPr txBox="1"/>
        </xdr:nvSpPr>
        <xdr:spPr>
          <a:xfrm>
            <a:off x="1427854" y="5779052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pA2::A3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#1</a:t>
            </a:r>
          </a:p>
        </xdr:txBody>
      </xdr:sp>
      <xdr:sp macro="" textlink="">
        <xdr:nvSpPr>
          <xdr:cNvPr id="199" name="TextBox 97"/>
          <xdr:cNvSpPr txBox="1"/>
        </xdr:nvSpPr>
        <xdr:spPr>
          <a:xfrm>
            <a:off x="1881182" y="5779052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pA2::A3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#11</a:t>
            </a:r>
          </a:p>
        </xdr:txBody>
      </xdr:sp>
      <xdr:cxnSp macro="">
        <xdr:nvCxnSpPr>
          <xdr:cNvPr id="200" name="Straight Connector 199"/>
          <xdr:cNvCxnSpPr/>
        </xdr:nvCxnSpPr>
        <xdr:spPr>
          <a:xfrm>
            <a:off x="1535263" y="5812741"/>
            <a:ext cx="826567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1" name="TextBox 99"/>
          <xdr:cNvSpPr txBox="1"/>
        </xdr:nvSpPr>
        <xdr:spPr>
          <a:xfrm>
            <a:off x="1697832" y="5630333"/>
            <a:ext cx="466794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202" name="TextBox 100"/>
          <xdr:cNvSpPr txBox="1"/>
        </xdr:nvSpPr>
        <xdr:spPr>
          <a:xfrm>
            <a:off x="-91783" y="6224689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250kD</a:t>
            </a:r>
          </a:p>
        </xdr:txBody>
      </xdr:sp>
      <xdr:sp macro="" textlink="">
        <xdr:nvSpPr>
          <xdr:cNvPr id="203" name="TextBox 120"/>
          <xdr:cNvSpPr txBox="1"/>
        </xdr:nvSpPr>
        <xdr:spPr>
          <a:xfrm>
            <a:off x="-91783" y="6393253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130kD</a:t>
            </a:r>
          </a:p>
        </xdr:txBody>
      </xdr:sp>
      <xdr:sp macro="" textlink="">
        <xdr:nvSpPr>
          <xdr:cNvPr id="204" name="TextBox 121"/>
          <xdr:cNvSpPr txBox="1"/>
        </xdr:nvSpPr>
        <xdr:spPr>
          <a:xfrm>
            <a:off x="-91783" y="6545653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100kD</a:t>
            </a:r>
          </a:p>
        </xdr:txBody>
      </xdr:sp>
      <xdr:sp macro="" textlink="">
        <xdr:nvSpPr>
          <xdr:cNvPr id="205" name="TextBox 122"/>
          <xdr:cNvSpPr txBox="1"/>
        </xdr:nvSpPr>
        <xdr:spPr>
          <a:xfrm>
            <a:off x="-27662" y="6704302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70kD</a:t>
            </a:r>
          </a:p>
        </xdr:txBody>
      </xdr:sp>
      <xdr:sp macro="" textlink="">
        <xdr:nvSpPr>
          <xdr:cNvPr id="206" name="TextBox 123"/>
          <xdr:cNvSpPr txBox="1"/>
        </xdr:nvSpPr>
        <xdr:spPr>
          <a:xfrm>
            <a:off x="-27662" y="6898186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55kD</a:t>
            </a:r>
          </a:p>
        </xdr:txBody>
      </xdr:sp>
      <xdr:sp macro="" textlink="">
        <xdr:nvSpPr>
          <xdr:cNvPr id="207" name="Rectangle 206"/>
          <xdr:cNvSpPr/>
        </xdr:nvSpPr>
        <xdr:spPr>
          <a:xfrm>
            <a:off x="3614752" y="7116405"/>
            <a:ext cx="1828800" cy="228600"/>
          </a:xfrm>
          <a:prstGeom prst="rect">
            <a:avLst/>
          </a:prstGeom>
          <a:noFill/>
          <a:ln>
            <a:solidFill>
              <a:schemeClr val="bg1">
                <a:lumMod val="9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208" name="TextBox 125"/>
          <xdr:cNvSpPr txBox="1"/>
        </xdr:nvSpPr>
        <xdr:spPr>
          <a:xfrm>
            <a:off x="3314700" y="6794808"/>
            <a:ext cx="2242922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HS:    -      +      -     +     -     +      -     +   </a:t>
            </a:r>
          </a:p>
        </xdr:txBody>
      </xdr:sp>
      <xdr:cxnSp macro="">
        <xdr:nvCxnSpPr>
          <xdr:cNvPr id="209" name="Straight Connector 208"/>
          <xdr:cNvCxnSpPr/>
        </xdr:nvCxnSpPr>
        <xdr:spPr>
          <a:xfrm>
            <a:off x="3681046" y="6848732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0" name="Straight Connector 209"/>
          <xdr:cNvCxnSpPr/>
        </xdr:nvCxnSpPr>
        <xdr:spPr>
          <a:xfrm>
            <a:off x="4120665" y="6848732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1" name="Straight Connector 210"/>
          <xdr:cNvCxnSpPr/>
        </xdr:nvCxnSpPr>
        <xdr:spPr>
          <a:xfrm>
            <a:off x="4580790" y="6848732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2" name="Straight Connector 211"/>
          <xdr:cNvCxnSpPr/>
        </xdr:nvCxnSpPr>
        <xdr:spPr>
          <a:xfrm>
            <a:off x="5014548" y="6848732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3" name="TextBox 130"/>
          <xdr:cNvSpPr txBox="1"/>
        </xdr:nvSpPr>
        <xdr:spPr>
          <a:xfrm>
            <a:off x="3660534" y="6625994"/>
            <a:ext cx="35779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214" name="TextBox 131"/>
          <xdr:cNvSpPr txBox="1"/>
        </xdr:nvSpPr>
        <xdr:spPr>
          <a:xfrm>
            <a:off x="4013647" y="6628923"/>
            <a:ext cx="595035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pA3::A3</a:t>
            </a:r>
          </a:p>
        </xdr:txBody>
      </xdr:sp>
      <xdr:sp macro="" textlink="">
        <xdr:nvSpPr>
          <xdr:cNvPr id="215" name="TextBox 132"/>
          <xdr:cNvSpPr txBox="1"/>
        </xdr:nvSpPr>
        <xdr:spPr>
          <a:xfrm>
            <a:off x="4461572" y="6523365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pA2::A3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#1</a:t>
            </a:r>
          </a:p>
        </xdr:txBody>
      </xdr:sp>
      <xdr:sp macro="" textlink="">
        <xdr:nvSpPr>
          <xdr:cNvPr id="216" name="TextBox 133"/>
          <xdr:cNvSpPr txBox="1"/>
        </xdr:nvSpPr>
        <xdr:spPr>
          <a:xfrm>
            <a:off x="4914900" y="6523365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pA2::A3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#11</a:t>
            </a:r>
          </a:p>
        </xdr:txBody>
      </xdr:sp>
      <xdr:cxnSp macro="">
        <xdr:nvCxnSpPr>
          <xdr:cNvPr id="217" name="Straight Connector 216"/>
          <xdr:cNvCxnSpPr/>
        </xdr:nvCxnSpPr>
        <xdr:spPr>
          <a:xfrm>
            <a:off x="4580790" y="6557054"/>
            <a:ext cx="814758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8" name="TextBox 135"/>
          <xdr:cNvSpPr txBox="1"/>
        </xdr:nvSpPr>
        <xdr:spPr>
          <a:xfrm>
            <a:off x="4731550" y="6374646"/>
            <a:ext cx="466794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hsfa2</a:t>
            </a:r>
          </a:p>
        </xdr:txBody>
      </xdr:sp>
      <xdr:sp macro="" textlink="">
        <xdr:nvSpPr>
          <xdr:cNvPr id="219" name="TextBox 140"/>
          <xdr:cNvSpPr txBox="1"/>
        </xdr:nvSpPr>
        <xdr:spPr>
          <a:xfrm>
            <a:off x="3163434" y="7020953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55kD</a:t>
            </a:r>
          </a:p>
        </xdr:txBody>
      </xdr:sp>
      <xdr:sp macro="" textlink="">
        <xdr:nvSpPr>
          <xdr:cNvPr id="220" name="Right Brace 219"/>
          <xdr:cNvSpPr/>
        </xdr:nvSpPr>
        <xdr:spPr>
          <a:xfrm>
            <a:off x="5813011" y="6322710"/>
            <a:ext cx="120649" cy="673497"/>
          </a:xfrm>
          <a:prstGeom prst="rightBrac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221" name="TextBox 141"/>
          <xdr:cNvSpPr txBox="1"/>
        </xdr:nvSpPr>
        <xdr:spPr>
          <a:xfrm>
            <a:off x="5905738" y="6268040"/>
            <a:ext cx="492443" cy="7848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solidFill>
                  <a:schemeClr val="accent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Scan </a:t>
            </a:r>
          </a:p>
          <a:p>
            <a:r>
              <a:rPr lang="de-DE" sz="900" i="1">
                <a:solidFill>
                  <a:schemeClr val="accent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failed </a:t>
            </a:r>
          </a:p>
          <a:p>
            <a:r>
              <a:rPr lang="de-DE" sz="900" i="1">
                <a:solidFill>
                  <a:schemeClr val="accent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in </a:t>
            </a:r>
          </a:p>
          <a:p>
            <a:r>
              <a:rPr lang="de-DE" sz="900" i="1">
                <a:solidFill>
                  <a:schemeClr val="accent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this </a:t>
            </a:r>
          </a:p>
          <a:p>
            <a:r>
              <a:rPr lang="de-DE" sz="900" i="1">
                <a:solidFill>
                  <a:schemeClr val="accent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area</a:t>
            </a:r>
          </a:p>
        </xdr:txBody>
      </xdr:sp>
      <xdr:sp macro="" textlink="">
        <xdr:nvSpPr>
          <xdr:cNvPr id="222" name="TextBox 142"/>
          <xdr:cNvSpPr txBox="1"/>
        </xdr:nvSpPr>
        <xdr:spPr>
          <a:xfrm>
            <a:off x="3629662" y="8042312"/>
            <a:ext cx="482824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900">
                <a:latin typeface="Arial" panose="020B0604020202020204" pitchFamily="34" charset="0"/>
                <a:cs typeface="Arial" panose="020B0604020202020204" pitchFamily="34" charset="0"/>
              </a:rPr>
              <a:t>α</a:t>
            </a:r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TUB</a:t>
            </a:r>
          </a:p>
        </xdr:txBody>
      </xdr:sp>
      <xdr:sp macro="" textlink="">
        <xdr:nvSpPr>
          <xdr:cNvPr id="223" name="TextBox 143"/>
          <xdr:cNvSpPr txBox="1"/>
        </xdr:nvSpPr>
        <xdr:spPr>
          <a:xfrm>
            <a:off x="370114" y="8041557"/>
            <a:ext cx="553357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900">
                <a:latin typeface="Arial" panose="020B0604020202020204" pitchFamily="34" charset="0"/>
                <a:cs typeface="Arial" panose="020B0604020202020204" pitchFamily="34" charset="0"/>
              </a:rPr>
              <a:t>α</a:t>
            </a:r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FLAG</a:t>
            </a:r>
          </a:p>
        </xdr:txBody>
      </xdr:sp>
    </xdr:grpSp>
    <xdr:clientData/>
  </xdr:twoCellAnchor>
  <xdr:twoCellAnchor>
    <xdr:from>
      <xdr:col>0</xdr:col>
      <xdr:colOff>275617</xdr:colOff>
      <xdr:row>61</xdr:row>
      <xdr:rowOff>0</xdr:rowOff>
    </xdr:from>
    <xdr:to>
      <xdr:col>11</xdr:col>
      <xdr:colOff>176462</xdr:colOff>
      <xdr:row>75</xdr:row>
      <xdr:rowOff>175342</xdr:rowOff>
    </xdr:to>
    <xdr:grpSp>
      <xdr:nvGrpSpPr>
        <xdr:cNvPr id="261" name="Group 260"/>
        <xdr:cNvGrpSpPr/>
      </xdr:nvGrpSpPr>
      <xdr:grpSpPr>
        <a:xfrm>
          <a:off x="275617" y="11511643"/>
          <a:ext cx="6636381" cy="2842342"/>
          <a:chOff x="148687" y="-73738"/>
          <a:chExt cx="6604824" cy="2735662"/>
        </a:xfrm>
      </xdr:grpSpPr>
      <xdr:pic>
        <xdr:nvPicPr>
          <xdr:cNvPr id="262" name="Picture 261" descr="E:\SwapBlots\20190621_70a3GFP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08" r="3156" b="4372"/>
          <a:stretch/>
        </xdr:blipFill>
        <xdr:spPr bwMode="auto">
          <a:xfrm rot="10800000">
            <a:off x="540405" y="553722"/>
            <a:ext cx="2945872" cy="210820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63" name="Picture 262" descr="E:\SwapBlots\20190621_70a3tub.tif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43" r="-1002" b="2520"/>
          <a:stretch/>
        </xdr:blipFill>
        <xdr:spPr bwMode="auto">
          <a:xfrm rot="10800000">
            <a:off x="3726551" y="553723"/>
            <a:ext cx="3026960" cy="210820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64" name="Rectangle 263"/>
          <xdr:cNvSpPr/>
        </xdr:nvSpPr>
        <xdr:spPr>
          <a:xfrm>
            <a:off x="768340" y="960127"/>
            <a:ext cx="1828800" cy="228600"/>
          </a:xfrm>
          <a:prstGeom prst="rect">
            <a:avLst/>
          </a:prstGeom>
          <a:noFill/>
          <a:ln>
            <a:solidFill>
              <a:schemeClr val="bg1">
                <a:lumMod val="9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265" name="TextBox 8"/>
          <xdr:cNvSpPr txBox="1"/>
        </xdr:nvSpPr>
        <xdr:spPr>
          <a:xfrm>
            <a:off x="463540" y="346424"/>
            <a:ext cx="2242922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HS:    -      +      -     +     -     +      -     +   </a:t>
            </a:r>
          </a:p>
        </xdr:txBody>
      </xdr:sp>
      <xdr:cxnSp macro="">
        <xdr:nvCxnSpPr>
          <xdr:cNvPr id="266" name="Straight Connector 265"/>
          <xdr:cNvCxnSpPr/>
        </xdr:nvCxnSpPr>
        <xdr:spPr>
          <a:xfrm>
            <a:off x="829886" y="400348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7" name="Straight Connector 266"/>
          <xdr:cNvCxnSpPr/>
        </xdr:nvCxnSpPr>
        <xdr:spPr>
          <a:xfrm>
            <a:off x="1269505" y="400348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8" name="Straight Connector 267"/>
          <xdr:cNvCxnSpPr/>
        </xdr:nvCxnSpPr>
        <xdr:spPr>
          <a:xfrm>
            <a:off x="1729630" y="400348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9" name="Straight Connector 268"/>
          <xdr:cNvCxnSpPr/>
        </xdr:nvCxnSpPr>
        <xdr:spPr>
          <a:xfrm>
            <a:off x="2163388" y="400348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0" name="TextBox 86"/>
          <xdr:cNvSpPr txBox="1"/>
        </xdr:nvSpPr>
        <xdr:spPr>
          <a:xfrm>
            <a:off x="809374" y="177610"/>
            <a:ext cx="35779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271" name="TextBox 87"/>
          <xdr:cNvSpPr txBox="1"/>
        </xdr:nvSpPr>
        <xdr:spPr>
          <a:xfrm>
            <a:off x="1162487" y="180539"/>
            <a:ext cx="595035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pA2::A2</a:t>
            </a:r>
          </a:p>
        </xdr:txBody>
      </xdr:sp>
      <xdr:sp macro="" textlink="">
        <xdr:nvSpPr>
          <xdr:cNvPr id="272" name="TextBox 88"/>
          <xdr:cNvSpPr txBox="1"/>
        </xdr:nvSpPr>
        <xdr:spPr>
          <a:xfrm>
            <a:off x="1610412" y="74981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pA3::A2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#2</a:t>
            </a:r>
          </a:p>
        </xdr:txBody>
      </xdr:sp>
      <xdr:sp macro="" textlink="">
        <xdr:nvSpPr>
          <xdr:cNvPr id="273" name="TextBox 89"/>
          <xdr:cNvSpPr txBox="1"/>
        </xdr:nvSpPr>
        <xdr:spPr>
          <a:xfrm>
            <a:off x="2063740" y="74981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pA3::A2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#10</a:t>
            </a:r>
          </a:p>
        </xdr:txBody>
      </xdr:sp>
      <xdr:cxnSp macro="">
        <xdr:nvCxnSpPr>
          <xdr:cNvPr id="274" name="Straight Connector 273"/>
          <xdr:cNvCxnSpPr/>
        </xdr:nvCxnSpPr>
        <xdr:spPr>
          <a:xfrm>
            <a:off x="1729630" y="108670"/>
            <a:ext cx="814758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5" name="TextBox 91"/>
          <xdr:cNvSpPr txBox="1"/>
        </xdr:nvSpPr>
        <xdr:spPr>
          <a:xfrm>
            <a:off x="1892370" y="-73738"/>
            <a:ext cx="588623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276" name="Rectangle 275"/>
          <xdr:cNvSpPr/>
        </xdr:nvSpPr>
        <xdr:spPr>
          <a:xfrm>
            <a:off x="4008151" y="1417327"/>
            <a:ext cx="1828800" cy="228600"/>
          </a:xfrm>
          <a:prstGeom prst="rect">
            <a:avLst/>
          </a:prstGeom>
          <a:noFill/>
          <a:ln>
            <a:solidFill>
              <a:schemeClr val="bg1">
                <a:lumMod val="9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de-DE"/>
          </a:p>
        </xdr:txBody>
      </xdr:sp>
      <xdr:sp macro="" textlink="">
        <xdr:nvSpPr>
          <xdr:cNvPr id="277" name="TextBox 93"/>
          <xdr:cNvSpPr txBox="1"/>
        </xdr:nvSpPr>
        <xdr:spPr>
          <a:xfrm>
            <a:off x="3735586" y="371755"/>
            <a:ext cx="2242922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HS:    -      +      -     +     -     +      -     +   </a:t>
            </a:r>
          </a:p>
        </xdr:txBody>
      </xdr:sp>
      <xdr:cxnSp macro="">
        <xdr:nvCxnSpPr>
          <xdr:cNvPr id="278" name="Straight Connector 277"/>
          <xdr:cNvCxnSpPr/>
        </xdr:nvCxnSpPr>
        <xdr:spPr>
          <a:xfrm>
            <a:off x="4101932" y="425679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9" name="Straight Connector 278"/>
          <xdr:cNvCxnSpPr/>
        </xdr:nvCxnSpPr>
        <xdr:spPr>
          <a:xfrm>
            <a:off x="4541551" y="425679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0" name="Straight Connector 279"/>
          <xdr:cNvCxnSpPr/>
        </xdr:nvCxnSpPr>
        <xdr:spPr>
          <a:xfrm>
            <a:off x="5001676" y="425679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1" name="Straight Connector 280"/>
          <xdr:cNvCxnSpPr/>
        </xdr:nvCxnSpPr>
        <xdr:spPr>
          <a:xfrm>
            <a:off x="5435434" y="425679"/>
            <a:ext cx="381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2" name="TextBox 98"/>
          <xdr:cNvSpPr txBox="1"/>
        </xdr:nvSpPr>
        <xdr:spPr>
          <a:xfrm>
            <a:off x="4081420" y="202941"/>
            <a:ext cx="35779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283" name="TextBox 99"/>
          <xdr:cNvSpPr txBox="1"/>
        </xdr:nvSpPr>
        <xdr:spPr>
          <a:xfrm>
            <a:off x="4434533" y="205870"/>
            <a:ext cx="595035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pA2::A2</a:t>
            </a:r>
          </a:p>
        </xdr:txBody>
      </xdr:sp>
      <xdr:sp macro="" textlink="">
        <xdr:nvSpPr>
          <xdr:cNvPr id="284" name="TextBox 100"/>
          <xdr:cNvSpPr txBox="1"/>
        </xdr:nvSpPr>
        <xdr:spPr>
          <a:xfrm>
            <a:off x="4882458" y="100312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pA3::A2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#2</a:t>
            </a:r>
          </a:p>
        </xdr:txBody>
      </xdr:sp>
      <xdr:sp macro="" textlink="">
        <xdr:nvSpPr>
          <xdr:cNvPr id="285" name="TextBox 101"/>
          <xdr:cNvSpPr txBox="1"/>
        </xdr:nvSpPr>
        <xdr:spPr>
          <a:xfrm>
            <a:off x="5335786" y="100312"/>
            <a:ext cx="6270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pA3::A2 </a:t>
            </a:r>
          </a:p>
          <a:p>
            <a:pPr algn="ctr"/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#10</a:t>
            </a:r>
          </a:p>
        </xdr:txBody>
      </xdr:sp>
      <xdr:cxnSp macro="">
        <xdr:nvCxnSpPr>
          <xdr:cNvPr id="286" name="Straight Connector 285"/>
          <xdr:cNvCxnSpPr/>
        </xdr:nvCxnSpPr>
        <xdr:spPr>
          <a:xfrm>
            <a:off x="5001676" y="134001"/>
            <a:ext cx="814758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7" name="TextBox 103"/>
          <xdr:cNvSpPr txBox="1"/>
        </xdr:nvSpPr>
        <xdr:spPr>
          <a:xfrm>
            <a:off x="5181600" y="-48407"/>
            <a:ext cx="588623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9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288" name="TextBox 104"/>
          <xdr:cNvSpPr txBox="1"/>
        </xdr:nvSpPr>
        <xdr:spPr>
          <a:xfrm>
            <a:off x="3934560" y="2431092"/>
            <a:ext cx="482824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900">
                <a:latin typeface="Arial" panose="020B0604020202020204" pitchFamily="34" charset="0"/>
                <a:cs typeface="Arial" panose="020B0604020202020204" pitchFamily="34" charset="0"/>
              </a:rPr>
              <a:t>α</a:t>
            </a:r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TUB</a:t>
            </a:r>
          </a:p>
        </xdr:txBody>
      </xdr:sp>
      <xdr:sp macro="" textlink="">
        <xdr:nvSpPr>
          <xdr:cNvPr id="289" name="TextBox 105"/>
          <xdr:cNvSpPr txBox="1"/>
        </xdr:nvSpPr>
        <xdr:spPr>
          <a:xfrm>
            <a:off x="696628" y="2430337"/>
            <a:ext cx="48923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900">
                <a:latin typeface="Arial" panose="020B0604020202020204" pitchFamily="34" charset="0"/>
                <a:cs typeface="Arial" panose="020B0604020202020204" pitchFamily="34" charset="0"/>
              </a:rPr>
              <a:t>α</a:t>
            </a:r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GFP</a:t>
            </a:r>
          </a:p>
        </xdr:txBody>
      </xdr:sp>
      <xdr:sp macro="" textlink="">
        <xdr:nvSpPr>
          <xdr:cNvPr id="290" name="TextBox 146"/>
          <xdr:cNvSpPr txBox="1"/>
        </xdr:nvSpPr>
        <xdr:spPr>
          <a:xfrm>
            <a:off x="148687" y="639490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250kD</a:t>
            </a:r>
          </a:p>
        </xdr:txBody>
      </xdr:sp>
      <xdr:sp macro="" textlink="">
        <xdr:nvSpPr>
          <xdr:cNvPr id="291" name="TextBox 147"/>
          <xdr:cNvSpPr txBox="1"/>
        </xdr:nvSpPr>
        <xdr:spPr>
          <a:xfrm>
            <a:off x="148687" y="808054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130kD</a:t>
            </a:r>
          </a:p>
        </xdr:txBody>
      </xdr:sp>
      <xdr:sp macro="" textlink="">
        <xdr:nvSpPr>
          <xdr:cNvPr id="292" name="TextBox 148"/>
          <xdr:cNvSpPr txBox="1"/>
        </xdr:nvSpPr>
        <xdr:spPr>
          <a:xfrm>
            <a:off x="148687" y="960454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100kD</a:t>
            </a:r>
          </a:p>
        </xdr:txBody>
      </xdr:sp>
      <xdr:sp macro="" textlink="">
        <xdr:nvSpPr>
          <xdr:cNvPr id="293" name="TextBox 149"/>
          <xdr:cNvSpPr txBox="1"/>
        </xdr:nvSpPr>
        <xdr:spPr>
          <a:xfrm>
            <a:off x="212808" y="1119103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70kD</a:t>
            </a:r>
          </a:p>
        </xdr:txBody>
      </xdr:sp>
      <xdr:sp macro="" textlink="">
        <xdr:nvSpPr>
          <xdr:cNvPr id="294" name="TextBox 150"/>
          <xdr:cNvSpPr txBox="1"/>
        </xdr:nvSpPr>
        <xdr:spPr>
          <a:xfrm>
            <a:off x="212808" y="1327465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55kD</a:t>
            </a:r>
          </a:p>
        </xdr:txBody>
      </xdr:sp>
      <xdr:sp macro="" textlink="">
        <xdr:nvSpPr>
          <xdr:cNvPr id="295" name="TextBox 151"/>
          <xdr:cNvSpPr txBox="1"/>
        </xdr:nvSpPr>
        <xdr:spPr>
          <a:xfrm>
            <a:off x="3435340" y="658931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250kD</a:t>
            </a:r>
          </a:p>
        </xdr:txBody>
      </xdr:sp>
      <xdr:sp macro="" textlink="">
        <xdr:nvSpPr>
          <xdr:cNvPr id="296" name="TextBox 152"/>
          <xdr:cNvSpPr txBox="1"/>
        </xdr:nvSpPr>
        <xdr:spPr>
          <a:xfrm>
            <a:off x="3435340" y="811395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130kD</a:t>
            </a:r>
          </a:p>
        </xdr:txBody>
      </xdr:sp>
      <xdr:sp macro="" textlink="">
        <xdr:nvSpPr>
          <xdr:cNvPr id="297" name="TextBox 153"/>
          <xdr:cNvSpPr txBox="1"/>
        </xdr:nvSpPr>
        <xdr:spPr>
          <a:xfrm>
            <a:off x="3435340" y="983115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100kD</a:t>
            </a:r>
          </a:p>
        </xdr:txBody>
      </xdr:sp>
      <xdr:sp macro="" textlink="">
        <xdr:nvSpPr>
          <xdr:cNvPr id="298" name="TextBox 154"/>
          <xdr:cNvSpPr txBox="1"/>
        </xdr:nvSpPr>
        <xdr:spPr>
          <a:xfrm>
            <a:off x="3499461" y="1148204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70kD</a:t>
            </a:r>
          </a:p>
        </xdr:txBody>
      </xdr:sp>
      <xdr:sp macro="" textlink="">
        <xdr:nvSpPr>
          <xdr:cNvPr id="299" name="TextBox 155"/>
          <xdr:cNvSpPr txBox="1"/>
        </xdr:nvSpPr>
        <xdr:spPr>
          <a:xfrm>
            <a:off x="3499461" y="1308266"/>
            <a:ext cx="45397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de-DE" sz="900">
                <a:latin typeface="Arial" panose="020B0604020202020204" pitchFamily="34" charset="0"/>
                <a:cs typeface="Arial" panose="020B0604020202020204" pitchFamily="34" charset="0"/>
              </a:rPr>
              <a:t>55kD</a:t>
            </a:r>
          </a:p>
        </xdr:txBody>
      </xdr:sp>
    </xdr:grpSp>
    <xdr:clientData/>
  </xdr:twoCellAnchor>
  <xdr:twoCellAnchor>
    <xdr:from>
      <xdr:col>0</xdr:col>
      <xdr:colOff>299936</xdr:colOff>
      <xdr:row>80</xdr:row>
      <xdr:rowOff>24319</xdr:rowOff>
    </xdr:from>
    <xdr:to>
      <xdr:col>5</xdr:col>
      <xdr:colOff>84207</xdr:colOff>
      <xdr:row>95</xdr:row>
      <xdr:rowOff>153015</xdr:rowOff>
    </xdr:to>
    <xdr:grpSp>
      <xdr:nvGrpSpPr>
        <xdr:cNvPr id="300" name="Group 299"/>
        <xdr:cNvGrpSpPr/>
      </xdr:nvGrpSpPr>
      <xdr:grpSpPr>
        <a:xfrm>
          <a:off x="299936" y="15155462"/>
          <a:ext cx="2845878" cy="2986196"/>
          <a:chOff x="152400" y="5540479"/>
          <a:chExt cx="2830650" cy="2871896"/>
        </a:xfrm>
      </xdr:grpSpPr>
      <xdr:pic>
        <xdr:nvPicPr>
          <xdr:cNvPr id="301" name="Picture 300" descr="G:\A3-ManuscriptDesktop\Figure6\a3-A1D in hsfa3 T3 SA\DSC_1579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02" t="4482" r="34233" b="3084"/>
          <a:stretch/>
        </xdr:blipFill>
        <xdr:spPr bwMode="auto">
          <a:xfrm>
            <a:off x="885038" y="5788404"/>
            <a:ext cx="2004969" cy="1996579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302" name="Straight Connector 301"/>
          <xdr:cNvCxnSpPr/>
        </xdr:nvCxnSpPr>
        <xdr:spPr>
          <a:xfrm>
            <a:off x="1887522" y="5993296"/>
            <a:ext cx="0" cy="1676400"/>
          </a:xfrm>
          <a:prstGeom prst="line">
            <a:avLst/>
          </a:prstGeom>
          <a:ln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3" name="Straight Connector 302"/>
          <xdr:cNvCxnSpPr/>
        </xdr:nvCxnSpPr>
        <xdr:spPr>
          <a:xfrm flipH="1">
            <a:off x="1126222" y="6374296"/>
            <a:ext cx="1524000" cy="914400"/>
          </a:xfrm>
          <a:prstGeom prst="line">
            <a:avLst/>
          </a:prstGeom>
          <a:ln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4" name="Straight Connector 303"/>
          <xdr:cNvCxnSpPr/>
        </xdr:nvCxnSpPr>
        <xdr:spPr>
          <a:xfrm flipH="1" flipV="1">
            <a:off x="1126222" y="6374296"/>
            <a:ext cx="1524000" cy="914400"/>
          </a:xfrm>
          <a:prstGeom prst="line">
            <a:avLst/>
          </a:prstGeom>
          <a:ln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5" name="TextBox 15"/>
          <xdr:cNvSpPr txBox="1"/>
        </xdr:nvSpPr>
        <xdr:spPr>
          <a:xfrm>
            <a:off x="984337" y="5682824"/>
            <a:ext cx="41389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306" name="TextBox 159"/>
          <xdr:cNvSpPr txBox="1"/>
        </xdr:nvSpPr>
        <xdr:spPr>
          <a:xfrm>
            <a:off x="2261378" y="5687182"/>
            <a:ext cx="7216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307" name="TextBox 160"/>
          <xdr:cNvSpPr txBox="1"/>
        </xdr:nvSpPr>
        <xdr:spPr>
          <a:xfrm>
            <a:off x="152400" y="6392866"/>
            <a:ext cx="831937" cy="8309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200" i="1">
                <a:latin typeface="Arial" panose="020B0604020202020204" pitchFamily="34" charset="0"/>
                <a:cs typeface="Arial" panose="020B0604020202020204" pitchFamily="34" charset="0"/>
              </a:rPr>
              <a:t>pHSFA3::3xFLAG-HSFA1D #1</a:t>
            </a:r>
          </a:p>
        </xdr:txBody>
      </xdr:sp>
      <xdr:sp macro="" textlink="">
        <xdr:nvSpPr>
          <xdr:cNvPr id="308" name="TextBox 161"/>
          <xdr:cNvSpPr txBox="1"/>
        </xdr:nvSpPr>
        <xdr:spPr>
          <a:xfrm>
            <a:off x="729042" y="7581378"/>
            <a:ext cx="831937" cy="8309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200" i="1">
                <a:latin typeface="Arial" panose="020B0604020202020204" pitchFamily="34" charset="0"/>
                <a:cs typeface="Arial" panose="020B0604020202020204" pitchFamily="34" charset="0"/>
              </a:rPr>
              <a:t>pHSFA3::3xFLAG-HSFA1D #4</a:t>
            </a:r>
          </a:p>
        </xdr:txBody>
      </xdr:sp>
      <xdr:sp macro="" textlink="">
        <xdr:nvSpPr>
          <xdr:cNvPr id="309" name="TextBox 162"/>
          <xdr:cNvSpPr txBox="1"/>
        </xdr:nvSpPr>
        <xdr:spPr>
          <a:xfrm>
            <a:off x="330204" y="5540479"/>
            <a:ext cx="5084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200" u="sng">
                <a:latin typeface="Arial" panose="020B0604020202020204" pitchFamily="34" charset="0"/>
                <a:cs typeface="Arial" panose="020B0604020202020204" pitchFamily="34" charset="0"/>
              </a:rPr>
              <a:t>ACC</a:t>
            </a:r>
          </a:p>
        </xdr:txBody>
      </xdr:sp>
    </xdr:grpSp>
    <xdr:clientData/>
  </xdr:twoCellAnchor>
  <xdr:twoCellAnchor>
    <xdr:from>
      <xdr:col>5</xdr:col>
      <xdr:colOff>299936</xdr:colOff>
      <xdr:row>80</xdr:row>
      <xdr:rowOff>24319</xdr:rowOff>
    </xdr:from>
    <xdr:to>
      <xdr:col>10</xdr:col>
      <xdr:colOff>84207</xdr:colOff>
      <xdr:row>95</xdr:row>
      <xdr:rowOff>150414</xdr:rowOff>
    </xdr:to>
    <xdr:grpSp>
      <xdr:nvGrpSpPr>
        <xdr:cNvPr id="310" name="Group 309"/>
        <xdr:cNvGrpSpPr/>
      </xdr:nvGrpSpPr>
      <xdr:grpSpPr>
        <a:xfrm>
          <a:off x="3361543" y="15155462"/>
          <a:ext cx="2845878" cy="2983595"/>
          <a:chOff x="3074328" y="5540479"/>
          <a:chExt cx="2830650" cy="2869295"/>
        </a:xfrm>
      </xdr:grpSpPr>
      <xdr:pic>
        <xdr:nvPicPr>
          <xdr:cNvPr id="311" name="Picture 310" descr="G:\A3-ManuscriptDesktop\Figure6\a3-A1D in hsfa3 T3 SA\DSC_1580.JP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02" t="3502" r="33196" b="2898"/>
          <a:stretch/>
        </xdr:blipFill>
        <xdr:spPr bwMode="auto">
          <a:xfrm>
            <a:off x="3810000" y="5788404"/>
            <a:ext cx="2038525" cy="2021747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312" name="Straight Connector 311"/>
          <xdr:cNvCxnSpPr/>
        </xdr:nvCxnSpPr>
        <xdr:spPr>
          <a:xfrm>
            <a:off x="4829262" y="5991138"/>
            <a:ext cx="0" cy="1676400"/>
          </a:xfrm>
          <a:prstGeom prst="line">
            <a:avLst/>
          </a:prstGeom>
          <a:ln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3" name="Straight Connector 312"/>
          <xdr:cNvCxnSpPr/>
        </xdr:nvCxnSpPr>
        <xdr:spPr>
          <a:xfrm flipH="1">
            <a:off x="4067962" y="6372138"/>
            <a:ext cx="1524000" cy="914400"/>
          </a:xfrm>
          <a:prstGeom prst="line">
            <a:avLst/>
          </a:prstGeom>
          <a:ln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4" name="Straight Connector 313"/>
          <xdr:cNvCxnSpPr/>
        </xdr:nvCxnSpPr>
        <xdr:spPr>
          <a:xfrm flipH="1" flipV="1">
            <a:off x="4067962" y="6372138"/>
            <a:ext cx="1524000" cy="914400"/>
          </a:xfrm>
          <a:prstGeom prst="line">
            <a:avLst/>
          </a:prstGeom>
          <a:ln>
            <a:solidFill>
              <a:schemeClr val="bg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5" name="TextBox 163"/>
          <xdr:cNvSpPr txBox="1"/>
        </xdr:nvSpPr>
        <xdr:spPr>
          <a:xfrm>
            <a:off x="3906265" y="5680223"/>
            <a:ext cx="41389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200">
                <a:latin typeface="Arial" panose="020B0604020202020204" pitchFamily="34" charset="0"/>
                <a:cs typeface="Arial" panose="020B0604020202020204" pitchFamily="34" charset="0"/>
              </a:rPr>
              <a:t>Col</a:t>
            </a:r>
          </a:p>
        </xdr:txBody>
      </xdr:sp>
      <xdr:sp macro="" textlink="">
        <xdr:nvSpPr>
          <xdr:cNvPr id="316" name="TextBox 164"/>
          <xdr:cNvSpPr txBox="1"/>
        </xdr:nvSpPr>
        <xdr:spPr>
          <a:xfrm>
            <a:off x="5183306" y="5684581"/>
            <a:ext cx="7216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200" i="1">
                <a:latin typeface="Arial" panose="020B0604020202020204" pitchFamily="34" charset="0"/>
                <a:cs typeface="Arial" panose="020B0604020202020204" pitchFamily="34" charset="0"/>
              </a:rPr>
              <a:t>hsfa3-1</a:t>
            </a:r>
          </a:p>
        </xdr:txBody>
      </xdr:sp>
      <xdr:sp macro="" textlink="">
        <xdr:nvSpPr>
          <xdr:cNvPr id="317" name="TextBox 165"/>
          <xdr:cNvSpPr txBox="1"/>
        </xdr:nvSpPr>
        <xdr:spPr>
          <a:xfrm>
            <a:off x="3074328" y="6390265"/>
            <a:ext cx="831937" cy="8309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200" i="1">
                <a:latin typeface="Arial" panose="020B0604020202020204" pitchFamily="34" charset="0"/>
                <a:cs typeface="Arial" panose="020B0604020202020204" pitchFamily="34" charset="0"/>
              </a:rPr>
              <a:t>pHSFA3::3xFLAG-HSFA1D #1</a:t>
            </a:r>
          </a:p>
        </xdr:txBody>
      </xdr:sp>
      <xdr:sp macro="" textlink="">
        <xdr:nvSpPr>
          <xdr:cNvPr id="318" name="TextBox 166"/>
          <xdr:cNvSpPr txBox="1"/>
        </xdr:nvSpPr>
        <xdr:spPr>
          <a:xfrm>
            <a:off x="3650970" y="7578777"/>
            <a:ext cx="831937" cy="8309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200" i="1">
                <a:latin typeface="Arial" panose="020B0604020202020204" pitchFamily="34" charset="0"/>
                <a:cs typeface="Arial" panose="020B0604020202020204" pitchFamily="34" charset="0"/>
              </a:rPr>
              <a:t>pHSFA3::3xFLAG-HSFA1D #4</a:t>
            </a:r>
          </a:p>
        </xdr:txBody>
      </xdr:sp>
      <xdr:sp macro="" textlink="">
        <xdr:nvSpPr>
          <xdr:cNvPr id="319" name="TextBox 167"/>
          <xdr:cNvSpPr txBox="1"/>
        </xdr:nvSpPr>
        <xdr:spPr>
          <a:xfrm>
            <a:off x="3273136" y="5540479"/>
            <a:ext cx="601447" cy="8309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200" u="sng">
                <a:latin typeface="Arial" panose="020B0604020202020204" pitchFamily="34" charset="0"/>
                <a:cs typeface="Arial" panose="020B0604020202020204" pitchFamily="34" charset="0"/>
              </a:rPr>
              <a:t>ACC</a:t>
            </a:r>
          </a:p>
          <a:p>
            <a:r>
              <a:rPr lang="de-DE" sz="1200" u="sng">
                <a:latin typeface="Arial" panose="020B0604020202020204" pitchFamily="34" charset="0"/>
                <a:cs typeface="Arial" panose="020B0604020202020204" pitchFamily="34" charset="0"/>
              </a:rPr>
              <a:t>+d+3:</a:t>
            </a:r>
          </a:p>
          <a:p>
            <a:r>
              <a:rPr lang="de-DE" sz="1200" u="sng">
                <a:latin typeface="Arial" panose="020B0604020202020204" pitchFamily="34" charset="0"/>
                <a:cs typeface="Arial" panose="020B0604020202020204" pitchFamily="34" charset="0"/>
              </a:rPr>
              <a:t>44°C</a:t>
            </a:r>
          </a:p>
          <a:p>
            <a:r>
              <a:rPr lang="de-DE" sz="1200" u="sng">
                <a:latin typeface="Arial" panose="020B0604020202020204" pitchFamily="34" charset="0"/>
                <a:cs typeface="Arial" panose="020B0604020202020204" pitchFamily="34" charset="0"/>
              </a:rPr>
              <a:t>90min</a:t>
            </a:r>
          </a:p>
        </xdr:txBody>
      </xdr:sp>
    </xdr:grpSp>
    <xdr:clientData/>
  </xdr:twoCellAnchor>
  <xdr:twoCellAnchor>
    <xdr:from>
      <xdr:col>0</xdr:col>
      <xdr:colOff>590085</xdr:colOff>
      <xdr:row>110</xdr:row>
      <xdr:rowOff>1</xdr:rowOff>
    </xdr:from>
    <xdr:to>
      <xdr:col>9</xdr:col>
      <xdr:colOff>49885</xdr:colOff>
      <xdr:row>125</xdr:row>
      <xdr:rowOff>114299</xdr:rowOff>
    </xdr:to>
    <xdr:grpSp>
      <xdr:nvGrpSpPr>
        <xdr:cNvPr id="242" name="Group 241"/>
        <xdr:cNvGrpSpPr/>
      </xdr:nvGrpSpPr>
      <xdr:grpSpPr>
        <a:xfrm>
          <a:off x="590085" y="21199930"/>
          <a:ext cx="4970693" cy="2971798"/>
          <a:chOff x="1328990" y="1637814"/>
          <a:chExt cx="6412438" cy="3690458"/>
        </a:xfrm>
      </xdr:grpSpPr>
      <xdr:grpSp>
        <xdr:nvGrpSpPr>
          <xdr:cNvPr id="243" name="Group 242"/>
          <xdr:cNvGrpSpPr/>
        </xdr:nvGrpSpPr>
        <xdr:grpSpPr>
          <a:xfrm>
            <a:off x="1328990" y="1637814"/>
            <a:ext cx="6412438" cy="3690458"/>
            <a:chOff x="1328990" y="1637814"/>
            <a:chExt cx="6412438" cy="3690458"/>
          </a:xfrm>
        </xdr:grpSpPr>
        <xdr:pic>
          <xdr:nvPicPr>
            <xdr:cNvPr id="246" name="Picture 245"/>
            <xdr:cNvPicPr>
              <a:picLocks noChangeAspect="1"/>
            </xdr:cNvPicPr>
          </xdr:nvPicPr>
          <xdr:blipFill>
            <a:blip xmlns:r="http://schemas.openxmlformats.org/officeDocument/2006/relationships" r:embed="rId1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353126" y="1637814"/>
              <a:ext cx="6340815" cy="2453895"/>
            </a:xfrm>
            <a:prstGeom prst="rect">
              <a:avLst/>
            </a:prstGeom>
          </xdr:spPr>
        </xdr:pic>
        <xdr:pic>
          <xdr:nvPicPr>
            <xdr:cNvPr id="247" name="Picture 246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21"/>
            <a:stretch/>
          </xdr:blipFill>
          <xdr:spPr>
            <a:xfrm>
              <a:off x="1553013" y="4152726"/>
              <a:ext cx="6188415" cy="1175546"/>
            </a:xfrm>
            <a:prstGeom prst="rect">
              <a:avLst/>
            </a:prstGeom>
          </xdr:spPr>
        </xdr:pic>
        <xdr:sp macro="" textlink="">
          <xdr:nvSpPr>
            <xdr:cNvPr id="248" name="TextBox 5"/>
            <xdr:cNvSpPr txBox="1"/>
          </xdr:nvSpPr>
          <xdr:spPr>
            <a:xfrm>
              <a:off x="1789021" y="2422623"/>
              <a:ext cx="505390" cy="354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M</a:t>
              </a:r>
            </a:p>
          </xdr:txBody>
        </xdr:sp>
        <xdr:sp macro="" textlink="">
          <xdr:nvSpPr>
            <xdr:cNvPr id="249" name="TextBox 6"/>
            <xdr:cNvSpPr txBox="1"/>
          </xdr:nvSpPr>
          <xdr:spPr>
            <a:xfrm>
              <a:off x="6206462" y="3727349"/>
              <a:ext cx="983674" cy="3221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l-GR" sz="1100">
                  <a:latin typeface="Arial" panose="020B0604020202020204" pitchFamily="34" charset="0"/>
                  <a:cs typeface="Arial" panose="020B0604020202020204" pitchFamily="34" charset="0"/>
                </a:rPr>
                <a:t>α </a:t>
              </a:r>
              <a:r>
                <a:rPr lang="en-US" sz="1100">
                  <a:latin typeface="Arial" panose="020B0604020202020204" pitchFamily="34" charset="0"/>
                  <a:cs typeface="Arial" panose="020B0604020202020204" pitchFamily="34" charset="0"/>
                </a:rPr>
                <a:t>FLAG</a:t>
              </a:r>
            </a:p>
          </xdr:txBody>
        </xdr:sp>
        <xdr:sp macro="" textlink="">
          <xdr:nvSpPr>
            <xdr:cNvPr id="250" name="TextBox 7"/>
            <xdr:cNvSpPr txBox="1"/>
          </xdr:nvSpPr>
          <xdr:spPr>
            <a:xfrm>
              <a:off x="6206462" y="4958940"/>
              <a:ext cx="983674" cy="3221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l-GR" sz="1100">
                  <a:latin typeface="Arial" panose="020B0604020202020204" pitchFamily="34" charset="0"/>
                  <a:cs typeface="Arial" panose="020B0604020202020204" pitchFamily="34" charset="0"/>
                </a:rPr>
                <a:t>α</a:t>
              </a:r>
              <a:r>
                <a:rPr lang="en-US" sz="1100">
                  <a:latin typeface="Arial" panose="020B0604020202020204" pitchFamily="34" charset="0"/>
                  <a:cs typeface="Arial" panose="020B0604020202020204" pitchFamily="34" charset="0"/>
                </a:rPr>
                <a:t>H3</a:t>
              </a:r>
            </a:p>
          </xdr:txBody>
        </xdr:sp>
        <xdr:sp macro="" textlink="">
          <xdr:nvSpPr>
            <xdr:cNvPr id="251" name="TextBox 8"/>
            <xdr:cNvSpPr txBox="1"/>
          </xdr:nvSpPr>
          <xdr:spPr>
            <a:xfrm>
              <a:off x="2080491" y="2087434"/>
              <a:ext cx="1791855" cy="26621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NHS    4h    28h</a:t>
              </a:r>
            </a:p>
          </xdr:txBody>
        </xdr:sp>
        <xdr:sp macro="" textlink="">
          <xdr:nvSpPr>
            <xdr:cNvPr id="252" name="TextBox 9"/>
            <xdr:cNvSpPr txBox="1"/>
          </xdr:nvSpPr>
          <xdr:spPr>
            <a:xfrm>
              <a:off x="3179645" y="2087433"/>
              <a:ext cx="1791855" cy="26621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NHS   4h    28h</a:t>
              </a:r>
            </a:p>
          </xdr:txBody>
        </xdr:sp>
        <xdr:sp macro="" textlink="">
          <xdr:nvSpPr>
            <xdr:cNvPr id="253" name="TextBox 13"/>
            <xdr:cNvSpPr txBox="1"/>
          </xdr:nvSpPr>
          <xdr:spPr>
            <a:xfrm>
              <a:off x="2393283" y="2341350"/>
              <a:ext cx="953681" cy="26621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line 1</a:t>
              </a:r>
            </a:p>
          </xdr:txBody>
        </xdr:sp>
        <xdr:sp macro="" textlink="">
          <xdr:nvSpPr>
            <xdr:cNvPr id="254" name="TextBox 14"/>
            <xdr:cNvSpPr txBox="1"/>
          </xdr:nvSpPr>
          <xdr:spPr>
            <a:xfrm>
              <a:off x="3472846" y="2338345"/>
              <a:ext cx="953681" cy="26621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line 4</a:t>
              </a:r>
            </a:p>
          </xdr:txBody>
        </xdr:sp>
        <xdr:sp macro="" textlink="">
          <xdr:nvSpPr>
            <xdr:cNvPr id="255" name="TextBox 146"/>
            <xdr:cNvSpPr txBox="1"/>
          </xdr:nvSpPr>
          <xdr:spPr>
            <a:xfrm>
              <a:off x="1328990" y="2631579"/>
              <a:ext cx="616262" cy="2475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700">
                  <a:latin typeface="Arial" panose="020B0604020202020204" pitchFamily="34" charset="0"/>
                  <a:cs typeface="Arial" panose="020B0604020202020204" pitchFamily="34" charset="0"/>
                </a:rPr>
                <a:t>250kD</a:t>
              </a:r>
            </a:p>
          </xdr:txBody>
        </xdr:sp>
        <xdr:sp macro="" textlink="">
          <xdr:nvSpPr>
            <xdr:cNvPr id="256" name="TextBox 147"/>
            <xdr:cNvSpPr txBox="1"/>
          </xdr:nvSpPr>
          <xdr:spPr>
            <a:xfrm>
              <a:off x="1328990" y="2819751"/>
              <a:ext cx="616262" cy="2475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700">
                  <a:latin typeface="Arial" panose="020B0604020202020204" pitchFamily="34" charset="0"/>
                  <a:cs typeface="Arial" panose="020B0604020202020204" pitchFamily="34" charset="0"/>
                </a:rPr>
                <a:t>130kD</a:t>
              </a:r>
            </a:p>
          </xdr:txBody>
        </xdr:sp>
        <xdr:sp macro="" textlink="">
          <xdr:nvSpPr>
            <xdr:cNvPr id="257" name="TextBox 148"/>
            <xdr:cNvSpPr txBox="1"/>
          </xdr:nvSpPr>
          <xdr:spPr>
            <a:xfrm>
              <a:off x="1328990" y="2988857"/>
              <a:ext cx="616262" cy="2475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700">
                  <a:latin typeface="Arial" panose="020B0604020202020204" pitchFamily="34" charset="0"/>
                  <a:cs typeface="Arial" panose="020B0604020202020204" pitchFamily="34" charset="0"/>
                </a:rPr>
                <a:t>100kD</a:t>
              </a:r>
            </a:p>
          </xdr:txBody>
        </xdr:sp>
        <xdr:sp macro="" textlink="">
          <xdr:nvSpPr>
            <xdr:cNvPr id="258" name="TextBox 149"/>
            <xdr:cNvSpPr txBox="1"/>
          </xdr:nvSpPr>
          <xdr:spPr>
            <a:xfrm>
              <a:off x="1405260" y="3192131"/>
              <a:ext cx="539991" cy="2475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700">
                  <a:latin typeface="Arial" panose="020B0604020202020204" pitchFamily="34" charset="0"/>
                  <a:cs typeface="Arial" panose="020B0604020202020204" pitchFamily="34" charset="0"/>
                </a:rPr>
                <a:t>70kD</a:t>
              </a:r>
            </a:p>
          </xdr:txBody>
        </xdr:sp>
        <xdr:sp macro="" textlink="">
          <xdr:nvSpPr>
            <xdr:cNvPr id="259" name="TextBox 150"/>
            <xdr:cNvSpPr txBox="1"/>
          </xdr:nvSpPr>
          <xdr:spPr>
            <a:xfrm>
              <a:off x="1405260" y="3431972"/>
              <a:ext cx="539991" cy="2475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700">
                  <a:latin typeface="Arial" panose="020B0604020202020204" pitchFamily="34" charset="0"/>
                  <a:cs typeface="Arial" panose="020B0604020202020204" pitchFamily="34" charset="0"/>
                </a:rPr>
                <a:t>55kD</a:t>
              </a:r>
            </a:p>
          </xdr:txBody>
        </xdr:sp>
        <xdr:sp macro="" textlink="">
          <xdr:nvSpPr>
            <xdr:cNvPr id="260" name="TextBox 150"/>
            <xdr:cNvSpPr txBox="1"/>
          </xdr:nvSpPr>
          <xdr:spPr>
            <a:xfrm>
              <a:off x="1437601" y="4495000"/>
              <a:ext cx="553028" cy="2475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de-DE" sz="700">
                  <a:latin typeface="Arial" panose="020B0604020202020204" pitchFamily="34" charset="0"/>
                  <a:cs typeface="Arial" panose="020B0604020202020204" pitchFamily="34" charset="0"/>
                </a:rPr>
                <a:t>15kD</a:t>
              </a:r>
            </a:p>
          </xdr:txBody>
        </xdr:sp>
        <xdr:cxnSp macro="">
          <xdr:nvCxnSpPr>
            <xdr:cNvPr id="320" name="Straight Connector 319"/>
            <xdr:cNvCxnSpPr/>
          </xdr:nvCxnSpPr>
          <xdr:spPr>
            <a:xfrm>
              <a:off x="2200275" y="2098964"/>
              <a:ext cx="194310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21" name="TextBox 62"/>
            <xdr:cNvSpPr txBox="1"/>
          </xdr:nvSpPr>
          <xdr:spPr>
            <a:xfrm>
              <a:off x="2176140" y="1853003"/>
              <a:ext cx="1973957" cy="26621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 i="1">
                  <a:latin typeface="Arial" panose="020B0604020202020204" pitchFamily="34" charset="0"/>
                  <a:cs typeface="Arial" panose="020B0604020202020204" pitchFamily="34" charset="0"/>
                </a:rPr>
                <a:t>pHSFA3::3xFLAG-HSFA1D</a:t>
              </a:r>
            </a:p>
          </xdr:txBody>
        </xdr:sp>
      </xdr:grpSp>
      <xdr:sp macro="" textlink="">
        <xdr:nvSpPr>
          <xdr:cNvPr id="244" name="Rectangle 243"/>
          <xdr:cNvSpPr/>
        </xdr:nvSpPr>
        <xdr:spPr>
          <a:xfrm>
            <a:off x="2200275" y="3108180"/>
            <a:ext cx="2031206" cy="318404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45" name="Rectangle 244"/>
          <xdr:cNvSpPr/>
        </xdr:nvSpPr>
        <xdr:spPr>
          <a:xfrm>
            <a:off x="2140024" y="4484965"/>
            <a:ext cx="2031206" cy="318404"/>
          </a:xfrm>
          <a:prstGeom prst="rect">
            <a:avLst/>
          </a:prstGeom>
          <a:noFill/>
          <a:ln w="254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41818</xdr:colOff>
      <xdr:row>114</xdr:row>
      <xdr:rowOff>9293</xdr:rowOff>
    </xdr:from>
    <xdr:to>
      <xdr:col>3</xdr:col>
      <xdr:colOff>157976</xdr:colOff>
      <xdr:row>114</xdr:row>
      <xdr:rowOff>9294</xdr:rowOff>
    </xdr:to>
    <xdr:cxnSp macro="">
      <xdr:nvCxnSpPr>
        <xdr:cNvPr id="322" name="Straight Connector 321"/>
        <xdr:cNvCxnSpPr/>
      </xdr:nvCxnSpPr>
      <xdr:spPr>
        <a:xfrm flipV="1">
          <a:off x="1259159" y="21391756"/>
          <a:ext cx="724829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240681</xdr:colOff>
      <xdr:row>114</xdr:row>
      <xdr:rowOff>8364</xdr:rowOff>
    </xdr:from>
    <xdr:to>
      <xdr:col>4</xdr:col>
      <xdr:colOff>356839</xdr:colOff>
      <xdr:row>114</xdr:row>
      <xdr:rowOff>8365</xdr:rowOff>
    </xdr:to>
    <xdr:cxnSp macro="">
      <xdr:nvCxnSpPr>
        <xdr:cNvPr id="323" name="Straight Connector 322"/>
        <xdr:cNvCxnSpPr/>
      </xdr:nvCxnSpPr>
      <xdr:spPr>
        <a:xfrm flipV="1">
          <a:off x="2066693" y="21390827"/>
          <a:ext cx="724829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zoomScale="85" zoomScaleNormal="85" workbookViewId="0"/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50</v>
      </c>
    </row>
    <row r="5" spans="1:16" x14ac:dyDescent="0.35">
      <c r="B5" t="s">
        <v>1</v>
      </c>
      <c r="I5" t="s">
        <v>2</v>
      </c>
      <c r="P5" t="s">
        <v>3</v>
      </c>
    </row>
    <row r="31" spans="2:2" x14ac:dyDescent="0.35">
      <c r="B31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7"/>
  <sheetViews>
    <sheetView zoomScale="85" zoomScaleNormal="85" workbookViewId="0">
      <selection activeCell="L37" sqref="L37"/>
    </sheetView>
  </sheetViews>
  <sheetFormatPr defaultColWidth="9.1796875" defaultRowHeight="14" x14ac:dyDescent="0.3"/>
  <cols>
    <col min="1" max="1" width="15.26953125" style="2" customWidth="1"/>
    <col min="2" max="4" width="8.81640625" style="2" customWidth="1"/>
    <col min="5" max="20" width="9.1796875" style="2"/>
    <col min="21" max="21" width="9.54296875" style="2" bestFit="1" customWidth="1"/>
    <col min="22" max="16384" width="9.1796875" style="2"/>
  </cols>
  <sheetData>
    <row r="1" spans="1:1" x14ac:dyDescent="0.3">
      <c r="A1" s="1" t="s">
        <v>5</v>
      </c>
    </row>
    <row r="3" spans="1:1" x14ac:dyDescent="0.3">
      <c r="A3" s="2" t="s">
        <v>7</v>
      </c>
    </row>
    <row r="20" spans="1:9" x14ac:dyDescent="0.3">
      <c r="A20" s="2" t="s">
        <v>6</v>
      </c>
    </row>
    <row r="22" spans="1:9" x14ac:dyDescent="0.3">
      <c r="A22" s="2" t="s">
        <v>36</v>
      </c>
    </row>
    <row r="24" spans="1:9" ht="14.5" x14ac:dyDescent="0.35">
      <c r="A24"/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13</v>
      </c>
      <c r="H24" t="s">
        <v>14</v>
      </c>
      <c r="I24" t="s">
        <v>15</v>
      </c>
    </row>
    <row r="25" spans="1:9" ht="14.5" x14ac:dyDescent="0.35">
      <c r="A25" t="s">
        <v>16</v>
      </c>
      <c r="B25">
        <v>100</v>
      </c>
      <c r="C25">
        <v>100</v>
      </c>
      <c r="D25">
        <v>100</v>
      </c>
      <c r="E25">
        <f>25/0.27</f>
        <v>92.592592592592581</v>
      </c>
      <c r="F25">
        <f>22/0.26</f>
        <v>84.615384615384613</v>
      </c>
      <c r="G25">
        <v>60</v>
      </c>
      <c r="H25">
        <f>5/0.26</f>
        <v>19.23076923076923</v>
      </c>
      <c r="I25">
        <f>3/0.27</f>
        <v>11.111111111111111</v>
      </c>
    </row>
    <row r="26" spans="1:9" ht="14.5" x14ac:dyDescent="0.35">
      <c r="A26" s="179" t="s">
        <v>218</v>
      </c>
      <c r="B26" s="179">
        <v>100</v>
      </c>
      <c r="C26" s="179">
        <v>100</v>
      </c>
      <c r="D26" s="179">
        <v>100</v>
      </c>
      <c r="E26" s="179">
        <f>27/0.28</f>
        <v>96.428571428571416</v>
      </c>
      <c r="F26" s="179">
        <f>25/0.27</f>
        <v>92.592592592592581</v>
      </c>
      <c r="G26" s="179">
        <f>25/0.28</f>
        <v>89.285714285714278</v>
      </c>
      <c r="H26" s="179">
        <f>17/0.28</f>
        <v>60.714285714285708</v>
      </c>
      <c r="I26" s="179">
        <f>6/0.28</f>
        <v>21.428571428571427</v>
      </c>
    </row>
    <row r="27" spans="1:9" ht="14.5" x14ac:dyDescent="0.35">
      <c r="A27" t="s">
        <v>17</v>
      </c>
      <c r="B27">
        <v>100</v>
      </c>
      <c r="C27">
        <f>26/0.28</f>
        <v>92.857142857142847</v>
      </c>
      <c r="D27">
        <f>23/0.26</f>
        <v>88.461538461538453</v>
      </c>
      <c r="E27">
        <f>18/0.27</f>
        <v>66.666666666666657</v>
      </c>
      <c r="F27">
        <f>1/0.28</f>
        <v>3.5714285714285712</v>
      </c>
      <c r="G27">
        <f>2/0.27</f>
        <v>7.4074074074074066</v>
      </c>
      <c r="H27">
        <f>0/0.27</f>
        <v>0</v>
      </c>
      <c r="I27">
        <f>0/0.27</f>
        <v>0</v>
      </c>
    </row>
    <row r="28" spans="1:9" ht="14.5" x14ac:dyDescent="0.35">
      <c r="A28" s="179" t="s">
        <v>219</v>
      </c>
      <c r="B28" s="179">
        <v>100</v>
      </c>
      <c r="C28" s="179">
        <f>26/0.27</f>
        <v>96.296296296296291</v>
      </c>
      <c r="D28" s="179">
        <f>21/0.27</f>
        <v>77.777777777777771</v>
      </c>
      <c r="E28" s="179">
        <f>17/0.23</f>
        <v>73.91304347826086</v>
      </c>
      <c r="F28" s="179">
        <f>5/0.26</f>
        <v>19.23076923076923</v>
      </c>
      <c r="G28" s="179">
        <f>1/0.24</f>
        <v>4.166666666666667</v>
      </c>
      <c r="H28" s="179">
        <v>0</v>
      </c>
      <c r="I28" s="179">
        <v>0</v>
      </c>
    </row>
    <row r="29" spans="1:9" ht="14.5" x14ac:dyDescent="0.35">
      <c r="A29" t="s">
        <v>18</v>
      </c>
      <c r="B29">
        <v>100</v>
      </c>
      <c r="C29">
        <v>100</v>
      </c>
      <c r="D29">
        <v>100</v>
      </c>
      <c r="E29">
        <f>27/0.28</f>
        <v>96.428571428571416</v>
      </c>
      <c r="F29">
        <f>26/0.28</f>
        <v>92.857142857142847</v>
      </c>
      <c r="G29">
        <f>26/0.27</f>
        <v>96.296296296296291</v>
      </c>
      <c r="H29">
        <f>21/0.26</f>
        <v>80.769230769230759</v>
      </c>
      <c r="I29">
        <f>14/0.27</f>
        <v>51.851851851851848</v>
      </c>
    </row>
    <row r="30" spans="1:9" ht="14.5" x14ac:dyDescent="0.35">
      <c r="A30" s="179" t="s">
        <v>220</v>
      </c>
      <c r="B30" s="179">
        <v>100</v>
      </c>
      <c r="C30" s="179">
        <v>100</v>
      </c>
      <c r="D30" s="179">
        <f>26/0.26</f>
        <v>100</v>
      </c>
      <c r="E30" s="179">
        <f>25/0.26</f>
        <v>96.153846153846146</v>
      </c>
      <c r="F30" s="179">
        <f>27/0.28</f>
        <v>96.428571428571416</v>
      </c>
      <c r="G30" s="179">
        <f>25/0.26</f>
        <v>96.153846153846146</v>
      </c>
      <c r="H30" s="179">
        <f>24/0.27</f>
        <v>88.888888888888886</v>
      </c>
      <c r="I30" s="179">
        <f>16/0.25</f>
        <v>64</v>
      </c>
    </row>
    <row r="31" spans="1:9" ht="14.5" x14ac:dyDescent="0.35">
      <c r="A31" t="s">
        <v>19</v>
      </c>
      <c r="B31">
        <v>100</v>
      </c>
      <c r="C31">
        <v>100</v>
      </c>
      <c r="D31">
        <v>100</v>
      </c>
      <c r="E31">
        <f>19/0.24</f>
        <v>79.166666666666671</v>
      </c>
      <c r="F31">
        <f>16/0.23</f>
        <v>69.565217391304344</v>
      </c>
      <c r="G31">
        <f>14/0.25</f>
        <v>56</v>
      </c>
      <c r="H31">
        <f>8/0.23</f>
        <v>34.782608695652172</v>
      </c>
      <c r="I31">
        <f>4/0.22</f>
        <v>18.181818181818183</v>
      </c>
    </row>
    <row r="32" spans="1:9" ht="14.5" x14ac:dyDescent="0.35">
      <c r="A32" s="179" t="s">
        <v>221</v>
      </c>
      <c r="B32" s="179">
        <v>100</v>
      </c>
      <c r="C32" s="179">
        <f>24/0.24</f>
        <v>100</v>
      </c>
      <c r="D32" s="179">
        <f>20/0.21</f>
        <v>95.238095238095241</v>
      </c>
      <c r="E32" s="179">
        <f>16/0.21</f>
        <v>76.19047619047619</v>
      </c>
      <c r="F32" s="179">
        <f>15/0.19</f>
        <v>78.94736842105263</v>
      </c>
      <c r="G32" s="179">
        <f>13/0.2</f>
        <v>65</v>
      </c>
      <c r="H32" s="179">
        <f>15/0.21</f>
        <v>71.428571428571431</v>
      </c>
      <c r="I32" s="179">
        <f>9/0.19</f>
        <v>47.368421052631575</v>
      </c>
    </row>
    <row r="33" spans="1:29" ht="14.5" x14ac:dyDescent="0.35">
      <c r="A33"/>
      <c r="B33"/>
      <c r="C33"/>
      <c r="D33"/>
      <c r="E33"/>
      <c r="F33"/>
      <c r="G33"/>
      <c r="H33"/>
      <c r="I33"/>
    </row>
    <row r="34" spans="1:29" ht="14.5" x14ac:dyDescent="0.35">
      <c r="A34"/>
      <c r="B34"/>
      <c r="C34"/>
      <c r="D34"/>
      <c r="E34"/>
      <c r="F34"/>
      <c r="G34"/>
      <c r="H34"/>
      <c r="I34"/>
    </row>
    <row r="35" spans="1:29" ht="14.5" x14ac:dyDescent="0.35">
      <c r="A35"/>
      <c r="B35"/>
      <c r="C35" s="102"/>
      <c r="D35" s="102"/>
      <c r="E35" s="102"/>
      <c r="F35" s="102"/>
      <c r="G35" s="102"/>
      <c r="H35" s="102"/>
      <c r="I35" s="102"/>
    </row>
    <row r="36" spans="1:29" ht="14.5" x14ac:dyDescent="0.35">
      <c r="A36"/>
      <c r="B36"/>
      <c r="C36" s="102"/>
      <c r="D36" s="102"/>
      <c r="E36" s="102"/>
      <c r="F36" s="102"/>
      <c r="G36" s="102"/>
      <c r="H36" s="102"/>
      <c r="I36" s="102"/>
    </row>
    <row r="37" spans="1:29" ht="14.5" x14ac:dyDescent="0.35">
      <c r="A37"/>
      <c r="B37"/>
      <c r="C37" s="102"/>
      <c r="D37" s="102"/>
      <c r="E37" s="102"/>
      <c r="F37" s="102"/>
      <c r="G37" s="102"/>
      <c r="H37" s="102"/>
      <c r="I37" s="102"/>
    </row>
    <row r="38" spans="1:29" ht="14.5" x14ac:dyDescent="0.35">
      <c r="A38"/>
      <c r="B38"/>
      <c r="C38" s="102"/>
      <c r="D38" s="102"/>
      <c r="E38" s="102"/>
      <c r="F38" s="102"/>
      <c r="G38" s="102"/>
      <c r="H38" s="102"/>
      <c r="I38" s="102"/>
    </row>
    <row r="39" spans="1:29" ht="14.5" x14ac:dyDescent="0.35">
      <c r="A39" s="102"/>
      <c r="B39" s="102"/>
      <c r="C39" s="102"/>
      <c r="D39" s="102"/>
      <c r="E39" s="102"/>
      <c r="F39" s="102"/>
      <c r="G39" s="102"/>
      <c r="H39" s="102"/>
      <c r="I39" s="102"/>
    </row>
    <row r="42" spans="1:29" x14ac:dyDescent="0.3">
      <c r="A42" s="2" t="s">
        <v>41</v>
      </c>
    </row>
    <row r="43" spans="1:29" x14ac:dyDescent="0.3">
      <c r="B43" s="16"/>
      <c r="C43" s="16"/>
      <c r="D43" s="16"/>
      <c r="E43" s="16"/>
      <c r="H43" s="16"/>
      <c r="I43" s="16"/>
      <c r="J43" s="16"/>
      <c r="K43" s="16"/>
    </row>
    <row r="44" spans="1:29" ht="14.5" x14ac:dyDescent="0.35">
      <c r="A44" s="11"/>
      <c r="B44" s="245" t="s">
        <v>43</v>
      </c>
      <c r="C44" s="246"/>
      <c r="D44" s="246"/>
      <c r="E44" s="247"/>
      <c r="G44" s="11"/>
      <c r="H44" s="245" t="s">
        <v>45</v>
      </c>
      <c r="I44" s="246"/>
      <c r="J44" s="246"/>
      <c r="K44" s="247"/>
      <c r="N44" s="240" t="s">
        <v>46</v>
      </c>
      <c r="O44" s="241"/>
      <c r="P44" s="241"/>
      <c r="Q44" s="242"/>
      <c r="T44" s="240" t="s">
        <v>47</v>
      </c>
      <c r="U44" s="241"/>
      <c r="V44" s="241"/>
      <c r="W44" s="242"/>
      <c r="Z44" s="240" t="s">
        <v>48</v>
      </c>
      <c r="AA44" s="241"/>
      <c r="AB44" s="241"/>
      <c r="AC44" s="242"/>
    </row>
    <row r="45" spans="1:29" ht="14.5" x14ac:dyDescent="0.35">
      <c r="A45" s="13"/>
      <c r="B45" s="14" t="s">
        <v>16</v>
      </c>
      <c r="C45" s="15" t="s">
        <v>17</v>
      </c>
      <c r="D45" s="14" t="s">
        <v>44</v>
      </c>
      <c r="E45" s="17" t="s">
        <v>18</v>
      </c>
      <c r="F45"/>
      <c r="G45" s="13"/>
      <c r="H45" s="14" t="s">
        <v>16</v>
      </c>
      <c r="I45" s="24" t="s">
        <v>17</v>
      </c>
      <c r="J45" s="14" t="s">
        <v>44</v>
      </c>
      <c r="K45" s="17" t="s">
        <v>18</v>
      </c>
      <c r="M45" s="16"/>
      <c r="N45" s="25" t="s">
        <v>16</v>
      </c>
      <c r="O45" s="15" t="s">
        <v>17</v>
      </c>
      <c r="P45" s="14" t="s">
        <v>44</v>
      </c>
      <c r="Q45" s="17" t="s">
        <v>18</v>
      </c>
      <c r="S45" s="16"/>
      <c r="T45" s="25" t="s">
        <v>16</v>
      </c>
      <c r="U45" s="15" t="s">
        <v>17</v>
      </c>
      <c r="V45" s="14" t="s">
        <v>44</v>
      </c>
      <c r="W45" s="17" t="s">
        <v>18</v>
      </c>
      <c r="Y45" s="16"/>
      <c r="Z45" s="25" t="s">
        <v>16</v>
      </c>
      <c r="AA45" s="15" t="s">
        <v>17</v>
      </c>
      <c r="AB45" s="14" t="s">
        <v>44</v>
      </c>
      <c r="AC45" s="17" t="s">
        <v>18</v>
      </c>
    </row>
    <row r="46" spans="1:29" ht="14.5" x14ac:dyDescent="0.35">
      <c r="A46" s="12" t="s">
        <v>37</v>
      </c>
      <c r="B46" s="8">
        <v>27</v>
      </c>
      <c r="C46" s="8">
        <v>28</v>
      </c>
      <c r="D46" s="8">
        <v>24</v>
      </c>
      <c r="E46" s="19">
        <v>27</v>
      </c>
      <c r="G46" s="12" t="s">
        <v>37</v>
      </c>
      <c r="H46" s="8">
        <v>13</v>
      </c>
      <c r="I46" s="10" t="s">
        <v>42</v>
      </c>
      <c r="J46" s="8">
        <v>5</v>
      </c>
      <c r="K46" s="27">
        <v>10</v>
      </c>
      <c r="M46" s="7" t="s">
        <v>37</v>
      </c>
      <c r="N46" s="28">
        <v>13</v>
      </c>
      <c r="O46" s="10" t="s">
        <v>42</v>
      </c>
      <c r="P46" s="8">
        <v>4</v>
      </c>
      <c r="Q46" s="27">
        <v>15</v>
      </c>
      <c r="S46" s="7" t="s">
        <v>37</v>
      </c>
      <c r="T46" s="28">
        <v>1</v>
      </c>
      <c r="U46" s="10" t="s">
        <v>42</v>
      </c>
      <c r="V46" s="8">
        <v>3</v>
      </c>
      <c r="W46" s="27">
        <v>15</v>
      </c>
      <c r="Y46" s="7" t="s">
        <v>37</v>
      </c>
      <c r="Z46" s="30" t="s">
        <v>42</v>
      </c>
      <c r="AA46" s="10" t="s">
        <v>42</v>
      </c>
      <c r="AB46" s="10" t="s">
        <v>42</v>
      </c>
      <c r="AC46" s="27">
        <v>1</v>
      </c>
    </row>
    <row r="47" spans="1:29" ht="28.5" x14ac:dyDescent="0.35">
      <c r="A47" s="12" t="s">
        <v>38</v>
      </c>
      <c r="B47" s="10" t="s">
        <v>42</v>
      </c>
      <c r="C47" s="10" t="s">
        <v>42</v>
      </c>
      <c r="D47" s="10" t="s">
        <v>42</v>
      </c>
      <c r="E47" s="20" t="s">
        <v>42</v>
      </c>
      <c r="G47" s="12" t="s">
        <v>38</v>
      </c>
      <c r="H47" s="8">
        <v>13</v>
      </c>
      <c r="I47" s="8">
        <v>13</v>
      </c>
      <c r="J47" s="9">
        <v>13</v>
      </c>
      <c r="K47" s="27">
        <v>9</v>
      </c>
      <c r="M47" s="7" t="s">
        <v>38</v>
      </c>
      <c r="N47" s="29">
        <v>10</v>
      </c>
      <c r="O47" s="9">
        <v>4</v>
      </c>
      <c r="P47" s="9">
        <v>8</v>
      </c>
      <c r="Q47" s="27">
        <v>7</v>
      </c>
      <c r="S47" s="7" t="s">
        <v>38</v>
      </c>
      <c r="T47" s="29">
        <v>6</v>
      </c>
      <c r="U47" s="10" t="s">
        <v>42</v>
      </c>
      <c r="V47" s="9">
        <v>3</v>
      </c>
      <c r="W47" s="27">
        <v>6</v>
      </c>
      <c r="Y47" s="7" t="s">
        <v>38</v>
      </c>
      <c r="Z47" s="29">
        <v>1</v>
      </c>
      <c r="AA47" s="10" t="s">
        <v>42</v>
      </c>
      <c r="AB47" s="9">
        <v>1</v>
      </c>
      <c r="AC47" s="27">
        <v>3</v>
      </c>
    </row>
    <row r="48" spans="1:29" ht="28.5" x14ac:dyDescent="0.35">
      <c r="A48" s="12" t="s">
        <v>39</v>
      </c>
      <c r="B48" s="10" t="s">
        <v>42</v>
      </c>
      <c r="C48" s="10" t="s">
        <v>42</v>
      </c>
      <c r="D48" s="10" t="s">
        <v>42</v>
      </c>
      <c r="E48" s="20" t="s">
        <v>42</v>
      </c>
      <c r="G48" s="12" t="s">
        <v>39</v>
      </c>
      <c r="H48" s="8">
        <v>1</v>
      </c>
      <c r="I48" s="8">
        <v>12</v>
      </c>
      <c r="J48" s="9">
        <v>3</v>
      </c>
      <c r="K48" s="27">
        <v>4</v>
      </c>
      <c r="M48" s="7" t="s">
        <v>39</v>
      </c>
      <c r="N48" s="29">
        <v>4</v>
      </c>
      <c r="O48" s="9">
        <v>14</v>
      </c>
      <c r="P48" s="9">
        <v>2</v>
      </c>
      <c r="Q48" s="27">
        <v>2</v>
      </c>
      <c r="S48" s="7" t="s">
        <v>39</v>
      </c>
      <c r="T48" s="29">
        <v>17</v>
      </c>
      <c r="U48" s="9">
        <v>2</v>
      </c>
      <c r="V48" s="9">
        <v>8</v>
      </c>
      <c r="W48" s="27">
        <v>4</v>
      </c>
      <c r="Y48" s="7" t="s">
        <v>39</v>
      </c>
      <c r="Z48" s="29">
        <v>5</v>
      </c>
      <c r="AA48" s="10" t="s">
        <v>42</v>
      </c>
      <c r="AB48" s="9">
        <v>7</v>
      </c>
      <c r="AC48" s="27">
        <v>13</v>
      </c>
    </row>
    <row r="49" spans="1:33" ht="14.5" x14ac:dyDescent="0.35">
      <c r="A49" s="21" t="s">
        <v>40</v>
      </c>
      <c r="B49" s="22" t="s">
        <v>42</v>
      </c>
      <c r="C49" s="22" t="s">
        <v>42</v>
      </c>
      <c r="D49" s="22" t="s">
        <v>42</v>
      </c>
      <c r="E49" s="23" t="s">
        <v>42</v>
      </c>
      <c r="G49" s="12" t="s">
        <v>40</v>
      </c>
      <c r="H49" s="25">
        <v>1</v>
      </c>
      <c r="I49" s="14">
        <v>1</v>
      </c>
      <c r="J49" s="14">
        <v>1</v>
      </c>
      <c r="K49" s="23" t="s">
        <v>42</v>
      </c>
      <c r="M49" s="21" t="s">
        <v>40</v>
      </c>
      <c r="N49" s="25">
        <v>1</v>
      </c>
      <c r="O49" s="14">
        <v>7</v>
      </c>
      <c r="P49" s="14">
        <v>7</v>
      </c>
      <c r="Q49" s="17">
        <v>1</v>
      </c>
      <c r="S49" s="7" t="s">
        <v>40</v>
      </c>
      <c r="T49" s="25">
        <v>4</v>
      </c>
      <c r="U49" s="14">
        <v>22</v>
      </c>
      <c r="V49" s="14">
        <v>6</v>
      </c>
      <c r="W49" s="17">
        <v>1</v>
      </c>
      <c r="Y49" s="21" t="s">
        <v>40</v>
      </c>
      <c r="Z49" s="25">
        <v>22</v>
      </c>
      <c r="AA49" s="14">
        <v>26</v>
      </c>
      <c r="AB49" s="14">
        <v>12</v>
      </c>
      <c r="AC49" s="17">
        <v>9</v>
      </c>
    </row>
    <row r="50" spans="1:33" x14ac:dyDescent="0.3">
      <c r="A50" s="2" t="s">
        <v>216</v>
      </c>
      <c r="B50" s="2">
        <v>1</v>
      </c>
      <c r="D50" s="2">
        <v>1</v>
      </c>
      <c r="E50" s="2">
        <v>1</v>
      </c>
      <c r="G50" s="2" t="s">
        <v>216</v>
      </c>
      <c r="I50" s="177">
        <v>2.9453653056183502E-6</v>
      </c>
      <c r="J50" s="177">
        <v>0.30399999999999999</v>
      </c>
      <c r="K50" s="117">
        <v>0.33600000000000002</v>
      </c>
      <c r="O50" s="177">
        <v>1.89116308987078E-6</v>
      </c>
      <c r="P50" s="2">
        <v>2.2599999999999999E-2</v>
      </c>
      <c r="Q50" s="2">
        <v>0.80500000000000005</v>
      </c>
      <c r="S50" s="26"/>
      <c r="U50" s="178">
        <v>4.3683703190553002E-8</v>
      </c>
      <c r="V50" s="2">
        <v>0.2273</v>
      </c>
      <c r="W50" s="177">
        <v>1.2E-5</v>
      </c>
      <c r="AA50" s="2">
        <v>3.5389999999999998E-2</v>
      </c>
      <c r="AB50" s="2">
        <v>0.36817</v>
      </c>
      <c r="AC50" s="177">
        <v>4.0800000000000003E-3</v>
      </c>
    </row>
    <row r="52" spans="1:33" x14ac:dyDescent="0.3">
      <c r="A52" s="2" t="s">
        <v>35</v>
      </c>
    </row>
    <row r="54" spans="1:33" s="117" customFormat="1" ht="14.5" x14ac:dyDescent="0.35">
      <c r="B54" s="237" t="s">
        <v>16</v>
      </c>
      <c r="C54" s="238"/>
      <c r="D54" s="239"/>
      <c r="I54" s="237" t="s">
        <v>17</v>
      </c>
      <c r="J54" s="238"/>
      <c r="K54" s="239"/>
      <c r="P54" s="237" t="s">
        <v>19</v>
      </c>
      <c r="Q54" s="238"/>
      <c r="R54" s="239"/>
      <c r="W54" s="237" t="s">
        <v>18</v>
      </c>
      <c r="X54" s="238"/>
      <c r="Y54" s="239"/>
      <c r="AC54" s="243"/>
      <c r="AD54" s="244"/>
      <c r="AE54" s="244"/>
    </row>
    <row r="55" spans="1:33" s="117" customFormat="1" ht="14.5" x14ac:dyDescent="0.35">
      <c r="B55" s="169" t="s">
        <v>32</v>
      </c>
      <c r="C55" s="170" t="s">
        <v>33</v>
      </c>
      <c r="D55" s="171" t="s">
        <v>34</v>
      </c>
      <c r="E55" s="170" t="s">
        <v>21</v>
      </c>
      <c r="F55" s="168" t="s">
        <v>20</v>
      </c>
      <c r="I55" s="169" t="s">
        <v>32</v>
      </c>
      <c r="J55" s="170" t="s">
        <v>33</v>
      </c>
      <c r="K55" s="171" t="s">
        <v>34</v>
      </c>
      <c r="L55" s="170" t="s">
        <v>21</v>
      </c>
      <c r="M55" s="168" t="s">
        <v>20</v>
      </c>
      <c r="N55" s="95" t="s">
        <v>215</v>
      </c>
      <c r="P55" s="169" t="s">
        <v>32</v>
      </c>
      <c r="Q55" s="170" t="s">
        <v>33</v>
      </c>
      <c r="R55" s="171" t="s">
        <v>34</v>
      </c>
      <c r="S55" s="170" t="s">
        <v>21</v>
      </c>
      <c r="T55" s="168" t="s">
        <v>20</v>
      </c>
      <c r="U55" s="95" t="s">
        <v>215</v>
      </c>
      <c r="W55" s="169" t="s">
        <v>32</v>
      </c>
      <c r="X55" s="170" t="s">
        <v>33</v>
      </c>
      <c r="Y55" s="171" t="s">
        <v>34</v>
      </c>
      <c r="Z55" s="170" t="s">
        <v>21</v>
      </c>
      <c r="AA55" s="168" t="s">
        <v>20</v>
      </c>
      <c r="AB55" s="95" t="s">
        <v>215</v>
      </c>
      <c r="AC55" s="6"/>
      <c r="AD55" s="6"/>
      <c r="AE55" s="6"/>
      <c r="AF55" s="6"/>
      <c r="AG55" s="84"/>
    </row>
    <row r="56" spans="1:33" s="117" customFormat="1" ht="14.5" x14ac:dyDescent="0.35">
      <c r="A56" s="174" t="s">
        <v>22</v>
      </c>
      <c r="B56" s="87">
        <v>6.3307391925542149E-3</v>
      </c>
      <c r="C56" s="88">
        <v>7.2052000786100865E-3</v>
      </c>
      <c r="D56" s="89">
        <v>6.0023937133432083E-3</v>
      </c>
      <c r="E56" s="88">
        <f t="shared" ref="E56:E65" si="0">AVERAGE(B56:D56)</f>
        <v>6.5127776615025029E-3</v>
      </c>
      <c r="F56" s="38">
        <f t="shared" ref="F56:F65" si="1">_xlfn.STDEV.P(B56:D56)</f>
        <v>5.0763457408809821E-4</v>
      </c>
      <c r="I56" s="87">
        <v>9.6490271599568105E-5</v>
      </c>
      <c r="J56" s="88">
        <v>2.3867823142739079E-4</v>
      </c>
      <c r="K56" s="89">
        <v>8.7095960746842889E-4</v>
      </c>
      <c r="L56" s="88">
        <f t="shared" ref="L56:L65" si="2">AVERAGE(I56:K56)</f>
        <v>4.0204270349846263E-4</v>
      </c>
      <c r="M56" s="38">
        <f t="shared" ref="M56:M65" si="3">_xlfn.STDEV.P(I56:K56)</f>
        <v>3.3661714266268298E-4</v>
      </c>
      <c r="N56" s="172">
        <f>ROUND(_xlfn.T.TEST($B56:$D56,I56:K56,2,2),4)</f>
        <v>1E-4</v>
      </c>
      <c r="P56" s="87">
        <v>2.7862848179449257E-2</v>
      </c>
      <c r="Q56" s="88">
        <v>2.3557015413298476E-2</v>
      </c>
      <c r="R56" s="89">
        <v>2.6604828049115948E-2</v>
      </c>
      <c r="S56" s="88">
        <f t="shared" ref="S56:S65" si="4">AVERAGE(P56:R56)</f>
        <v>2.6008230547287892E-2</v>
      </c>
      <c r="T56" s="38">
        <f t="shared" ref="T56:T65" si="5">_xlfn.STDEV.P(P56:R56)</f>
        <v>1.8077601955467854E-3</v>
      </c>
      <c r="U56" s="172">
        <f>ROUND(_xlfn.T.TEST($B56:$D56,P56:R56,2,2),4)</f>
        <v>1E-4</v>
      </c>
      <c r="W56" s="87">
        <v>8.9693311802601872E-2</v>
      </c>
      <c r="X56" s="88">
        <v>3.2452139508347501E-2</v>
      </c>
      <c r="Y56" s="89">
        <v>3.7853988883669865E-2</v>
      </c>
      <c r="Z56" s="88">
        <f t="shared" ref="Z56:Z65" si="6">AVERAGE(W56:Y56)</f>
        <v>5.3333146731539743E-2</v>
      </c>
      <c r="AA56" s="38">
        <f t="shared" ref="AA56:AA65" si="7">_xlfn.STDEV.P(W56:Y56)</f>
        <v>2.5804924557980318E-2</v>
      </c>
      <c r="AB56" s="133">
        <f>ROUND(_xlfn.T.TEST($B56:$D56,W56:Y56,2,2),4)</f>
        <v>6.2300000000000001E-2</v>
      </c>
      <c r="AC56" s="86"/>
      <c r="AD56" s="86"/>
      <c r="AE56" s="86"/>
      <c r="AF56" s="86"/>
      <c r="AG56" s="86"/>
    </row>
    <row r="57" spans="1:33" s="117" customFormat="1" ht="14.5" x14ac:dyDescent="0.35">
      <c r="A57" s="175" t="s">
        <v>23</v>
      </c>
      <c r="B57" s="29">
        <v>4.9260450305612631E-3</v>
      </c>
      <c r="C57" s="47">
        <v>3.7297022177324723E-3</v>
      </c>
      <c r="D57" s="161">
        <v>1.0591105596784689E-2</v>
      </c>
      <c r="E57" s="88">
        <f t="shared" si="0"/>
        <v>6.4156176150261422E-3</v>
      </c>
      <c r="F57" s="40">
        <f t="shared" si="1"/>
        <v>2.9926391859370913E-3</v>
      </c>
      <c r="I57" s="29">
        <v>1.5256054608483161E-4</v>
      </c>
      <c r="J57" s="47">
        <v>8.0776177699248071E-5</v>
      </c>
      <c r="K57" s="161">
        <v>7.3993235888334351E-4</v>
      </c>
      <c r="L57" s="88">
        <f t="shared" si="2"/>
        <v>3.2442302755580774E-4</v>
      </c>
      <c r="M57" s="40">
        <f t="shared" si="3"/>
        <v>2.9526739542469097E-4</v>
      </c>
      <c r="N57" s="172">
        <f t="shared" ref="N57:N65" si="8">ROUND(_xlfn.T.TEST($B57:$D57,I57:K57,2,2),4)</f>
        <v>4.5699999999999998E-2</v>
      </c>
      <c r="P57" s="29">
        <v>5.8715400557028154E-3</v>
      </c>
      <c r="Q57" s="47">
        <v>6.3435433527596541E-3</v>
      </c>
      <c r="R57" s="161">
        <v>1.1981495344323459E-2</v>
      </c>
      <c r="S57" s="88">
        <f t="shared" si="4"/>
        <v>8.0655262509286424E-3</v>
      </c>
      <c r="T57" s="40">
        <f t="shared" si="5"/>
        <v>2.7757049835342965E-3</v>
      </c>
      <c r="U57" s="133">
        <f t="shared" ref="U57:U65" si="9">ROUND(_xlfn.T.TEST($B57:$D57,P57:R57,2,2),4)</f>
        <v>0.59809999999999997</v>
      </c>
      <c r="W57" s="29">
        <v>1.4847941806649388E-2</v>
      </c>
      <c r="X57" s="47">
        <v>5.0977849861662608E-3</v>
      </c>
      <c r="Y57" s="161">
        <v>8.0999196987101164E-3</v>
      </c>
      <c r="Z57" s="88">
        <f t="shared" si="6"/>
        <v>9.3485488305085889E-3</v>
      </c>
      <c r="AA57" s="40">
        <f t="shared" si="7"/>
        <v>4.0772290866539313E-3</v>
      </c>
      <c r="AB57" s="133">
        <f t="shared" ref="AB57:AB65" si="10">ROUND(_xlfn.T.TEST($B57:$D57,W57:Y57,2,2),4)</f>
        <v>0.4582</v>
      </c>
      <c r="AC57" s="84"/>
      <c r="AD57" s="84"/>
      <c r="AE57" s="84"/>
      <c r="AF57" s="86"/>
      <c r="AG57" s="84"/>
    </row>
    <row r="58" spans="1:33" s="117" customFormat="1" ht="14.5" x14ac:dyDescent="0.35">
      <c r="A58" s="175" t="s">
        <v>24</v>
      </c>
      <c r="B58" s="29">
        <v>5.0414766517369427E-3</v>
      </c>
      <c r="C58" s="47">
        <v>3.2699220466628795E-3</v>
      </c>
      <c r="D58" s="161">
        <v>4.7398434898315951E-3</v>
      </c>
      <c r="E58" s="88">
        <f t="shared" si="0"/>
        <v>4.3504140627438062E-3</v>
      </c>
      <c r="F58" s="40">
        <f t="shared" si="1"/>
        <v>7.7388323352696345E-4</v>
      </c>
      <c r="I58" s="29">
        <v>6.3322769441816334E-5</v>
      </c>
      <c r="J58" s="47">
        <v>6.8840880729774469E-5</v>
      </c>
      <c r="K58" s="161">
        <v>3.4744965846694585E-4</v>
      </c>
      <c r="L58" s="88">
        <f t="shared" si="2"/>
        <v>1.5987110287951222E-4</v>
      </c>
      <c r="M58" s="40">
        <f t="shared" si="3"/>
        <v>1.3265719800862049E-4</v>
      </c>
      <c r="N58" s="172">
        <f t="shared" si="8"/>
        <v>1.6999999999999999E-3</v>
      </c>
      <c r="P58" s="29">
        <v>5.9223041863789511E-3</v>
      </c>
      <c r="Q58" s="47">
        <v>4.5617936197847389E-3</v>
      </c>
      <c r="R58" s="161">
        <v>1.2229102915471033E-2</v>
      </c>
      <c r="S58" s="88">
        <f t="shared" si="4"/>
        <v>7.5710669072115737E-3</v>
      </c>
      <c r="T58" s="40">
        <f t="shared" si="5"/>
        <v>3.3402317126346105E-3</v>
      </c>
      <c r="U58" s="133">
        <f t="shared" si="9"/>
        <v>0.25480000000000003</v>
      </c>
      <c r="W58" s="29">
        <v>1.0032998638397588E-2</v>
      </c>
      <c r="X58" s="47">
        <v>5.2210291576001095E-3</v>
      </c>
      <c r="Y58" s="161">
        <v>6.8693080576427241E-3</v>
      </c>
      <c r="Z58" s="88">
        <f t="shared" si="6"/>
        <v>7.3744452845468074E-3</v>
      </c>
      <c r="AA58" s="40">
        <f t="shared" si="7"/>
        <v>1.9966864692175798E-3</v>
      </c>
      <c r="AB58" s="133">
        <f t="shared" si="10"/>
        <v>0.11650000000000001</v>
      </c>
      <c r="AC58" s="84"/>
      <c r="AD58" s="84"/>
      <c r="AE58" s="84"/>
      <c r="AF58" s="86"/>
      <c r="AG58" s="84"/>
    </row>
    <row r="59" spans="1:33" s="117" customFormat="1" ht="14.5" x14ac:dyDescent="0.35">
      <c r="A59" s="175" t="s">
        <v>25</v>
      </c>
      <c r="B59" s="29">
        <v>4.7554003207934759E-3</v>
      </c>
      <c r="C59" s="47">
        <v>2.0930495772996782E-3</v>
      </c>
      <c r="D59" s="161">
        <v>3.5467758967809375E-3</v>
      </c>
      <c r="E59" s="88">
        <f t="shared" si="0"/>
        <v>3.4650752649580305E-3</v>
      </c>
      <c r="F59" s="40">
        <f t="shared" si="1"/>
        <v>1.0884343848775607E-3</v>
      </c>
      <c r="I59" s="29">
        <v>7.645581291853789E-5</v>
      </c>
      <c r="J59" s="47">
        <v>5.7475652346644071E-5</v>
      </c>
      <c r="K59" s="161">
        <v>3.0781900344172625E-5</v>
      </c>
      <c r="L59" s="88">
        <f t="shared" si="2"/>
        <v>5.4904455203118195E-5</v>
      </c>
      <c r="M59" s="40">
        <f t="shared" si="3"/>
        <v>1.8734724684852759E-5</v>
      </c>
      <c r="N59" s="172">
        <f t="shared" si="8"/>
        <v>1.14E-2</v>
      </c>
      <c r="P59" s="29">
        <v>7.461626485782219E-3</v>
      </c>
      <c r="Q59" s="47">
        <v>3.830229551094801E-3</v>
      </c>
      <c r="R59" s="161">
        <v>4.9422393545921232E-3</v>
      </c>
      <c r="S59" s="88">
        <f t="shared" si="4"/>
        <v>5.4113651304897141E-3</v>
      </c>
      <c r="T59" s="40">
        <f t="shared" si="5"/>
        <v>1.5191708636671806E-3</v>
      </c>
      <c r="U59" s="133">
        <f t="shared" si="9"/>
        <v>0.21479999999999999</v>
      </c>
      <c r="W59" s="29">
        <v>1.1183260797210432E-2</v>
      </c>
      <c r="X59" s="47">
        <v>4.9109731298570061E-3</v>
      </c>
      <c r="Y59" s="161">
        <v>6.5932577178211054E-3</v>
      </c>
      <c r="Z59" s="88">
        <f t="shared" si="6"/>
        <v>7.5624972149628475E-3</v>
      </c>
      <c r="AA59" s="40">
        <f t="shared" si="7"/>
        <v>2.6507819032156221E-3</v>
      </c>
      <c r="AB59" s="133">
        <f t="shared" si="10"/>
        <v>0.1132</v>
      </c>
      <c r="AC59" s="84"/>
      <c r="AD59" s="84"/>
      <c r="AE59" s="84"/>
      <c r="AF59" s="86"/>
      <c r="AG59" s="84"/>
    </row>
    <row r="60" spans="1:33" s="117" customFormat="1" ht="14.5" x14ac:dyDescent="0.35">
      <c r="A60" s="175" t="s">
        <v>26</v>
      </c>
      <c r="B60" s="29">
        <v>0.30210282016021273</v>
      </c>
      <c r="C60" s="47">
        <v>0.17037216642343442</v>
      </c>
      <c r="D60" s="161">
        <v>0.17385799930077525</v>
      </c>
      <c r="E60" s="88">
        <f t="shared" si="0"/>
        <v>0.21544432862814081</v>
      </c>
      <c r="F60" s="40">
        <f t="shared" si="1"/>
        <v>6.1293329564604399E-2</v>
      </c>
      <c r="I60" s="29">
        <v>1.319470310831068E-3</v>
      </c>
      <c r="J60" s="47">
        <v>7.1950960747672996E-4</v>
      </c>
      <c r="K60" s="161">
        <v>1.029562835550005E-3</v>
      </c>
      <c r="L60" s="88">
        <f t="shared" si="2"/>
        <v>1.0228475846192676E-3</v>
      </c>
      <c r="M60" s="40">
        <f t="shared" si="3"/>
        <v>2.4497895465890545E-4</v>
      </c>
      <c r="N60" s="172">
        <f t="shared" si="8"/>
        <v>7.7999999999999996E-3</v>
      </c>
      <c r="P60" s="29">
        <v>0.49357461255353874</v>
      </c>
      <c r="Q60" s="47">
        <v>0.38734786285536216</v>
      </c>
      <c r="R60" s="161">
        <v>0.28536669052046187</v>
      </c>
      <c r="S60" s="88">
        <f t="shared" si="4"/>
        <v>0.38876305530978761</v>
      </c>
      <c r="T60" s="40">
        <f t="shared" si="5"/>
        <v>8.5006418489410568E-2</v>
      </c>
      <c r="U60" s="133">
        <f t="shared" si="9"/>
        <v>7.9500000000000001E-2</v>
      </c>
      <c r="W60" s="29">
        <v>1.5993970642810631</v>
      </c>
      <c r="X60" s="47">
        <v>1.322306677228444</v>
      </c>
      <c r="Y60" s="161">
        <v>3.7786431384147252</v>
      </c>
      <c r="Z60" s="88">
        <f t="shared" si="6"/>
        <v>2.2334489599747442</v>
      </c>
      <c r="AA60" s="40">
        <f t="shared" si="7"/>
        <v>1.0984575723752672</v>
      </c>
      <c r="AB60" s="133">
        <f t="shared" si="10"/>
        <v>6.0400000000000002E-2</v>
      </c>
      <c r="AC60" s="84"/>
      <c r="AD60" s="84"/>
      <c r="AE60" s="84"/>
      <c r="AF60" s="86"/>
      <c r="AG60" s="84"/>
    </row>
    <row r="61" spans="1:33" s="117" customFormat="1" ht="14.5" x14ac:dyDescent="0.35">
      <c r="A61" s="175" t="s">
        <v>27</v>
      </c>
      <c r="B61" s="29">
        <v>1.0038985004228758</v>
      </c>
      <c r="C61" s="47">
        <v>0.38529123698011147</v>
      </c>
      <c r="D61" s="161">
        <v>0.5091553207203714</v>
      </c>
      <c r="E61" s="88">
        <f t="shared" si="0"/>
        <v>0.63278168604111951</v>
      </c>
      <c r="F61" s="40">
        <f t="shared" si="1"/>
        <v>0.26724688367107402</v>
      </c>
      <c r="I61" s="29">
        <v>5.3004065287701818E-3</v>
      </c>
      <c r="J61" s="47">
        <v>3.1931223208098332E-3</v>
      </c>
      <c r="K61" s="161">
        <v>1.9341041492365694E-3</v>
      </c>
      <c r="L61" s="88">
        <f t="shared" si="2"/>
        <v>3.4758776662721946E-3</v>
      </c>
      <c r="M61" s="40">
        <f t="shared" si="3"/>
        <v>1.3887550459924097E-3</v>
      </c>
      <c r="N61" s="172">
        <f t="shared" si="8"/>
        <v>2.9100000000000001E-2</v>
      </c>
      <c r="P61" s="29">
        <v>1.3103389794263007</v>
      </c>
      <c r="Q61" s="47">
        <v>0.56579784716220616</v>
      </c>
      <c r="R61" s="161">
        <v>1.1815752125590497</v>
      </c>
      <c r="S61" s="88">
        <f t="shared" si="4"/>
        <v>1.0192373463825188</v>
      </c>
      <c r="T61" s="40">
        <f t="shared" si="5"/>
        <v>0.32491082007666533</v>
      </c>
      <c r="U61" s="133">
        <f t="shared" si="9"/>
        <v>0.26369999999999999</v>
      </c>
      <c r="W61" s="29">
        <v>5.274065228622085</v>
      </c>
      <c r="X61" s="47">
        <v>4.5584837502783762</v>
      </c>
      <c r="Y61" s="161">
        <v>3.516722962961591</v>
      </c>
      <c r="Z61" s="88">
        <f t="shared" si="6"/>
        <v>4.4497573139540174</v>
      </c>
      <c r="AA61" s="40">
        <f t="shared" si="7"/>
        <v>0.72153957532303914</v>
      </c>
      <c r="AB61" s="172">
        <f t="shared" si="10"/>
        <v>2.2000000000000001E-3</v>
      </c>
      <c r="AC61" s="84"/>
      <c r="AD61" s="84"/>
      <c r="AE61" s="84"/>
      <c r="AF61" s="86"/>
      <c r="AG61" s="84"/>
    </row>
    <row r="62" spans="1:33" s="117" customFormat="1" ht="14.5" x14ac:dyDescent="0.35">
      <c r="A62" s="175" t="s">
        <v>28</v>
      </c>
      <c r="B62" s="29">
        <v>2.4884138106344866</v>
      </c>
      <c r="C62" s="47">
        <v>1.9382498559816046</v>
      </c>
      <c r="D62" s="161">
        <v>1.2228820614888294</v>
      </c>
      <c r="E62" s="88">
        <f t="shared" si="0"/>
        <v>1.8831819093683071</v>
      </c>
      <c r="F62" s="40">
        <f t="shared" si="1"/>
        <v>0.51811646765443875</v>
      </c>
      <c r="I62" s="29">
        <v>1.1557752623815568E-2</v>
      </c>
      <c r="J62" s="47">
        <v>7.5484315390893994E-3</v>
      </c>
      <c r="K62" s="161">
        <v>4.6365031880556745E-3</v>
      </c>
      <c r="L62" s="88">
        <f t="shared" si="2"/>
        <v>7.9142291169868803E-3</v>
      </c>
      <c r="M62" s="40">
        <f t="shared" si="3"/>
        <v>2.837402490424227E-3</v>
      </c>
      <c r="N62" s="172">
        <f t="shared" si="8"/>
        <v>6.8999999999999999E-3</v>
      </c>
      <c r="P62" s="29">
        <v>3.4550024006855407</v>
      </c>
      <c r="Q62" s="47">
        <v>3.5997380801875587</v>
      </c>
      <c r="R62" s="161">
        <v>3.8025080097954564</v>
      </c>
      <c r="S62" s="88">
        <f t="shared" si="4"/>
        <v>3.6190828302228524</v>
      </c>
      <c r="T62" s="40">
        <f t="shared" si="5"/>
        <v>0.14252649252252342</v>
      </c>
      <c r="U62" s="172">
        <f t="shared" si="9"/>
        <v>1.03E-2</v>
      </c>
      <c r="W62" s="29">
        <v>14.038956593254143</v>
      </c>
      <c r="X62" s="47">
        <v>13.665056834948656</v>
      </c>
      <c r="Y62" s="161">
        <v>13.269375244282701</v>
      </c>
      <c r="Z62" s="88">
        <f t="shared" si="6"/>
        <v>13.657796224161833</v>
      </c>
      <c r="AA62" s="40">
        <f t="shared" si="7"/>
        <v>0.31422221491902252</v>
      </c>
      <c r="AB62" s="172">
        <f t="shared" si="10"/>
        <v>0</v>
      </c>
      <c r="AC62" s="84"/>
      <c r="AD62" s="84"/>
      <c r="AE62" s="84"/>
      <c r="AF62" s="86"/>
      <c r="AG62" s="84"/>
    </row>
    <row r="63" spans="1:33" s="117" customFormat="1" ht="14.5" x14ac:dyDescent="0.35">
      <c r="A63" s="175" t="s">
        <v>29</v>
      </c>
      <c r="B63" s="29">
        <v>1.6671656520566874E-2</v>
      </c>
      <c r="C63" s="47">
        <v>7.1106114540796109E-3</v>
      </c>
      <c r="D63" s="161">
        <v>9.1820547770287472E-3</v>
      </c>
      <c r="E63" s="88">
        <f t="shared" si="0"/>
        <v>1.0988107583891744E-2</v>
      </c>
      <c r="F63" s="40">
        <f t="shared" si="1"/>
        <v>4.106885741997488E-3</v>
      </c>
      <c r="I63" s="29">
        <v>2.3607112232169492E-4</v>
      </c>
      <c r="J63" s="47">
        <v>9.5485753353057859E-5</v>
      </c>
      <c r="K63" s="161">
        <v>9.2215762922742334E-7</v>
      </c>
      <c r="L63" s="88">
        <f t="shared" si="2"/>
        <v>1.1082634443466006E-4</v>
      </c>
      <c r="M63" s="40">
        <f t="shared" si="3"/>
        <v>9.661007262887424E-5</v>
      </c>
      <c r="N63" s="172">
        <f t="shared" si="8"/>
        <v>0.02</v>
      </c>
      <c r="P63" s="29">
        <v>1.0459720245515758E-2</v>
      </c>
      <c r="Q63" s="47">
        <v>6.7564962604393626E-3</v>
      </c>
      <c r="R63" s="161">
        <v>6.33223710512585E-3</v>
      </c>
      <c r="S63" s="88">
        <f t="shared" si="4"/>
        <v>7.8494845370269909E-3</v>
      </c>
      <c r="T63" s="40">
        <f t="shared" si="5"/>
        <v>1.8538242991393452E-3</v>
      </c>
      <c r="U63" s="133">
        <f t="shared" si="9"/>
        <v>0.38040000000000002</v>
      </c>
      <c r="W63" s="29">
        <v>3.0549711142756175E-2</v>
      </c>
      <c r="X63" s="47">
        <v>1.2820840687547866E-2</v>
      </c>
      <c r="Y63" s="161">
        <v>1.8844245561056582E-2</v>
      </c>
      <c r="Z63" s="88">
        <f t="shared" si="6"/>
        <v>2.0738265797120209E-2</v>
      </c>
      <c r="AA63" s="40">
        <f t="shared" si="7"/>
        <v>7.3606474531956474E-3</v>
      </c>
      <c r="AB63" s="133">
        <f t="shared" si="10"/>
        <v>0.1772</v>
      </c>
      <c r="AC63" s="84"/>
      <c r="AD63" s="84"/>
      <c r="AE63" s="84"/>
      <c r="AF63" s="86"/>
      <c r="AG63" s="84"/>
    </row>
    <row r="64" spans="1:33" s="117" customFormat="1" ht="14.5" x14ac:dyDescent="0.35">
      <c r="A64" s="175" t="s">
        <v>30</v>
      </c>
      <c r="B64" s="29">
        <v>8.3167629511800342E-3</v>
      </c>
      <c r="C64" s="47">
        <v>5.5205378021833717E-3</v>
      </c>
      <c r="D64" s="161">
        <v>5.8221207364754042E-3</v>
      </c>
      <c r="E64" s="88">
        <f t="shared" si="0"/>
        <v>6.5531404966129372E-3</v>
      </c>
      <c r="F64" s="40">
        <f t="shared" si="1"/>
        <v>1.2531323921155879E-3</v>
      </c>
      <c r="I64" s="29">
        <v>1.2756433093683614E-4</v>
      </c>
      <c r="J64" s="47">
        <v>1.4325405472625854E-4</v>
      </c>
      <c r="K64" s="161">
        <v>1.0601008740078147E-4</v>
      </c>
      <c r="L64" s="88">
        <f t="shared" si="2"/>
        <v>1.2560949102129206E-4</v>
      </c>
      <c r="M64" s="40">
        <f t="shared" si="3"/>
        <v>1.5267488875752819E-5</v>
      </c>
      <c r="N64" s="172">
        <f t="shared" si="8"/>
        <v>1.9E-3</v>
      </c>
      <c r="P64" s="29">
        <v>9.366420834052475E-3</v>
      </c>
      <c r="Q64" s="47">
        <v>9.3029738968228356E-3</v>
      </c>
      <c r="R64" s="161">
        <v>8.9771127694358629E-3</v>
      </c>
      <c r="S64" s="88">
        <f t="shared" si="4"/>
        <v>9.2155025001037245E-3</v>
      </c>
      <c r="T64" s="40">
        <f t="shared" si="5"/>
        <v>1.7054545088602657E-4</v>
      </c>
      <c r="U64" s="172">
        <f t="shared" si="9"/>
        <v>4.0899999999999999E-2</v>
      </c>
      <c r="W64" s="29">
        <v>2.9660454553337812E-2</v>
      </c>
      <c r="X64" s="47">
        <v>2.8494536100171691E-2</v>
      </c>
      <c r="Y64" s="161">
        <v>4.0511654225807672E-2</v>
      </c>
      <c r="Z64" s="88">
        <f t="shared" si="6"/>
        <v>3.2888881626439055E-2</v>
      </c>
      <c r="AA64" s="40">
        <f t="shared" si="7"/>
        <v>5.4110897261162973E-3</v>
      </c>
      <c r="AB64" s="172">
        <f t="shared" si="10"/>
        <v>2.5999999999999999E-3</v>
      </c>
      <c r="AC64" s="84"/>
      <c r="AD64" s="84"/>
      <c r="AE64" s="84"/>
      <c r="AF64" s="86"/>
      <c r="AG64" s="84"/>
    </row>
    <row r="65" spans="1:33" s="117" customFormat="1" ht="14.5" x14ac:dyDescent="0.35">
      <c r="A65" s="176" t="s">
        <v>31</v>
      </c>
      <c r="B65" s="162">
        <v>5.7171084579942374E-3</v>
      </c>
      <c r="C65" s="163">
        <v>3.8811895108748964E-3</v>
      </c>
      <c r="D65" s="164">
        <v>7.2655427645695022E-3</v>
      </c>
      <c r="E65" s="91">
        <f t="shared" si="0"/>
        <v>5.6212802444795444E-3</v>
      </c>
      <c r="F65" s="44">
        <f t="shared" si="1"/>
        <v>1.3833170331555428E-3</v>
      </c>
      <c r="I65" s="162">
        <v>1.3747431236128143E-4</v>
      </c>
      <c r="J65" s="163">
        <v>1.7976056833566943E-4</v>
      </c>
      <c r="K65" s="164">
        <v>1.3355010410907221E-4</v>
      </c>
      <c r="L65" s="91">
        <f t="shared" si="2"/>
        <v>1.5026166160200769E-4</v>
      </c>
      <c r="M65" s="44">
        <f t="shared" si="3"/>
        <v>2.0920308736769514E-5</v>
      </c>
      <c r="N65" s="173">
        <f t="shared" si="8"/>
        <v>5.0000000000000001E-3</v>
      </c>
      <c r="P65" s="162">
        <v>8.0352098613400511E-3</v>
      </c>
      <c r="Q65" s="163">
        <v>4.7184731924292313E-3</v>
      </c>
      <c r="R65" s="164">
        <v>1.3364908454627388E-2</v>
      </c>
      <c r="S65" s="91">
        <f t="shared" si="4"/>
        <v>8.7061971694655568E-3</v>
      </c>
      <c r="T65" s="44">
        <f t="shared" si="5"/>
        <v>3.5616362027954766E-3</v>
      </c>
      <c r="U65" s="136">
        <f t="shared" si="9"/>
        <v>0.31719999999999998</v>
      </c>
      <c r="W65" s="162">
        <v>1.4992811077616896E-2</v>
      </c>
      <c r="X65" s="163">
        <v>1.0762008619966686E-2</v>
      </c>
      <c r="Y65" s="164">
        <v>2.0232253353597792E-2</v>
      </c>
      <c r="Z65" s="91">
        <f t="shared" si="6"/>
        <v>1.5329024350393789E-2</v>
      </c>
      <c r="AA65" s="44">
        <f t="shared" si="7"/>
        <v>3.873513766793697E-3</v>
      </c>
      <c r="AB65" s="173">
        <f t="shared" si="10"/>
        <v>2.8899999999999999E-2</v>
      </c>
      <c r="AC65" s="84"/>
      <c r="AD65" s="84"/>
      <c r="AE65" s="84"/>
      <c r="AF65" s="86"/>
      <c r="AG65" s="84"/>
    </row>
    <row r="67" spans="1:33" x14ac:dyDescent="0.3">
      <c r="A67" s="2" t="s">
        <v>49</v>
      </c>
    </row>
  </sheetData>
  <mergeCells count="10">
    <mergeCell ref="I54:K54"/>
    <mergeCell ref="P54:R54"/>
    <mergeCell ref="T44:W44"/>
    <mergeCell ref="Z44:AC44"/>
    <mergeCell ref="B54:D54"/>
    <mergeCell ref="AC54:AE54"/>
    <mergeCell ref="W54:Y54"/>
    <mergeCell ref="B44:E44"/>
    <mergeCell ref="H44:K44"/>
    <mergeCell ref="N44:Q4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0"/>
  <sheetViews>
    <sheetView topLeftCell="A31" zoomScale="55" zoomScaleNormal="55" workbookViewId="0">
      <selection activeCell="U26" sqref="U26"/>
    </sheetView>
  </sheetViews>
  <sheetFormatPr defaultRowHeight="14.5" x14ac:dyDescent="0.35"/>
  <cols>
    <col min="1" max="1" width="12.26953125" customWidth="1"/>
  </cols>
  <sheetData>
    <row r="1" spans="1:36" s="2" customFormat="1" ht="14" x14ac:dyDescent="0.3">
      <c r="A1" s="2" t="s">
        <v>51</v>
      </c>
    </row>
    <row r="2" spans="1:36" s="2" customFormat="1" ht="14" x14ac:dyDescent="0.3"/>
    <row r="3" spans="1:36" s="2" customFormat="1" ht="14" x14ac:dyDescent="0.3">
      <c r="A3" s="2" t="s">
        <v>52</v>
      </c>
    </row>
    <row r="4" spans="1:36" s="2" customFormat="1" ht="14" x14ac:dyDescent="0.3"/>
    <row r="5" spans="1:36" x14ac:dyDescent="0.35">
      <c r="B5" s="256" t="s">
        <v>16</v>
      </c>
      <c r="C5" s="257"/>
      <c r="D5" s="257"/>
      <c r="E5" s="2"/>
      <c r="F5" s="2"/>
      <c r="H5" s="256" t="s">
        <v>17</v>
      </c>
      <c r="I5" s="257"/>
      <c r="J5" s="257"/>
      <c r="K5" s="2"/>
      <c r="L5" s="2"/>
      <c r="O5" s="256" t="s">
        <v>19</v>
      </c>
      <c r="P5" s="257"/>
      <c r="Q5" s="257"/>
      <c r="R5" s="2"/>
      <c r="S5" s="2"/>
      <c r="V5" s="256" t="s">
        <v>18</v>
      </c>
      <c r="W5" s="257"/>
      <c r="X5" s="257"/>
      <c r="Y5" s="2"/>
      <c r="Z5" s="2"/>
    </row>
    <row r="6" spans="1:36" x14ac:dyDescent="0.35">
      <c r="B6" s="6" t="s">
        <v>32</v>
      </c>
      <c r="C6" s="6" t="s">
        <v>33</v>
      </c>
      <c r="D6" s="6" t="s">
        <v>34</v>
      </c>
      <c r="E6" s="3" t="s">
        <v>21</v>
      </c>
      <c r="F6" s="4" t="s">
        <v>20</v>
      </c>
      <c r="H6" s="6" t="s">
        <v>32</v>
      </c>
      <c r="I6" s="6" t="s">
        <v>33</v>
      </c>
      <c r="J6" s="6" t="s">
        <v>34</v>
      </c>
      <c r="K6" s="3" t="s">
        <v>21</v>
      </c>
      <c r="L6" s="4" t="s">
        <v>20</v>
      </c>
      <c r="M6" s="86" t="s">
        <v>195</v>
      </c>
      <c r="O6" s="6" t="s">
        <v>32</v>
      </c>
      <c r="P6" s="6" t="s">
        <v>33</v>
      </c>
      <c r="Q6" s="6" t="s">
        <v>34</v>
      </c>
      <c r="R6" s="3" t="s">
        <v>21</v>
      </c>
      <c r="S6" s="4" t="s">
        <v>20</v>
      </c>
      <c r="T6" s="86" t="s">
        <v>195</v>
      </c>
      <c r="V6" s="6" t="s">
        <v>32</v>
      </c>
      <c r="W6" s="6" t="s">
        <v>33</v>
      </c>
      <c r="X6" s="6" t="s">
        <v>34</v>
      </c>
      <c r="Y6" s="3" t="s">
        <v>21</v>
      </c>
      <c r="Z6" s="4" t="s">
        <v>20</v>
      </c>
      <c r="AA6" s="86" t="s">
        <v>195</v>
      </c>
      <c r="AI6" s="102"/>
      <c r="AJ6" s="112"/>
    </row>
    <row r="7" spans="1:36" s="31" customFormat="1" x14ac:dyDescent="0.35">
      <c r="A7" s="2" t="s">
        <v>22</v>
      </c>
      <c r="B7" s="31">
        <v>2.3916047291468747E-3</v>
      </c>
      <c r="C7" s="31">
        <v>2.8579225158284279E-3</v>
      </c>
      <c r="D7" s="31">
        <v>2.5477246385174177E-3</v>
      </c>
      <c r="E7" s="5">
        <f>AVERAGE(B7:D7)</f>
        <v>2.5990839611642401E-3</v>
      </c>
      <c r="F7" s="32">
        <f>_xlfn.STDEV.P(B7:D7)</f>
        <v>1.9380644048629369E-4</v>
      </c>
      <c r="H7" s="31">
        <v>5.4521198767031607E-3</v>
      </c>
      <c r="I7" s="31">
        <v>5.1102634185252148E-3</v>
      </c>
      <c r="J7" s="31">
        <v>2.1152038455587815E-2</v>
      </c>
      <c r="K7" s="5">
        <f t="shared" ref="K7:K16" si="0">AVERAGE(H7:J7)</f>
        <v>1.0571473916938731E-2</v>
      </c>
      <c r="L7" s="32">
        <f t="shared" ref="L7:L16" si="1">_xlfn.STDEV.P(H7:J7)</f>
        <v>7.4828905255873929E-3</v>
      </c>
      <c r="M7" s="104">
        <f>ROUND(_xlfn.T.TEST($B7:$D7,H7:J7,2,2),4)</f>
        <v>0.20649999999999999</v>
      </c>
      <c r="O7" s="31">
        <v>7.3609347070459916E-3</v>
      </c>
      <c r="P7" s="31">
        <v>8.8566976081204257E-3</v>
      </c>
      <c r="Q7" s="31">
        <v>9.3916256398976494E-3</v>
      </c>
      <c r="R7" s="5">
        <f t="shared" ref="R7:R16" si="2">AVERAGE(O7:Q7)</f>
        <v>8.536419318354688E-3</v>
      </c>
      <c r="S7" s="32">
        <f t="shared" ref="S7:S16" si="3">_xlfn.STDEV.P(O7:Q7)</f>
        <v>8.5940291418439008E-4</v>
      </c>
      <c r="T7" s="103">
        <f t="shared" ref="T7:T16" si="4">ROUND(_xlfn.T.TEST($B7:$D7,O7:Q7,2,2),4)</f>
        <v>6.9999999999999999E-4</v>
      </c>
      <c r="V7" s="31">
        <v>5.5461523742839332E-3</v>
      </c>
      <c r="W7" s="31">
        <v>5.8299442764573493E-3</v>
      </c>
      <c r="X7" s="31">
        <v>1.3075430112203143E-2</v>
      </c>
      <c r="Y7" s="5">
        <f t="shared" ref="Y7:Y16" si="5">AVERAGE(V7:X7)</f>
        <v>8.1505089209814741E-3</v>
      </c>
      <c r="Z7" s="32">
        <f t="shared" ref="Z7:Z16" si="6">_xlfn.STDEV.P(V7:X7)</f>
        <v>3.4843718722071954E-3</v>
      </c>
      <c r="AA7" s="104">
        <f t="shared" ref="AA7:AA16" si="7">ROUND(_xlfn.T.TEST($B7:$D7,V7:X7,2,2),4)</f>
        <v>8.77E-2</v>
      </c>
      <c r="AI7" s="100"/>
      <c r="AJ7" s="102"/>
    </row>
    <row r="8" spans="1:36" x14ac:dyDescent="0.35">
      <c r="A8" s="2" t="s">
        <v>23</v>
      </c>
      <c r="B8">
        <v>1.0240778635082074E-2</v>
      </c>
      <c r="C8">
        <v>1.5765747884996646E-2</v>
      </c>
      <c r="D8">
        <v>1.5741377245918352E-2</v>
      </c>
      <c r="E8" s="5">
        <f t="shared" ref="E8:E16" si="8">AVERAGE(B8:D8)</f>
        <v>1.3915967921999025E-2</v>
      </c>
      <c r="F8" s="4">
        <f t="shared" ref="F8:F16" si="9">_xlfn.STDEV.P(B8:D8)</f>
        <v>2.5987703121558739E-3</v>
      </c>
      <c r="H8">
        <v>1.4618718528296196E-2</v>
      </c>
      <c r="I8">
        <v>1.1860991003063101E-2</v>
      </c>
      <c r="J8">
        <v>1.4769355172255055E-2</v>
      </c>
      <c r="K8" s="5">
        <f t="shared" si="0"/>
        <v>1.3749688234538116E-2</v>
      </c>
      <c r="L8" s="4">
        <f t="shared" si="1"/>
        <v>1.3369257705053137E-3</v>
      </c>
      <c r="M8" s="104">
        <f t="shared" ref="M8:M16" si="10">ROUND(_xlfn.T.TEST($B8:$D8,H8:J8,2,2),4)</f>
        <v>0.93969999999999998</v>
      </c>
      <c r="O8">
        <v>8.3935980965522666E-3</v>
      </c>
      <c r="P8">
        <v>2.5123899682327016E-2</v>
      </c>
      <c r="Q8">
        <v>1.6705590933406851E-2</v>
      </c>
      <c r="R8" s="5">
        <f t="shared" si="2"/>
        <v>1.6741029570762043E-2</v>
      </c>
      <c r="S8" s="4">
        <f t="shared" si="3"/>
        <v>6.8301629902712902E-3</v>
      </c>
      <c r="T8" s="104">
        <f t="shared" si="4"/>
        <v>0.61360000000000003</v>
      </c>
      <c r="V8">
        <v>7.2757399239999311E-3</v>
      </c>
      <c r="W8">
        <v>1.184255024477574E-2</v>
      </c>
      <c r="X8">
        <v>2.5888103627539637E-2</v>
      </c>
      <c r="Y8" s="5">
        <f t="shared" si="5"/>
        <v>1.5002131265438437E-2</v>
      </c>
      <c r="Z8" s="4">
        <f t="shared" si="6"/>
        <v>7.9201108926499862E-3</v>
      </c>
      <c r="AA8" s="104">
        <f t="shared" si="7"/>
        <v>0.86280000000000001</v>
      </c>
      <c r="AG8" s="102"/>
      <c r="AI8" s="102"/>
      <c r="AJ8" s="102"/>
    </row>
    <row r="9" spans="1:36" x14ac:dyDescent="0.35">
      <c r="A9" s="2" t="s">
        <v>24</v>
      </c>
      <c r="B9">
        <v>1.5029537872653846E-2</v>
      </c>
      <c r="C9">
        <v>1.6555598992982083E-2</v>
      </c>
      <c r="D9">
        <v>1.723219774574318E-2</v>
      </c>
      <c r="E9" s="5">
        <f t="shared" si="8"/>
        <v>1.6272444870459705E-2</v>
      </c>
      <c r="F9" s="4">
        <f t="shared" si="9"/>
        <v>9.2125270581440541E-4</v>
      </c>
      <c r="H9">
        <v>1.0192309325417162E-2</v>
      </c>
      <c r="I9">
        <v>1.3470711915262529E-2</v>
      </c>
      <c r="J9">
        <v>1.6543893339255922E-2</v>
      </c>
      <c r="K9" s="5">
        <f t="shared" si="0"/>
        <v>1.3402304859978537E-2</v>
      </c>
      <c r="L9" s="4">
        <f t="shared" si="1"/>
        <v>2.593474441121086E-3</v>
      </c>
      <c r="M9" s="104">
        <f t="shared" si="10"/>
        <v>0.21429999999999999</v>
      </c>
      <c r="O9">
        <v>1.3388175932435339E-2</v>
      </c>
      <c r="P9">
        <v>2.5137125248961199E-2</v>
      </c>
      <c r="Q9">
        <v>3.20869249214355E-2</v>
      </c>
      <c r="R9" s="5">
        <f t="shared" si="2"/>
        <v>2.353740870094401E-2</v>
      </c>
      <c r="S9" s="4">
        <f t="shared" si="3"/>
        <v>7.7170859445738422E-3</v>
      </c>
      <c r="T9" s="104">
        <f t="shared" si="4"/>
        <v>0.25669999999999998</v>
      </c>
      <c r="V9">
        <v>1.1991395294996259E-2</v>
      </c>
      <c r="W9">
        <v>1.6112681859627331E-2</v>
      </c>
      <c r="X9">
        <v>1.2208447604854655E-2</v>
      </c>
      <c r="Y9" s="5">
        <f t="shared" si="5"/>
        <v>1.3437508253159416E-2</v>
      </c>
      <c r="Z9" s="4">
        <f t="shared" si="6"/>
        <v>1.893707702693429E-3</v>
      </c>
      <c r="AA9" s="104">
        <f t="shared" si="7"/>
        <v>0.12970000000000001</v>
      </c>
      <c r="AG9" s="102"/>
      <c r="AI9" s="102"/>
      <c r="AJ9" s="102"/>
    </row>
    <row r="10" spans="1:36" x14ac:dyDescent="0.35">
      <c r="A10" s="2" t="s">
        <v>25</v>
      </c>
      <c r="B10">
        <v>1.0507573229718044E-2</v>
      </c>
      <c r="C10">
        <v>1.4548624613010444E-2</v>
      </c>
      <c r="D10">
        <v>1.1233622363716863E-2</v>
      </c>
      <c r="E10" s="5">
        <f t="shared" si="8"/>
        <v>1.2096606735481782E-2</v>
      </c>
      <c r="F10" s="4">
        <f t="shared" si="9"/>
        <v>1.7589922474786951E-3</v>
      </c>
      <c r="H10">
        <v>1.0527767529496366E-2</v>
      </c>
      <c r="I10">
        <v>2.0816265879444379E-2</v>
      </c>
      <c r="J10">
        <v>1.5586963876682297E-2</v>
      </c>
      <c r="K10" s="5">
        <f t="shared" si="0"/>
        <v>1.5643665761874346E-2</v>
      </c>
      <c r="L10" s="4">
        <f t="shared" si="1"/>
        <v>4.2004532217415911E-3</v>
      </c>
      <c r="M10" s="104">
        <f t="shared" si="10"/>
        <v>0.33250000000000002</v>
      </c>
      <c r="O10">
        <v>2.4942248931297911E-2</v>
      </c>
      <c r="P10">
        <v>2.4414394855360576E-2</v>
      </c>
      <c r="Q10">
        <v>2.4312126273345558E-2</v>
      </c>
      <c r="R10" s="5">
        <f t="shared" si="2"/>
        <v>2.4556256686668016E-2</v>
      </c>
      <c r="S10" s="4">
        <f t="shared" si="3"/>
        <v>2.7611256811025401E-4</v>
      </c>
      <c r="T10" s="103">
        <f t="shared" si="4"/>
        <v>5.9999999999999995E-4</v>
      </c>
      <c r="V10">
        <v>1.3490104972541687E-2</v>
      </c>
      <c r="W10">
        <v>4.399075994085111E-2</v>
      </c>
      <c r="X10">
        <v>1.2136046368922045E-2</v>
      </c>
      <c r="Y10" s="5">
        <f t="shared" si="5"/>
        <v>2.3205637094104947E-2</v>
      </c>
      <c r="Z10" s="4">
        <f t="shared" si="6"/>
        <v>1.470769339475673E-2</v>
      </c>
      <c r="AA10" s="104">
        <f t="shared" si="7"/>
        <v>0.34870000000000001</v>
      </c>
      <c r="AG10" s="102"/>
      <c r="AI10" s="102"/>
      <c r="AJ10" s="102"/>
    </row>
    <row r="11" spans="1:36" x14ac:dyDescent="0.35">
      <c r="A11" s="2" t="s">
        <v>26</v>
      </c>
      <c r="B11">
        <v>42.031158116232589</v>
      </c>
      <c r="C11">
        <v>36.636523139730002</v>
      </c>
      <c r="D11">
        <v>36.292680580265319</v>
      </c>
      <c r="E11" s="5">
        <f t="shared" si="8"/>
        <v>38.320120612075975</v>
      </c>
      <c r="F11" s="4">
        <f t="shared" si="9"/>
        <v>2.6278516503495837</v>
      </c>
      <c r="H11">
        <v>33.746684973697789</v>
      </c>
      <c r="I11">
        <v>28.185262147641122</v>
      </c>
      <c r="J11">
        <v>61.485202846292374</v>
      </c>
      <c r="K11" s="5">
        <f t="shared" si="0"/>
        <v>41.139049989210427</v>
      </c>
      <c r="L11" s="4">
        <f t="shared" si="1"/>
        <v>14.56495355354431</v>
      </c>
      <c r="M11" s="104">
        <f t="shared" si="10"/>
        <v>0.80100000000000005</v>
      </c>
      <c r="O11">
        <v>31.275915447317985</v>
      </c>
      <c r="P11">
        <v>30.225245246013639</v>
      </c>
      <c r="Q11">
        <v>38.41185885918015</v>
      </c>
      <c r="R11" s="5">
        <f t="shared" si="2"/>
        <v>33.304339850837259</v>
      </c>
      <c r="S11" s="4">
        <f t="shared" si="3"/>
        <v>3.6369437520547661</v>
      </c>
      <c r="T11" s="104">
        <f t="shared" si="4"/>
        <v>0.18909999999999999</v>
      </c>
      <c r="V11">
        <v>22.335052193617841</v>
      </c>
      <c r="W11">
        <v>50.455813444221249</v>
      </c>
      <c r="X11">
        <v>73.491051184092555</v>
      </c>
      <c r="Y11" s="5">
        <f t="shared" si="5"/>
        <v>48.760638940643879</v>
      </c>
      <c r="Z11" s="4">
        <f t="shared" si="6"/>
        <v>20.91872001543987</v>
      </c>
      <c r="AA11" s="104">
        <f t="shared" si="7"/>
        <v>0.52229999999999999</v>
      </c>
      <c r="AG11" s="102"/>
      <c r="AI11" s="102"/>
      <c r="AJ11" s="102"/>
    </row>
    <row r="12" spans="1:36" x14ac:dyDescent="0.35">
      <c r="A12" s="2" t="s">
        <v>27</v>
      </c>
      <c r="B12">
        <v>31.15322697164072</v>
      </c>
      <c r="C12">
        <v>30.436796799602543</v>
      </c>
      <c r="D12">
        <v>57.253108193819436</v>
      </c>
      <c r="E12" s="5">
        <f t="shared" si="8"/>
        <v>39.614377321687563</v>
      </c>
      <c r="F12" s="4">
        <f t="shared" si="9"/>
        <v>12.475895108367313</v>
      </c>
      <c r="H12">
        <v>36.190343986978185</v>
      </c>
      <c r="I12">
        <v>37.2776427192249</v>
      </c>
      <c r="J12">
        <v>38.152578406866127</v>
      </c>
      <c r="K12" s="5">
        <f t="shared" si="0"/>
        <v>37.206855037689735</v>
      </c>
      <c r="L12" s="4">
        <f t="shared" si="1"/>
        <v>0.80264112011163269</v>
      </c>
      <c r="M12" s="104">
        <f t="shared" si="10"/>
        <v>0.79879999999999995</v>
      </c>
      <c r="O12">
        <v>30.475882865560603</v>
      </c>
      <c r="P12">
        <v>28.985692500034816</v>
      </c>
      <c r="Q12">
        <v>53.084693374537302</v>
      </c>
      <c r="R12" s="5">
        <f t="shared" si="2"/>
        <v>37.51542291337757</v>
      </c>
      <c r="S12" s="4">
        <f t="shared" si="3"/>
        <v>11.025933183512777</v>
      </c>
      <c r="T12" s="104">
        <f t="shared" si="4"/>
        <v>0.86719999999999997</v>
      </c>
      <c r="V12">
        <v>23.404014598342641</v>
      </c>
      <c r="W12">
        <v>44.968661315460672</v>
      </c>
      <c r="X12">
        <v>61.767910162979696</v>
      </c>
      <c r="Y12" s="5">
        <f t="shared" si="5"/>
        <v>43.380195358927665</v>
      </c>
      <c r="Z12" s="4">
        <f t="shared" si="6"/>
        <v>15.702219350459002</v>
      </c>
      <c r="AA12" s="104">
        <f t="shared" si="7"/>
        <v>0.80369999999999997</v>
      </c>
      <c r="AG12" s="102"/>
      <c r="AI12" s="102"/>
      <c r="AJ12" s="102"/>
    </row>
    <row r="13" spans="1:36" x14ac:dyDescent="0.35">
      <c r="A13" s="2" t="s">
        <v>28</v>
      </c>
      <c r="B13">
        <v>16.878666405008385</v>
      </c>
      <c r="C13">
        <v>18.994936447698151</v>
      </c>
      <c r="D13">
        <v>28.484576477051188</v>
      </c>
      <c r="E13" s="5">
        <f t="shared" si="8"/>
        <v>21.452726443252576</v>
      </c>
      <c r="F13" s="4">
        <f t="shared" si="9"/>
        <v>5.0467703135616988</v>
      </c>
      <c r="H13">
        <v>32.592807716423714</v>
      </c>
      <c r="I13">
        <v>39.798293763495685</v>
      </c>
      <c r="J13">
        <v>28.881916692225484</v>
      </c>
      <c r="K13" s="5">
        <f t="shared" si="0"/>
        <v>33.757672724048298</v>
      </c>
      <c r="L13" s="4">
        <f t="shared" si="1"/>
        <v>4.5320712670940573</v>
      </c>
      <c r="M13" s="104">
        <f t="shared" si="10"/>
        <v>6.2300000000000001E-2</v>
      </c>
      <c r="O13">
        <v>13.427034348669457</v>
      </c>
      <c r="P13">
        <v>23.806107169771419</v>
      </c>
      <c r="Q13">
        <v>26.577312487552916</v>
      </c>
      <c r="R13" s="5">
        <f t="shared" si="2"/>
        <v>21.270151335331263</v>
      </c>
      <c r="S13" s="4">
        <f t="shared" si="3"/>
        <v>5.6601388544906639</v>
      </c>
      <c r="T13" s="104">
        <f t="shared" si="4"/>
        <v>0.97450000000000003</v>
      </c>
      <c r="V13">
        <v>14.689572628439535</v>
      </c>
      <c r="W13">
        <v>23.636742144821969</v>
      </c>
      <c r="X13">
        <v>19.715420528348506</v>
      </c>
      <c r="Y13" s="5">
        <f t="shared" si="5"/>
        <v>19.347245100536668</v>
      </c>
      <c r="Z13" s="4">
        <f t="shared" si="6"/>
        <v>3.6619325906734317</v>
      </c>
      <c r="AA13" s="104">
        <f t="shared" si="7"/>
        <v>0.65790000000000004</v>
      </c>
      <c r="AG13" s="102"/>
      <c r="AI13" s="102"/>
      <c r="AJ13" s="102"/>
    </row>
    <row r="14" spans="1:36" x14ac:dyDescent="0.35">
      <c r="A14" s="2" t="s">
        <v>29</v>
      </c>
      <c r="B14">
        <v>6.5625932536693354E-2</v>
      </c>
      <c r="C14">
        <v>0.2300486855632928</v>
      </c>
      <c r="D14">
        <v>0.41029727006977029</v>
      </c>
      <c r="E14" s="5">
        <f t="shared" si="8"/>
        <v>0.23532396272325218</v>
      </c>
      <c r="F14" s="4">
        <f t="shared" si="9"/>
        <v>0.14076091820541153</v>
      </c>
      <c r="H14">
        <v>0.1884160706691719</v>
      </c>
      <c r="I14">
        <v>0.34469381177037883</v>
      </c>
      <c r="J14">
        <v>8.5507833756860926E-3</v>
      </c>
      <c r="K14" s="5">
        <f t="shared" si="0"/>
        <v>0.18055355527174557</v>
      </c>
      <c r="L14" s="4">
        <f t="shared" si="1"/>
        <v>0.13734239026576342</v>
      </c>
      <c r="M14" s="104">
        <f t="shared" si="10"/>
        <v>0.71379999999999999</v>
      </c>
      <c r="O14">
        <v>6.2713667137086565E-2</v>
      </c>
      <c r="P14">
        <v>0.43046628785574753</v>
      </c>
      <c r="Q14">
        <v>0.46710147648783013</v>
      </c>
      <c r="R14" s="5">
        <f t="shared" si="2"/>
        <v>0.32009381049355473</v>
      </c>
      <c r="S14" s="4">
        <f t="shared" si="3"/>
        <v>0.18260875829155279</v>
      </c>
      <c r="T14" s="104">
        <f t="shared" si="4"/>
        <v>0.63049999999999995</v>
      </c>
      <c r="V14">
        <v>0.1490359153020753</v>
      </c>
      <c r="W14">
        <v>0.35873342369862332</v>
      </c>
      <c r="X14">
        <v>0.68431638412527718</v>
      </c>
      <c r="Y14" s="5">
        <f t="shared" si="5"/>
        <v>0.39736190770865859</v>
      </c>
      <c r="Z14" s="4">
        <f t="shared" si="6"/>
        <v>0.2202277834554969</v>
      </c>
      <c r="AA14" s="104">
        <f t="shared" si="7"/>
        <v>0.43009999999999998</v>
      </c>
      <c r="AG14" s="102"/>
      <c r="AI14" s="102"/>
      <c r="AJ14" s="102"/>
    </row>
    <row r="15" spans="1:36" x14ac:dyDescent="0.35">
      <c r="A15" s="2" t="s">
        <v>30</v>
      </c>
      <c r="B15">
        <v>2.9803226349318434E-2</v>
      </c>
      <c r="C15">
        <v>0.13834063776882788</v>
      </c>
      <c r="D15">
        <v>0.15724918466733609</v>
      </c>
      <c r="E15" s="5">
        <f t="shared" si="8"/>
        <v>0.10846434959516078</v>
      </c>
      <c r="F15" s="4">
        <f t="shared" si="9"/>
        <v>5.6154919755835461E-2</v>
      </c>
      <c r="H15">
        <v>5.9600963811669079E-2</v>
      </c>
      <c r="I15">
        <v>0.17686361898339439</v>
      </c>
      <c r="J15">
        <v>0.42633213678697574</v>
      </c>
      <c r="K15" s="5">
        <f t="shared" si="0"/>
        <v>0.22093223986067975</v>
      </c>
      <c r="L15" s="4">
        <f t="shared" si="1"/>
        <v>0.1529258443766793</v>
      </c>
      <c r="M15" s="104">
        <f t="shared" si="10"/>
        <v>0.38419999999999999</v>
      </c>
      <c r="O15">
        <v>2.3867430195101829E-2</v>
      </c>
      <c r="P15">
        <v>0.11953328191232554</v>
      </c>
      <c r="Q15">
        <v>7.178594844574826E-2</v>
      </c>
      <c r="R15" s="5">
        <f t="shared" si="2"/>
        <v>7.1728886851058535E-2</v>
      </c>
      <c r="S15" s="4">
        <f t="shared" si="3"/>
        <v>3.9055441261661605E-2</v>
      </c>
      <c r="T15" s="104">
        <f t="shared" si="4"/>
        <v>0.48980000000000001</v>
      </c>
      <c r="V15">
        <v>2.4222062675358692E-2</v>
      </c>
      <c r="W15">
        <v>0.12849791335917971</v>
      </c>
      <c r="X15">
        <v>0.16470877207575441</v>
      </c>
      <c r="Y15" s="5">
        <f t="shared" si="5"/>
        <v>0.10580958270343094</v>
      </c>
      <c r="Z15" s="4">
        <f t="shared" si="6"/>
        <v>5.9555011770610046E-2</v>
      </c>
      <c r="AA15" s="104">
        <f t="shared" si="7"/>
        <v>0.96560000000000001</v>
      </c>
      <c r="AG15" s="102"/>
      <c r="AI15" s="102"/>
      <c r="AJ15" s="102"/>
    </row>
    <row r="16" spans="1:36" x14ac:dyDescent="0.35">
      <c r="A16" s="2" t="s">
        <v>31</v>
      </c>
      <c r="B16">
        <v>1.0167756902622649E-2</v>
      </c>
      <c r="C16">
        <v>3.2667750133169131E-2</v>
      </c>
      <c r="D16">
        <v>5.7972932042066529E-2</v>
      </c>
      <c r="E16" s="5">
        <f t="shared" si="8"/>
        <v>3.360281302595277E-2</v>
      </c>
      <c r="F16" s="4">
        <f t="shared" si="9"/>
        <v>1.9527577926073708E-2</v>
      </c>
      <c r="H16">
        <v>2.0055917368735479E-2</v>
      </c>
      <c r="I16">
        <v>4.8877149169421708E-2</v>
      </c>
      <c r="J16">
        <v>0.13396693551320502</v>
      </c>
      <c r="K16" s="5">
        <f t="shared" si="0"/>
        <v>6.7633334017120739E-2</v>
      </c>
      <c r="L16" s="4">
        <f t="shared" si="1"/>
        <v>4.8358217958675898E-2</v>
      </c>
      <c r="M16" s="104">
        <f t="shared" si="10"/>
        <v>0.4083</v>
      </c>
      <c r="O16">
        <v>7.0571537980389778E-3</v>
      </c>
      <c r="P16">
        <v>2.7993540386176425E-2</v>
      </c>
      <c r="Q16">
        <v>5.0468867795322996E-2</v>
      </c>
      <c r="R16" s="5">
        <f t="shared" si="2"/>
        <v>2.850652065984613E-2</v>
      </c>
      <c r="S16" s="4">
        <f t="shared" si="3"/>
        <v>1.7726469654472041E-2</v>
      </c>
      <c r="T16" s="104">
        <f t="shared" si="4"/>
        <v>0.79820000000000002</v>
      </c>
      <c r="V16">
        <v>6.7622396078115101E-3</v>
      </c>
      <c r="W16">
        <v>3.3908381468771176E-2</v>
      </c>
      <c r="X16">
        <v>0.29780909176155917</v>
      </c>
      <c r="Y16" s="5">
        <f t="shared" si="5"/>
        <v>0.1128265709460473</v>
      </c>
      <c r="Z16" s="4">
        <f t="shared" si="6"/>
        <v>0.13127103770425982</v>
      </c>
      <c r="AA16" s="104">
        <f t="shared" si="7"/>
        <v>0.4461</v>
      </c>
      <c r="AG16" s="102"/>
      <c r="AI16" s="102"/>
      <c r="AJ16" s="112"/>
    </row>
    <row r="17" spans="1:36" x14ac:dyDescent="0.35">
      <c r="AG17" s="102"/>
      <c r="AI17" s="102"/>
      <c r="AJ17" s="102"/>
    </row>
    <row r="18" spans="1:36" x14ac:dyDescent="0.35">
      <c r="AG18" s="100"/>
      <c r="AI18" s="102"/>
      <c r="AJ18" s="102"/>
    </row>
    <row r="19" spans="1:36" x14ac:dyDescent="0.35">
      <c r="A19" s="2" t="s">
        <v>54</v>
      </c>
      <c r="AG19" s="100"/>
      <c r="AI19" s="102"/>
      <c r="AJ19" s="102"/>
    </row>
    <row r="20" spans="1:36" x14ac:dyDescent="0.35">
      <c r="AG20" s="100"/>
      <c r="AI20" s="102"/>
      <c r="AJ20" s="102"/>
    </row>
    <row r="21" spans="1:36" x14ac:dyDescent="0.35">
      <c r="B21" s="2"/>
      <c r="C21" s="2"/>
      <c r="D21" s="2"/>
      <c r="E21" s="2"/>
      <c r="F21" s="2"/>
      <c r="G21" s="2"/>
      <c r="H21" s="2"/>
      <c r="I21" s="2"/>
      <c r="AG21" s="100"/>
      <c r="AI21" s="102"/>
      <c r="AJ21" s="102"/>
    </row>
    <row r="22" spans="1:36" x14ac:dyDescent="0.35">
      <c r="B22" s="256" t="s">
        <v>16</v>
      </c>
      <c r="C22" s="257"/>
      <c r="D22" s="257"/>
      <c r="E22" s="2"/>
      <c r="F22" s="2"/>
      <c r="H22" s="256" t="s">
        <v>53</v>
      </c>
      <c r="I22" s="257"/>
      <c r="J22" s="257"/>
      <c r="AG22" s="102"/>
      <c r="AI22" s="102"/>
      <c r="AJ22" s="102"/>
    </row>
    <row r="23" spans="1:36" x14ac:dyDescent="0.35">
      <c r="B23" s="6" t="s">
        <v>32</v>
      </c>
      <c r="C23" s="6" t="s">
        <v>33</v>
      </c>
      <c r="D23" s="6" t="s">
        <v>34</v>
      </c>
      <c r="E23" s="3" t="s">
        <v>21</v>
      </c>
      <c r="F23" s="4" t="s">
        <v>20</v>
      </c>
      <c r="H23" s="6" t="s">
        <v>32</v>
      </c>
      <c r="I23" s="6" t="s">
        <v>33</v>
      </c>
      <c r="J23" s="6" t="s">
        <v>34</v>
      </c>
      <c r="K23" s="3" t="s">
        <v>21</v>
      </c>
      <c r="L23" s="4" t="s">
        <v>20</v>
      </c>
      <c r="M23" s="86" t="s">
        <v>195</v>
      </c>
      <c r="AG23" s="102"/>
      <c r="AI23" s="102"/>
      <c r="AJ23" s="102"/>
    </row>
    <row r="24" spans="1:36" s="113" customFormat="1" x14ac:dyDescent="0.35">
      <c r="A24" s="114" t="s">
        <v>22</v>
      </c>
      <c r="B24" s="113">
        <v>6.3307391925542149E-3</v>
      </c>
      <c r="C24" s="113">
        <v>1.0776615166101683E-2</v>
      </c>
      <c r="D24" s="113">
        <v>2.9749807540589619E-3</v>
      </c>
      <c r="E24" s="115">
        <f>AVERAGE(B24:D24)</f>
        <v>6.6941117042382875E-3</v>
      </c>
      <c r="F24" s="116">
        <f>_xlfn.STDEV.P(B24:D24)</f>
        <v>3.1953512651431582E-3</v>
      </c>
      <c r="H24" s="113">
        <v>9.523929052363829E-3</v>
      </c>
      <c r="I24" s="113">
        <v>1.6278108438050332E-2</v>
      </c>
      <c r="J24" s="113">
        <v>2.8148403856259989E-3</v>
      </c>
      <c r="K24" s="115">
        <f>AVERAGE(H24:J24)</f>
        <v>9.5389592920133871E-3</v>
      </c>
      <c r="L24" s="116">
        <f>_xlfn.STDEV.P(H24:J24)</f>
        <v>5.4963664418071299E-3</v>
      </c>
      <c r="M24" s="104">
        <f>ROUND(_xlfn.T.TEST($B24:$D24,H24:J24,2,2),4)</f>
        <v>0.56120000000000003</v>
      </c>
      <c r="AG24" s="102"/>
    </row>
    <row r="25" spans="1:36" s="113" customFormat="1" x14ac:dyDescent="0.35">
      <c r="A25" s="114" t="s">
        <v>23</v>
      </c>
      <c r="B25" s="113">
        <v>4.9260450305612631E-3</v>
      </c>
      <c r="C25" s="113">
        <v>5.3398554246116602E-3</v>
      </c>
      <c r="D25" s="113">
        <v>7.3128165833502286E-4</v>
      </c>
      <c r="E25" s="115">
        <f t="shared" ref="E25:E33" si="11">AVERAGE(B25:D25)</f>
        <v>3.665727371169315E-3</v>
      </c>
      <c r="F25" s="116">
        <f t="shared" ref="F25:F33" si="12">_xlfn.STDEV.P(B25:D25)</f>
        <v>2.0818322845888595E-3</v>
      </c>
      <c r="H25" s="113">
        <v>4.96924990218692E-3</v>
      </c>
      <c r="I25" s="113">
        <v>1.3475584091099146E-2</v>
      </c>
      <c r="J25" s="113">
        <v>1.6349348633643852E-3</v>
      </c>
      <c r="K25" s="115">
        <f t="shared" ref="K25:K33" si="13">AVERAGE(H25:J25)</f>
        <v>6.6932562855501502E-3</v>
      </c>
      <c r="L25" s="116">
        <f t="shared" ref="L25:L33" si="14">_xlfn.STDEV.P(H25:J25)</f>
        <v>4.9852711087075858E-3</v>
      </c>
      <c r="M25" s="104">
        <f t="shared" ref="M25:M33" si="15">ROUND(_xlfn.T.TEST($B25:$D25,H25:J25,2,2),4)</f>
        <v>0.47239999999999999</v>
      </c>
      <c r="AG25" s="102"/>
    </row>
    <row r="26" spans="1:36" s="113" customFormat="1" x14ac:dyDescent="0.35">
      <c r="A26" s="114" t="s">
        <v>24</v>
      </c>
      <c r="B26" s="113">
        <v>5.0414766517369427E-3</v>
      </c>
      <c r="C26" s="113">
        <v>2.6121081251476195E-2</v>
      </c>
      <c r="D26" s="113">
        <v>9.739974416564202E-4</v>
      </c>
      <c r="E26" s="115">
        <f t="shared" si="11"/>
        <v>1.0712185114956517E-2</v>
      </c>
      <c r="F26" s="116">
        <f t="shared" si="12"/>
        <v>1.1021544262357175E-2</v>
      </c>
      <c r="H26" s="113">
        <v>4.573278120672584E-3</v>
      </c>
      <c r="I26" s="113">
        <v>2.2903597862468702E-2</v>
      </c>
      <c r="J26" s="113">
        <v>1.459499048527512E-3</v>
      </c>
      <c r="K26" s="115">
        <f t="shared" si="13"/>
        <v>9.6454583438895982E-3</v>
      </c>
      <c r="L26" s="116">
        <f t="shared" si="14"/>
        <v>9.4607118353787698E-3</v>
      </c>
      <c r="M26" s="104">
        <f t="shared" si="15"/>
        <v>0.92230000000000001</v>
      </c>
      <c r="AG26" s="102"/>
    </row>
    <row r="27" spans="1:36" s="113" customFormat="1" x14ac:dyDescent="0.35">
      <c r="A27" s="114" t="s">
        <v>25</v>
      </c>
      <c r="B27" s="113">
        <v>4.7554003207934759E-3</v>
      </c>
      <c r="C27" s="113">
        <v>2.179017251512393E-2</v>
      </c>
      <c r="D27" s="113">
        <v>1.0086858636531928E-3</v>
      </c>
      <c r="E27" s="115">
        <f t="shared" si="11"/>
        <v>9.1847528998568653E-3</v>
      </c>
      <c r="F27" s="116">
        <f t="shared" si="12"/>
        <v>9.043668874358304E-3</v>
      </c>
      <c r="H27" s="113">
        <v>5.3954741207432738E-3</v>
      </c>
      <c r="I27" s="113">
        <v>1.5696968714077972E-2</v>
      </c>
      <c r="J27" s="113">
        <v>6.2512115998126193E-4</v>
      </c>
      <c r="K27" s="115">
        <f t="shared" si="13"/>
        <v>7.2391879982675019E-3</v>
      </c>
      <c r="L27" s="116">
        <f t="shared" si="14"/>
        <v>6.2896532930474692E-3</v>
      </c>
      <c r="M27" s="104">
        <f t="shared" si="15"/>
        <v>0.81510000000000005</v>
      </c>
      <c r="AG27" s="102"/>
    </row>
    <row r="28" spans="1:36" s="113" customFormat="1" x14ac:dyDescent="0.35">
      <c r="A28" s="114" t="s">
        <v>26</v>
      </c>
      <c r="B28" s="113">
        <v>0.30210282016021273</v>
      </c>
      <c r="C28" s="113">
        <v>0.13801473628170183</v>
      </c>
      <c r="D28" s="113">
        <v>3.3459273505364547E-2</v>
      </c>
      <c r="E28" s="115">
        <f t="shared" si="11"/>
        <v>0.1578589433157597</v>
      </c>
      <c r="F28" s="116">
        <f t="shared" si="12"/>
        <v>0.11056727425548608</v>
      </c>
      <c r="H28" s="113">
        <v>0.23796774929251421</v>
      </c>
      <c r="I28" s="113">
        <v>0.20314452889928428</v>
      </c>
      <c r="J28" s="113">
        <v>2.5260944757853177E-2</v>
      </c>
      <c r="K28" s="115">
        <f t="shared" si="13"/>
        <v>0.15545774098321721</v>
      </c>
      <c r="L28" s="116">
        <f t="shared" si="14"/>
        <v>9.3154239410240466E-2</v>
      </c>
      <c r="M28" s="104">
        <f t="shared" si="15"/>
        <v>0.98240000000000005</v>
      </c>
    </row>
    <row r="29" spans="1:36" s="113" customFormat="1" x14ac:dyDescent="0.35">
      <c r="A29" s="114" t="s">
        <v>27</v>
      </c>
      <c r="B29" s="113">
        <v>1.0038985004228758</v>
      </c>
      <c r="C29" s="113">
        <v>0.73964237072640371</v>
      </c>
      <c r="D29" s="113">
        <v>1.3491930263966339</v>
      </c>
      <c r="E29" s="115">
        <f t="shared" si="11"/>
        <v>1.0309112991819711</v>
      </c>
      <c r="F29" s="116">
        <f t="shared" si="12"/>
        <v>0.24958000578251674</v>
      </c>
      <c r="H29" s="113">
        <v>1.0255686203010703</v>
      </c>
      <c r="I29" s="113">
        <v>1.1122997533630181</v>
      </c>
      <c r="J29" s="113">
        <v>0.68590702342706977</v>
      </c>
      <c r="K29" s="115">
        <f t="shared" si="13"/>
        <v>0.94125846569705274</v>
      </c>
      <c r="L29" s="116">
        <f t="shared" si="14"/>
        <v>0.18399971315661073</v>
      </c>
      <c r="M29" s="104">
        <f t="shared" si="15"/>
        <v>0.7036</v>
      </c>
    </row>
    <row r="30" spans="1:36" s="113" customFormat="1" x14ac:dyDescent="0.35">
      <c r="A30" s="114" t="s">
        <v>28</v>
      </c>
      <c r="B30" s="113">
        <v>2.4884138106344866</v>
      </c>
      <c r="C30" s="113">
        <v>4.6590339840463875</v>
      </c>
      <c r="D30" s="113">
        <v>2.6840017362790789</v>
      </c>
      <c r="E30" s="115">
        <f t="shared" si="11"/>
        <v>3.2771498436533175</v>
      </c>
      <c r="F30" s="116">
        <f t="shared" si="12"/>
        <v>0.98039668579166117</v>
      </c>
      <c r="H30" s="113">
        <v>4.4395151275421503</v>
      </c>
      <c r="I30" s="113">
        <v>3.5289475738494147</v>
      </c>
      <c r="J30" s="113">
        <v>1.2023769147311152</v>
      </c>
      <c r="K30" s="115">
        <f t="shared" si="13"/>
        <v>3.0569465387075603</v>
      </c>
      <c r="L30" s="116">
        <f t="shared" si="14"/>
        <v>1.363049200650656</v>
      </c>
      <c r="M30" s="104">
        <f t="shared" si="15"/>
        <v>0.8619</v>
      </c>
    </row>
    <row r="31" spans="1:36" s="113" customFormat="1" x14ac:dyDescent="0.35">
      <c r="A31" s="114" t="s">
        <v>29</v>
      </c>
      <c r="B31" s="113">
        <v>1.6671656520566874E-2</v>
      </c>
      <c r="C31" s="113">
        <v>3.5791943173389719E-2</v>
      </c>
      <c r="D31" s="113">
        <v>3.2454827500649312E-3</v>
      </c>
      <c r="E31" s="115">
        <f t="shared" si="11"/>
        <v>1.8569694148007174E-2</v>
      </c>
      <c r="F31" s="116">
        <f t="shared" si="12"/>
        <v>1.335464792118325E-2</v>
      </c>
      <c r="H31" s="113">
        <v>1.4095092015321843E-2</v>
      </c>
      <c r="I31" s="113">
        <v>5.2174225745884338E-2</v>
      </c>
      <c r="J31" s="113">
        <v>1.926415747601988E-3</v>
      </c>
      <c r="K31" s="115">
        <f t="shared" si="13"/>
        <v>2.2731911169602725E-2</v>
      </c>
      <c r="L31" s="116">
        <f t="shared" si="14"/>
        <v>2.1403373351470956E-2</v>
      </c>
      <c r="M31" s="104">
        <f t="shared" si="15"/>
        <v>0.82699999999999996</v>
      </c>
    </row>
    <row r="32" spans="1:36" s="113" customFormat="1" x14ac:dyDescent="0.35">
      <c r="A32" s="114" t="s">
        <v>30</v>
      </c>
      <c r="B32" s="113">
        <v>8.3167629511800342E-3</v>
      </c>
      <c r="C32" s="113">
        <v>1.6877479383935894E-2</v>
      </c>
      <c r="D32" s="113">
        <v>8.9938704351670183E-4</v>
      </c>
      <c r="E32" s="115">
        <f t="shared" si="11"/>
        <v>8.6978764595442102E-3</v>
      </c>
      <c r="F32" s="116">
        <f t="shared" si="12"/>
        <v>6.5285932297565108E-3</v>
      </c>
      <c r="H32" s="113">
        <v>9.210774598607788E-3</v>
      </c>
      <c r="I32" s="113">
        <v>3.9934833457584279E-2</v>
      </c>
      <c r="J32" s="113">
        <v>9.5838280296121469E-4</v>
      </c>
      <c r="K32" s="115">
        <f t="shared" si="13"/>
        <v>1.6701330286384427E-2</v>
      </c>
      <c r="L32" s="116">
        <f t="shared" si="14"/>
        <v>1.6770455068201122E-2</v>
      </c>
      <c r="M32" s="104">
        <f t="shared" si="15"/>
        <v>0.5635</v>
      </c>
    </row>
    <row r="33" spans="1:13" s="113" customFormat="1" x14ac:dyDescent="0.35">
      <c r="A33" s="114" t="s">
        <v>31</v>
      </c>
      <c r="B33" s="113">
        <v>5.7171084579942374E-3</v>
      </c>
      <c r="C33" s="113">
        <v>3.0327261820382267E-2</v>
      </c>
      <c r="D33" s="113">
        <v>7.0382182519678632E-4</v>
      </c>
      <c r="E33" s="115">
        <f t="shared" si="11"/>
        <v>1.2249397367857762E-2</v>
      </c>
      <c r="F33" s="116">
        <f t="shared" si="12"/>
        <v>1.2945788197673487E-2</v>
      </c>
      <c r="H33" s="113">
        <v>8.2827905097301053E-3</v>
      </c>
      <c r="I33" s="113">
        <v>5.7156351565335408E-4</v>
      </c>
      <c r="J33" s="113">
        <v>7.7722213014497189E-4</v>
      </c>
      <c r="K33" s="115">
        <f t="shared" si="13"/>
        <v>3.2105253851761437E-3</v>
      </c>
      <c r="L33" s="116">
        <f t="shared" si="14"/>
        <v>3.587615641504672E-3</v>
      </c>
      <c r="M33" s="104">
        <f t="shared" si="15"/>
        <v>0.3952</v>
      </c>
    </row>
    <row r="36" spans="1:13" x14ac:dyDescent="0.35">
      <c r="A36" s="2" t="s">
        <v>55</v>
      </c>
    </row>
    <row r="57" spans="1:13" x14ac:dyDescent="0.35">
      <c r="A57" s="2" t="s">
        <v>213</v>
      </c>
    </row>
    <row r="60" spans="1:13" x14ac:dyDescent="0.35">
      <c r="B60" s="102"/>
      <c r="C60" s="248" t="s">
        <v>211</v>
      </c>
      <c r="D60" s="249"/>
      <c r="E60" s="150">
        <v>0</v>
      </c>
      <c r="F60" s="151">
        <v>60</v>
      </c>
      <c r="G60" s="151">
        <v>70</v>
      </c>
      <c r="H60" s="151">
        <v>80</v>
      </c>
      <c r="I60" s="151">
        <v>90</v>
      </c>
      <c r="J60" s="151">
        <v>100</v>
      </c>
      <c r="K60" s="151">
        <v>110</v>
      </c>
      <c r="L60" s="151">
        <v>120</v>
      </c>
      <c r="M60" s="152">
        <v>130</v>
      </c>
    </row>
    <row r="61" spans="1:13" x14ac:dyDescent="0.35">
      <c r="B61" s="102"/>
      <c r="C61" s="253" t="s">
        <v>16</v>
      </c>
      <c r="D61" s="147" t="s">
        <v>130</v>
      </c>
      <c r="E61" s="146">
        <v>100</v>
      </c>
      <c r="F61" s="146">
        <v>100</v>
      </c>
      <c r="G61" s="146">
        <v>100</v>
      </c>
      <c r="H61" s="146">
        <v>96.428571428571431</v>
      </c>
      <c r="I61" s="146">
        <v>85.714285714285708</v>
      </c>
      <c r="J61" s="146">
        <v>77.777777777777786</v>
      </c>
      <c r="K61" s="146">
        <v>78.571428571428569</v>
      </c>
      <c r="L61" s="146">
        <v>37.037037037037038</v>
      </c>
      <c r="M61" s="11">
        <v>14.285714285714285</v>
      </c>
    </row>
    <row r="62" spans="1:13" x14ac:dyDescent="0.35">
      <c r="B62" s="102"/>
      <c r="C62" s="254"/>
      <c r="D62" s="148" t="s">
        <v>131</v>
      </c>
      <c r="E62" s="146">
        <v>100</v>
      </c>
      <c r="F62" s="146">
        <v>100</v>
      </c>
      <c r="G62" s="146">
        <v>100</v>
      </c>
      <c r="H62" s="146">
        <v>100</v>
      </c>
      <c r="I62" s="146">
        <v>96.296296296296291</v>
      </c>
      <c r="J62" s="146">
        <v>100</v>
      </c>
      <c r="K62" s="146">
        <v>96.428571428571431</v>
      </c>
      <c r="L62" s="146">
        <v>64.285714285714292</v>
      </c>
      <c r="M62" s="11">
        <v>25</v>
      </c>
    </row>
    <row r="63" spans="1:13" x14ac:dyDescent="0.35">
      <c r="B63" s="102"/>
      <c r="C63" s="254"/>
      <c r="D63" s="148" t="s">
        <v>132</v>
      </c>
      <c r="E63" s="146">
        <v>100</v>
      </c>
      <c r="F63" s="146">
        <v>100</v>
      </c>
      <c r="G63" s="146">
        <v>100</v>
      </c>
      <c r="H63" s="146">
        <v>100</v>
      </c>
      <c r="I63" s="146">
        <v>100</v>
      </c>
      <c r="J63" s="146">
        <v>96.428571428571431</v>
      </c>
      <c r="K63" s="146">
        <v>92.857142857142861</v>
      </c>
      <c r="L63" s="146">
        <v>85.18518518518519</v>
      </c>
      <c r="M63" s="11">
        <v>18.518518518518519</v>
      </c>
    </row>
    <row r="64" spans="1:13" x14ac:dyDescent="0.35">
      <c r="B64" s="102"/>
      <c r="C64" s="254"/>
      <c r="D64" s="147" t="s">
        <v>21</v>
      </c>
      <c r="E64" s="26">
        <v>100</v>
      </c>
      <c r="F64" s="26">
        <v>100</v>
      </c>
      <c r="G64" s="26">
        <v>100</v>
      </c>
      <c r="H64" s="26">
        <v>98.80952380952381</v>
      </c>
      <c r="I64" s="26">
        <v>94.003527336860657</v>
      </c>
      <c r="J64" s="26">
        <v>91.402116402116405</v>
      </c>
      <c r="K64" s="26">
        <v>89.285714285714292</v>
      </c>
      <c r="L64" s="26">
        <v>62.169312169312171</v>
      </c>
      <c r="M64" s="145">
        <v>19.268077601410933</v>
      </c>
    </row>
    <row r="65" spans="2:13" x14ac:dyDescent="0.35">
      <c r="B65" s="102"/>
      <c r="C65" s="255"/>
      <c r="D65" s="149" t="s">
        <v>210</v>
      </c>
      <c r="E65" s="16">
        <v>0</v>
      </c>
      <c r="F65" s="16">
        <v>0</v>
      </c>
      <c r="G65" s="16">
        <v>0</v>
      </c>
      <c r="H65" s="16">
        <v>1.6835875742536837</v>
      </c>
      <c r="I65" s="16">
        <v>6.0532635984940102</v>
      </c>
      <c r="J65" s="16">
        <v>9.7435697675676174</v>
      </c>
      <c r="K65" s="16">
        <v>7.7151674981045977</v>
      </c>
      <c r="L65" s="16">
        <v>19.71328504609248</v>
      </c>
      <c r="M65" s="13">
        <v>4.406083575080908</v>
      </c>
    </row>
    <row r="66" spans="2:13" x14ac:dyDescent="0.35">
      <c r="B66" s="102"/>
      <c r="C66" s="2"/>
      <c r="D66" s="2"/>
      <c r="E66" s="104"/>
      <c r="F66" s="2"/>
      <c r="G66" s="2"/>
      <c r="H66" s="2"/>
      <c r="I66" s="2"/>
      <c r="J66" s="2"/>
      <c r="K66" s="2"/>
      <c r="L66" s="2"/>
      <c r="M66" s="2"/>
    </row>
    <row r="67" spans="2:13" x14ac:dyDescent="0.35">
      <c r="B67" s="10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2:13" x14ac:dyDescent="0.35">
      <c r="B68" s="102"/>
      <c r="C68" s="150" t="s">
        <v>211</v>
      </c>
      <c r="D68" s="152"/>
      <c r="E68" s="150">
        <v>0</v>
      </c>
      <c r="F68" s="151">
        <v>60</v>
      </c>
      <c r="G68" s="151">
        <v>70</v>
      </c>
      <c r="H68" s="151">
        <v>80</v>
      </c>
      <c r="I68" s="151">
        <v>90</v>
      </c>
      <c r="J68" s="151">
        <v>100</v>
      </c>
      <c r="K68" s="151">
        <v>110</v>
      </c>
      <c r="L68" s="151">
        <v>120</v>
      </c>
      <c r="M68" s="152">
        <v>130</v>
      </c>
    </row>
    <row r="69" spans="2:13" x14ac:dyDescent="0.35">
      <c r="B69" s="102"/>
      <c r="C69" s="250" t="s">
        <v>53</v>
      </c>
      <c r="D69" s="147" t="s">
        <v>130</v>
      </c>
      <c r="E69" s="146">
        <v>100</v>
      </c>
      <c r="F69" s="146">
        <v>100</v>
      </c>
      <c r="G69" s="146">
        <v>92.857142857142861</v>
      </c>
      <c r="H69" s="146">
        <v>17.857142857142858</v>
      </c>
      <c r="I69" s="146">
        <v>7.1428571428571423</v>
      </c>
      <c r="J69" s="146">
        <v>0</v>
      </c>
      <c r="K69" s="146">
        <v>0</v>
      </c>
      <c r="L69" s="146">
        <v>0</v>
      </c>
      <c r="M69" s="11">
        <v>0</v>
      </c>
    </row>
    <row r="70" spans="2:13" x14ac:dyDescent="0.35">
      <c r="B70" s="102"/>
      <c r="C70" s="251"/>
      <c r="D70" s="148" t="s">
        <v>131</v>
      </c>
      <c r="E70" s="146">
        <v>100</v>
      </c>
      <c r="F70" s="146">
        <v>100</v>
      </c>
      <c r="G70" s="146">
        <v>82.142857142857139</v>
      </c>
      <c r="H70" s="146">
        <v>42.857142857142854</v>
      </c>
      <c r="I70" s="146">
        <v>3.5714285714285712</v>
      </c>
      <c r="J70" s="146">
        <v>0</v>
      </c>
      <c r="K70" s="146">
        <v>0</v>
      </c>
      <c r="L70" s="146">
        <v>0</v>
      </c>
      <c r="M70" s="11">
        <v>0</v>
      </c>
    </row>
    <row r="71" spans="2:13" x14ac:dyDescent="0.35">
      <c r="B71" s="102"/>
      <c r="C71" s="251"/>
      <c r="D71" s="149" t="s">
        <v>132</v>
      </c>
      <c r="E71" s="146">
        <v>100</v>
      </c>
      <c r="F71" s="146">
        <v>100</v>
      </c>
      <c r="G71" s="146">
        <v>96.428571428571431</v>
      </c>
      <c r="H71" s="146">
        <v>28.571428571428569</v>
      </c>
      <c r="I71" s="146">
        <v>11.111111111111111</v>
      </c>
      <c r="J71" s="146">
        <v>14.814814814814813</v>
      </c>
      <c r="K71" s="146">
        <v>0</v>
      </c>
      <c r="L71" s="146">
        <v>0</v>
      </c>
      <c r="M71" s="11">
        <v>0</v>
      </c>
    </row>
    <row r="72" spans="2:13" x14ac:dyDescent="0.35">
      <c r="B72" s="102"/>
      <c r="C72" s="251"/>
      <c r="D72" s="147" t="s">
        <v>21</v>
      </c>
      <c r="E72" s="26">
        <v>100</v>
      </c>
      <c r="F72" s="26">
        <v>100</v>
      </c>
      <c r="G72" s="26">
        <v>90.476190476190482</v>
      </c>
      <c r="H72" s="26">
        <v>29.761904761904759</v>
      </c>
      <c r="I72" s="26">
        <v>7.2751322751322745</v>
      </c>
      <c r="J72" s="26">
        <v>4.9382716049382713</v>
      </c>
      <c r="K72" s="26">
        <v>0</v>
      </c>
      <c r="L72" s="26">
        <v>0</v>
      </c>
      <c r="M72" s="145">
        <v>0</v>
      </c>
    </row>
    <row r="73" spans="2:13" x14ac:dyDescent="0.35">
      <c r="B73" s="102"/>
      <c r="C73" s="252"/>
      <c r="D73" s="149" t="s">
        <v>210</v>
      </c>
      <c r="E73" s="16">
        <v>0</v>
      </c>
      <c r="F73" s="16">
        <v>0</v>
      </c>
      <c r="G73" s="16">
        <v>6.0702613257056992</v>
      </c>
      <c r="H73" s="16">
        <v>10.240863413145991</v>
      </c>
      <c r="I73" s="16">
        <v>3.0794832610642389</v>
      </c>
      <c r="J73" s="16">
        <v>6.9837706783856532</v>
      </c>
      <c r="K73" s="16">
        <v>0</v>
      </c>
      <c r="L73" s="16">
        <v>0</v>
      </c>
      <c r="M73" s="13">
        <v>0</v>
      </c>
    </row>
    <row r="74" spans="2:13" x14ac:dyDescent="0.35">
      <c r="B74" s="102"/>
      <c r="C74" s="2"/>
      <c r="D74" s="107" t="s">
        <v>195</v>
      </c>
      <c r="E74" s="154" t="e">
        <f>ROUND(_xlfn.T.TEST(E61:E63,E69:E71,2,2),4)</f>
        <v>#DIV/0!</v>
      </c>
      <c r="F74" s="154" t="e">
        <f t="shared" ref="F74:M74" si="16">ROUND(_xlfn.T.TEST(F61:F63,F69:F71,2,2),4)</f>
        <v>#DIV/0!</v>
      </c>
      <c r="G74" s="154">
        <f t="shared" si="16"/>
        <v>9.0700000000000003E-2</v>
      </c>
      <c r="H74" s="155">
        <f t="shared" si="16"/>
        <v>6.9999999999999999E-4</v>
      </c>
      <c r="I74" s="155">
        <f t="shared" si="16"/>
        <v>1E-4</v>
      </c>
      <c r="J74" s="155">
        <f t="shared" si="16"/>
        <v>5.0000000000000001E-4</v>
      </c>
      <c r="K74" s="155">
        <f t="shared" si="16"/>
        <v>1E-4</v>
      </c>
      <c r="L74" s="155">
        <f t="shared" si="16"/>
        <v>1.12E-2</v>
      </c>
      <c r="M74" s="156">
        <f t="shared" si="16"/>
        <v>3.5000000000000001E-3</v>
      </c>
    </row>
    <row r="75" spans="2:13" x14ac:dyDescent="0.35">
      <c r="B75" s="10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2:13" x14ac:dyDescent="0.35">
      <c r="B76" s="102"/>
      <c r="C76" s="153" t="s">
        <v>211</v>
      </c>
      <c r="D76" s="153"/>
      <c r="E76" s="150">
        <v>0</v>
      </c>
      <c r="F76" s="151">
        <v>60</v>
      </c>
      <c r="G76" s="151">
        <v>70</v>
      </c>
      <c r="H76" s="151">
        <v>80</v>
      </c>
      <c r="I76" s="151">
        <v>90</v>
      </c>
      <c r="J76" s="151">
        <v>100</v>
      </c>
      <c r="K76" s="151">
        <v>110</v>
      </c>
      <c r="L76" s="151">
        <v>120</v>
      </c>
      <c r="M76" s="152">
        <v>130</v>
      </c>
    </row>
    <row r="77" spans="2:13" x14ac:dyDescent="0.35">
      <c r="B77" s="102"/>
      <c r="C77" s="250" t="s">
        <v>192</v>
      </c>
      <c r="D77" s="147" t="s">
        <v>130</v>
      </c>
      <c r="E77" s="146">
        <v>100</v>
      </c>
      <c r="F77" s="146">
        <v>100</v>
      </c>
      <c r="G77" s="146">
        <v>96.296296296296291</v>
      </c>
      <c r="H77" s="146">
        <v>77.777777777777786</v>
      </c>
      <c r="I77" s="146">
        <v>25.925925925925924</v>
      </c>
      <c r="J77" s="146">
        <v>3.5714285714285712</v>
      </c>
      <c r="K77" s="146">
        <v>0</v>
      </c>
      <c r="L77" s="146">
        <v>0</v>
      </c>
      <c r="M77" s="11">
        <v>0</v>
      </c>
    </row>
    <row r="78" spans="2:13" x14ac:dyDescent="0.35">
      <c r="B78" s="102"/>
      <c r="C78" s="251"/>
      <c r="D78" s="148" t="s">
        <v>131</v>
      </c>
      <c r="E78" s="146">
        <v>100</v>
      </c>
      <c r="F78" s="146">
        <v>100</v>
      </c>
      <c r="G78" s="146">
        <v>96.428571428571431</v>
      </c>
      <c r="H78" s="146">
        <v>75</v>
      </c>
      <c r="I78" s="146">
        <v>40.74074074074074</v>
      </c>
      <c r="J78" s="146">
        <v>35.714285714285715</v>
      </c>
      <c r="K78" s="146">
        <v>3.5714285714285712</v>
      </c>
      <c r="L78" s="146">
        <v>0</v>
      </c>
      <c r="M78" s="11">
        <v>0</v>
      </c>
    </row>
    <row r="79" spans="2:13" x14ac:dyDescent="0.35">
      <c r="B79" s="102"/>
      <c r="C79" s="251"/>
      <c r="D79" s="149" t="s">
        <v>132</v>
      </c>
      <c r="E79" s="146">
        <v>100</v>
      </c>
      <c r="F79" s="146">
        <v>96.428571428571431</v>
      </c>
      <c r="G79" s="146">
        <v>92.592592592592595</v>
      </c>
      <c r="H79" s="146">
        <v>81.481481481481481</v>
      </c>
      <c r="I79" s="146">
        <v>64.285714285714292</v>
      </c>
      <c r="J79" s="146">
        <v>33.333333333333329</v>
      </c>
      <c r="K79" s="146">
        <v>25</v>
      </c>
      <c r="L79" s="146">
        <v>3.5714285714285712</v>
      </c>
      <c r="M79" s="11">
        <v>0</v>
      </c>
    </row>
    <row r="80" spans="2:13" x14ac:dyDescent="0.35">
      <c r="B80" s="102"/>
      <c r="C80" s="251"/>
      <c r="D80" s="147" t="s">
        <v>21</v>
      </c>
      <c r="E80" s="26">
        <v>100</v>
      </c>
      <c r="F80" s="26">
        <v>98.80952380952381</v>
      </c>
      <c r="G80" s="26">
        <v>95.105820105820101</v>
      </c>
      <c r="H80" s="26">
        <v>78.086419753086417</v>
      </c>
      <c r="I80" s="26">
        <v>43.650793650793652</v>
      </c>
      <c r="J80" s="26">
        <v>24.206349206349206</v>
      </c>
      <c r="K80" s="26">
        <v>9.5238095238095237</v>
      </c>
      <c r="L80" s="26">
        <v>1.1904761904761905</v>
      </c>
      <c r="M80" s="145">
        <v>0</v>
      </c>
    </row>
    <row r="81" spans="2:13" x14ac:dyDescent="0.35">
      <c r="B81" s="102"/>
      <c r="C81" s="252"/>
      <c r="D81" s="149" t="s">
        <v>210</v>
      </c>
      <c r="E81" s="16">
        <v>0</v>
      </c>
      <c r="F81" s="16">
        <v>1.6835875742536837</v>
      </c>
      <c r="G81" s="16">
        <v>1.7779404897403819</v>
      </c>
      <c r="H81" s="16">
        <v>2.6550386626674771</v>
      </c>
      <c r="I81" s="16">
        <v>15.794928441463297</v>
      </c>
      <c r="J81" s="16">
        <v>14.623433152927205</v>
      </c>
      <c r="K81" s="16">
        <v>11.040022018447267</v>
      </c>
      <c r="L81" s="16">
        <v>1.6835875742536845</v>
      </c>
      <c r="M81" s="13">
        <v>0</v>
      </c>
    </row>
    <row r="82" spans="2:13" x14ac:dyDescent="0.35">
      <c r="B82" s="102"/>
      <c r="C82" s="2"/>
      <c r="D82" s="107" t="s">
        <v>195</v>
      </c>
      <c r="E82" s="154" t="e">
        <f>ROUND(_xlfn.T.TEST(E69:E71,E77:E79,2,2),4)</f>
        <v>#DIV/0!</v>
      </c>
      <c r="F82" s="154">
        <f t="shared" ref="F82:M82" si="17">ROUND(_xlfn.T.TEST(F69:F71,F77:F79,2,2),4)</f>
        <v>0.37390000000000001</v>
      </c>
      <c r="G82" s="154">
        <f t="shared" si="17"/>
        <v>0.35909999999999997</v>
      </c>
      <c r="H82" s="155">
        <f t="shared" si="17"/>
        <v>3.0000000000000001E-3</v>
      </c>
      <c r="I82" s="155">
        <f t="shared" si="17"/>
        <v>3.3000000000000002E-2</v>
      </c>
      <c r="J82" s="155">
        <f t="shared" si="17"/>
        <v>0.16800000000000001</v>
      </c>
      <c r="K82" s="155">
        <f t="shared" si="17"/>
        <v>0.28949999999999998</v>
      </c>
      <c r="L82" s="155">
        <f t="shared" si="17"/>
        <v>0.37390000000000001</v>
      </c>
      <c r="M82" s="157" t="e">
        <f t="shared" si="17"/>
        <v>#DIV/0!</v>
      </c>
    </row>
    <row r="83" spans="2:13" x14ac:dyDescent="0.35">
      <c r="B83" s="10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2:13" x14ac:dyDescent="0.35">
      <c r="B84" s="102"/>
      <c r="C84" s="150" t="s">
        <v>211</v>
      </c>
      <c r="D84" s="152"/>
      <c r="E84" s="150">
        <v>0</v>
      </c>
      <c r="F84" s="151">
        <v>60</v>
      </c>
      <c r="G84" s="151">
        <v>70</v>
      </c>
      <c r="H84" s="151">
        <v>80</v>
      </c>
      <c r="I84" s="151">
        <v>90</v>
      </c>
      <c r="J84" s="151">
        <v>100</v>
      </c>
      <c r="K84" s="151">
        <v>110</v>
      </c>
      <c r="L84" s="151">
        <v>120</v>
      </c>
      <c r="M84" s="152">
        <v>130</v>
      </c>
    </row>
    <row r="85" spans="2:13" x14ac:dyDescent="0.35">
      <c r="B85" s="102"/>
      <c r="C85" s="250" t="s">
        <v>212</v>
      </c>
      <c r="D85" s="147" t="s">
        <v>130</v>
      </c>
      <c r="E85" s="146">
        <v>100</v>
      </c>
      <c r="F85" s="146">
        <v>92.592592592592595</v>
      </c>
      <c r="G85" s="146">
        <v>51.851851851851848</v>
      </c>
      <c r="H85" s="146">
        <v>11.111111111111111</v>
      </c>
      <c r="I85" s="146">
        <v>0</v>
      </c>
      <c r="J85" s="146">
        <v>0</v>
      </c>
      <c r="K85" s="146">
        <v>0</v>
      </c>
      <c r="L85" s="146">
        <v>0</v>
      </c>
      <c r="M85" s="11">
        <v>0</v>
      </c>
    </row>
    <row r="86" spans="2:13" x14ac:dyDescent="0.35">
      <c r="B86" s="102"/>
      <c r="C86" s="251"/>
      <c r="D86" s="148" t="s">
        <v>131</v>
      </c>
      <c r="E86" s="146">
        <v>100</v>
      </c>
      <c r="F86" s="146">
        <v>96.428571428571431</v>
      </c>
      <c r="G86" s="146">
        <v>32.142857142857146</v>
      </c>
      <c r="H86" s="146">
        <v>25</v>
      </c>
      <c r="I86" s="146">
        <v>0</v>
      </c>
      <c r="J86" s="146">
        <v>0</v>
      </c>
      <c r="K86" s="146">
        <v>0</v>
      </c>
      <c r="L86" s="146">
        <v>0</v>
      </c>
      <c r="M86" s="11">
        <v>0</v>
      </c>
    </row>
    <row r="87" spans="2:13" x14ac:dyDescent="0.35">
      <c r="B87" s="102"/>
      <c r="C87" s="251"/>
      <c r="D87" s="149" t="s">
        <v>132</v>
      </c>
      <c r="E87" s="146">
        <v>100</v>
      </c>
      <c r="F87" s="146">
        <v>96.428571428571431</v>
      </c>
      <c r="G87" s="146">
        <v>26.923076923076923</v>
      </c>
      <c r="H87" s="146">
        <v>7.1428571428571423</v>
      </c>
      <c r="I87" s="146">
        <v>0</v>
      </c>
      <c r="J87" s="146">
        <v>0</v>
      </c>
      <c r="K87" s="146">
        <v>0</v>
      </c>
      <c r="L87" s="146">
        <v>0</v>
      </c>
      <c r="M87" s="11">
        <v>0</v>
      </c>
    </row>
    <row r="88" spans="2:13" x14ac:dyDescent="0.35">
      <c r="B88" s="102"/>
      <c r="C88" s="251"/>
      <c r="D88" s="147" t="s">
        <v>21</v>
      </c>
      <c r="E88" s="26">
        <v>100</v>
      </c>
      <c r="F88" s="26">
        <v>95.149911816578481</v>
      </c>
      <c r="G88" s="26">
        <v>36.972595305928635</v>
      </c>
      <c r="H88" s="26">
        <v>14.417989417989418</v>
      </c>
      <c r="I88" s="26">
        <v>0</v>
      </c>
      <c r="J88" s="26">
        <v>0</v>
      </c>
      <c r="K88" s="26">
        <v>0</v>
      </c>
      <c r="L88" s="26">
        <v>0</v>
      </c>
      <c r="M88" s="145">
        <v>0</v>
      </c>
    </row>
    <row r="89" spans="2:13" x14ac:dyDescent="0.35">
      <c r="B89" s="102"/>
      <c r="C89" s="252"/>
      <c r="D89" s="149" t="s">
        <v>210</v>
      </c>
      <c r="E89" s="16">
        <v>0</v>
      </c>
      <c r="F89" s="16">
        <v>1.8082977649391425</v>
      </c>
      <c r="G89" s="16">
        <v>10.734857021412429</v>
      </c>
      <c r="H89" s="16">
        <v>7.6559767875596725</v>
      </c>
      <c r="I89" s="16">
        <v>0</v>
      </c>
      <c r="J89" s="16">
        <v>0</v>
      </c>
      <c r="K89" s="16">
        <v>0</v>
      </c>
      <c r="L89" s="16">
        <v>0</v>
      </c>
      <c r="M89" s="13">
        <v>0</v>
      </c>
    </row>
    <row r="90" spans="2:13" x14ac:dyDescent="0.35">
      <c r="D90" s="107" t="s">
        <v>195</v>
      </c>
      <c r="E90" s="154" t="e">
        <f>ROUND(_xlfn.T.TEST(E77:E79,E85:E87,2,2),4)</f>
        <v>#DIV/0!</v>
      </c>
      <c r="F90" s="154">
        <f t="shared" ref="F90:M90" si="18">ROUND(_xlfn.T.TEST(F77:F79,F85:F87,2,2),4)</f>
        <v>0.1043</v>
      </c>
      <c r="G90" s="155">
        <f t="shared" si="18"/>
        <v>1.6000000000000001E-3</v>
      </c>
      <c r="H90" s="155">
        <f t="shared" si="18"/>
        <v>4.0000000000000002E-4</v>
      </c>
      <c r="I90" s="155">
        <f t="shared" si="18"/>
        <v>1.7399999999999999E-2</v>
      </c>
      <c r="J90" s="155">
        <f t="shared" si="18"/>
        <v>7.9299999999999995E-2</v>
      </c>
      <c r="K90" s="155">
        <f t="shared" si="18"/>
        <v>0.28949999999999998</v>
      </c>
      <c r="L90" s="155">
        <f t="shared" si="18"/>
        <v>0.37390000000000001</v>
      </c>
      <c r="M90" s="157" t="e">
        <f t="shared" si="18"/>
        <v>#DIV/0!</v>
      </c>
    </row>
  </sheetData>
  <mergeCells count="11">
    <mergeCell ref="B5:D5"/>
    <mergeCell ref="H5:J5"/>
    <mergeCell ref="O5:Q5"/>
    <mergeCell ref="V5:X5"/>
    <mergeCell ref="B22:D22"/>
    <mergeCell ref="H22:J22"/>
    <mergeCell ref="C60:D60"/>
    <mergeCell ref="C69:C73"/>
    <mergeCell ref="C61:C65"/>
    <mergeCell ref="C77:C81"/>
    <mergeCell ref="C85:C89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0"/>
  <sheetViews>
    <sheetView topLeftCell="J1" zoomScale="70" zoomScaleNormal="70" workbookViewId="0">
      <selection activeCell="L55" sqref="L55"/>
    </sheetView>
  </sheetViews>
  <sheetFormatPr defaultRowHeight="14.5" x14ac:dyDescent="0.35"/>
  <cols>
    <col min="2" max="2" width="7.7265625" customWidth="1"/>
    <col min="3" max="3" width="11.453125" customWidth="1"/>
  </cols>
  <sheetData>
    <row r="1" spans="1:45" x14ac:dyDescent="0.35">
      <c r="A1" t="s">
        <v>77</v>
      </c>
    </row>
    <row r="3" spans="1:45" x14ac:dyDescent="0.35">
      <c r="A3" t="s">
        <v>78</v>
      </c>
    </row>
    <row r="5" spans="1:45" x14ac:dyDescent="0.35">
      <c r="H5" t="s">
        <v>262</v>
      </c>
    </row>
    <row r="6" spans="1:45" x14ac:dyDescent="0.35">
      <c r="E6" s="36" t="s">
        <v>197</v>
      </c>
      <c r="F6" s="37"/>
      <c r="G6" s="19"/>
      <c r="H6" s="226" t="s">
        <v>21</v>
      </c>
      <c r="I6" s="96" t="s">
        <v>20</v>
      </c>
      <c r="J6" s="47" t="s">
        <v>206</v>
      </c>
      <c r="L6" s="158" t="s">
        <v>198</v>
      </c>
      <c r="M6" s="159"/>
      <c r="N6" s="160"/>
      <c r="O6" s="137" t="s">
        <v>21</v>
      </c>
      <c r="P6" s="168" t="s">
        <v>20</v>
      </c>
      <c r="Q6" s="84"/>
      <c r="S6" s="36" t="s">
        <v>182</v>
      </c>
      <c r="T6" s="37"/>
      <c r="U6" s="19"/>
      <c r="V6" s="188" t="s">
        <v>21</v>
      </c>
      <c r="W6" s="96" t="s">
        <v>20</v>
      </c>
      <c r="X6" s="47" t="s">
        <v>206</v>
      </c>
      <c r="Z6" s="36" t="s">
        <v>199</v>
      </c>
      <c r="AA6" s="37"/>
      <c r="AB6" s="19"/>
      <c r="AC6" s="96" t="s">
        <v>21</v>
      </c>
      <c r="AD6" s="19" t="s">
        <v>20</v>
      </c>
      <c r="AE6" s="47" t="s">
        <v>206</v>
      </c>
      <c r="AG6" s="36" t="s">
        <v>207</v>
      </c>
      <c r="AH6" s="37"/>
      <c r="AI6" s="19"/>
      <c r="AJ6" s="96" t="s">
        <v>21</v>
      </c>
      <c r="AK6" s="19" t="s">
        <v>20</v>
      </c>
      <c r="AL6" s="47" t="s">
        <v>206</v>
      </c>
      <c r="AN6" s="36" t="s">
        <v>208</v>
      </c>
      <c r="AO6" s="37"/>
      <c r="AP6" s="19"/>
      <c r="AQ6" s="96" t="s">
        <v>21</v>
      </c>
      <c r="AR6" s="19" t="s">
        <v>20</v>
      </c>
      <c r="AS6" s="47" t="s">
        <v>206</v>
      </c>
    </row>
    <row r="7" spans="1:45" x14ac:dyDescent="0.35">
      <c r="E7" s="28" t="s">
        <v>32</v>
      </c>
      <c r="F7" s="46" t="s">
        <v>33</v>
      </c>
      <c r="G7" s="27" t="s">
        <v>34</v>
      </c>
      <c r="H7" s="124"/>
      <c r="I7" s="98"/>
      <c r="L7" s="29" t="s">
        <v>32</v>
      </c>
      <c r="M7" s="47" t="s">
        <v>33</v>
      </c>
      <c r="N7" s="161" t="s">
        <v>34</v>
      </c>
      <c r="O7" s="138"/>
      <c r="P7" s="40"/>
      <c r="Q7" s="84"/>
      <c r="S7" s="28" t="s">
        <v>32</v>
      </c>
      <c r="T7" s="46" t="s">
        <v>33</v>
      </c>
      <c r="U7" s="27" t="s">
        <v>34</v>
      </c>
      <c r="V7" s="28"/>
      <c r="W7" s="98"/>
      <c r="X7" s="102"/>
      <c r="Z7" s="25" t="s">
        <v>32</v>
      </c>
      <c r="AA7" s="14" t="s">
        <v>33</v>
      </c>
      <c r="AB7" s="17" t="s">
        <v>34</v>
      </c>
      <c r="AC7" s="124"/>
      <c r="AD7" s="17"/>
      <c r="AE7" s="102"/>
      <c r="AG7" s="25" t="s">
        <v>32</v>
      </c>
      <c r="AH7" s="14" t="s">
        <v>33</v>
      </c>
      <c r="AI7" s="17" t="s">
        <v>34</v>
      </c>
      <c r="AJ7" s="124"/>
      <c r="AK7" s="17"/>
      <c r="AL7" s="102"/>
      <c r="AN7" s="25" t="s">
        <v>32</v>
      </c>
      <c r="AO7" s="14" t="s">
        <v>33</v>
      </c>
      <c r="AP7" s="17" t="s">
        <v>34</v>
      </c>
      <c r="AQ7" s="124"/>
      <c r="AR7" s="17"/>
      <c r="AS7" s="102"/>
    </row>
    <row r="8" spans="1:45" x14ac:dyDescent="0.35">
      <c r="C8" s="258" t="s">
        <v>16</v>
      </c>
      <c r="D8" s="121" t="s">
        <v>202</v>
      </c>
      <c r="E8" s="36">
        <v>5.8880130509094478E-3</v>
      </c>
      <c r="F8" s="37">
        <v>6.9837477141545645E-2</v>
      </c>
      <c r="G8" s="19">
        <v>2.1488576301204765E-2</v>
      </c>
      <c r="H8" s="37">
        <v>3.2404688831219948E-2</v>
      </c>
      <c r="I8" s="96">
        <v>2.7224432947211937E-2</v>
      </c>
      <c r="L8" s="158">
        <v>3.8855605283192811E-2</v>
      </c>
      <c r="M8" s="159">
        <v>8.5256639709565749E-2</v>
      </c>
      <c r="N8" s="160">
        <v>8.7374224323781141E-3</v>
      </c>
      <c r="O8" s="137">
        <v>4.4283222475045549E-2</v>
      </c>
      <c r="P8" s="168">
        <v>3.1473713100134172E-2</v>
      </c>
      <c r="Q8" s="84"/>
      <c r="S8" s="128">
        <v>0.12881574363838424</v>
      </c>
      <c r="T8" s="129">
        <v>0.25773213235362397</v>
      </c>
      <c r="U8" s="130">
        <v>6.1623989525880288E-2</v>
      </c>
      <c r="V8" s="128">
        <v>0.14939062183929616</v>
      </c>
      <c r="W8" s="137">
        <v>8.1371965404035976E-2</v>
      </c>
      <c r="X8" s="102"/>
      <c r="Z8" s="28">
        <v>0.3077409920471193</v>
      </c>
      <c r="AA8" s="46">
        <v>0.51116415825678452</v>
      </c>
      <c r="AB8" s="27">
        <v>0.144976600430895</v>
      </c>
      <c r="AC8" s="98">
        <f>AVERAGE(Z8:AB8)</f>
        <v>0.32129391691159959</v>
      </c>
      <c r="AD8" s="27">
        <f>_xlfn.STDEV.P(Z8:AB8)</f>
        <v>0.14980229906092668</v>
      </c>
      <c r="AE8" s="102"/>
      <c r="AG8" s="36">
        <v>0.11744034365175149</v>
      </c>
      <c r="AH8" s="37">
        <v>8.8978273438148944E-2</v>
      </c>
      <c r="AI8" s="19">
        <v>0.10999221950765946</v>
      </c>
      <c r="AJ8" s="98">
        <f>AVERAGE(AG8:AI8)</f>
        <v>0.10547027886585331</v>
      </c>
      <c r="AK8" s="27">
        <f>_xlfn.STDEV.P(AG8:AI8)</f>
        <v>1.2051509465263987E-2</v>
      </c>
      <c r="AL8" s="102"/>
      <c r="AM8" s="102"/>
      <c r="AN8" s="36">
        <v>8.0170930085645423E-2</v>
      </c>
      <c r="AO8" s="37">
        <v>0.37590472503946781</v>
      </c>
      <c r="AP8" s="19">
        <v>0.53521652880128767</v>
      </c>
      <c r="AQ8" s="98">
        <f>AVERAGE(AN8:AP8)</f>
        <v>0.33043072797546696</v>
      </c>
      <c r="AR8" s="27">
        <f>_xlfn.STDEV.P(AN8:AP8)</f>
        <v>0.18853388295715248</v>
      </c>
      <c r="AS8" s="102"/>
    </row>
    <row r="9" spans="1:45" x14ac:dyDescent="0.35">
      <c r="C9" s="254"/>
      <c r="D9" s="122" t="s">
        <v>203</v>
      </c>
      <c r="E9" s="28">
        <v>2.0438874417036613E-2</v>
      </c>
      <c r="F9" s="46"/>
      <c r="G9" s="27">
        <v>6.5575227546144808E-3</v>
      </c>
      <c r="H9" s="46">
        <v>1.3498198585825547E-2</v>
      </c>
      <c r="I9" s="98">
        <v>6.9406758312110647E-3</v>
      </c>
      <c r="L9" s="29">
        <v>9.1856875451253733E-4</v>
      </c>
      <c r="M9" s="47">
        <v>3.1208111380590761E-3</v>
      </c>
      <c r="N9" s="161">
        <v>1.9780616501861568E-3</v>
      </c>
      <c r="O9" s="138">
        <v>2.0058138475859233E-3</v>
      </c>
      <c r="P9" s="40">
        <v>8.9927582617628943E-4</v>
      </c>
      <c r="Q9" s="84"/>
      <c r="S9" s="131">
        <v>0.43539561918604158</v>
      </c>
      <c r="T9" s="132">
        <v>0.40565385690536065</v>
      </c>
      <c r="U9" s="133">
        <v>9.1865398720439403E-2</v>
      </c>
      <c r="V9" s="131">
        <v>0.31097162493728053</v>
      </c>
      <c r="W9" s="138">
        <v>0.15540655687825036</v>
      </c>
      <c r="X9" s="102"/>
      <c r="Z9" s="28">
        <v>0.11315836987312639</v>
      </c>
      <c r="AA9" s="46">
        <v>0.13966633582389945</v>
      </c>
      <c r="AB9" s="27">
        <v>0.21818793398634972</v>
      </c>
      <c r="AC9" s="98">
        <f t="shared" ref="AC9:AC47" si="0">AVERAGE(Z9:AB9)</f>
        <v>0.15700421322779187</v>
      </c>
      <c r="AD9" s="27">
        <f t="shared" ref="AD9:AD47" si="1">_xlfn.STDEV.P(Z9:AB9)</f>
        <v>4.4596366287757296E-2</v>
      </c>
      <c r="AE9" s="102"/>
      <c r="AG9" s="28">
        <v>0.10283016988895355</v>
      </c>
      <c r="AH9" s="46">
        <v>6.1582374226012711E-2</v>
      </c>
      <c r="AI9" s="27">
        <v>0.10283016988895355</v>
      </c>
      <c r="AJ9" s="98">
        <f t="shared" ref="AJ9:AJ47" si="2">AVERAGE(AG9:AI9)</f>
        <v>8.9080904667973262E-2</v>
      </c>
      <c r="AK9" s="27">
        <f t="shared" ref="AK9:AK47" si="3">_xlfn.STDEV.P(AG9:AI9)</f>
        <v>1.9444397348175015E-2</v>
      </c>
      <c r="AL9" s="102"/>
      <c r="AM9" s="102"/>
      <c r="AN9" s="28">
        <v>0.44545555034911316</v>
      </c>
      <c r="AO9" s="46">
        <v>0.34343062939851782</v>
      </c>
      <c r="AP9" s="27">
        <v>0.50664482247188058</v>
      </c>
      <c r="AQ9" s="98">
        <f t="shared" ref="AQ9:AQ47" si="4">AVERAGE(AN9:AP9)</f>
        <v>0.43184366740650387</v>
      </c>
      <c r="AR9" s="27">
        <f t="shared" ref="AR9:AR47" si="5">_xlfn.STDEV.P(AN9:AP9)</f>
        <v>6.7323501211586284E-2</v>
      </c>
      <c r="AS9" s="102"/>
    </row>
    <row r="10" spans="1:45" x14ac:dyDescent="0.35">
      <c r="C10" s="254"/>
      <c r="D10" s="122" t="s">
        <v>204</v>
      </c>
      <c r="E10" s="28">
        <v>1.8807919573581178E-2</v>
      </c>
      <c r="F10" s="46">
        <v>2.3925278707752743E-2</v>
      </c>
      <c r="G10" s="27">
        <v>3.2684791696176506E-3</v>
      </c>
      <c r="H10" s="46">
        <v>1.5333892483650524E-2</v>
      </c>
      <c r="I10" s="98">
        <v>8.7836017652537651E-3</v>
      </c>
      <c r="L10" s="29">
        <v>1.8957422763437835E-3</v>
      </c>
      <c r="M10" s="47">
        <v>1.2543749330082808E-2</v>
      </c>
      <c r="N10" s="161">
        <v>4.9757101789755414E-4</v>
      </c>
      <c r="O10" s="138">
        <v>4.9790208747747151E-3</v>
      </c>
      <c r="P10" s="40">
        <v>5.3794397582460352E-3</v>
      </c>
      <c r="Q10" s="84"/>
      <c r="S10" s="131">
        <v>0.4343904612335871</v>
      </c>
      <c r="T10" s="132">
        <v>0.37551571594145522</v>
      </c>
      <c r="U10" s="133">
        <v>7.5285758178284604E-2</v>
      </c>
      <c r="V10" s="131">
        <v>0.29506397845110899</v>
      </c>
      <c r="W10" s="138">
        <v>0.15725437670225254</v>
      </c>
      <c r="X10" s="102"/>
      <c r="Z10" s="28">
        <v>3.9612017343798718E-2</v>
      </c>
      <c r="AA10" s="46">
        <v>8.1521735283120803E-2</v>
      </c>
      <c r="AB10" s="27">
        <v>0.26154066260934772</v>
      </c>
      <c r="AC10" s="98">
        <f t="shared" si="0"/>
        <v>0.12755813841208907</v>
      </c>
      <c r="AD10" s="27">
        <f t="shared" si="1"/>
        <v>9.6272508042327912E-2</v>
      </c>
      <c r="AE10" s="102"/>
      <c r="AG10" s="28">
        <v>0.19476608556228783</v>
      </c>
      <c r="AH10" s="46">
        <v>7.9807940288836796E-2</v>
      </c>
      <c r="AI10" s="27">
        <v>9.9731621137093954E-2</v>
      </c>
      <c r="AJ10" s="98">
        <f t="shared" si="2"/>
        <v>0.12476854899607286</v>
      </c>
      <c r="AK10" s="27">
        <f t="shared" si="3"/>
        <v>5.0159609306291791E-2</v>
      </c>
      <c r="AL10" s="102"/>
      <c r="AM10" s="102"/>
      <c r="AN10" s="28">
        <v>0.6039650167197993</v>
      </c>
      <c r="AO10" s="46">
        <v>0.10116840770406769</v>
      </c>
      <c r="AP10" s="27">
        <v>0.40216166829326516</v>
      </c>
      <c r="AQ10" s="98">
        <f t="shared" si="4"/>
        <v>0.36909836423904402</v>
      </c>
      <c r="AR10" s="27">
        <f t="shared" si="5"/>
        <v>0.20659298804761986</v>
      </c>
      <c r="AS10" s="102"/>
    </row>
    <row r="11" spans="1:45" x14ac:dyDescent="0.35">
      <c r="C11" s="254"/>
      <c r="D11" s="122" t="s">
        <v>205</v>
      </c>
      <c r="E11" s="28">
        <v>5.4795598785218084E-3</v>
      </c>
      <c r="F11" s="46">
        <v>1.0640641231398037E-2</v>
      </c>
      <c r="G11" s="27">
        <v>5.0005171982907305E-2</v>
      </c>
      <c r="H11" s="46">
        <v>2.2041791030942382E-2</v>
      </c>
      <c r="I11" s="98">
        <v>1.988503953363412E-2</v>
      </c>
      <c r="L11" s="29">
        <v>7.9854528352897008E-3</v>
      </c>
      <c r="M11" s="47">
        <v>9.5615370364430347E-4</v>
      </c>
      <c r="N11" s="161">
        <v>1.3248866242437463E-3</v>
      </c>
      <c r="O11" s="138">
        <v>3.422164387725917E-3</v>
      </c>
      <c r="P11" s="40">
        <v>3.2302416920343348E-3</v>
      </c>
      <c r="Q11" s="84"/>
      <c r="S11" s="131">
        <v>0.45487475369619607</v>
      </c>
      <c r="T11" s="132">
        <v>0.48088891816051382</v>
      </c>
      <c r="U11" s="133">
        <v>7.3301833778555717E-2</v>
      </c>
      <c r="V11" s="131">
        <v>0.33635516854508857</v>
      </c>
      <c r="W11" s="138">
        <v>0.18630973652681937</v>
      </c>
      <c r="X11" s="102"/>
      <c r="Z11" s="28">
        <v>3.7009489709696246E-2</v>
      </c>
      <c r="AA11" s="46">
        <v>0.22473703889633176</v>
      </c>
      <c r="AB11" s="27">
        <v>0.13319346299665336</v>
      </c>
      <c r="AC11" s="98">
        <f t="shared" si="0"/>
        <v>0.13164666386756044</v>
      </c>
      <c r="AD11" s="27">
        <f t="shared" si="1"/>
        <v>7.6647255317523671E-2</v>
      </c>
      <c r="AE11" s="102"/>
      <c r="AG11" s="28">
        <v>0.14165851200590265</v>
      </c>
      <c r="AH11" s="46">
        <v>6.3144528423938986E-2</v>
      </c>
      <c r="AI11" s="27">
        <v>0.11315836987312639</v>
      </c>
      <c r="AJ11" s="98">
        <f t="shared" si="2"/>
        <v>0.10598713676765602</v>
      </c>
      <c r="AK11" s="27">
        <f t="shared" si="3"/>
        <v>3.2451824218544416E-2</v>
      </c>
      <c r="AL11" s="102"/>
      <c r="AM11" s="102"/>
      <c r="AN11" s="28">
        <v>0.53559630364811317</v>
      </c>
      <c r="AO11" s="46">
        <v>1.0377647911205952</v>
      </c>
      <c r="AP11" s="27">
        <v>0.75479929999642792</v>
      </c>
      <c r="AQ11" s="98">
        <f t="shared" si="4"/>
        <v>0.77605346492171201</v>
      </c>
      <c r="AR11" s="27">
        <f t="shared" si="5"/>
        <v>0.20555956492397937</v>
      </c>
      <c r="AS11" s="102"/>
    </row>
    <row r="12" spans="1:45" x14ac:dyDescent="0.35">
      <c r="C12" s="254"/>
      <c r="D12" s="122" t="s">
        <v>126</v>
      </c>
      <c r="E12" s="28">
        <v>106.84791846942225</v>
      </c>
      <c r="F12" s="46">
        <v>138.7154495734475</v>
      </c>
      <c r="G12" s="27">
        <v>166.12506529269135</v>
      </c>
      <c r="H12" s="46">
        <v>137.22947777852036</v>
      </c>
      <c r="I12" s="98">
        <v>24.222594383596334</v>
      </c>
      <c r="L12" s="29">
        <v>68.198535079111153</v>
      </c>
      <c r="M12" s="47">
        <v>85.220050041730516</v>
      </c>
      <c r="N12" s="161">
        <v>45.977769592466757</v>
      </c>
      <c r="O12" s="138">
        <v>66.465451571102804</v>
      </c>
      <c r="P12" s="40">
        <v>16.0673961289929</v>
      </c>
      <c r="Q12" s="84"/>
      <c r="S12" s="131">
        <v>163.61608487899662</v>
      </c>
      <c r="T12" s="132">
        <v>64.218699915611083</v>
      </c>
      <c r="U12" s="133">
        <v>45.734286039038942</v>
      </c>
      <c r="V12" s="131">
        <v>91.189690277882207</v>
      </c>
      <c r="W12" s="138">
        <v>51.766175348241667</v>
      </c>
      <c r="X12" s="102"/>
      <c r="Z12" s="28">
        <v>160.68718126600018</v>
      </c>
      <c r="AA12" s="46">
        <v>430.161754568378</v>
      </c>
      <c r="AB12" s="27">
        <v>690.89328389073</v>
      </c>
      <c r="AC12" s="98">
        <f t="shared" si="0"/>
        <v>427.247406575036</v>
      </c>
      <c r="AD12" s="27">
        <f t="shared" si="1"/>
        <v>216.46554442265736</v>
      </c>
      <c r="AE12" s="102"/>
      <c r="AG12" s="28">
        <v>6.6531445568655441</v>
      </c>
      <c r="AH12" s="46">
        <v>5.8212640663969815</v>
      </c>
      <c r="AI12" s="27">
        <v>8.8916701513947558</v>
      </c>
      <c r="AJ12" s="98">
        <f t="shared" si="2"/>
        <v>7.1220262582190941</v>
      </c>
      <c r="AK12" s="27">
        <f t="shared" si="3"/>
        <v>1.2965944930460431</v>
      </c>
      <c r="AL12" s="102"/>
      <c r="AM12" s="102"/>
      <c r="AN12" s="28">
        <v>72.186789805358856</v>
      </c>
      <c r="AO12" s="46">
        <v>88.433973951172447</v>
      </c>
      <c r="AP12" s="27">
        <v>105.06666852731253</v>
      </c>
      <c r="AQ12" s="98">
        <f t="shared" si="4"/>
        <v>88.56247742794794</v>
      </c>
      <c r="AR12" s="27">
        <f t="shared" si="5"/>
        <v>13.423461824985299</v>
      </c>
      <c r="AS12" s="102"/>
    </row>
    <row r="13" spans="1:45" x14ac:dyDescent="0.35">
      <c r="C13" s="254"/>
      <c r="D13" s="122" t="s">
        <v>127</v>
      </c>
      <c r="E13" s="28">
        <v>85.081653445521525</v>
      </c>
      <c r="F13" s="46">
        <v>142.52199230983695</v>
      </c>
      <c r="G13" s="27">
        <v>207.13266817564795</v>
      </c>
      <c r="H13" s="46">
        <v>144.91210464366881</v>
      </c>
      <c r="I13" s="98">
        <v>49.855772162573331</v>
      </c>
      <c r="L13" s="29">
        <v>92.936356568514739</v>
      </c>
      <c r="M13" s="47">
        <v>131.95078490137578</v>
      </c>
      <c r="N13" s="161">
        <v>85.214118173974171</v>
      </c>
      <c r="O13" s="138">
        <v>103.3670865479549</v>
      </c>
      <c r="P13" s="40">
        <v>20.456117261511178</v>
      </c>
      <c r="Q13" s="84"/>
      <c r="S13" s="131">
        <v>124.66499429078924</v>
      </c>
      <c r="T13" s="132">
        <v>100.39820770147493</v>
      </c>
      <c r="U13" s="133">
        <v>45.780898872331711</v>
      </c>
      <c r="V13" s="131">
        <v>90.281366954865291</v>
      </c>
      <c r="W13" s="138">
        <v>32.989270755972306</v>
      </c>
      <c r="X13" s="102"/>
      <c r="Z13" s="28">
        <v>295.57017849379832</v>
      </c>
      <c r="AA13" s="46">
        <v>726.91310439367078</v>
      </c>
      <c r="AB13" s="27">
        <v>724.7839234179454</v>
      </c>
      <c r="AC13" s="98">
        <f t="shared" si="0"/>
        <v>582.42240210180489</v>
      </c>
      <c r="AD13" s="27">
        <f t="shared" si="1"/>
        <v>202.8370150219958</v>
      </c>
      <c r="AE13" s="102"/>
      <c r="AG13" s="28">
        <v>8.0300974190274292</v>
      </c>
      <c r="AH13" s="46">
        <v>8.240102070561198</v>
      </c>
      <c r="AI13" s="27">
        <v>11.567186713514218</v>
      </c>
      <c r="AJ13" s="98">
        <f t="shared" si="2"/>
        <v>9.2791287343676156</v>
      </c>
      <c r="AK13" s="27">
        <f t="shared" si="3"/>
        <v>1.6201712821733345</v>
      </c>
      <c r="AL13" s="102"/>
      <c r="AN13" s="28">
        <v>100.30183563361578</v>
      </c>
      <c r="AO13" s="46">
        <v>158.78444739198048</v>
      </c>
      <c r="AP13" s="27">
        <v>193.58358691957156</v>
      </c>
      <c r="AQ13" s="98">
        <f t="shared" si="4"/>
        <v>150.88995664838924</v>
      </c>
      <c r="AR13" s="27">
        <f t="shared" si="5"/>
        <v>38.489076535377478</v>
      </c>
      <c r="AS13" s="102"/>
    </row>
    <row r="14" spans="1:45" x14ac:dyDescent="0.35">
      <c r="C14" s="254"/>
      <c r="D14" s="122" t="s">
        <v>128</v>
      </c>
      <c r="E14" s="28">
        <v>80.657239777825751</v>
      </c>
      <c r="F14" s="46">
        <v>175.54875972839349</v>
      </c>
      <c r="G14" s="27">
        <v>249.20142056456947</v>
      </c>
      <c r="H14" s="46">
        <v>168.46914002359622</v>
      </c>
      <c r="I14" s="98">
        <v>68.989738273852765</v>
      </c>
      <c r="L14" s="29">
        <v>120.70161186761112</v>
      </c>
      <c r="M14" s="47">
        <v>112.19221839538221</v>
      </c>
      <c r="N14" s="161">
        <v>91.697542837905232</v>
      </c>
      <c r="O14" s="138">
        <v>108.19712436696619</v>
      </c>
      <c r="P14" s="40">
        <v>12.173183294764465</v>
      </c>
      <c r="Q14" s="84"/>
      <c r="S14" s="131">
        <v>73.311455740967531</v>
      </c>
      <c r="T14" s="132">
        <v>72.099437886109953</v>
      </c>
      <c r="U14" s="133">
        <v>13.680236621068474</v>
      </c>
      <c r="V14" s="131">
        <v>53.030376749381986</v>
      </c>
      <c r="W14" s="138">
        <v>27.829150099713242</v>
      </c>
      <c r="X14" s="102"/>
      <c r="Z14" s="28">
        <v>504.30380195007029</v>
      </c>
      <c r="AA14" s="46">
        <v>771.43171673369523</v>
      </c>
      <c r="AB14" s="27">
        <v>694.98471633313272</v>
      </c>
      <c r="AC14" s="98">
        <f t="shared" si="0"/>
        <v>656.90674500563273</v>
      </c>
      <c r="AD14" s="27">
        <f t="shared" si="1"/>
        <v>112.3292174502412</v>
      </c>
      <c r="AE14" s="102"/>
      <c r="AG14" s="28">
        <v>11.430176000024781</v>
      </c>
      <c r="AH14" s="46">
        <v>7.7582710058626176</v>
      </c>
      <c r="AI14" s="27">
        <v>11.504854032792503</v>
      </c>
      <c r="AJ14" s="98">
        <f t="shared" si="2"/>
        <v>10.231100346226633</v>
      </c>
      <c r="AK14" s="27">
        <f t="shared" si="3"/>
        <v>1.748820156956955</v>
      </c>
      <c r="AL14" s="102"/>
      <c r="AN14" s="28">
        <v>64.598945973520301</v>
      </c>
      <c r="AO14" s="46">
        <v>127.86701181984405</v>
      </c>
      <c r="AP14" s="27">
        <v>120.92190793418833</v>
      </c>
      <c r="AQ14" s="98">
        <f t="shared" si="4"/>
        <v>104.46262190918422</v>
      </c>
      <c r="AR14" s="27">
        <f t="shared" si="5"/>
        <v>28.33011485237768</v>
      </c>
      <c r="AS14" s="102"/>
    </row>
    <row r="15" spans="1:45" x14ac:dyDescent="0.35">
      <c r="C15" s="254"/>
      <c r="D15" s="122" t="s">
        <v>129</v>
      </c>
      <c r="E15" s="28">
        <v>12.22895194440345</v>
      </c>
      <c r="F15" s="46">
        <v>27.676277614908596</v>
      </c>
      <c r="G15" s="27">
        <v>23.700382440797341</v>
      </c>
      <c r="H15" s="46">
        <v>21.20187066670313</v>
      </c>
      <c r="I15" s="98">
        <v>6.5491418474294401</v>
      </c>
      <c r="L15" s="29">
        <v>2.956283264460783</v>
      </c>
      <c r="M15" s="47">
        <v>2.4828725667095717</v>
      </c>
      <c r="N15" s="161">
        <v>1.9600106293501789</v>
      </c>
      <c r="O15" s="138">
        <v>2.4663888201735111</v>
      </c>
      <c r="P15" s="40">
        <v>0.40689357846367058</v>
      </c>
      <c r="Q15" s="84"/>
      <c r="S15" s="131">
        <v>0.88889481895381961</v>
      </c>
      <c r="T15" s="132">
        <v>0.96937184802571463</v>
      </c>
      <c r="U15" s="133">
        <v>0.3228167387818357</v>
      </c>
      <c r="V15" s="131">
        <v>0.72702780192045668</v>
      </c>
      <c r="W15" s="138">
        <v>0.28770248026366907</v>
      </c>
      <c r="X15" s="102"/>
      <c r="Z15" s="28">
        <v>260.98165117986525</v>
      </c>
      <c r="AA15" s="46">
        <v>276.83504484198033</v>
      </c>
      <c r="AB15" s="27">
        <v>306.80060799243876</v>
      </c>
      <c r="AC15" s="98">
        <f t="shared" si="0"/>
        <v>281.53910133809478</v>
      </c>
      <c r="AD15" s="27">
        <f t="shared" si="1"/>
        <v>18.99895280424856</v>
      </c>
      <c r="AE15" s="102"/>
      <c r="AG15" s="28">
        <v>1.1471502452711364</v>
      </c>
      <c r="AH15" s="46">
        <v>0.94593057222592936</v>
      </c>
      <c r="AI15" s="27">
        <v>0.74787354726622146</v>
      </c>
      <c r="AJ15" s="98">
        <f t="shared" si="2"/>
        <v>0.946984788254429</v>
      </c>
      <c r="AK15" s="27">
        <f t="shared" si="3"/>
        <v>0.16300573388893078</v>
      </c>
      <c r="AL15" s="102"/>
      <c r="AN15" s="28">
        <v>0.93669982291302911</v>
      </c>
      <c r="AO15" s="46">
        <v>1.7147209222588353</v>
      </c>
      <c r="AP15" s="27">
        <v>3.1545548142992428</v>
      </c>
      <c r="AQ15" s="98">
        <f t="shared" si="4"/>
        <v>1.9353251864903693</v>
      </c>
      <c r="AR15" s="27">
        <f t="shared" si="5"/>
        <v>0.9187744996287307</v>
      </c>
      <c r="AS15" s="102"/>
    </row>
    <row r="16" spans="1:45" x14ac:dyDescent="0.35">
      <c r="C16" s="254"/>
      <c r="D16" s="122" t="s">
        <v>200</v>
      </c>
      <c r="E16" s="28">
        <v>1.2207617399110331</v>
      </c>
      <c r="F16" s="46">
        <v>1.9533348724146726</v>
      </c>
      <c r="G16" s="27">
        <v>2.0091899884450268</v>
      </c>
      <c r="H16" s="46">
        <v>1.7277622002569109</v>
      </c>
      <c r="I16" s="98">
        <v>0.35922792076887089</v>
      </c>
      <c r="L16" s="29">
        <v>0.13885195270832634</v>
      </c>
      <c r="M16" s="47">
        <v>0.1036465700254016</v>
      </c>
      <c r="N16" s="161">
        <v>8.5903604211805332E-2</v>
      </c>
      <c r="O16" s="138">
        <v>0.1094673756485111</v>
      </c>
      <c r="P16" s="40">
        <v>2.2004442516664318E-2</v>
      </c>
      <c r="Q16" s="84"/>
      <c r="S16" s="131">
        <v>0.5033724977786127</v>
      </c>
      <c r="T16" s="132">
        <v>0.54873418772038618</v>
      </c>
      <c r="U16" s="133">
        <v>0.16838768326311981</v>
      </c>
      <c r="V16" s="131">
        <v>0.40683145625403955</v>
      </c>
      <c r="W16" s="138">
        <v>0.16961917224025194</v>
      </c>
      <c r="X16" s="102"/>
      <c r="Z16" s="28">
        <v>19.563910218204786</v>
      </c>
      <c r="AA16" s="46">
        <v>34.858189918935942</v>
      </c>
      <c r="AB16" s="27">
        <v>36.090351018561392</v>
      </c>
      <c r="AC16" s="98">
        <f t="shared" si="0"/>
        <v>30.170817051900709</v>
      </c>
      <c r="AD16" s="27">
        <f t="shared" si="1"/>
        <v>7.5170654592461075</v>
      </c>
      <c r="AE16" s="102"/>
      <c r="AG16" s="28">
        <v>0.42812442934605183</v>
      </c>
      <c r="AH16" s="46">
        <v>0.36085598226588234</v>
      </c>
      <c r="AI16" s="27">
        <v>0.37770087643049122</v>
      </c>
      <c r="AJ16" s="98">
        <f t="shared" si="2"/>
        <v>0.38889376268080844</v>
      </c>
      <c r="AK16" s="27">
        <f t="shared" si="3"/>
        <v>2.8579964078631455E-2</v>
      </c>
      <c r="AL16" s="102"/>
      <c r="AN16" s="28">
        <v>0.98325211087882902</v>
      </c>
      <c r="AO16" s="46">
        <v>1.2755668521791093</v>
      </c>
      <c r="AP16" s="27">
        <v>2.2579259211907843</v>
      </c>
      <c r="AQ16" s="98">
        <f t="shared" si="4"/>
        <v>1.5055816280829075</v>
      </c>
      <c r="AR16" s="27">
        <f t="shared" si="5"/>
        <v>0.54520847910033798</v>
      </c>
      <c r="AS16" s="102"/>
    </row>
    <row r="17" spans="2:45" x14ac:dyDescent="0.35">
      <c r="C17" s="255"/>
      <c r="D17" s="123" t="s">
        <v>201</v>
      </c>
      <c r="E17" s="25">
        <v>0.38546453626297333</v>
      </c>
      <c r="F17" s="14">
        <v>0.37883319012147298</v>
      </c>
      <c r="G17" s="17">
        <v>0.33464324704827425</v>
      </c>
      <c r="H17" s="14">
        <v>0.36631365781090691</v>
      </c>
      <c r="I17" s="124">
        <v>2.2557406415890758E-2</v>
      </c>
      <c r="L17" s="29">
        <v>6.1892957882524108E-2</v>
      </c>
      <c r="M17" s="47">
        <v>1.1118389070942295E-2</v>
      </c>
      <c r="N17" s="161">
        <v>3.1730250502491751E-2</v>
      </c>
      <c r="O17" s="138">
        <v>3.4913865818652717E-2</v>
      </c>
      <c r="P17" s="40">
        <v>2.0850511814045642E-2</v>
      </c>
      <c r="Q17" s="84"/>
      <c r="S17" s="134">
        <v>0.36173004551750648</v>
      </c>
      <c r="T17" s="135">
        <v>0.34221796309978902</v>
      </c>
      <c r="U17" s="136">
        <v>9.8710910767946872E-2</v>
      </c>
      <c r="V17" s="134">
        <v>0.26755297312841414</v>
      </c>
      <c r="W17" s="139">
        <v>0.1196548142412745</v>
      </c>
      <c r="X17" s="102"/>
      <c r="Z17" s="28">
        <v>4.2478137714836244</v>
      </c>
      <c r="AA17" s="46">
        <v>5.4723405746051172</v>
      </c>
      <c r="AB17" s="27">
        <v>6.843016683963028</v>
      </c>
      <c r="AC17" s="98">
        <f t="shared" si="0"/>
        <v>5.5210570100172562</v>
      </c>
      <c r="AD17" s="27">
        <f t="shared" si="1"/>
        <v>1.0600470139086109</v>
      </c>
      <c r="AE17" s="102"/>
      <c r="AG17" s="28">
        <v>0.33855286923509631</v>
      </c>
      <c r="AH17" s="46">
        <v>0.19045128245501827</v>
      </c>
      <c r="AI17" s="27">
        <v>0.28985794922657565</v>
      </c>
      <c r="AJ17" s="98">
        <f t="shared" si="2"/>
        <v>0.27295403363889675</v>
      </c>
      <c r="AK17" s="27">
        <f t="shared" si="3"/>
        <v>6.1632387445459007E-2</v>
      </c>
      <c r="AL17" s="102"/>
      <c r="AN17" s="28">
        <v>0.59453716088974695</v>
      </c>
      <c r="AO17" s="46">
        <v>0.93022090609390196</v>
      </c>
      <c r="AP17" s="27">
        <v>1.2147806275753676</v>
      </c>
      <c r="AQ17" s="98">
        <f t="shared" si="4"/>
        <v>0.91317956485300555</v>
      </c>
      <c r="AR17" s="27">
        <f t="shared" si="5"/>
        <v>0.25349989477317403</v>
      </c>
      <c r="AS17" s="102"/>
    </row>
    <row r="18" spans="2:45" x14ac:dyDescent="0.35">
      <c r="B18" s="112"/>
      <c r="C18" s="251" t="s">
        <v>53</v>
      </c>
      <c r="D18" s="31" t="s">
        <v>202</v>
      </c>
      <c r="E18" s="28">
        <v>1.5604289117562195E-2</v>
      </c>
      <c r="F18" s="46">
        <v>3.331145876278916E-2</v>
      </c>
      <c r="G18" s="27">
        <v>5.3483857334026878E-2</v>
      </c>
      <c r="H18">
        <v>3.4133201738126083E-2</v>
      </c>
      <c r="I18" s="98">
        <v>1.5475181597310079E-2</v>
      </c>
      <c r="J18" s="104">
        <f>ROUND(_xlfn.T.TEST(E8:G8,E18:G18,2,2),4)</f>
        <v>0.9415</v>
      </c>
      <c r="L18" s="158">
        <v>3.6397924577139314E-2</v>
      </c>
      <c r="M18" s="159">
        <v>8.144737693784888E-3</v>
      </c>
      <c r="N18" s="159">
        <v>2.9940131366637521E-2</v>
      </c>
      <c r="O18" s="128">
        <v>2.482759787918724E-2</v>
      </c>
      <c r="P18" s="160">
        <v>1.2087573267938257E-2</v>
      </c>
      <c r="Q18" s="104">
        <f>ROUND(_xlfn.T.TEST(L8:N8,L18:N18,2,2),4)</f>
        <v>0.46029999999999999</v>
      </c>
      <c r="S18" s="131">
        <v>0.13195644357848468</v>
      </c>
      <c r="T18" s="132">
        <v>0.30632262536759142</v>
      </c>
      <c r="U18" s="133">
        <v>3.0036907747223684E-2</v>
      </c>
      <c r="V18" s="131">
        <v>0.15610532556443327</v>
      </c>
      <c r="W18" s="138">
        <v>0.11407841109263064</v>
      </c>
      <c r="X18" s="104">
        <f>ROUND(_xlfn.T.TEST(S8:U8,S18:U18,2,2),4)</f>
        <v>0.94920000000000004</v>
      </c>
      <c r="Z18" s="36">
        <v>0.1601457176339541</v>
      </c>
      <c r="AA18" s="37">
        <v>0.28275207249421058</v>
      </c>
      <c r="AB18" s="19">
        <v>0.20651375203812639</v>
      </c>
      <c r="AC18" s="96">
        <f t="shared" si="0"/>
        <v>0.21647051405543036</v>
      </c>
      <c r="AD18" s="19">
        <f t="shared" si="1"/>
        <v>5.0546562002650723E-2</v>
      </c>
      <c r="AE18" s="104">
        <f>ROUND(_xlfn.T.TEST(Z8:AB8,Z18:AB18,2,2),4)</f>
        <v>0.40150000000000002</v>
      </c>
      <c r="AG18" s="36">
        <v>8.5386699319504378E-2</v>
      </c>
      <c r="AH18" s="37">
        <v>6.1798375427745141E-2</v>
      </c>
      <c r="AI18" s="19">
        <v>9.488421670146259E-2</v>
      </c>
      <c r="AJ18" s="96">
        <f t="shared" si="2"/>
        <v>8.0689763816237367E-2</v>
      </c>
      <c r="AK18" s="19">
        <f t="shared" si="3"/>
        <v>1.3909568062759175E-2</v>
      </c>
      <c r="AL18" s="104">
        <f>ROUND(_xlfn.T.TEST(AG8:AI8,AG18:AI18,2,2),4)</f>
        <v>0.12959999999999999</v>
      </c>
      <c r="AN18" s="36">
        <v>0.20449077003522795</v>
      </c>
      <c r="AO18" s="37">
        <v>0.49098205533538425</v>
      </c>
      <c r="AP18" s="19">
        <v>0.83357576046921988</v>
      </c>
      <c r="AQ18" s="96">
        <f t="shared" si="4"/>
        <v>0.50968286194661072</v>
      </c>
      <c r="AR18" s="19">
        <f t="shared" si="5"/>
        <v>0.25716307591781368</v>
      </c>
      <c r="AS18" s="104">
        <f>ROUND(_xlfn.T.TEST(AN8:AP8,AN18:AP18,2,2),4)</f>
        <v>0.47110000000000002</v>
      </c>
    </row>
    <row r="19" spans="2:45" x14ac:dyDescent="0.35">
      <c r="B19" s="102"/>
      <c r="C19" s="251"/>
      <c r="D19" s="31" t="s">
        <v>203</v>
      </c>
      <c r="E19" s="28">
        <v>3.8940873337849589E-2</v>
      </c>
      <c r="F19" s="46">
        <v>5.6901298328291681E-2</v>
      </c>
      <c r="G19" s="27">
        <v>3.3202283000016035E-2</v>
      </c>
      <c r="H19">
        <v>4.3014818222052435E-2</v>
      </c>
      <c r="I19" s="98">
        <v>1.0094837032599167E-2</v>
      </c>
      <c r="J19" s="104">
        <f t="shared" ref="J19:J27" si="6">ROUND(_xlfn.T.TEST(E9:G9,E19:G19,2,2),4)</f>
        <v>6.8199999999999997E-2</v>
      </c>
      <c r="L19" s="29">
        <v>6.580969501171945E-3</v>
      </c>
      <c r="M19" s="47">
        <v>1.3019970174047617E-3</v>
      </c>
      <c r="N19" s="47">
        <v>4.4928967011613707E-4</v>
      </c>
      <c r="O19" s="138">
        <v>2.7774187295642812E-3</v>
      </c>
      <c r="P19" s="40">
        <v>2.7119521024750099E-3</v>
      </c>
      <c r="Q19" s="104">
        <f t="shared" ref="Q19:Q27" si="7">ROUND(_xlfn.T.TEST(L9:N9,L19:N19,2,2),4)</f>
        <v>0.72189999999999999</v>
      </c>
      <c r="S19" s="131">
        <v>0.40617884144286776</v>
      </c>
      <c r="T19" s="132">
        <v>0.35094361708032656</v>
      </c>
      <c r="U19" s="133">
        <v>9.1616989183616535E-2</v>
      </c>
      <c r="V19" s="131">
        <v>0.28291314923560362</v>
      </c>
      <c r="W19" s="138">
        <v>0.13713350706658498</v>
      </c>
      <c r="X19" s="104">
        <f t="shared" ref="X19:X27" si="8">ROUND(_xlfn.T.TEST(S9:U9,S19:U19,2,2),4)</f>
        <v>0.85750000000000004</v>
      </c>
      <c r="Z19" s="28">
        <v>9.0990563577903583E-2</v>
      </c>
      <c r="AA19" s="46">
        <v>0.19242771586335572</v>
      </c>
      <c r="AB19" s="27">
        <v>0.40265094295869469</v>
      </c>
      <c r="AC19" s="98">
        <f t="shared" si="0"/>
        <v>0.22868974079998469</v>
      </c>
      <c r="AD19" s="27">
        <f t="shared" si="1"/>
        <v>0.129792780637248</v>
      </c>
      <c r="AE19" s="104">
        <f t="shared" ref="AE19:AE27" si="9">ROUND(_xlfn.T.TEST(Z9:AB9,Z19:AB19,2,2),4)</f>
        <v>0.50109999999999999</v>
      </c>
      <c r="AG19" s="28">
        <v>8.030960814135131E-2</v>
      </c>
      <c r="AH19" s="46">
        <v>6.1598099748038898E-2</v>
      </c>
      <c r="AI19" s="27">
        <v>9.4538251219201105E-2</v>
      </c>
      <c r="AJ19" s="98">
        <f t="shared" si="2"/>
        <v>7.8815319702863776E-2</v>
      </c>
      <c r="AK19" s="27">
        <f t="shared" si="3"/>
        <v>1.3489207246012717E-2</v>
      </c>
      <c r="AL19" s="104">
        <f t="shared" ref="AL19:AL27" si="10">ROUND(_xlfn.T.TEST(AG9:AI9,AG19:AI19,2,2),4)</f>
        <v>0.57269999999999999</v>
      </c>
      <c r="AN19" s="28">
        <v>0.40332939300402354</v>
      </c>
      <c r="AO19" s="46">
        <v>0.72164624817439604</v>
      </c>
      <c r="AP19" s="27">
        <v>0.59883397621996948</v>
      </c>
      <c r="AQ19" s="98">
        <f t="shared" si="4"/>
        <v>0.574603205799463</v>
      </c>
      <c r="AR19" s="27">
        <f t="shared" si="5"/>
        <v>0.13107695639780331</v>
      </c>
      <c r="AS19" s="104">
        <f t="shared" ref="AS19:AS27" si="11">ROUND(_xlfn.T.TEST(AN9:AP9,AN19:AP19,2,2),4)</f>
        <v>0.24249999999999999</v>
      </c>
    </row>
    <row r="20" spans="2:45" x14ac:dyDescent="0.35">
      <c r="B20" s="102"/>
      <c r="C20" s="251"/>
      <c r="D20" s="31" t="s">
        <v>204</v>
      </c>
      <c r="E20" s="28">
        <v>2.3074631815543398E-3</v>
      </c>
      <c r="F20" s="46">
        <v>1.9678930011910015E-2</v>
      </c>
      <c r="G20" s="27">
        <v>2.8402717124875812E-2</v>
      </c>
      <c r="H20">
        <v>1.679637010611339E-2</v>
      </c>
      <c r="I20" s="98">
        <v>1.0846579592955818E-2</v>
      </c>
      <c r="J20" s="104">
        <f t="shared" si="6"/>
        <v>0.88939999999999997</v>
      </c>
      <c r="L20" s="29">
        <v>4.175686452658125E-3</v>
      </c>
      <c r="M20" s="47">
        <v>1.5104587375142009E-3</v>
      </c>
      <c r="N20" s="47">
        <v>6.3793142793066486E-3</v>
      </c>
      <c r="O20" s="138">
        <v>4.0218198231596579E-3</v>
      </c>
      <c r="P20" s="40">
        <v>1.9906774017011851E-3</v>
      </c>
      <c r="Q20" s="104">
        <f t="shared" si="7"/>
        <v>0.82499999999999996</v>
      </c>
      <c r="S20" s="131">
        <v>0.35332898642320226</v>
      </c>
      <c r="T20" s="132">
        <v>0.31082296817991178</v>
      </c>
      <c r="U20" s="133">
        <v>6.0603222165076555E-2</v>
      </c>
      <c r="V20" s="131">
        <v>0.24158505892273019</v>
      </c>
      <c r="W20" s="138">
        <v>0.12914464584037863</v>
      </c>
      <c r="X20" s="104">
        <f t="shared" si="8"/>
        <v>0.72899999999999998</v>
      </c>
      <c r="Z20" s="28">
        <v>4.9201930143760869E-2</v>
      </c>
      <c r="AA20" s="46">
        <v>0.16667500805940461</v>
      </c>
      <c r="AB20" s="27">
        <v>0.20699715395516649</v>
      </c>
      <c r="AC20" s="98">
        <f t="shared" si="0"/>
        <v>0.14095803071944399</v>
      </c>
      <c r="AD20" s="27">
        <f t="shared" si="1"/>
        <v>6.6937061767259817E-2</v>
      </c>
      <c r="AE20" s="104">
        <f t="shared" si="9"/>
        <v>0.87939999999999996</v>
      </c>
      <c r="AG20" s="28">
        <v>8.9043648984793153E-2</v>
      </c>
      <c r="AH20" s="46">
        <v>7.3620944845716074E-2</v>
      </c>
      <c r="AI20" s="27">
        <v>0.12703739946681017</v>
      </c>
      <c r="AJ20" s="98">
        <f t="shared" si="2"/>
        <v>9.6567331099106465E-2</v>
      </c>
      <c r="AK20" s="27">
        <f t="shared" si="3"/>
        <v>2.2446733251407724E-2</v>
      </c>
      <c r="AL20" s="104">
        <f t="shared" si="10"/>
        <v>0.50819999999999999</v>
      </c>
      <c r="AN20" s="28">
        <v>0.31686217614821194</v>
      </c>
      <c r="AO20" s="46">
        <v>0.69402416142660461</v>
      </c>
      <c r="AP20" s="27">
        <v>0.75920615581920614</v>
      </c>
      <c r="AQ20" s="98">
        <f t="shared" si="4"/>
        <v>0.5900308311313408</v>
      </c>
      <c r="AR20" s="27">
        <f t="shared" si="5"/>
        <v>0.1949837747903112</v>
      </c>
      <c r="AS20" s="104">
        <f t="shared" si="11"/>
        <v>0.33310000000000001</v>
      </c>
    </row>
    <row r="21" spans="2:45" x14ac:dyDescent="0.35">
      <c r="B21" s="102"/>
      <c r="C21" s="251"/>
      <c r="D21" s="31" t="s">
        <v>205</v>
      </c>
      <c r="E21" s="28">
        <v>7.7130076624531117E-4</v>
      </c>
      <c r="F21" s="46">
        <v>3.9254730973379205E-2</v>
      </c>
      <c r="G21" s="27">
        <v>1.5084017496154387E-2</v>
      </c>
      <c r="H21">
        <v>1.8370016411926302E-2</v>
      </c>
      <c r="I21" s="98">
        <v>1.5881686345865523E-2</v>
      </c>
      <c r="J21" s="104">
        <f t="shared" si="6"/>
        <v>0.84830000000000005</v>
      </c>
      <c r="L21" s="29">
        <v>2.7472251324158835E-2</v>
      </c>
      <c r="M21" s="47">
        <v>7.0220706513629258E-2</v>
      </c>
      <c r="N21" s="47">
        <v>1.2251863678403229E-3</v>
      </c>
      <c r="O21" s="138">
        <v>3.297271473520947E-2</v>
      </c>
      <c r="P21" s="40">
        <v>2.843456550689932E-2</v>
      </c>
      <c r="Q21" s="104">
        <f t="shared" si="7"/>
        <v>0.218</v>
      </c>
      <c r="S21" s="131">
        <v>0.36453664390372387</v>
      </c>
      <c r="T21" s="132">
        <v>0.38542628180529842</v>
      </c>
      <c r="U21" s="133">
        <v>7.0400062422309007E-2</v>
      </c>
      <c r="V21" s="131">
        <v>0.27345432937711045</v>
      </c>
      <c r="W21" s="138">
        <v>0.14383409595625218</v>
      </c>
      <c r="X21" s="104">
        <f t="shared" si="8"/>
        <v>0.72470000000000001</v>
      </c>
      <c r="Z21" s="28">
        <v>5.7721793485921852E-2</v>
      </c>
      <c r="AA21" s="46">
        <v>0.10332688286707396</v>
      </c>
      <c r="AB21" s="27">
        <v>0.1846201507230173</v>
      </c>
      <c r="AC21" s="98">
        <f t="shared" si="0"/>
        <v>0.11522294235867103</v>
      </c>
      <c r="AD21" s="27">
        <f t="shared" si="1"/>
        <v>5.2484508450520183E-2</v>
      </c>
      <c r="AE21" s="104">
        <f t="shared" si="9"/>
        <v>0.81489999999999996</v>
      </c>
      <c r="AG21" s="28">
        <v>9.5048763469609845E-2</v>
      </c>
      <c r="AH21" s="46">
        <v>6.621697396599284E-2</v>
      </c>
      <c r="AI21" s="27">
        <v>0.14112281066961066</v>
      </c>
      <c r="AJ21" s="98">
        <f t="shared" si="2"/>
        <v>0.10079618270173778</v>
      </c>
      <c r="AK21" s="27">
        <f t="shared" si="3"/>
        <v>3.0849048758318242E-2</v>
      </c>
      <c r="AL21" s="104">
        <f t="shared" si="10"/>
        <v>0.87770000000000004</v>
      </c>
      <c r="AN21" s="28">
        <v>0.45211760915803895</v>
      </c>
      <c r="AO21" s="46">
        <v>0.62171414666258784</v>
      </c>
      <c r="AP21" s="27">
        <v>0.40941181516892788</v>
      </c>
      <c r="AQ21" s="98">
        <f t="shared" si="4"/>
        <v>0.49441452366318489</v>
      </c>
      <c r="AR21" s="27">
        <f t="shared" si="5"/>
        <v>9.1687300908768948E-2</v>
      </c>
      <c r="AS21" s="104">
        <f t="shared" si="11"/>
        <v>0.1515</v>
      </c>
    </row>
    <row r="22" spans="2:45" x14ac:dyDescent="0.35">
      <c r="B22" s="102"/>
      <c r="C22" s="251"/>
      <c r="D22" s="31" t="s">
        <v>126</v>
      </c>
      <c r="E22" s="28">
        <v>69.632058333228358</v>
      </c>
      <c r="F22" s="46">
        <v>102.73817586375492</v>
      </c>
      <c r="G22" s="27">
        <v>189.18084494610801</v>
      </c>
      <c r="H22">
        <v>120.51702638103045</v>
      </c>
      <c r="I22" s="98">
        <v>50.398701963705868</v>
      </c>
      <c r="J22" s="104">
        <f t="shared" si="6"/>
        <v>0.69430000000000003</v>
      </c>
      <c r="L22" s="29">
        <v>53.09553253961527</v>
      </c>
      <c r="M22" s="47">
        <v>60.082568884563074</v>
      </c>
      <c r="N22" s="47">
        <v>53.869108743620529</v>
      </c>
      <c r="O22" s="138">
        <v>55.682403389266291</v>
      </c>
      <c r="P22" s="40">
        <v>3.127373480025593</v>
      </c>
      <c r="Q22" s="104">
        <f t="shared" si="7"/>
        <v>0.40429999999999999</v>
      </c>
      <c r="S22" s="131">
        <v>128.04484345424459</v>
      </c>
      <c r="T22" s="132">
        <v>68.937338983518046</v>
      </c>
      <c r="U22" s="133">
        <v>36.461096367191615</v>
      </c>
      <c r="V22" s="131">
        <v>77.814426268318073</v>
      </c>
      <c r="W22" s="138">
        <v>37.912158925801045</v>
      </c>
      <c r="X22" s="104">
        <f t="shared" si="8"/>
        <v>0.78280000000000005</v>
      </c>
      <c r="Z22" s="28">
        <v>152.37853778384508</v>
      </c>
      <c r="AA22" s="46">
        <v>391.785399844224</v>
      </c>
      <c r="AB22" s="27">
        <v>388.54905935899643</v>
      </c>
      <c r="AC22" s="98">
        <f t="shared" si="0"/>
        <v>310.90433232902183</v>
      </c>
      <c r="AD22" s="27">
        <f t="shared" si="1"/>
        <v>112.10245054433857</v>
      </c>
      <c r="AE22" s="104">
        <f t="shared" si="9"/>
        <v>0.53669999999999995</v>
      </c>
      <c r="AG22" s="28">
        <v>5.500872604334357</v>
      </c>
      <c r="AH22" s="46">
        <v>3.6561451882838552</v>
      </c>
      <c r="AI22" s="27">
        <v>13.347372346054664</v>
      </c>
      <c r="AJ22" s="98">
        <f t="shared" si="2"/>
        <v>7.5014633795576247</v>
      </c>
      <c r="AK22" s="27">
        <f t="shared" si="3"/>
        <v>4.2017253236664551</v>
      </c>
      <c r="AL22" s="104">
        <f t="shared" si="10"/>
        <v>0.90880000000000005</v>
      </c>
      <c r="AN22" s="28">
        <v>71.908932549902872</v>
      </c>
      <c r="AO22" s="46">
        <v>52.511316849746869</v>
      </c>
      <c r="AP22" s="27">
        <v>344.89917169661595</v>
      </c>
      <c r="AQ22" s="98">
        <f t="shared" si="4"/>
        <v>156.43980703208857</v>
      </c>
      <c r="AR22" s="27">
        <f t="shared" si="5"/>
        <v>133.49598238906097</v>
      </c>
      <c r="AS22" s="104">
        <f t="shared" si="11"/>
        <v>0.51390000000000002</v>
      </c>
    </row>
    <row r="23" spans="2:45" x14ac:dyDescent="0.35">
      <c r="B23" s="102"/>
      <c r="C23" s="251"/>
      <c r="D23" s="31" t="s">
        <v>127</v>
      </c>
      <c r="E23" s="28">
        <v>81.623159704416196</v>
      </c>
      <c r="F23" s="46">
        <v>178.72383278682238</v>
      </c>
      <c r="G23" s="27">
        <v>184.21924928302042</v>
      </c>
      <c r="H23">
        <v>148.18874725808632</v>
      </c>
      <c r="I23" s="98">
        <v>47.122414945124</v>
      </c>
      <c r="J23" s="104">
        <f t="shared" si="6"/>
        <v>0.94940000000000002</v>
      </c>
      <c r="L23" s="29">
        <v>81.531229953607848</v>
      </c>
      <c r="M23" s="47">
        <v>60.070601239885455</v>
      </c>
      <c r="N23" s="47">
        <v>62.689264284860258</v>
      </c>
      <c r="O23" s="138">
        <v>68.097031826117856</v>
      </c>
      <c r="P23" s="40">
        <v>9.5593796358087051</v>
      </c>
      <c r="Q23" s="104">
        <f t="shared" si="7"/>
        <v>9.1700000000000004E-2</v>
      </c>
      <c r="S23" s="131">
        <v>94.712884569732168</v>
      </c>
      <c r="T23" s="132">
        <v>167.90281697368934</v>
      </c>
      <c r="U23" s="133">
        <v>48.391454742983321</v>
      </c>
      <c r="V23" s="131">
        <v>103.66905209546827</v>
      </c>
      <c r="W23" s="138">
        <v>49.199601137418064</v>
      </c>
      <c r="X23" s="104">
        <f t="shared" si="8"/>
        <v>0.76529999999999998</v>
      </c>
      <c r="Z23" s="28">
        <v>302.88201771361668</v>
      </c>
      <c r="AA23" s="46">
        <v>556.89473123449159</v>
      </c>
      <c r="AB23" s="27">
        <v>442.56591620318886</v>
      </c>
      <c r="AC23" s="98">
        <f t="shared" si="0"/>
        <v>434.11422171709904</v>
      </c>
      <c r="AD23" s="27">
        <f t="shared" si="1"/>
        <v>103.87231909841427</v>
      </c>
      <c r="AE23" s="104">
        <f t="shared" si="9"/>
        <v>0.40949999999999998</v>
      </c>
      <c r="AG23" s="28">
        <v>11.138374177431517</v>
      </c>
      <c r="AH23" s="46">
        <v>5.6080210105708863</v>
      </c>
      <c r="AI23" s="27">
        <v>15.180223190048778</v>
      </c>
      <c r="AJ23" s="98">
        <f t="shared" si="2"/>
        <v>10.64220612601706</v>
      </c>
      <c r="AK23" s="27">
        <f t="shared" si="3"/>
        <v>3.9235528706036873</v>
      </c>
      <c r="AL23" s="104">
        <f t="shared" si="10"/>
        <v>0.67330000000000001</v>
      </c>
      <c r="AN23" s="28">
        <v>63.745522715745402</v>
      </c>
      <c r="AO23" s="46">
        <v>141.926774112967</v>
      </c>
      <c r="AP23" s="27">
        <v>301.33328591801063</v>
      </c>
      <c r="AQ23" s="98">
        <f t="shared" si="4"/>
        <v>169.00186091557433</v>
      </c>
      <c r="AR23" s="27">
        <f t="shared" si="5"/>
        <v>98.866177397835628</v>
      </c>
      <c r="AS23" s="104">
        <f t="shared" si="11"/>
        <v>0.82110000000000005</v>
      </c>
    </row>
    <row r="24" spans="2:45" x14ac:dyDescent="0.35">
      <c r="B24" s="102"/>
      <c r="C24" s="251"/>
      <c r="D24" s="31" t="s">
        <v>128</v>
      </c>
      <c r="E24" s="28">
        <v>58.287650503662974</v>
      </c>
      <c r="F24" s="46">
        <v>72.279064349408131</v>
      </c>
      <c r="G24" s="27">
        <v>110.12401762295713</v>
      </c>
      <c r="H24">
        <v>80.230244158676086</v>
      </c>
      <c r="I24" s="98">
        <v>21.896242969986766</v>
      </c>
      <c r="J24" s="104">
        <f t="shared" si="6"/>
        <v>0.1598</v>
      </c>
      <c r="L24" s="29">
        <v>13.286858140965084</v>
      </c>
      <c r="M24" s="47">
        <v>53.019886847182271</v>
      </c>
      <c r="N24" s="47">
        <v>39.68653122262203</v>
      </c>
      <c r="O24" s="138">
        <v>35.33109207025646</v>
      </c>
      <c r="P24" s="40">
        <v>16.510719350364251</v>
      </c>
      <c r="Q24" s="103">
        <f t="shared" si="7"/>
        <v>7.4000000000000003E-3</v>
      </c>
      <c r="S24" s="131">
        <v>67.961588090861866</v>
      </c>
      <c r="T24" s="132">
        <v>59.432898057809588</v>
      </c>
      <c r="U24" s="133">
        <v>22.735625312233598</v>
      </c>
      <c r="V24" s="131">
        <v>50.04337048696835</v>
      </c>
      <c r="W24" s="138">
        <v>19.620896145286167</v>
      </c>
      <c r="X24" s="104">
        <f t="shared" si="8"/>
        <v>0.9073</v>
      </c>
      <c r="Z24" s="28">
        <v>140.74172796879034</v>
      </c>
      <c r="AA24" s="46">
        <v>83.285878748283679</v>
      </c>
      <c r="AB24" s="27">
        <v>367.10627643562674</v>
      </c>
      <c r="AC24" s="98">
        <f t="shared" si="0"/>
        <v>197.0446277175669</v>
      </c>
      <c r="AD24" s="27">
        <f t="shared" si="1"/>
        <v>122.51807193482652</v>
      </c>
      <c r="AE24" s="103">
        <f t="shared" si="9"/>
        <v>1.7399999999999999E-2</v>
      </c>
      <c r="AG24" s="28">
        <v>4.047801112741884</v>
      </c>
      <c r="AH24" s="46">
        <v>5.205785705672171</v>
      </c>
      <c r="AI24" s="27">
        <v>13.559176563319083</v>
      </c>
      <c r="AJ24" s="98">
        <f t="shared" si="2"/>
        <v>7.6042544605777129</v>
      </c>
      <c r="AK24" s="27">
        <f t="shared" si="3"/>
        <v>4.2372203952319376</v>
      </c>
      <c r="AL24" s="104">
        <f t="shared" si="10"/>
        <v>0.4632</v>
      </c>
      <c r="AN24" s="28">
        <v>94.537941118368011</v>
      </c>
      <c r="AO24" s="46">
        <v>56.370524149992661</v>
      </c>
      <c r="AP24" s="27">
        <v>155.59709235569949</v>
      </c>
      <c r="AQ24" s="98">
        <f t="shared" si="4"/>
        <v>102.16851920802004</v>
      </c>
      <c r="AR24" s="27">
        <f t="shared" si="5"/>
        <v>40.866834564286634</v>
      </c>
      <c r="AS24" s="104">
        <f t="shared" si="11"/>
        <v>0.95109999999999995</v>
      </c>
    </row>
    <row r="25" spans="2:45" x14ac:dyDescent="0.35">
      <c r="B25" s="102"/>
      <c r="C25" s="251"/>
      <c r="D25" s="31" t="s">
        <v>129</v>
      </c>
      <c r="E25" s="28">
        <v>2.1922084844666903</v>
      </c>
      <c r="F25" s="46">
        <v>1.374351137216089</v>
      </c>
      <c r="G25" s="27">
        <v>1.4274435172209294</v>
      </c>
      <c r="H25">
        <v>1.6646677129679031</v>
      </c>
      <c r="I25" s="98">
        <v>0.37365683846616543</v>
      </c>
      <c r="J25" s="103">
        <f t="shared" si="6"/>
        <v>1.3599999999999999E-2</v>
      </c>
      <c r="L25" s="29">
        <v>0.3956590691172463</v>
      </c>
      <c r="M25" s="47">
        <v>0.1892903214506079</v>
      </c>
      <c r="N25" s="47">
        <v>0.24752667647348517</v>
      </c>
      <c r="O25" s="138">
        <v>0.27749202234711312</v>
      </c>
      <c r="P25" s="40">
        <v>8.6873304178628499E-2</v>
      </c>
      <c r="Q25" s="103">
        <f t="shared" si="7"/>
        <v>1.6999999999999999E-3</v>
      </c>
      <c r="S25" s="131">
        <v>1.5013793181862145</v>
      </c>
      <c r="T25" s="132">
        <v>0.65459399320086364</v>
      </c>
      <c r="U25" s="133">
        <v>0.35691012167713881</v>
      </c>
      <c r="V25" s="131">
        <v>0.8376278110214056</v>
      </c>
      <c r="W25" s="138">
        <v>0.48482193933374834</v>
      </c>
      <c r="X25" s="104">
        <f t="shared" si="8"/>
        <v>0.79520000000000002</v>
      </c>
      <c r="Z25" s="28">
        <v>9.8966983346837356</v>
      </c>
      <c r="AA25" s="46">
        <v>25.805453621010528</v>
      </c>
      <c r="AB25" s="27">
        <v>19.708860980550035</v>
      </c>
      <c r="AC25" s="98">
        <f t="shared" si="0"/>
        <v>18.470337645414766</v>
      </c>
      <c r="AD25" s="27">
        <f t="shared" si="1"/>
        <v>6.5535017982151462</v>
      </c>
      <c r="AE25" s="103">
        <f t="shared" si="9"/>
        <v>1E-4</v>
      </c>
      <c r="AG25" s="28">
        <v>0.3791715296096449</v>
      </c>
      <c r="AH25" s="46">
        <v>0.44695583877276324</v>
      </c>
      <c r="AI25" s="27">
        <v>0.39422960561747572</v>
      </c>
      <c r="AJ25" s="98">
        <f t="shared" si="2"/>
        <v>0.4067856579999613</v>
      </c>
      <c r="AK25" s="27">
        <f t="shared" si="3"/>
        <v>2.9062220387232326E-2</v>
      </c>
      <c r="AL25" s="103">
        <f t="shared" si="10"/>
        <v>9.9000000000000008E-3</v>
      </c>
      <c r="AN25" s="28">
        <v>2.2382868691795612</v>
      </c>
      <c r="AO25" s="46">
        <v>0.84745512890419195</v>
      </c>
      <c r="AP25" s="27">
        <v>2.0158718201590085</v>
      </c>
      <c r="AQ25" s="98">
        <f t="shared" si="4"/>
        <v>1.7005379394142537</v>
      </c>
      <c r="AR25" s="27">
        <f t="shared" si="5"/>
        <v>0.6100162974317509</v>
      </c>
      <c r="AS25" s="104">
        <f t="shared" si="11"/>
        <v>0.77839999999999998</v>
      </c>
    </row>
    <row r="26" spans="2:45" x14ac:dyDescent="0.35">
      <c r="B26" s="102"/>
      <c r="C26" s="251"/>
      <c r="D26" s="31" t="s">
        <v>200</v>
      </c>
      <c r="E26" s="28">
        <v>0.13777093734326362</v>
      </c>
      <c r="F26" s="46">
        <v>0.20022847646191924</v>
      </c>
      <c r="G26" s="27">
        <v>0.16253274466913833</v>
      </c>
      <c r="H26">
        <v>0.16684405282477374</v>
      </c>
      <c r="I26" s="98">
        <v>2.5679779096911173E-2</v>
      </c>
      <c r="J26" s="103">
        <f t="shared" si="6"/>
        <v>3.5999999999999999E-3</v>
      </c>
      <c r="L26" s="29">
        <v>8.2758687012360679E-2</v>
      </c>
      <c r="M26" s="47">
        <v>0.10713461659429814</v>
      </c>
      <c r="N26" s="47">
        <v>1.8223291340106803E-2</v>
      </c>
      <c r="O26" s="138">
        <v>6.9372198315588537E-2</v>
      </c>
      <c r="P26" s="40">
        <v>3.7511815910330239E-2</v>
      </c>
      <c r="Q26" s="104">
        <f t="shared" si="7"/>
        <v>0.26229999999999998</v>
      </c>
      <c r="S26" s="131">
        <v>0.54371366516938702</v>
      </c>
      <c r="T26" s="132">
        <v>0.5116730321617714</v>
      </c>
      <c r="U26" s="133">
        <v>0.13716734419262047</v>
      </c>
      <c r="V26" s="131">
        <v>0.39751801384125968</v>
      </c>
      <c r="W26" s="138">
        <v>0.1845598438280536</v>
      </c>
      <c r="X26" s="104">
        <f t="shared" si="8"/>
        <v>0.96060000000000001</v>
      </c>
      <c r="Z26" s="28">
        <v>1.3232618000707959</v>
      </c>
      <c r="AA26" s="46">
        <v>2.5625231205954582</v>
      </c>
      <c r="AB26" s="27">
        <v>2.3481371928183461</v>
      </c>
      <c r="AC26" s="98">
        <f t="shared" si="0"/>
        <v>2.0779740378281999</v>
      </c>
      <c r="AD26" s="27">
        <f t="shared" si="1"/>
        <v>0.54079155126092959</v>
      </c>
      <c r="AE26" s="103">
        <f t="shared" si="9"/>
        <v>6.1999999999999998E-3</v>
      </c>
      <c r="AG26" s="28">
        <v>0.19227044068808163</v>
      </c>
      <c r="AH26" s="46">
        <v>0.12893220000592795</v>
      </c>
      <c r="AI26" s="27">
        <v>0.16248281501562065</v>
      </c>
      <c r="AJ26" s="98">
        <f t="shared" si="2"/>
        <v>0.16122848523654343</v>
      </c>
      <c r="AK26" s="27">
        <f t="shared" si="3"/>
        <v>2.5872935545000225E-2</v>
      </c>
      <c r="AL26" s="103">
        <f t="shared" si="10"/>
        <v>1.1000000000000001E-3</v>
      </c>
      <c r="AN26" s="28">
        <v>0.67435413445337566</v>
      </c>
      <c r="AO26" s="46">
        <v>0.79786167954899645</v>
      </c>
      <c r="AP26" s="27">
        <v>1.0278356024847344</v>
      </c>
      <c r="AQ26" s="98">
        <f t="shared" si="4"/>
        <v>0.83335047216236868</v>
      </c>
      <c r="AR26" s="27">
        <f t="shared" si="5"/>
        <v>0.14647383807644671</v>
      </c>
      <c r="AS26" s="104">
        <f t="shared" si="11"/>
        <v>0.16750000000000001</v>
      </c>
    </row>
    <row r="27" spans="2:45" x14ac:dyDescent="0.35">
      <c r="B27" s="102"/>
      <c r="C27" s="251"/>
      <c r="D27" s="31" t="s">
        <v>201</v>
      </c>
      <c r="E27" s="28">
        <v>5.5111424554388222E-2</v>
      </c>
      <c r="F27" s="46">
        <v>5.5606396255888473E-2</v>
      </c>
      <c r="G27" s="27">
        <v>7.1996264720666975E-2</v>
      </c>
      <c r="H27">
        <v>6.0904695176981223E-2</v>
      </c>
      <c r="I27" s="98">
        <v>7.845526770210505E-3</v>
      </c>
      <c r="J27" s="103">
        <f t="shared" si="6"/>
        <v>1E-4</v>
      </c>
      <c r="L27" s="162">
        <v>2.4843601876831194E-2</v>
      </c>
      <c r="M27" s="163">
        <v>1.3782393605686713E-2</v>
      </c>
      <c r="N27" s="163">
        <v>7.82334798593445E-3</v>
      </c>
      <c r="O27" s="139">
        <v>1.5483114489484121E-2</v>
      </c>
      <c r="P27" s="44">
        <v>7.0517893365719501E-3</v>
      </c>
      <c r="Q27" s="104">
        <f t="shared" si="7"/>
        <v>0.28000000000000003</v>
      </c>
      <c r="S27" s="131">
        <v>0.55777623098650286</v>
      </c>
      <c r="T27" s="132">
        <v>0.32378305322575063</v>
      </c>
      <c r="U27" s="133">
        <v>8.0396485235273166E-2</v>
      </c>
      <c r="V27" s="131">
        <v>0.32065192314917557</v>
      </c>
      <c r="W27" s="138">
        <v>0.19490204102752831</v>
      </c>
      <c r="X27" s="104">
        <f t="shared" si="8"/>
        <v>0.7591</v>
      </c>
      <c r="Z27" s="25">
        <v>0.41432887459164652</v>
      </c>
      <c r="AA27" s="14">
        <v>0.79617503046042459</v>
      </c>
      <c r="AB27" s="17">
        <v>0.96700171904718024</v>
      </c>
      <c r="AC27" s="124">
        <f t="shared" si="0"/>
        <v>0.72583520803308377</v>
      </c>
      <c r="AD27" s="17">
        <f t="shared" si="1"/>
        <v>0.23104485309707734</v>
      </c>
      <c r="AE27" s="103">
        <f t="shared" si="9"/>
        <v>3.3E-3</v>
      </c>
      <c r="AG27" s="25">
        <v>0.10629376832892123</v>
      </c>
      <c r="AH27" s="14">
        <v>0.12758090020213517</v>
      </c>
      <c r="AI27" s="17">
        <v>0.1330597525785969</v>
      </c>
      <c r="AJ27" s="124">
        <f t="shared" si="2"/>
        <v>0.12231147370321777</v>
      </c>
      <c r="AK27" s="17">
        <f t="shared" si="3"/>
        <v>1.1544973507522399E-2</v>
      </c>
      <c r="AL27" s="103">
        <f t="shared" si="10"/>
        <v>2.7300000000000001E-2</v>
      </c>
      <c r="AN27" s="25">
        <v>0.61766266263876768</v>
      </c>
      <c r="AO27" s="14">
        <v>0.59040255969816913</v>
      </c>
      <c r="AP27" s="17">
        <v>0.4222183686887056</v>
      </c>
      <c r="AQ27" s="124">
        <f t="shared" si="4"/>
        <v>0.54342786367521412</v>
      </c>
      <c r="AR27" s="17">
        <f t="shared" si="5"/>
        <v>8.6427559490579189E-2</v>
      </c>
      <c r="AS27" s="104">
        <f t="shared" si="11"/>
        <v>0.1226</v>
      </c>
    </row>
    <row r="28" spans="2:45" x14ac:dyDescent="0.35">
      <c r="B28" s="112"/>
      <c r="C28" s="259" t="s">
        <v>17</v>
      </c>
      <c r="D28" s="121" t="s">
        <v>202</v>
      </c>
      <c r="E28" s="36">
        <v>1.8012340337582592E-2</v>
      </c>
      <c r="F28" s="37">
        <v>0.2143474976007366</v>
      </c>
      <c r="G28" s="19">
        <v>4.3580552130340365E-2</v>
      </c>
      <c r="H28" s="37">
        <v>9.1980130022886519E-2</v>
      </c>
      <c r="I28" s="96">
        <v>8.7154127267040873E-2</v>
      </c>
      <c r="J28" s="104">
        <f>ROUND(_xlfn.T.TEST(E8:G8,E28:G28,2,2),4)</f>
        <v>0.40839999999999999</v>
      </c>
      <c r="L28" s="158">
        <v>1.0082284989003217E-2</v>
      </c>
      <c r="M28" s="159">
        <v>9.3612150635372267E-3</v>
      </c>
      <c r="N28" s="160">
        <v>5.7039327178525561E-3</v>
      </c>
      <c r="O28" s="137">
        <v>8.3824775901310006E-3</v>
      </c>
      <c r="P28" s="168">
        <v>1.9167572327518406E-3</v>
      </c>
      <c r="Q28" s="104">
        <f>ROUND(_xlfn.T.TEST(L8:N8,L28:N28,2,2),4)</f>
        <v>0.1827</v>
      </c>
      <c r="S28" s="128">
        <v>0.20961471197757967</v>
      </c>
      <c r="T28" s="129">
        <v>0.3488449093412726</v>
      </c>
      <c r="U28" s="130">
        <v>4.514216565305338E-2</v>
      </c>
      <c r="V28" s="128">
        <v>0.20120059565730189</v>
      </c>
      <c r="W28" s="137">
        <v>0.12412879640659914</v>
      </c>
      <c r="X28" s="104">
        <f>ROUND(_xlfn.T.TEST(S8:U8,S28:U28,2,2),4)</f>
        <v>0.64739999999999998</v>
      </c>
      <c r="Z28" s="28">
        <v>0.34600184108522747</v>
      </c>
      <c r="AA28" s="46">
        <v>0.2617969774804178</v>
      </c>
      <c r="AB28" s="27">
        <v>0.32461987962460948</v>
      </c>
      <c r="AC28" s="98">
        <f t="shared" si="0"/>
        <v>0.31080623273008495</v>
      </c>
      <c r="AD28" s="27">
        <f t="shared" si="1"/>
        <v>3.5737257813763204E-2</v>
      </c>
      <c r="AE28" s="104">
        <f>ROUND(_xlfn.T.TEST(Z8:AB8,Z28:AB28,2,2),4)</f>
        <v>0.92789999999999995</v>
      </c>
      <c r="AG28" s="28">
        <v>7.5930945699767105E-2</v>
      </c>
      <c r="AH28" s="46">
        <v>9.1599442309959755E-2</v>
      </c>
      <c r="AI28" s="27">
        <v>0.10612960256389413</v>
      </c>
      <c r="AJ28" s="98">
        <f t="shared" si="2"/>
        <v>9.1219996857873673E-2</v>
      </c>
      <c r="AK28" s="27">
        <f t="shared" si="3"/>
        <v>1.2331469316012918E-2</v>
      </c>
      <c r="AL28" s="104">
        <f>ROUND(_xlfn.T.TEST(AG8:AI8,AG28:AI28,2,2),4)</f>
        <v>0.30740000000000001</v>
      </c>
      <c r="AN28" s="28">
        <v>0.16024581584627937</v>
      </c>
      <c r="AO28" s="46">
        <v>0.41035858755615245</v>
      </c>
      <c r="AP28" s="27">
        <v>0.73785849788291957</v>
      </c>
      <c r="AQ28" s="98">
        <f t="shared" si="4"/>
        <v>0.43615430042845044</v>
      </c>
      <c r="AR28" s="27">
        <f t="shared" si="5"/>
        <v>0.23651380046321865</v>
      </c>
      <c r="AS28" s="104">
        <f>ROUND(_xlfn.T.TEST(AN8:AP8,AN28:AP28,2,2),4)</f>
        <v>0.64700000000000002</v>
      </c>
    </row>
    <row r="29" spans="2:45" x14ac:dyDescent="0.35">
      <c r="B29" s="102"/>
      <c r="C29" s="251"/>
      <c r="D29" s="122" t="s">
        <v>203</v>
      </c>
      <c r="E29" s="28">
        <v>2.9454274421066472E-2</v>
      </c>
      <c r="F29" s="46">
        <v>3.0908465526243694E-3</v>
      </c>
      <c r="G29" s="27">
        <v>1.1523922928588981E-2</v>
      </c>
      <c r="H29" s="46">
        <v>1.4689681300759941E-2</v>
      </c>
      <c r="I29" s="98">
        <v>1.0993152468601089E-2</v>
      </c>
      <c r="J29" s="104">
        <f t="shared" ref="J29:J37" si="12">ROUND(_xlfn.T.TEST(E9:G9,E29:G29,2,2),4)</f>
        <v>0.92259999999999998</v>
      </c>
      <c r="L29" s="29">
        <v>2.8319172565154688E-3</v>
      </c>
      <c r="M29" s="47">
        <v>8.4168874830408344E-3</v>
      </c>
      <c r="N29" s="161">
        <v>7.0125821439192236E-4</v>
      </c>
      <c r="O29" s="138">
        <v>3.9833543179827414E-3</v>
      </c>
      <c r="P29" s="40">
        <v>3.2534176115482242E-3</v>
      </c>
      <c r="Q29" s="104">
        <f t="shared" ref="Q29:Q37" si="13">ROUND(_xlfn.T.TEST(L9:N9,L29:N29,2,2),4)</f>
        <v>0.45390000000000003</v>
      </c>
      <c r="S29" s="131">
        <v>0.50635037137677263</v>
      </c>
      <c r="T29" s="132">
        <v>0.30066757296855146</v>
      </c>
      <c r="U29" s="133">
        <v>6.9545474994220549E-2</v>
      </c>
      <c r="V29" s="131">
        <v>0.29218780644651487</v>
      </c>
      <c r="W29" s="138">
        <v>0.17842563195188496</v>
      </c>
      <c r="X29" s="104">
        <f t="shared" ref="X29:X37" si="14">ROUND(_xlfn.T.TEST(S9:U9,S29:U29,2,2),4)</f>
        <v>0.91600000000000004</v>
      </c>
      <c r="Z29" s="28">
        <v>7.0992888700113055E-2</v>
      </c>
      <c r="AA29" s="46">
        <v>0.12545849386233182</v>
      </c>
      <c r="AB29" s="27">
        <v>0.29529372667363857</v>
      </c>
      <c r="AC29" s="98">
        <f t="shared" si="0"/>
        <v>0.16391503641202781</v>
      </c>
      <c r="AD29" s="27">
        <f t="shared" si="1"/>
        <v>9.5522757245115414E-2</v>
      </c>
      <c r="AE29" s="104">
        <f t="shared" ref="AE29:AE37" si="15">ROUND(_xlfn.T.TEST(Z9:AB9,Z29:AB29,2,2),4)</f>
        <v>0.93059999999999998</v>
      </c>
      <c r="AG29" s="28">
        <v>6.4445869039840883E-2</v>
      </c>
      <c r="AH29" s="46">
        <v>4.9001921216028477E-2</v>
      </c>
      <c r="AI29" s="27">
        <v>0.11719561555466496</v>
      </c>
      <c r="AJ29" s="98">
        <f t="shared" si="2"/>
        <v>7.6881135270178105E-2</v>
      </c>
      <c r="AK29" s="27">
        <f t="shared" si="3"/>
        <v>2.9195568973760015E-2</v>
      </c>
      <c r="AL29" s="104">
        <f t="shared" ref="AL29:AL37" si="16">ROUND(_xlfn.T.TEST(AG9:AI9,AG29:AI29,2,2),4)</f>
        <v>0.64859999999999995</v>
      </c>
      <c r="AN29" s="28">
        <v>0.46152365516249622</v>
      </c>
      <c r="AO29" s="46">
        <v>0.51662352305003478</v>
      </c>
      <c r="AP29" s="27">
        <v>0.44393909478357751</v>
      </c>
      <c r="AQ29" s="98">
        <f t="shared" si="4"/>
        <v>0.4740287576653695</v>
      </c>
      <c r="AR29" s="27">
        <f t="shared" si="5"/>
        <v>3.0962770327830475E-2</v>
      </c>
      <c r="AS29" s="104">
        <f t="shared" ref="AS29:AS37" si="17">ROUND(_xlfn.T.TEST(AN9:AP9,AN29:AP29,2,2),4)</f>
        <v>0.46589999999999998</v>
      </c>
    </row>
    <row r="30" spans="2:45" x14ac:dyDescent="0.35">
      <c r="B30" s="102"/>
      <c r="C30" s="251"/>
      <c r="D30" s="122" t="s">
        <v>204</v>
      </c>
      <c r="E30" s="28">
        <v>2.5065058017375297E-3</v>
      </c>
      <c r="F30" s="46">
        <v>0.17928715474282489</v>
      </c>
      <c r="G30" s="27">
        <v>2.5771209711007683E-2</v>
      </c>
      <c r="H30" s="46">
        <v>6.9188290085190035E-2</v>
      </c>
      <c r="I30" s="98">
        <v>7.8428870582082852E-2</v>
      </c>
      <c r="J30" s="104">
        <f t="shared" si="12"/>
        <v>0.38919999999999999</v>
      </c>
      <c r="L30" s="29">
        <v>1.5664203962709497E-2</v>
      </c>
      <c r="M30" s="47">
        <v>0.37036058715003056</v>
      </c>
      <c r="N30" s="161">
        <v>2.6149853741546034E-3</v>
      </c>
      <c r="O30" s="138">
        <v>0.12954659216229822</v>
      </c>
      <c r="P30" s="40">
        <v>0.17036452225137069</v>
      </c>
      <c r="Q30" s="104">
        <f t="shared" si="13"/>
        <v>0.35970000000000002</v>
      </c>
      <c r="S30" s="131">
        <v>0.49262204540069909</v>
      </c>
      <c r="T30" s="132">
        <v>0.40884385117366184</v>
      </c>
      <c r="U30" s="133">
        <v>8.1165281732811803E-2</v>
      </c>
      <c r="V30" s="131">
        <v>0.32754372610239091</v>
      </c>
      <c r="W30" s="138">
        <v>0.17754145026719087</v>
      </c>
      <c r="X30" s="104">
        <f t="shared" si="14"/>
        <v>0.85589999999999999</v>
      </c>
      <c r="Z30" s="28">
        <v>0.2034638504067644</v>
      </c>
      <c r="AA30" s="46">
        <v>0.23142482766030881</v>
      </c>
      <c r="AB30" s="27">
        <v>0.12375632787369227</v>
      </c>
      <c r="AC30" s="98">
        <f t="shared" si="0"/>
        <v>0.18621500198025517</v>
      </c>
      <c r="AD30" s="27">
        <f t="shared" si="1"/>
        <v>4.5616287592669301E-2</v>
      </c>
      <c r="AE30" s="104">
        <f t="shared" si="15"/>
        <v>0.47970000000000002</v>
      </c>
      <c r="AG30" s="28">
        <v>7.2479136921568557E-2</v>
      </c>
      <c r="AH30" s="46">
        <v>6.0319931396551514E-2</v>
      </c>
      <c r="AI30" s="27">
        <v>8.0574085538675025E-2</v>
      </c>
      <c r="AJ30" s="98">
        <f t="shared" si="2"/>
        <v>7.112438461893171E-2</v>
      </c>
      <c r="AK30" s="27">
        <f t="shared" si="3"/>
        <v>8.3240296873709606E-3</v>
      </c>
      <c r="AL30" s="104">
        <f t="shared" si="16"/>
        <v>0.21</v>
      </c>
      <c r="AN30" s="28">
        <v>0.4071983539122212</v>
      </c>
      <c r="AO30" s="46">
        <v>0.64117186152959293</v>
      </c>
      <c r="AP30" s="27">
        <v>0.43491182587569138</v>
      </c>
      <c r="AQ30" s="98">
        <f t="shared" si="4"/>
        <v>0.49442734710583519</v>
      </c>
      <c r="AR30" s="27">
        <f t="shared" si="5"/>
        <v>0.10437903211266732</v>
      </c>
      <c r="AS30" s="104">
        <f t="shared" si="17"/>
        <v>0.48649999999999999</v>
      </c>
    </row>
    <row r="31" spans="2:45" x14ac:dyDescent="0.35">
      <c r="B31" s="102"/>
      <c r="C31" s="251"/>
      <c r="D31" s="122" t="s">
        <v>205</v>
      </c>
      <c r="E31" s="28">
        <v>1.9292428783533988E-3</v>
      </c>
      <c r="F31" s="46">
        <v>0.29266206911054615</v>
      </c>
      <c r="G31" s="27">
        <v>1.3711069346211482E-2</v>
      </c>
      <c r="H31" s="46">
        <v>0.102767460445037</v>
      </c>
      <c r="I31" s="98">
        <v>0.13436188611085567</v>
      </c>
      <c r="J31" s="104">
        <f t="shared" si="12"/>
        <v>0.44790000000000002</v>
      </c>
      <c r="L31" s="29">
        <v>2.8936767732686704E-3</v>
      </c>
      <c r="M31" s="47">
        <v>2.853481045733856E-2</v>
      </c>
      <c r="N31" s="161">
        <v>8.0556352217488474E-4</v>
      </c>
      <c r="O31" s="138">
        <v>1.0744683584260705E-2</v>
      </c>
      <c r="P31" s="40">
        <v>1.2608370628475448E-2</v>
      </c>
      <c r="Q31" s="104">
        <f t="shared" si="13"/>
        <v>0.4708</v>
      </c>
      <c r="S31" s="131">
        <v>0.53580882800684326</v>
      </c>
      <c r="T31" s="132">
        <v>0.60303495721700229</v>
      </c>
      <c r="U31" s="133">
        <v>5.9138425919820804E-2</v>
      </c>
      <c r="V31" s="131">
        <v>0.3993274037145555</v>
      </c>
      <c r="W31" s="138">
        <v>0.2421105031067633</v>
      </c>
      <c r="X31" s="104">
        <f t="shared" si="14"/>
        <v>0.78520000000000001</v>
      </c>
      <c r="Z31" s="28">
        <v>0.67270458686870216</v>
      </c>
      <c r="AA31" s="46">
        <v>0.1307669233282556</v>
      </c>
      <c r="AB31" s="27">
        <v>0.14085020005604146</v>
      </c>
      <c r="AC31" s="98">
        <f t="shared" si="0"/>
        <v>0.31477390341766637</v>
      </c>
      <c r="AD31" s="27">
        <f t="shared" si="1"/>
        <v>0.25312868760663548</v>
      </c>
      <c r="AE31" s="104">
        <f t="shared" si="15"/>
        <v>0.38290000000000002</v>
      </c>
      <c r="AG31" s="28">
        <v>8.6698705356111627E-2</v>
      </c>
      <c r="AH31" s="46">
        <v>7.9928245954437524E-2</v>
      </c>
      <c r="AI31" s="27">
        <v>0.11560298883705428</v>
      </c>
      <c r="AJ31" s="98">
        <f t="shared" si="2"/>
        <v>9.4076646715867809E-2</v>
      </c>
      <c r="AK31" s="27">
        <f t="shared" si="3"/>
        <v>1.5470344403970708E-2</v>
      </c>
      <c r="AL31" s="104">
        <f t="shared" si="16"/>
        <v>0.66379999999999995</v>
      </c>
      <c r="AN31" s="28">
        <v>0.5239941966214412</v>
      </c>
      <c r="AO31" s="46">
        <v>1.3622541648535431</v>
      </c>
      <c r="AP31" s="27">
        <v>0.46039521284670348</v>
      </c>
      <c r="AQ31" s="98">
        <f t="shared" si="4"/>
        <v>0.78221452477389597</v>
      </c>
      <c r="AR31" s="27">
        <f t="shared" si="5"/>
        <v>0.41097096063841282</v>
      </c>
      <c r="AS31" s="104">
        <f t="shared" si="17"/>
        <v>0.98580000000000001</v>
      </c>
    </row>
    <row r="32" spans="2:45" x14ac:dyDescent="0.35">
      <c r="B32" s="102"/>
      <c r="C32" s="251"/>
      <c r="D32" s="122" t="s">
        <v>126</v>
      </c>
      <c r="E32" s="28">
        <v>96.438449372242488</v>
      </c>
      <c r="F32" s="46">
        <v>155.08977000425816</v>
      </c>
      <c r="G32" s="27">
        <v>144.90102107151577</v>
      </c>
      <c r="H32" s="46">
        <v>132.14308014933883</v>
      </c>
      <c r="I32" s="98">
        <v>25.587342514091997</v>
      </c>
      <c r="J32" s="104">
        <f t="shared" si="12"/>
        <v>0.84819999999999995</v>
      </c>
      <c r="L32" s="29">
        <v>52.531906131451052</v>
      </c>
      <c r="M32" s="47">
        <v>63.196126419565381</v>
      </c>
      <c r="N32" s="161">
        <v>46.769759589608206</v>
      </c>
      <c r="O32" s="138">
        <v>54.165930713541549</v>
      </c>
      <c r="P32" s="40">
        <v>6.8048467560131991</v>
      </c>
      <c r="Q32" s="104">
        <f t="shared" si="13"/>
        <v>0.37530000000000002</v>
      </c>
      <c r="S32" s="131">
        <v>125.67838931004538</v>
      </c>
      <c r="T32" s="132">
        <v>65.076938152597791</v>
      </c>
      <c r="U32" s="133">
        <v>50.567778427080462</v>
      </c>
      <c r="V32" s="131">
        <v>80.44103529657454</v>
      </c>
      <c r="W32" s="138">
        <v>32.531447120083762</v>
      </c>
      <c r="X32" s="104">
        <f t="shared" si="14"/>
        <v>0.81589999999999996</v>
      </c>
      <c r="Z32" s="28">
        <v>335.95238425879711</v>
      </c>
      <c r="AA32" s="46">
        <v>568.28169121051849</v>
      </c>
      <c r="AB32" s="27">
        <v>481.05364315625098</v>
      </c>
      <c r="AC32" s="98">
        <f t="shared" si="0"/>
        <v>461.76257287518888</v>
      </c>
      <c r="AD32" s="27">
        <f t="shared" si="1"/>
        <v>95.823921027435873</v>
      </c>
      <c r="AE32" s="104">
        <f t="shared" si="15"/>
        <v>0.84670000000000001</v>
      </c>
      <c r="AG32" s="28">
        <v>7.5869819288256357</v>
      </c>
      <c r="AH32" s="46">
        <v>5.6242966761655566</v>
      </c>
      <c r="AI32" s="27">
        <v>10.7471651607648</v>
      </c>
      <c r="AJ32" s="98">
        <f t="shared" si="2"/>
        <v>7.9861479219186648</v>
      </c>
      <c r="AK32" s="27">
        <f t="shared" si="3"/>
        <v>2.1103626063082914</v>
      </c>
      <c r="AL32" s="104">
        <f t="shared" si="16"/>
        <v>0.64759999999999995</v>
      </c>
      <c r="AN32" s="28">
        <v>99.050052877372863</v>
      </c>
      <c r="AO32" s="46">
        <v>88.318737184380851</v>
      </c>
      <c r="AP32" s="27">
        <v>260.23210937221762</v>
      </c>
      <c r="AQ32" s="98">
        <f t="shared" si="4"/>
        <v>149.20029981132379</v>
      </c>
      <c r="AR32" s="27">
        <f t="shared" si="5"/>
        <v>78.633484533840516</v>
      </c>
      <c r="AS32" s="104">
        <f t="shared" si="17"/>
        <v>0.34289999999999998</v>
      </c>
    </row>
    <row r="33" spans="2:45" x14ac:dyDescent="0.35">
      <c r="B33" s="102"/>
      <c r="C33" s="251"/>
      <c r="D33" s="122" t="s">
        <v>127</v>
      </c>
      <c r="E33" s="28">
        <v>123.82130886134308</v>
      </c>
      <c r="F33" s="46">
        <v>161.03978446186252</v>
      </c>
      <c r="G33" s="27">
        <v>156.24364673293192</v>
      </c>
      <c r="H33" s="46">
        <v>147.03491335204583</v>
      </c>
      <c r="I33" s="98">
        <v>16.530866268222724</v>
      </c>
      <c r="J33" s="104">
        <f t="shared" si="12"/>
        <v>0.95720000000000005</v>
      </c>
      <c r="L33" s="29">
        <v>95.7420602729526</v>
      </c>
      <c r="M33" s="47">
        <v>125.12736035073574</v>
      </c>
      <c r="N33" s="161">
        <v>71.829867640084146</v>
      </c>
      <c r="O33" s="138">
        <v>97.566429421257496</v>
      </c>
      <c r="P33" s="40">
        <v>21.796818183738889</v>
      </c>
      <c r="Q33" s="104">
        <f t="shared" si="13"/>
        <v>0.79730000000000001</v>
      </c>
      <c r="S33" s="131">
        <v>162.46487617025522</v>
      </c>
      <c r="T33" s="132">
        <v>126.90217438636988</v>
      </c>
      <c r="U33" s="133">
        <v>47.519704488755757</v>
      </c>
      <c r="V33" s="131">
        <v>112.29558501512695</v>
      </c>
      <c r="W33" s="138">
        <v>48.049366718112118</v>
      </c>
      <c r="X33" s="104">
        <f t="shared" si="14"/>
        <v>0.62150000000000005</v>
      </c>
      <c r="Z33" s="28">
        <v>506.22421893081605</v>
      </c>
      <c r="AA33" s="46">
        <v>556.81825247905238</v>
      </c>
      <c r="AB33" s="27">
        <v>662.9139077365744</v>
      </c>
      <c r="AC33" s="98">
        <f t="shared" si="0"/>
        <v>575.31879304881431</v>
      </c>
      <c r="AD33" s="27">
        <f t="shared" si="1"/>
        <v>65.292251431755446</v>
      </c>
      <c r="AE33" s="104">
        <f t="shared" si="15"/>
        <v>0.9647</v>
      </c>
      <c r="AG33" s="28">
        <v>7.638273416735899</v>
      </c>
      <c r="AH33" s="46">
        <v>8.6041057655478692</v>
      </c>
      <c r="AI33" s="27">
        <v>11.877068157124526</v>
      </c>
      <c r="AJ33" s="98">
        <f t="shared" si="2"/>
        <v>9.3731491131360993</v>
      </c>
      <c r="AK33" s="27">
        <f t="shared" si="3"/>
        <v>1.8139121562043459</v>
      </c>
      <c r="AL33" s="104">
        <f t="shared" si="16"/>
        <v>0.95899999999999996</v>
      </c>
      <c r="AN33" s="28">
        <v>91.808678894162696</v>
      </c>
      <c r="AO33" s="46">
        <v>157.51573448251852</v>
      </c>
      <c r="AP33" s="27">
        <v>165.72338861413866</v>
      </c>
      <c r="AQ33" s="98">
        <f t="shared" si="4"/>
        <v>138.34926733027328</v>
      </c>
      <c r="AR33" s="27">
        <f t="shared" si="5"/>
        <v>33.079310508439676</v>
      </c>
      <c r="AS33" s="104">
        <f t="shared" si="17"/>
        <v>0.74439999999999995</v>
      </c>
    </row>
    <row r="34" spans="2:45" x14ac:dyDescent="0.35">
      <c r="B34" s="102"/>
      <c r="C34" s="251"/>
      <c r="D34" s="122" t="s">
        <v>128</v>
      </c>
      <c r="E34" s="28">
        <v>107.60523169480139</v>
      </c>
      <c r="F34" s="46">
        <v>91.136557778153204</v>
      </c>
      <c r="G34" s="27">
        <v>146.57966390564741</v>
      </c>
      <c r="H34" s="46">
        <v>115.10715112620066</v>
      </c>
      <c r="I34" s="98">
        <v>23.247847221231094</v>
      </c>
      <c r="J34" s="104">
        <f t="shared" si="12"/>
        <v>0.35849999999999999</v>
      </c>
      <c r="L34" s="29">
        <v>57.353751472810792</v>
      </c>
      <c r="M34" s="47">
        <v>74.043814381405141</v>
      </c>
      <c r="N34" s="161">
        <v>59.492897190267151</v>
      </c>
      <c r="O34" s="138">
        <v>63.630154348161028</v>
      </c>
      <c r="P34" s="40">
        <v>7.4151746469033322</v>
      </c>
      <c r="Q34" s="103">
        <f t="shared" si="13"/>
        <v>1.15E-2</v>
      </c>
      <c r="S34" s="131">
        <v>116.03704313418599</v>
      </c>
      <c r="T34" s="132">
        <v>73.029062073627884</v>
      </c>
      <c r="U34" s="133">
        <v>16.283431780507428</v>
      </c>
      <c r="V34" s="131">
        <v>68.449845662773768</v>
      </c>
      <c r="W34" s="138">
        <v>40.852765403974502</v>
      </c>
      <c r="X34" s="104">
        <f t="shared" si="14"/>
        <v>0.68189999999999995</v>
      </c>
      <c r="Z34" s="28">
        <v>272.84667919714997</v>
      </c>
      <c r="AA34" s="46">
        <v>664.85979155221014</v>
      </c>
      <c r="AB34" s="27">
        <v>660.53826243284254</v>
      </c>
      <c r="AC34" s="98">
        <f t="shared" si="0"/>
        <v>532.74824439406757</v>
      </c>
      <c r="AD34" s="27">
        <f t="shared" si="1"/>
        <v>183.78662736506527</v>
      </c>
      <c r="AE34" s="104">
        <f t="shared" si="15"/>
        <v>0.4607</v>
      </c>
      <c r="AG34" s="28">
        <v>5.2630139373263356</v>
      </c>
      <c r="AH34" s="46">
        <v>8.4264707578589739</v>
      </c>
      <c r="AI34" s="27">
        <v>7.2102728344794684</v>
      </c>
      <c r="AJ34" s="98">
        <f t="shared" si="2"/>
        <v>6.9665858432215932</v>
      </c>
      <c r="AK34" s="27">
        <f t="shared" si="3"/>
        <v>1.3029203803059357</v>
      </c>
      <c r="AL34" s="104">
        <f t="shared" si="16"/>
        <v>0.1017</v>
      </c>
      <c r="AN34" s="28">
        <v>134.60486091528938</v>
      </c>
      <c r="AO34" s="46">
        <v>74.888608294347833</v>
      </c>
      <c r="AP34" s="27">
        <v>160.95182819762246</v>
      </c>
      <c r="AQ34" s="98">
        <f t="shared" si="4"/>
        <v>123.48176580241989</v>
      </c>
      <c r="AR34" s="27">
        <f t="shared" si="5"/>
        <v>36.004739398189486</v>
      </c>
      <c r="AS34" s="104">
        <f t="shared" si="17"/>
        <v>0.5887</v>
      </c>
    </row>
    <row r="35" spans="2:45" x14ac:dyDescent="0.35">
      <c r="B35" s="102"/>
      <c r="C35" s="251"/>
      <c r="D35" s="122" t="s">
        <v>129</v>
      </c>
      <c r="E35" s="28">
        <v>3.2465734936884636</v>
      </c>
      <c r="F35" s="46">
        <v>5.0625444776671324</v>
      </c>
      <c r="G35" s="27">
        <v>8.2655339969092143</v>
      </c>
      <c r="H35" s="46">
        <v>5.5248839894216033</v>
      </c>
      <c r="I35" s="98">
        <v>2.0748991142253161</v>
      </c>
      <c r="J35" s="103">
        <f t="shared" si="12"/>
        <v>3.2099999999999997E-2</v>
      </c>
      <c r="L35" s="29">
        <v>0.49833539566646801</v>
      </c>
      <c r="M35" s="47">
        <v>0.50589310947610355</v>
      </c>
      <c r="N35" s="161">
        <v>0.42368911332912429</v>
      </c>
      <c r="O35" s="138">
        <v>0.47597253949056534</v>
      </c>
      <c r="P35" s="40">
        <v>3.709849276265572E-2</v>
      </c>
      <c r="Q35" s="103">
        <f t="shared" si="13"/>
        <v>2.3E-3</v>
      </c>
      <c r="S35" s="131">
        <v>1.6226015551940349</v>
      </c>
      <c r="T35" s="132">
        <v>1.1084166624987302</v>
      </c>
      <c r="U35" s="133">
        <v>0.43189761311214436</v>
      </c>
      <c r="V35" s="131">
        <v>1.0543052769349697</v>
      </c>
      <c r="W35" s="138">
        <v>0.48760639930040645</v>
      </c>
      <c r="X35" s="104">
        <f t="shared" si="14"/>
        <v>0.45950000000000002</v>
      </c>
      <c r="Z35" s="28">
        <v>47.379989752185146</v>
      </c>
      <c r="AA35" s="46">
        <v>99.324458434783779</v>
      </c>
      <c r="AB35" s="27">
        <v>70.667574440004415</v>
      </c>
      <c r="AC35" s="98">
        <f t="shared" si="0"/>
        <v>72.457340875657778</v>
      </c>
      <c r="AD35" s="27">
        <f t="shared" si="1"/>
        <v>21.243970197054495</v>
      </c>
      <c r="AE35" s="103">
        <f t="shared" si="15"/>
        <v>5.0000000000000001E-4</v>
      </c>
      <c r="AG35" s="28">
        <v>0.60023761935424413</v>
      </c>
      <c r="AH35" s="46">
        <v>0.89993142755203193</v>
      </c>
      <c r="AI35" s="27">
        <v>0.62229737922959394</v>
      </c>
      <c r="AJ35" s="98">
        <f t="shared" si="2"/>
        <v>0.70748880871195663</v>
      </c>
      <c r="AK35" s="27">
        <f t="shared" si="3"/>
        <v>0.13637516736551758</v>
      </c>
      <c r="AL35" s="104">
        <f t="shared" si="16"/>
        <v>0.1862</v>
      </c>
      <c r="AN35" s="28">
        <v>2.4661514855038176</v>
      </c>
      <c r="AO35" s="46">
        <v>1.5183789923375544</v>
      </c>
      <c r="AP35" s="27">
        <v>1.9969505180389724</v>
      </c>
      <c r="AQ35" s="98">
        <f t="shared" si="4"/>
        <v>1.9938269986267816</v>
      </c>
      <c r="AR35" s="27">
        <f t="shared" si="5"/>
        <v>0.38693280379654771</v>
      </c>
      <c r="AS35" s="104">
        <f t="shared" si="17"/>
        <v>0.93779999999999997</v>
      </c>
    </row>
    <row r="36" spans="2:45" x14ac:dyDescent="0.35">
      <c r="B36" s="102"/>
      <c r="C36" s="251"/>
      <c r="D36" s="122" t="s">
        <v>200</v>
      </c>
      <c r="E36" s="28">
        <v>0.27900194249783933</v>
      </c>
      <c r="F36" s="46">
        <v>0.57580927896209133</v>
      </c>
      <c r="G36" s="27">
        <v>0.7411817791970744</v>
      </c>
      <c r="H36" s="46">
        <v>0.53199766688566841</v>
      </c>
      <c r="I36" s="98">
        <v>0.19121043098705692</v>
      </c>
      <c r="J36" s="103">
        <f t="shared" si="12"/>
        <v>1.4200000000000001E-2</v>
      </c>
      <c r="L36" s="29">
        <v>6.9362961795071412E-2</v>
      </c>
      <c r="M36" s="47">
        <v>0.12353266430100467</v>
      </c>
      <c r="N36" s="161">
        <v>3.760927639965822E-2</v>
      </c>
      <c r="O36" s="138">
        <v>7.6834967498578099E-2</v>
      </c>
      <c r="P36" s="40">
        <v>3.5473748970529753E-2</v>
      </c>
      <c r="Q36" s="104">
        <f t="shared" si="13"/>
        <v>0.33100000000000002</v>
      </c>
      <c r="S36" s="131">
        <v>0.55259005232741665</v>
      </c>
      <c r="T36" s="132">
        <v>0.46955335470044529</v>
      </c>
      <c r="U36" s="133">
        <v>0.13125429686582002</v>
      </c>
      <c r="V36" s="131">
        <v>0.38446590129789399</v>
      </c>
      <c r="W36" s="138">
        <v>0.18222853920740492</v>
      </c>
      <c r="X36" s="104">
        <f t="shared" si="14"/>
        <v>0.90500000000000003</v>
      </c>
      <c r="Z36" s="28">
        <v>7.1732040136280801</v>
      </c>
      <c r="AA36" s="46">
        <v>10.007920665885374</v>
      </c>
      <c r="AB36" s="27">
        <v>9.5253781569735274</v>
      </c>
      <c r="AC36" s="98">
        <f t="shared" si="0"/>
        <v>8.9021676121623265</v>
      </c>
      <c r="AD36" s="27">
        <f t="shared" si="1"/>
        <v>1.2383317170072359</v>
      </c>
      <c r="AE36" s="103">
        <f t="shared" si="15"/>
        <v>1.6799999999999999E-2</v>
      </c>
      <c r="AG36" s="28">
        <v>0.29934484709872183</v>
      </c>
      <c r="AH36" s="46">
        <v>0.2695115516283762</v>
      </c>
      <c r="AI36" s="27">
        <v>0.30086329618085378</v>
      </c>
      <c r="AJ36" s="98">
        <f t="shared" si="2"/>
        <v>0.28990656496931727</v>
      </c>
      <c r="AK36" s="27">
        <f t="shared" si="3"/>
        <v>1.4434769338571135E-2</v>
      </c>
      <c r="AL36" s="103">
        <f t="shared" si="16"/>
        <v>1.1900000000000001E-2</v>
      </c>
      <c r="AN36" s="28">
        <v>0.63473132646245956</v>
      </c>
      <c r="AO36" s="46">
        <v>0.76191326895160449</v>
      </c>
      <c r="AP36" s="27">
        <v>1.2909127784000418</v>
      </c>
      <c r="AQ36" s="98">
        <f t="shared" si="4"/>
        <v>0.89585245793803525</v>
      </c>
      <c r="AR36" s="27">
        <f t="shared" si="5"/>
        <v>0.28413412821703948</v>
      </c>
      <c r="AS36" s="104">
        <f t="shared" si="17"/>
        <v>0.2334</v>
      </c>
    </row>
    <row r="37" spans="2:45" x14ac:dyDescent="0.35">
      <c r="B37" s="102"/>
      <c r="C37" s="252"/>
      <c r="D37" s="123" t="s">
        <v>201</v>
      </c>
      <c r="E37" s="25">
        <v>7.5243387296584766E-2</v>
      </c>
      <c r="F37" s="14">
        <v>0.23131051556692075</v>
      </c>
      <c r="G37" s="17">
        <v>0.14616921695072208</v>
      </c>
      <c r="H37" s="14">
        <v>0.15090770660474254</v>
      </c>
      <c r="I37" s="124">
        <v>6.3802179141407164E-2</v>
      </c>
      <c r="J37" s="103">
        <f t="shared" si="12"/>
        <v>1.0800000000000001E-2</v>
      </c>
      <c r="L37" s="162">
        <v>1.7813357750326012E-2</v>
      </c>
      <c r="M37" s="163">
        <v>2.4389025281822813E-2</v>
      </c>
      <c r="N37" s="164">
        <v>1.3774114474243123E-2</v>
      </c>
      <c r="O37" s="139">
        <v>1.8658832502130646E-2</v>
      </c>
      <c r="P37" s="44">
        <v>4.3745631042937626E-3</v>
      </c>
      <c r="Q37" s="104">
        <f t="shared" si="13"/>
        <v>0.34129999999999999</v>
      </c>
      <c r="S37" s="134">
        <v>0.48976624739264091</v>
      </c>
      <c r="T37" s="135">
        <v>0.3246531233435202</v>
      </c>
      <c r="U37" s="136">
        <v>8.2251039995889022E-2</v>
      </c>
      <c r="V37" s="134">
        <v>0.29889013691068339</v>
      </c>
      <c r="W37" s="139">
        <v>0.16736180302438255</v>
      </c>
      <c r="X37" s="104">
        <f t="shared" si="14"/>
        <v>0.84</v>
      </c>
      <c r="Z37" s="28">
        <v>2.4627819548163634</v>
      </c>
      <c r="AA37" s="46">
        <v>1.3926417679437362</v>
      </c>
      <c r="AB37" s="27">
        <v>1.5153744216794214</v>
      </c>
      <c r="AC37" s="98">
        <f t="shared" si="0"/>
        <v>1.7902660481465071</v>
      </c>
      <c r="AD37" s="27">
        <f t="shared" si="1"/>
        <v>0.47817295310116598</v>
      </c>
      <c r="AE37" s="103">
        <f t="shared" si="15"/>
        <v>1.0500000000000001E-2</v>
      </c>
      <c r="AG37" s="28">
        <v>0.15118896843874424</v>
      </c>
      <c r="AH37" s="46">
        <v>0.14765280173917145</v>
      </c>
      <c r="AI37" s="27">
        <v>0.17604728746380399</v>
      </c>
      <c r="AJ37" s="98">
        <f t="shared" si="2"/>
        <v>0.15829635254723989</v>
      </c>
      <c r="AK37" s="27">
        <f t="shared" si="3"/>
        <v>1.2634552796224137E-2</v>
      </c>
      <c r="AL37" s="104">
        <f t="shared" si="16"/>
        <v>6.1499999999999999E-2</v>
      </c>
      <c r="AN37" s="28">
        <v>0.64831047639573247</v>
      </c>
      <c r="AO37" s="46">
        <v>0.63737759541511763</v>
      </c>
      <c r="AP37" s="27">
        <v>0.6045017111890435</v>
      </c>
      <c r="AQ37" s="98">
        <f t="shared" si="4"/>
        <v>0.63006326099996457</v>
      </c>
      <c r="AR37" s="27">
        <f t="shared" si="5"/>
        <v>1.8617672485861745E-2</v>
      </c>
      <c r="AS37" s="104">
        <f t="shared" si="17"/>
        <v>0.1903</v>
      </c>
    </row>
    <row r="38" spans="2:45" x14ac:dyDescent="0.35">
      <c r="B38" s="112"/>
      <c r="C38" s="251" t="s">
        <v>57</v>
      </c>
      <c r="D38" s="125" t="s">
        <v>202</v>
      </c>
      <c r="E38" s="28">
        <v>8.0294022919841154E-3</v>
      </c>
      <c r="F38" s="46">
        <v>0.12506401825001842</v>
      </c>
      <c r="G38" s="27">
        <v>2.4263368969506243E-2</v>
      </c>
      <c r="H38" s="96">
        <v>5.2452263170502923E-2</v>
      </c>
      <c r="I38" s="98">
        <v>5.1770233727612136E-2</v>
      </c>
      <c r="J38" s="104">
        <f>ROUND(_xlfn.T.TEST(E8:G8,E38:G38,2,2),4)</f>
        <v>0.6532</v>
      </c>
      <c r="L38" s="29">
        <v>1.813130866938395E-2</v>
      </c>
      <c r="M38" s="47">
        <v>1.567021966128165E-2</v>
      </c>
      <c r="N38" s="161">
        <v>1.1185004735759793E-2</v>
      </c>
      <c r="O38" s="138">
        <v>1.4995511022141798E-2</v>
      </c>
      <c r="P38" s="40">
        <v>2.8756690114786704E-3</v>
      </c>
      <c r="Q38" s="104">
        <f>ROUND(_xlfn.T.TEST(L8:N8,L38:N38,2,2),4)</f>
        <v>0.26019999999999999</v>
      </c>
      <c r="S38" s="131">
        <v>0.21593214928430529</v>
      </c>
      <c r="T38" s="132">
        <v>0.30757184942825372</v>
      </c>
      <c r="U38" s="133">
        <v>4.8946750880025404E-2</v>
      </c>
      <c r="V38" s="131">
        <v>0.1908169165308615</v>
      </c>
      <c r="W38" s="138">
        <v>0.10706638621890915</v>
      </c>
      <c r="X38" s="104">
        <f>ROUND(_xlfn.T.TEST(S8:U8,S38:U38,2,2),4)</f>
        <v>0.68559999999999999</v>
      </c>
      <c r="Z38" s="36">
        <v>0.1927743375768643</v>
      </c>
      <c r="AA38" s="37">
        <v>0.19956103455792928</v>
      </c>
      <c r="AB38" s="19">
        <v>0.14740403031425639</v>
      </c>
      <c r="AC38" s="96">
        <f t="shared" si="0"/>
        <v>0.17991313414968332</v>
      </c>
      <c r="AD38" s="19">
        <f t="shared" si="1"/>
        <v>2.3153778498193778E-2</v>
      </c>
      <c r="AE38" s="104">
        <f>ROUND(_xlfn.T.TEST(Z8:AB8,Z38:AB38,2,2),4)</f>
        <v>0.2576</v>
      </c>
      <c r="AG38" s="36">
        <v>0.11403295118671504</v>
      </c>
      <c r="AH38" s="37">
        <v>7.2389103131208499E-2</v>
      </c>
      <c r="AI38" s="19">
        <v>7.3727521642971236E-2</v>
      </c>
      <c r="AJ38" s="96">
        <f t="shared" si="2"/>
        <v>8.6716525320298263E-2</v>
      </c>
      <c r="AK38" s="19">
        <f t="shared" si="3"/>
        <v>1.9323356896335558E-2</v>
      </c>
      <c r="AL38" s="104">
        <f>ROUND(_xlfn.T.TEST(AG8:AI8,AG38:AI38,2,2),4)</f>
        <v>0.30890000000000001</v>
      </c>
      <c r="AN38" s="36">
        <v>0.12620289362709089</v>
      </c>
      <c r="AO38" s="37">
        <v>0.40174899831996241</v>
      </c>
      <c r="AP38" s="19">
        <v>0.29749710629853354</v>
      </c>
      <c r="AQ38" s="96">
        <f t="shared" si="4"/>
        <v>0.27514966608186225</v>
      </c>
      <c r="AR38" s="19">
        <f t="shared" si="5"/>
        <v>0.11359568658486997</v>
      </c>
      <c r="AS38" s="104">
        <f>ROUND(_xlfn.T.TEST(AN8:AP8,AN38:AP38,2,2),4)</f>
        <v>0.74039999999999995</v>
      </c>
    </row>
    <row r="39" spans="2:45" x14ac:dyDescent="0.35">
      <c r="B39" s="102"/>
      <c r="C39" s="251"/>
      <c r="D39" s="126" t="s">
        <v>203</v>
      </c>
      <c r="E39" s="28">
        <v>3.0730600097414475E-3</v>
      </c>
      <c r="F39" s="46">
        <v>1.2896182767929275E-2</v>
      </c>
      <c r="G39" s="27">
        <v>6.5266780106455008E-2</v>
      </c>
      <c r="H39" s="98">
        <v>2.7078674294708577E-2</v>
      </c>
      <c r="I39" s="98">
        <v>2.7299230810866725E-2</v>
      </c>
      <c r="J39" s="104">
        <f t="shared" ref="J39:J47" si="18">ROUND(_xlfn.T.TEST(E9:G9,E39:G39,2,2),4)</f>
        <v>0.63060000000000005</v>
      </c>
      <c r="L39" s="29">
        <v>3.9451605774854246E-3</v>
      </c>
      <c r="M39" s="47">
        <v>1.5195571372541481E-3</v>
      </c>
      <c r="N39" s="161">
        <v>7.3920687229136464E-3</v>
      </c>
      <c r="O39" s="138">
        <v>4.285595479217739E-3</v>
      </c>
      <c r="P39" s="40">
        <v>2.4094978761371806E-3</v>
      </c>
      <c r="Q39" s="104">
        <f t="shared" ref="Q39:Q47" si="19">ROUND(_xlfn.T.TEST(L9:N9,L39:N39,2,2),4)</f>
        <v>0.27829999999999999</v>
      </c>
      <c r="S39" s="131">
        <v>0.30812554108154816</v>
      </c>
      <c r="T39" s="132">
        <v>0.53249443288420972</v>
      </c>
      <c r="U39" s="133">
        <v>6.2815014755279411E-2</v>
      </c>
      <c r="V39" s="131">
        <v>0.30114499624034574</v>
      </c>
      <c r="W39" s="138">
        <v>0.19180934102765118</v>
      </c>
      <c r="X39" s="104">
        <f t="shared" ref="X39:X47" si="20">ROUND(_xlfn.T.TEST(S9:U9,S39:U39,2,2),4)</f>
        <v>0.95779999999999998</v>
      </c>
      <c r="Z39" s="28">
        <v>6.7022197885086759E-2</v>
      </c>
      <c r="AA39" s="46">
        <v>0.37131487073519537</v>
      </c>
      <c r="AB39" s="27">
        <v>9.0565770984983474E-2</v>
      </c>
      <c r="AC39" s="98">
        <f t="shared" si="0"/>
        <v>0.17630094653508852</v>
      </c>
      <c r="AD39" s="27">
        <f t="shared" si="1"/>
        <v>0.13823023772561807</v>
      </c>
      <c r="AE39" s="104">
        <f t="shared" ref="AE39:AE47" si="21">ROUND(_xlfn.T.TEST(Z9:AB9,Z39:AB39,2,2),4)</f>
        <v>0.86009999999999998</v>
      </c>
      <c r="AG39" s="28">
        <v>6.01739181114865E-2</v>
      </c>
      <c r="AH39" s="46">
        <v>6.0167192616538155E-2</v>
      </c>
      <c r="AI39" s="27">
        <v>0.10490358512157562</v>
      </c>
      <c r="AJ39" s="98">
        <f t="shared" si="2"/>
        <v>7.5081565283200091E-2</v>
      </c>
      <c r="AK39" s="27">
        <f t="shared" si="3"/>
        <v>2.1087352635144711E-2</v>
      </c>
      <c r="AL39" s="104">
        <f t="shared" ref="AL39:AL44" si="22">ROUND(_xlfn.T.TEST(AG9:AI9,AG39:AI39,2,2),4)</f>
        <v>0.52800000000000002</v>
      </c>
      <c r="AN39" s="28">
        <v>0.22351101252915059</v>
      </c>
      <c r="AO39" s="46">
        <v>0.62446637978208575</v>
      </c>
      <c r="AP39" s="27">
        <v>0.9857375934968392</v>
      </c>
      <c r="AQ39" s="98">
        <f t="shared" si="4"/>
        <v>0.61123832860269189</v>
      </c>
      <c r="AR39" s="27">
        <f t="shared" si="5"/>
        <v>0.31131824680105785</v>
      </c>
      <c r="AS39" s="104">
        <f t="shared" ref="AS39:AS44" si="23">ROUND(_xlfn.T.TEST(AN9:AP9,AN39:AP39,2,2),4)</f>
        <v>0.4703</v>
      </c>
    </row>
    <row r="40" spans="2:45" x14ac:dyDescent="0.35">
      <c r="B40" s="102"/>
      <c r="C40" s="251"/>
      <c r="D40" s="126" t="s">
        <v>204</v>
      </c>
      <c r="E40" s="28">
        <v>1.2141799576559789E-2</v>
      </c>
      <c r="F40" s="46">
        <v>3.9803583400845201E-2</v>
      </c>
      <c r="G40" s="27">
        <v>2.9670213378889681E-2</v>
      </c>
      <c r="H40" s="98">
        <v>2.7205198785431556E-2</v>
      </c>
      <c r="I40" s="98">
        <v>1.1426600363328997E-2</v>
      </c>
      <c r="J40" s="104">
        <f t="shared" si="18"/>
        <v>0.30880000000000002</v>
      </c>
      <c r="L40" s="29">
        <v>2.0249348088518396E-3</v>
      </c>
      <c r="M40" s="47">
        <v>1.5449444111761265E-2</v>
      </c>
      <c r="N40" s="161">
        <v>2.0411943725538763E-3</v>
      </c>
      <c r="O40" s="138">
        <v>6.5051910977223272E-3</v>
      </c>
      <c r="P40" s="40">
        <v>6.3245454423071076E-3</v>
      </c>
      <c r="Q40" s="104">
        <f t="shared" si="19"/>
        <v>0.80769999999999997</v>
      </c>
      <c r="S40" s="131">
        <v>0.38407561022502978</v>
      </c>
      <c r="T40" s="132">
        <v>0.45072044238207254</v>
      </c>
      <c r="U40" s="133">
        <v>8.4599005092552526E-2</v>
      </c>
      <c r="V40" s="131">
        <v>0.30646501923321828</v>
      </c>
      <c r="W40" s="138">
        <v>0.15922474595428451</v>
      </c>
      <c r="X40" s="104">
        <f t="shared" si="20"/>
        <v>0.94599999999999995</v>
      </c>
      <c r="Z40" s="28">
        <v>0.15199285221587133</v>
      </c>
      <c r="AA40" s="46">
        <v>0.35039771638883194</v>
      </c>
      <c r="AB40" s="27">
        <v>0.15237899251526626</v>
      </c>
      <c r="AC40" s="98">
        <f t="shared" si="0"/>
        <v>0.21825652037332319</v>
      </c>
      <c r="AD40" s="27">
        <f t="shared" si="1"/>
        <v>9.3438068756403342E-2</v>
      </c>
      <c r="AE40" s="104">
        <f t="shared" si="21"/>
        <v>0.39319999999999999</v>
      </c>
      <c r="AG40" s="28">
        <v>6.2259547266072336E-2</v>
      </c>
      <c r="AH40" s="46">
        <v>6.474540794480349E-2</v>
      </c>
      <c r="AI40" s="27">
        <v>9.4141788279687458E-2</v>
      </c>
      <c r="AJ40" s="98">
        <f t="shared" si="2"/>
        <v>7.3715581163521102E-2</v>
      </c>
      <c r="AK40" s="27">
        <f t="shared" si="3"/>
        <v>1.4479118957839704E-2</v>
      </c>
      <c r="AL40" s="104">
        <f t="shared" si="22"/>
        <v>0.2389</v>
      </c>
      <c r="AN40" s="28">
        <v>0.31678355404792552</v>
      </c>
      <c r="AO40" s="46">
        <v>0.51802040623625045</v>
      </c>
      <c r="AP40" s="27">
        <v>0.93378860825995147</v>
      </c>
      <c r="AQ40" s="98">
        <f t="shared" si="4"/>
        <v>0.5895308561813758</v>
      </c>
      <c r="AR40" s="27">
        <f t="shared" si="5"/>
        <v>0.25691648133107664</v>
      </c>
      <c r="AS40" s="104">
        <f t="shared" si="23"/>
        <v>0.39789999999999998</v>
      </c>
    </row>
    <row r="41" spans="2:45" x14ac:dyDescent="0.35">
      <c r="B41" s="102"/>
      <c r="C41" s="251"/>
      <c r="D41" s="126" t="s">
        <v>205</v>
      </c>
      <c r="E41" s="28">
        <v>9.270059961135925E-4</v>
      </c>
      <c r="F41" s="46">
        <v>2.677524164232277E-2</v>
      </c>
      <c r="G41" s="27">
        <v>6.0045865930141822E-3</v>
      </c>
      <c r="H41" s="98">
        <v>1.1235611410483515E-2</v>
      </c>
      <c r="I41" s="98">
        <v>1.1181995557926283E-2</v>
      </c>
      <c r="J41" s="104">
        <f t="shared" si="18"/>
        <v>0.53959999999999997</v>
      </c>
      <c r="L41" s="29">
        <v>4.5645774241937852E-2</v>
      </c>
      <c r="M41" s="47">
        <v>7.3425745526525107E-3</v>
      </c>
      <c r="N41" s="161">
        <v>2.5656942458447522E-4</v>
      </c>
      <c r="O41" s="138">
        <v>1.774830607305828E-2</v>
      </c>
      <c r="P41" s="40">
        <v>1.9937475848996671E-2</v>
      </c>
      <c r="Q41" s="104">
        <f t="shared" si="19"/>
        <v>0.37259999999999999</v>
      </c>
      <c r="S41" s="131">
        <v>0.44057673561555122</v>
      </c>
      <c r="T41" s="132">
        <v>0.42072444249413649</v>
      </c>
      <c r="U41" s="133">
        <v>7.2177063493134949E-2</v>
      </c>
      <c r="V41" s="131">
        <v>0.31115941386760754</v>
      </c>
      <c r="W41" s="138">
        <v>0.16918028101884894</v>
      </c>
      <c r="X41" s="104">
        <f t="shared" si="20"/>
        <v>0.89429999999999998</v>
      </c>
      <c r="Z41" s="28">
        <v>0.16440648287507739</v>
      </c>
      <c r="AA41" s="46">
        <v>0.17845506083856941</v>
      </c>
      <c r="AB41" s="27">
        <v>7.7848229810241962E-2</v>
      </c>
      <c r="AC41" s="98">
        <f t="shared" si="0"/>
        <v>0.14023659117462958</v>
      </c>
      <c r="AD41" s="27">
        <f t="shared" si="1"/>
        <v>4.4486487543965801E-2</v>
      </c>
      <c r="AE41" s="104">
        <f t="shared" si="21"/>
        <v>0.89759999999999995</v>
      </c>
      <c r="AG41" s="28">
        <v>8.9571956089961838E-2</v>
      </c>
      <c r="AH41" s="46">
        <v>5.4060014934479317E-2</v>
      </c>
      <c r="AI41" s="27">
        <v>7.9481702108293154E-2</v>
      </c>
      <c r="AJ41" s="98">
        <f t="shared" si="2"/>
        <v>7.4371224377578093E-2</v>
      </c>
      <c r="AK41" s="27">
        <f t="shared" si="3"/>
        <v>1.4941267865316637E-2</v>
      </c>
      <c r="AL41" s="104">
        <f t="shared" si="22"/>
        <v>0.27889999999999998</v>
      </c>
      <c r="AN41" s="28">
        <v>0.52648883972156046</v>
      </c>
      <c r="AO41" s="46">
        <v>0.86364371615072411</v>
      </c>
      <c r="AP41" s="27">
        <v>0.33371597596575531</v>
      </c>
      <c r="AQ41" s="98">
        <f t="shared" si="4"/>
        <v>0.57461617727934666</v>
      </c>
      <c r="AR41" s="27">
        <f t="shared" si="5"/>
        <v>0.21900233319866386</v>
      </c>
      <c r="AS41" s="104">
        <f t="shared" si="23"/>
        <v>0.39660000000000001</v>
      </c>
    </row>
    <row r="42" spans="2:45" x14ac:dyDescent="0.35">
      <c r="B42" s="102"/>
      <c r="C42" s="251"/>
      <c r="D42" s="126" t="s">
        <v>126</v>
      </c>
      <c r="E42" s="28">
        <v>83.772388615220351</v>
      </c>
      <c r="F42" s="46">
        <v>90.487283423039841</v>
      </c>
      <c r="G42" s="27">
        <v>108.41850688413821</v>
      </c>
      <c r="H42" s="98">
        <v>94.226059640799463</v>
      </c>
      <c r="I42" s="98">
        <v>10.403256609871013</v>
      </c>
      <c r="J42" s="104">
        <f t="shared" si="18"/>
        <v>8.2299999999999998E-2</v>
      </c>
      <c r="L42" s="29">
        <v>21.494232028179546</v>
      </c>
      <c r="M42" s="47">
        <v>67.16741894916558</v>
      </c>
      <c r="N42" s="161">
        <v>38.430823693534897</v>
      </c>
      <c r="O42" s="138">
        <v>42.364158223626674</v>
      </c>
      <c r="P42" s="40">
        <v>18.852291483602045</v>
      </c>
      <c r="Q42" s="104">
        <f t="shared" si="19"/>
        <v>0.24079999999999999</v>
      </c>
      <c r="S42" s="131">
        <v>151.22634615853119</v>
      </c>
      <c r="T42" s="132">
        <v>71.356254040233523</v>
      </c>
      <c r="U42" s="133">
        <v>36.472961980659527</v>
      </c>
      <c r="V42" s="131">
        <v>86.351854059808076</v>
      </c>
      <c r="W42" s="138">
        <v>48.03287631077179</v>
      </c>
      <c r="X42" s="104">
        <f t="shared" si="20"/>
        <v>0.92749999999999999</v>
      </c>
      <c r="Z42" s="28">
        <v>266.74803310138515</v>
      </c>
      <c r="AA42" s="46">
        <v>398.28391303337042</v>
      </c>
      <c r="AB42" s="27">
        <v>349.96769970080521</v>
      </c>
      <c r="AC42" s="98">
        <f t="shared" si="0"/>
        <v>338.3332152785203</v>
      </c>
      <c r="AD42" s="27">
        <f t="shared" si="1"/>
        <v>54.325824725751858</v>
      </c>
      <c r="AE42" s="104">
        <f t="shared" si="21"/>
        <v>0.60319999999999996</v>
      </c>
      <c r="AG42" s="28">
        <v>5.6238635256206164</v>
      </c>
      <c r="AH42" s="46">
        <v>6.0923890052667531</v>
      </c>
      <c r="AI42" s="27">
        <v>8.5379633501495302</v>
      </c>
      <c r="AJ42" s="98">
        <f t="shared" si="2"/>
        <v>6.7514052936789666</v>
      </c>
      <c r="AK42" s="27">
        <f t="shared" si="3"/>
        <v>1.2776857459548538</v>
      </c>
      <c r="AL42" s="104">
        <f t="shared" si="22"/>
        <v>0.78769999999999996</v>
      </c>
      <c r="AN42" s="28">
        <v>74.161446349751756</v>
      </c>
      <c r="AO42" s="46">
        <v>82.46939802261592</v>
      </c>
      <c r="AP42" s="27">
        <v>101.81775039439719</v>
      </c>
      <c r="AQ42" s="98">
        <f t="shared" si="4"/>
        <v>86.149531588921619</v>
      </c>
      <c r="AR42" s="27">
        <f t="shared" si="5"/>
        <v>11.586639594862593</v>
      </c>
      <c r="AS42" s="104">
        <f t="shared" si="23"/>
        <v>0.85680000000000001</v>
      </c>
    </row>
    <row r="43" spans="2:45" x14ac:dyDescent="0.35">
      <c r="B43" s="102"/>
      <c r="C43" s="251"/>
      <c r="D43" s="126" t="s">
        <v>127</v>
      </c>
      <c r="E43" s="28">
        <v>84.845181258096474</v>
      </c>
      <c r="F43" s="46">
        <v>115.42704170071538</v>
      </c>
      <c r="G43" s="27">
        <v>98.534420881329467</v>
      </c>
      <c r="H43" s="98">
        <v>99.60221461338044</v>
      </c>
      <c r="I43" s="98">
        <v>12.507802488143422</v>
      </c>
      <c r="J43" s="104">
        <f t="shared" si="18"/>
        <v>0.28050000000000003</v>
      </c>
      <c r="L43" s="29">
        <v>40.651816782562683</v>
      </c>
      <c r="M43" s="47">
        <v>52.076163386260639</v>
      </c>
      <c r="N43" s="161">
        <v>54.080702537243525</v>
      </c>
      <c r="O43" s="138">
        <v>48.936227568688956</v>
      </c>
      <c r="P43" s="40">
        <v>5.9148480316865344</v>
      </c>
      <c r="Q43" s="103">
        <f t="shared" si="19"/>
        <v>2.2499999999999999E-2</v>
      </c>
      <c r="S43" s="131">
        <v>182.34109051510032</v>
      </c>
      <c r="T43" s="132">
        <v>108.04031586278239</v>
      </c>
      <c r="U43" s="133">
        <v>34.109617303029928</v>
      </c>
      <c r="V43" s="131">
        <v>108.16367456030423</v>
      </c>
      <c r="W43" s="138">
        <v>60.515308397580242</v>
      </c>
      <c r="X43" s="104">
        <f t="shared" si="20"/>
        <v>0.73229999999999995</v>
      </c>
      <c r="Z43" s="28">
        <v>366.08317779751559</v>
      </c>
      <c r="AA43" s="46">
        <v>372.38290195425679</v>
      </c>
      <c r="AB43" s="27">
        <v>435.76595747349211</v>
      </c>
      <c r="AC43" s="98">
        <f t="shared" si="0"/>
        <v>391.41067907508818</v>
      </c>
      <c r="AD43" s="27">
        <f t="shared" si="1"/>
        <v>31.469187813507325</v>
      </c>
      <c r="AE43" s="104">
        <f t="shared" si="21"/>
        <v>0.25850000000000001</v>
      </c>
      <c r="AG43" s="28">
        <v>6.4106348427694178</v>
      </c>
      <c r="AH43" s="46">
        <v>7.5875426492779674</v>
      </c>
      <c r="AI43" s="27">
        <v>8.515371513672493</v>
      </c>
      <c r="AJ43" s="98">
        <f t="shared" si="2"/>
        <v>7.50451633523996</v>
      </c>
      <c r="AK43" s="27">
        <f t="shared" si="3"/>
        <v>0.86125843588634343</v>
      </c>
      <c r="AL43" s="104">
        <f t="shared" si="22"/>
        <v>0.2432</v>
      </c>
      <c r="AN43" s="28">
        <v>105.23788597112322</v>
      </c>
      <c r="AO43" s="46">
        <v>109.16768986355571</v>
      </c>
      <c r="AP43" s="27">
        <v>105.26996342674175</v>
      </c>
      <c r="AQ43" s="98">
        <f t="shared" si="4"/>
        <v>106.55851308714023</v>
      </c>
      <c r="AR43" s="27">
        <f t="shared" si="5"/>
        <v>1.8450130674747989</v>
      </c>
      <c r="AS43" s="104">
        <f t="shared" si="23"/>
        <v>0.17910000000000001</v>
      </c>
    </row>
    <row r="44" spans="2:45" x14ac:dyDescent="0.35">
      <c r="B44" s="102"/>
      <c r="C44" s="251"/>
      <c r="D44" s="126" t="s">
        <v>128</v>
      </c>
      <c r="E44" s="28">
        <v>48.73418347186432</v>
      </c>
      <c r="F44" s="46">
        <v>52.145225764850245</v>
      </c>
      <c r="G44" s="27">
        <v>188.67958424187682</v>
      </c>
      <c r="H44" s="98">
        <v>96.519664492863797</v>
      </c>
      <c r="I44" s="98">
        <v>65.181781240310428</v>
      </c>
      <c r="J44" s="104">
        <f t="shared" si="18"/>
        <v>0.34410000000000002</v>
      </c>
      <c r="L44" s="29">
        <v>29.462123784642674</v>
      </c>
      <c r="M44" s="47">
        <v>51.902400494192953</v>
      </c>
      <c r="N44" s="161">
        <v>42.600415317060985</v>
      </c>
      <c r="O44" s="138">
        <v>41.321646531965541</v>
      </c>
      <c r="P44" s="40">
        <v>9.2057207541324217</v>
      </c>
      <c r="Q44" s="103">
        <f t="shared" si="19"/>
        <v>3.3999999999999998E-3</v>
      </c>
      <c r="S44" s="131">
        <v>102.45494456132245</v>
      </c>
      <c r="T44" s="132">
        <v>68.409003690748065</v>
      </c>
      <c r="U44" s="133">
        <v>13.488589145511789</v>
      </c>
      <c r="V44" s="131">
        <v>61.450845799194099</v>
      </c>
      <c r="W44" s="138">
        <v>36.652103804337813</v>
      </c>
      <c r="X44" s="104">
        <f t="shared" si="20"/>
        <v>0.80859999999999999</v>
      </c>
      <c r="Z44" s="28">
        <v>185.37593367993074</v>
      </c>
      <c r="AA44" s="46">
        <v>502.47365185529253</v>
      </c>
      <c r="AB44" s="27">
        <v>320.88510572046283</v>
      </c>
      <c r="AC44" s="98">
        <f t="shared" si="0"/>
        <v>336.24489708522873</v>
      </c>
      <c r="AD44" s="27">
        <f t="shared" si="1"/>
        <v>129.90941231253456</v>
      </c>
      <c r="AE44" s="104">
        <f t="shared" si="21"/>
        <v>5.7500000000000002E-2</v>
      </c>
      <c r="AG44" s="28">
        <v>3.5040460006965746</v>
      </c>
      <c r="AH44" s="46">
        <v>5.2469582919477942</v>
      </c>
      <c r="AI44" s="27">
        <v>8.4813591784304467</v>
      </c>
      <c r="AJ44" s="98">
        <f t="shared" si="2"/>
        <v>5.7441211570249386</v>
      </c>
      <c r="AK44" s="27">
        <f t="shared" si="3"/>
        <v>2.0621654966110419</v>
      </c>
      <c r="AL44" s="104">
        <f t="shared" si="22"/>
        <v>7.8799999999999995E-2</v>
      </c>
      <c r="AN44" s="28">
        <v>93.511083270381405</v>
      </c>
      <c r="AO44" s="46">
        <v>55.075101498576892</v>
      </c>
      <c r="AP44" s="27">
        <v>135.59536844600575</v>
      </c>
      <c r="AQ44" s="98">
        <f t="shared" si="4"/>
        <v>94.727184404988023</v>
      </c>
      <c r="AR44" s="27">
        <f t="shared" si="5"/>
        <v>32.883506745261556</v>
      </c>
      <c r="AS44" s="104">
        <f t="shared" si="23"/>
        <v>0.76700000000000002</v>
      </c>
    </row>
    <row r="45" spans="2:45" x14ac:dyDescent="0.35">
      <c r="B45" s="102"/>
      <c r="C45" s="251"/>
      <c r="D45" s="126" t="s">
        <v>129</v>
      </c>
      <c r="E45" s="28">
        <v>0.25411066546359046</v>
      </c>
      <c r="F45" s="46">
        <v>0.56280733184729315</v>
      </c>
      <c r="G45" s="27">
        <v>0.83982987350552019</v>
      </c>
      <c r="H45" s="98">
        <v>0.55224929027213454</v>
      </c>
      <c r="I45" s="98">
        <v>0.23923538178781648</v>
      </c>
      <c r="J45" s="103">
        <f t="shared" si="18"/>
        <v>1.12E-2</v>
      </c>
      <c r="L45" s="29">
        <v>0.11947703081258977</v>
      </c>
      <c r="M45" s="47">
        <v>0.1641841978913228</v>
      </c>
      <c r="N45" s="161">
        <v>0.16763137365949576</v>
      </c>
      <c r="O45" s="138">
        <v>0.15043086745446946</v>
      </c>
      <c r="P45" s="40">
        <v>2.1932863581595168E-2</v>
      </c>
      <c r="Q45" s="103">
        <f t="shared" si="19"/>
        <v>1.2999999999999999E-3</v>
      </c>
      <c r="S45" s="131">
        <v>1.2131648862771718</v>
      </c>
      <c r="T45" s="132">
        <v>0.89018142563599201</v>
      </c>
      <c r="U45" s="133">
        <v>0.23707035677872421</v>
      </c>
      <c r="V45" s="131">
        <v>0.7801388895639626</v>
      </c>
      <c r="W45" s="138">
        <v>0.40601490320600464</v>
      </c>
      <c r="X45" s="104">
        <f t="shared" si="20"/>
        <v>0.88729999999999998</v>
      </c>
      <c r="Z45" s="28">
        <v>10.360534092884368</v>
      </c>
      <c r="AA45" s="46">
        <v>16.643451904010316</v>
      </c>
      <c r="AB45" s="27">
        <v>15.40353575651252</v>
      </c>
      <c r="AC45" s="98">
        <f t="shared" si="0"/>
        <v>14.135840584469067</v>
      </c>
      <c r="AD45" s="27">
        <f t="shared" si="1"/>
        <v>2.7171127252112854</v>
      </c>
      <c r="AE45" s="103">
        <f>ROUND(_xlfn.T.TEST(Z15:AB15,Z45:AB45,2,2),4)</f>
        <v>0</v>
      </c>
      <c r="AG45" s="28">
        <v>0.14739300900190208</v>
      </c>
      <c r="AH45" s="46">
        <v>0.12426706648774229</v>
      </c>
      <c r="AI45" s="27">
        <v>0.2032662052214376</v>
      </c>
      <c r="AJ45" s="98">
        <f t="shared" si="2"/>
        <v>0.15830876023702734</v>
      </c>
      <c r="AK45" s="27">
        <f t="shared" si="3"/>
        <v>3.3162038527376023E-2</v>
      </c>
      <c r="AL45" s="103">
        <f>ROUND(_xlfn.T.TEST(AG15:AI15,AG45:AI45,2,2),4)</f>
        <v>2.5999999999999999E-3</v>
      </c>
      <c r="AN45" s="28">
        <v>1.1189023682050372</v>
      </c>
      <c r="AO45" s="46">
        <v>1.0923556576192066</v>
      </c>
      <c r="AP45" s="27">
        <v>1.8945705852992589</v>
      </c>
      <c r="AQ45" s="98">
        <f t="shared" si="4"/>
        <v>1.3686095370411675</v>
      </c>
      <c r="AR45" s="27">
        <f t="shared" si="5"/>
        <v>0.37206849743409204</v>
      </c>
      <c r="AS45" s="104">
        <f>ROUND(_xlfn.T.TEST(AN15:AP15,AN45:AP45,2,2),4)</f>
        <v>0.46410000000000001</v>
      </c>
    </row>
    <row r="46" spans="2:45" x14ac:dyDescent="0.35">
      <c r="B46" s="102"/>
      <c r="C46" s="251"/>
      <c r="D46" s="126" t="s">
        <v>200</v>
      </c>
      <c r="E46" s="28">
        <v>5.4904347246837022E-2</v>
      </c>
      <c r="F46" s="46">
        <v>0.34366951912088134</v>
      </c>
      <c r="G46" s="27">
        <v>0.16170123628176747</v>
      </c>
      <c r="H46" s="98">
        <v>0.18675836754982864</v>
      </c>
      <c r="I46" s="98">
        <v>0.11921192891205763</v>
      </c>
      <c r="J46" s="103">
        <f t="shared" si="18"/>
        <v>4.4999999999999997E-3</v>
      </c>
      <c r="L46" s="29">
        <v>6.3957830327588547E-2</v>
      </c>
      <c r="M46" s="47">
        <v>0.16689773969897456</v>
      </c>
      <c r="N46" s="161">
        <v>2.9697426646717529E-2</v>
      </c>
      <c r="O46" s="138">
        <v>8.6850998891093545E-2</v>
      </c>
      <c r="P46" s="40">
        <v>5.830411277984384E-2</v>
      </c>
      <c r="Q46" s="104">
        <f t="shared" si="19"/>
        <v>0.63480000000000003</v>
      </c>
      <c r="S46" s="131">
        <v>0.90049791658582012</v>
      </c>
      <c r="T46" s="132">
        <v>0.70292833580574154</v>
      </c>
      <c r="U46" s="133">
        <v>8.8763509676183974E-2</v>
      </c>
      <c r="V46" s="131">
        <v>0.56406325402258195</v>
      </c>
      <c r="W46" s="138">
        <v>0.34563065068964133</v>
      </c>
      <c r="X46" s="104">
        <f t="shared" si="20"/>
        <v>0.59450000000000003</v>
      </c>
      <c r="Z46" s="28">
        <v>1.7941253097092897</v>
      </c>
      <c r="AA46" s="46">
        <v>2.5478427341428849</v>
      </c>
      <c r="AB46" s="27">
        <v>1.9413693331243425</v>
      </c>
      <c r="AC46" s="98">
        <f t="shared" si="0"/>
        <v>2.0944457923255055</v>
      </c>
      <c r="AD46" s="27">
        <f t="shared" si="1"/>
        <v>0.32618684905523676</v>
      </c>
      <c r="AE46" s="103">
        <f t="shared" si="21"/>
        <v>6.1999999999999998E-3</v>
      </c>
      <c r="AG46" s="28">
        <v>9.0185149693462655E-2</v>
      </c>
      <c r="AH46" s="46">
        <v>0.12132857527323632</v>
      </c>
      <c r="AI46" s="27">
        <v>0.12168033149681046</v>
      </c>
      <c r="AJ46" s="98">
        <f t="shared" si="2"/>
        <v>0.11106468548783648</v>
      </c>
      <c r="AK46" s="27">
        <f t="shared" si="3"/>
        <v>1.4764759719268746E-2</v>
      </c>
      <c r="AL46" s="103">
        <f t="shared" ref="AL46:AL47" si="24">ROUND(_xlfn.T.TEST(AG16:AI16,AG46:AI46,2,2),4)</f>
        <v>2.9999999999999997E-4</v>
      </c>
      <c r="AN46" s="28">
        <v>0.39716339558723085</v>
      </c>
      <c r="AO46" s="46">
        <v>0.54533233514553736</v>
      </c>
      <c r="AP46" s="27">
        <v>0.48075774754210254</v>
      </c>
      <c r="AQ46" s="98">
        <f t="shared" si="4"/>
        <v>0.47441782609162358</v>
      </c>
      <c r="AR46" s="27">
        <f t="shared" si="5"/>
        <v>6.0655610432764927E-2</v>
      </c>
      <c r="AS46" s="104">
        <f t="shared" ref="AS46:AS47" si="25">ROUND(_xlfn.T.TEST(AN16:AP16,AN46:AP46,2,2),4)</f>
        <v>5.6500000000000002E-2</v>
      </c>
    </row>
    <row r="47" spans="2:45" x14ac:dyDescent="0.35">
      <c r="B47" s="102"/>
      <c r="C47" s="252"/>
      <c r="D47" s="127" t="s">
        <v>201</v>
      </c>
      <c r="E47" s="25">
        <v>5.5159322127462281E-2</v>
      </c>
      <c r="F47" s="14">
        <v>0.15583372098820505</v>
      </c>
      <c r="G47" s="17">
        <v>0.10717724588137949</v>
      </c>
      <c r="H47" s="124">
        <v>0.10605676299901561</v>
      </c>
      <c r="I47" s="124">
        <v>4.1107787242080487E-2</v>
      </c>
      <c r="J47" s="103">
        <f t="shared" si="18"/>
        <v>1.4E-3</v>
      </c>
      <c r="L47" s="162">
        <v>1.7375092921499236E-2</v>
      </c>
      <c r="M47" s="163">
        <v>0.13363441987112906</v>
      </c>
      <c r="N47" s="164">
        <v>3.1837762923241121E-2</v>
      </c>
      <c r="O47" s="139">
        <v>6.0949091905289805E-2</v>
      </c>
      <c r="P47" s="44">
        <v>5.1734320536248997E-2</v>
      </c>
      <c r="Q47" s="104">
        <f t="shared" si="19"/>
        <v>0.54530000000000001</v>
      </c>
      <c r="S47" s="134">
        <v>0.52135192231349792</v>
      </c>
      <c r="T47" s="135">
        <v>0.50024464397164514</v>
      </c>
      <c r="U47" s="136">
        <v>6.5781932661227033E-2</v>
      </c>
      <c r="V47" s="134">
        <v>0.36245949964878998</v>
      </c>
      <c r="W47" s="139">
        <v>0.20995962050673003</v>
      </c>
      <c r="X47" s="104">
        <f t="shared" si="20"/>
        <v>0.60819999999999996</v>
      </c>
      <c r="Z47" s="25">
        <v>0.53868079249318723</v>
      </c>
      <c r="AA47" s="14">
        <v>0.90544116134701136</v>
      </c>
      <c r="AB47" s="17">
        <v>0.99623394205953397</v>
      </c>
      <c r="AC47" s="124">
        <f t="shared" si="0"/>
        <v>0.81345196529991082</v>
      </c>
      <c r="AD47" s="17">
        <f t="shared" si="1"/>
        <v>0.19779657953153915</v>
      </c>
      <c r="AE47" s="103">
        <f t="shared" si="21"/>
        <v>3.5000000000000001E-3</v>
      </c>
      <c r="AG47" s="25">
        <v>0.16058300886214993</v>
      </c>
      <c r="AH47" s="14">
        <v>9.1206471762852306E-2</v>
      </c>
      <c r="AI47" s="17">
        <v>0.10793146878363463</v>
      </c>
      <c r="AJ47" s="124">
        <f t="shared" si="2"/>
        <v>0.11990698313621229</v>
      </c>
      <c r="AK47" s="17">
        <f t="shared" si="3"/>
        <v>2.9561638238085473E-2</v>
      </c>
      <c r="AL47" s="103">
        <f t="shared" si="24"/>
        <v>3.4000000000000002E-2</v>
      </c>
      <c r="AN47" s="25">
        <v>0.38711589232224092</v>
      </c>
      <c r="AO47" s="14">
        <v>0.58662829858551502</v>
      </c>
      <c r="AP47" s="17">
        <v>0.34180328715688663</v>
      </c>
      <c r="AQ47" s="124">
        <f t="shared" si="4"/>
        <v>0.43851582602154754</v>
      </c>
      <c r="AR47" s="17">
        <f t="shared" si="5"/>
        <v>0.10635251585639406</v>
      </c>
      <c r="AS47" s="104">
        <f t="shared" si="25"/>
        <v>7.1099999999999997E-2</v>
      </c>
    </row>
    <row r="50" spans="12:12" x14ac:dyDescent="0.35">
      <c r="L50" s="84"/>
    </row>
  </sheetData>
  <mergeCells count="4">
    <mergeCell ref="C8:C17"/>
    <mergeCell ref="C18:C27"/>
    <mergeCell ref="C28:C37"/>
    <mergeCell ref="C38:C4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2"/>
  <sheetViews>
    <sheetView topLeftCell="AI1" zoomScale="85" zoomScaleNormal="85" workbookViewId="0">
      <selection activeCell="BL18" sqref="BL18"/>
    </sheetView>
  </sheetViews>
  <sheetFormatPr defaultRowHeight="14.5" x14ac:dyDescent="0.35"/>
  <cols>
    <col min="7" max="7" width="9.1796875" style="102"/>
    <col min="9" max="9" width="9.1796875" style="102"/>
    <col min="14" max="14" width="9.1796875" style="102"/>
    <col min="16" max="16" width="9.1796875" style="102"/>
    <col min="21" max="21" width="9.1796875" style="102"/>
    <col min="23" max="23" width="9.1796875" style="102"/>
    <col min="28" max="28" width="9.1796875" style="102"/>
    <col min="30" max="30" width="9.1796875" style="102"/>
    <col min="35" max="35" width="9.1796875" style="102"/>
    <col min="37" max="37" width="9.1796875" style="102"/>
  </cols>
  <sheetData>
    <row r="1" spans="1:64" x14ac:dyDescent="0.35">
      <c r="A1" t="s">
        <v>79</v>
      </c>
    </row>
    <row r="3" spans="1:64" x14ac:dyDescent="0.35">
      <c r="A3" t="s">
        <v>80</v>
      </c>
    </row>
    <row r="5" spans="1:64" x14ac:dyDescent="0.35">
      <c r="B5" s="102"/>
      <c r="C5" s="260" t="s">
        <v>160</v>
      </c>
      <c r="D5" s="261"/>
      <c r="E5" s="262"/>
      <c r="F5" s="102"/>
      <c r="H5" s="102"/>
      <c r="J5" s="260" t="s">
        <v>182</v>
      </c>
      <c r="K5" s="261"/>
      <c r="L5" s="262"/>
      <c r="M5" s="102"/>
      <c r="O5" s="102"/>
      <c r="Q5" s="260" t="s">
        <v>183</v>
      </c>
      <c r="R5" s="261"/>
      <c r="S5" s="262"/>
      <c r="T5" s="46"/>
      <c r="V5" s="102"/>
      <c r="X5" s="260" t="s">
        <v>184</v>
      </c>
      <c r="Y5" s="261"/>
      <c r="Z5" s="262"/>
      <c r="AA5" s="102"/>
      <c r="AC5" s="102"/>
      <c r="AE5" s="260" t="s">
        <v>185</v>
      </c>
      <c r="AF5" s="261"/>
      <c r="AG5" s="262"/>
      <c r="AH5" s="102"/>
      <c r="AJ5" s="102"/>
      <c r="AL5" s="272" t="s">
        <v>186</v>
      </c>
      <c r="AM5" s="241"/>
      <c r="AN5" s="242"/>
      <c r="AO5" s="102"/>
      <c r="AP5" s="102"/>
      <c r="AS5" s="272" t="s">
        <v>271</v>
      </c>
      <c r="AT5" s="241"/>
      <c r="AU5" s="242"/>
      <c r="AV5" s="102"/>
      <c r="AW5" s="102"/>
      <c r="AZ5" s="272" t="s">
        <v>272</v>
      </c>
      <c r="BA5" s="241"/>
      <c r="BB5" s="242"/>
      <c r="BC5" s="102"/>
      <c r="BD5" s="102"/>
      <c r="BG5" s="272" t="s">
        <v>273</v>
      </c>
      <c r="BH5" s="241"/>
      <c r="BI5" s="242"/>
      <c r="BJ5" s="102"/>
      <c r="BK5" s="102"/>
    </row>
    <row r="6" spans="1:64" s="86" customFormat="1" x14ac:dyDescent="0.35">
      <c r="C6" s="90" t="s">
        <v>187</v>
      </c>
      <c r="D6" s="91" t="s">
        <v>188</v>
      </c>
      <c r="E6" s="91" t="s">
        <v>189</v>
      </c>
      <c r="F6" s="105" t="s">
        <v>118</v>
      </c>
      <c r="G6" s="107" t="s">
        <v>119</v>
      </c>
      <c r="H6" s="86" t="s">
        <v>194</v>
      </c>
      <c r="J6" s="108" t="s">
        <v>187</v>
      </c>
      <c r="K6" s="110" t="s">
        <v>188</v>
      </c>
      <c r="L6" s="109" t="s">
        <v>189</v>
      </c>
      <c r="M6" s="110" t="s">
        <v>118</v>
      </c>
      <c r="N6" s="107" t="s">
        <v>119</v>
      </c>
      <c r="O6" s="86" t="s">
        <v>194</v>
      </c>
      <c r="Q6" s="93" t="s">
        <v>187</v>
      </c>
      <c r="R6" s="94" t="s">
        <v>188</v>
      </c>
      <c r="S6" s="95" t="s">
        <v>189</v>
      </c>
      <c r="T6" s="107" t="s">
        <v>118</v>
      </c>
      <c r="U6" s="95" t="s">
        <v>119</v>
      </c>
      <c r="V6" s="86" t="s">
        <v>194</v>
      </c>
      <c r="X6" s="87" t="s">
        <v>187</v>
      </c>
      <c r="Y6" s="88" t="s">
        <v>188</v>
      </c>
      <c r="Z6" s="89" t="s">
        <v>189</v>
      </c>
      <c r="AA6" s="107" t="s">
        <v>118</v>
      </c>
      <c r="AB6" s="105" t="s">
        <v>119</v>
      </c>
      <c r="AC6" s="86" t="s">
        <v>194</v>
      </c>
      <c r="AE6" s="87" t="s">
        <v>187</v>
      </c>
      <c r="AF6" s="88" t="s">
        <v>188</v>
      </c>
      <c r="AG6" s="89" t="s">
        <v>189</v>
      </c>
      <c r="AH6" s="108" t="s">
        <v>118</v>
      </c>
      <c r="AI6" s="107" t="s">
        <v>119</v>
      </c>
      <c r="AJ6" s="86" t="s">
        <v>194</v>
      </c>
      <c r="AL6" s="93" t="s">
        <v>187</v>
      </c>
      <c r="AM6" s="94" t="s">
        <v>188</v>
      </c>
      <c r="AN6" s="94" t="s">
        <v>189</v>
      </c>
      <c r="AO6" s="94" t="s">
        <v>118</v>
      </c>
      <c r="AP6" s="95" t="s">
        <v>119</v>
      </c>
      <c r="AQ6" s="86" t="s">
        <v>194</v>
      </c>
      <c r="AS6" s="93" t="s">
        <v>187</v>
      </c>
      <c r="AT6" s="94" t="s">
        <v>188</v>
      </c>
      <c r="AU6" s="94" t="s">
        <v>189</v>
      </c>
      <c r="AV6" s="94" t="s">
        <v>118</v>
      </c>
      <c r="AW6" s="95" t="s">
        <v>119</v>
      </c>
      <c r="AX6" s="86" t="s">
        <v>194</v>
      </c>
      <c r="AZ6" s="93" t="s">
        <v>187</v>
      </c>
      <c r="BA6" s="94" t="s">
        <v>188</v>
      </c>
      <c r="BB6" s="94" t="s">
        <v>189</v>
      </c>
      <c r="BC6" s="94" t="s">
        <v>118</v>
      </c>
      <c r="BD6" s="95" t="s">
        <v>119</v>
      </c>
      <c r="BE6" s="86" t="s">
        <v>194</v>
      </c>
      <c r="BG6" s="93" t="s">
        <v>187</v>
      </c>
      <c r="BH6" s="94" t="s">
        <v>188</v>
      </c>
      <c r="BI6" s="94" t="s">
        <v>189</v>
      </c>
      <c r="BJ6" s="94" t="s">
        <v>118</v>
      </c>
      <c r="BK6" s="95" t="s">
        <v>119</v>
      </c>
      <c r="BL6" s="86" t="s">
        <v>194</v>
      </c>
    </row>
    <row r="7" spans="1:64" s="86" customFormat="1" x14ac:dyDescent="0.35">
      <c r="A7" s="263" t="s">
        <v>16</v>
      </c>
      <c r="B7" s="105" t="s">
        <v>172</v>
      </c>
      <c r="C7" s="94">
        <v>4.9639454221708252E-3</v>
      </c>
      <c r="D7" s="94">
        <v>2.4723579072854838E-3</v>
      </c>
      <c r="E7" s="94">
        <v>2.6544745616010868E-3</v>
      </c>
      <c r="F7" s="105">
        <f>AVERAGE(C7:E7)</f>
        <v>3.3635926303524654E-3</v>
      </c>
      <c r="G7" s="95">
        <f>_xlfn.STDEV.P(C7:E7)</f>
        <v>1.1340600844327404E-3</v>
      </c>
      <c r="J7" s="87">
        <v>0.18163008791612398</v>
      </c>
      <c r="K7" s="88">
        <v>0.1948109253060957</v>
      </c>
      <c r="L7" s="89">
        <v>0.16721746156122644</v>
      </c>
      <c r="M7" s="86">
        <f>AVERAGE(J7:L7)</f>
        <v>0.18121949159448203</v>
      </c>
      <c r="N7" s="38">
        <f>_xlfn.STDEV.P(J7:L7)</f>
        <v>1.1268725227056905E-2</v>
      </c>
      <c r="Q7" s="93">
        <v>0.18898949295911005</v>
      </c>
      <c r="R7" s="94">
        <v>0.30073976433952238</v>
      </c>
      <c r="S7" s="95">
        <v>0.29613951616893597</v>
      </c>
      <c r="T7" s="105">
        <f>AVERAGE(Q7:S7)</f>
        <v>0.2619562578225228</v>
      </c>
      <c r="U7" s="105">
        <f>_xlfn.STDEV.P(Q7:S7)</f>
        <v>5.1629462853311152E-2</v>
      </c>
      <c r="X7" s="93">
        <v>6.1825243997635356E-3</v>
      </c>
      <c r="Y7" s="94">
        <v>5.4704773417416754E-3</v>
      </c>
      <c r="Z7" s="95">
        <v>5.2672361565746775E-3</v>
      </c>
      <c r="AA7" s="86">
        <f>AVERAGE(X7:Z7)</f>
        <v>5.6400792993599631E-3</v>
      </c>
      <c r="AB7" s="38">
        <f>_xlfn.STDEV.P(X7:Z7)</f>
        <v>3.9243832640802989E-4</v>
      </c>
      <c r="AE7" s="93">
        <v>1.3810705042497329</v>
      </c>
      <c r="AF7" s="94">
        <v>0.97739506440037671</v>
      </c>
      <c r="AG7" s="95">
        <v>1.4646618181227471</v>
      </c>
      <c r="AH7" s="86">
        <f>AVERAGE(AE7:AG7)</f>
        <v>1.2743757955909523</v>
      </c>
      <c r="AI7" s="38">
        <f>_xlfn.STDEV.P(AE7:AG7)</f>
        <v>0.21275187889906005</v>
      </c>
      <c r="AL7" s="93">
        <v>0.48157555802876822</v>
      </c>
      <c r="AM7" s="94">
        <v>0.81431903230892877</v>
      </c>
      <c r="AN7" s="95">
        <v>0.60987644384139827</v>
      </c>
      <c r="AO7" s="105">
        <f>AVERAGE(AL7:AN7)</f>
        <v>0.6352570113930317</v>
      </c>
      <c r="AP7" s="105">
        <f>_xlfn.STDEV.P(AL7:AN7)</f>
        <v>0.13702234568599939</v>
      </c>
      <c r="AS7" s="158">
        <v>1.1526618307505724E-3</v>
      </c>
      <c r="AT7" s="159">
        <v>6.6131143671730392E-3</v>
      </c>
      <c r="AU7" s="159">
        <v>6.0301030621676211E-3</v>
      </c>
      <c r="AV7" s="168">
        <v>4.5986264200304112E-3</v>
      </c>
      <c r="AW7" s="160">
        <v>2.4482619016176835E-3</v>
      </c>
      <c r="AZ7" s="158">
        <v>0.47723191163931561</v>
      </c>
      <c r="BA7" s="159">
        <v>1.4708596086665775</v>
      </c>
      <c r="BB7" s="159">
        <v>1.3318077503094379</v>
      </c>
      <c r="BC7" s="168">
        <v>1.0932997568717771</v>
      </c>
      <c r="BD7" s="160">
        <v>0.43930896286111976</v>
      </c>
      <c r="BG7" s="158">
        <v>0.29276719088894892</v>
      </c>
      <c r="BH7" s="159">
        <v>0.7064506042636447</v>
      </c>
      <c r="BI7" s="159">
        <v>0.50992386516134747</v>
      </c>
      <c r="BJ7" s="168">
        <v>0.29276719088894892</v>
      </c>
      <c r="BK7" s="160">
        <v>5.0959624271845395E-2</v>
      </c>
    </row>
    <row r="8" spans="1:64" s="86" customFormat="1" x14ac:dyDescent="0.35">
      <c r="A8" s="264"/>
      <c r="B8" s="38" t="s">
        <v>190</v>
      </c>
      <c r="C8" s="88">
        <v>0.18927991950432613</v>
      </c>
      <c r="D8" s="88">
        <v>1.3055304578402209</v>
      </c>
      <c r="E8" s="88">
        <v>1.246181926148324</v>
      </c>
      <c r="F8" s="38">
        <f t="shared" ref="F8:F22" si="0">AVERAGE(C8:E8)</f>
        <v>0.91366410116429042</v>
      </c>
      <c r="G8" s="89">
        <f t="shared" ref="G8:G22" si="1">_xlfn.STDEV.P(C8:E8)</f>
        <v>0.51278968660512791</v>
      </c>
      <c r="J8" s="87">
        <v>0.76332878825906114</v>
      </c>
      <c r="K8" s="88">
        <v>0.33155782663624001</v>
      </c>
      <c r="L8" s="89">
        <v>0.28351970557532824</v>
      </c>
      <c r="M8" s="86">
        <f t="shared" ref="M8:M22" si="2">AVERAGE(J8:L8)</f>
        <v>0.45946877349020981</v>
      </c>
      <c r="N8" s="38">
        <f t="shared" ref="N8:N22" si="3">_xlfn.STDEV.P(J8:L8)</f>
        <v>0.21575463950246909</v>
      </c>
      <c r="Q8" s="87">
        <v>0.4054467785345901</v>
      </c>
      <c r="R8" s="88">
        <v>0.88528296256034622</v>
      </c>
      <c r="S8" s="89">
        <v>0.77208303392442001</v>
      </c>
      <c r="T8" s="38">
        <f t="shared" ref="T8:T22" si="4">AVERAGE(Q8:S8)</f>
        <v>0.68760425833978545</v>
      </c>
      <c r="U8" s="38">
        <f t="shared" ref="U8:U22" si="5">_xlfn.STDEV.P(Q8:S8)</f>
        <v>0.2047977677585201</v>
      </c>
      <c r="X8" s="87">
        <v>6.2114151007238612E-3</v>
      </c>
      <c r="Y8" s="88">
        <v>9.5589482907838686E-3</v>
      </c>
      <c r="Z8" s="89">
        <v>8.0504451460260574E-3</v>
      </c>
      <c r="AA8" s="86">
        <f t="shared" ref="AA8:AA22" si="6">AVERAGE(X8:Z8)</f>
        <v>7.9402695125112624E-3</v>
      </c>
      <c r="AB8" s="38">
        <f t="shared" ref="AB8:AB22" si="7">_xlfn.STDEV.P(X8:Z8)</f>
        <v>1.3688434576443532E-3</v>
      </c>
      <c r="AE8" s="87">
        <v>0.83833172004518663</v>
      </c>
      <c r="AF8" s="88">
        <v>1.6849758529069006</v>
      </c>
      <c r="AG8" s="89">
        <v>1.4527246184905513</v>
      </c>
      <c r="AH8" s="86">
        <f t="shared" ref="AH8:AH22" si="8">AVERAGE(AE8:AG8)</f>
        <v>1.3253440638142129</v>
      </c>
      <c r="AI8" s="38">
        <f t="shared" ref="AI8:AI22" si="9">_xlfn.STDEV.P(AE8:AG8)</f>
        <v>0.357184290630229</v>
      </c>
      <c r="AL8" s="87">
        <v>0.41567480710848542</v>
      </c>
      <c r="AM8" s="88">
        <v>0.99335468589626486</v>
      </c>
      <c r="AN8" s="89">
        <v>0.76167330137944911</v>
      </c>
      <c r="AO8" s="38">
        <f t="shared" ref="AO8:AO22" si="10">AVERAGE(AL8:AN8)</f>
        <v>0.72356759812806637</v>
      </c>
      <c r="AP8" s="38">
        <f t="shared" ref="AP8:AP22" si="11">_xlfn.STDEV.P(AL8:AN8)</f>
        <v>0.23737107947161251</v>
      </c>
      <c r="AS8" s="29">
        <v>1.0005770546694832E-3</v>
      </c>
      <c r="AT8" s="47">
        <v>4.3748041838941529E-3</v>
      </c>
      <c r="AU8" s="47">
        <v>5.1158453867656403E-3</v>
      </c>
      <c r="AV8" s="40">
        <v>3.4970755417764259E-3</v>
      </c>
      <c r="AW8" s="161">
        <v>1.7910265284064972E-3</v>
      </c>
      <c r="AZ8" s="29">
        <v>0.42953398027256778</v>
      </c>
      <c r="BA8" s="47">
        <v>1.2099578133725506</v>
      </c>
      <c r="BB8" s="47">
        <v>1.1741709444704125</v>
      </c>
      <c r="BC8" s="40">
        <v>0.93788757937184364</v>
      </c>
      <c r="BD8" s="161">
        <v>0.35975705810481345</v>
      </c>
      <c r="BG8" s="29">
        <v>0.22084259499508727</v>
      </c>
      <c r="BH8" s="47">
        <v>0.51073428332358517</v>
      </c>
      <c r="BI8" s="47">
        <v>0.65562716677768418</v>
      </c>
      <c r="BJ8" s="40">
        <v>0.22084259499508727</v>
      </c>
      <c r="BK8" s="161">
        <v>2.3263373998343564E-2</v>
      </c>
    </row>
    <row r="9" spans="1:64" s="86" customFormat="1" x14ac:dyDescent="0.35">
      <c r="A9" s="264"/>
      <c r="B9" s="38" t="s">
        <v>163</v>
      </c>
      <c r="C9" s="88">
        <v>6.3406604312730588</v>
      </c>
      <c r="D9" s="88">
        <v>8.6818924633392793</v>
      </c>
      <c r="E9" s="88">
        <v>12.860741844682735</v>
      </c>
      <c r="F9" s="38">
        <f t="shared" si="0"/>
        <v>9.2944315797650248</v>
      </c>
      <c r="G9" s="89">
        <f t="shared" si="1"/>
        <v>2.6968214050663781</v>
      </c>
      <c r="J9" s="87">
        <v>507.22847331768753</v>
      </c>
      <c r="K9" s="88">
        <v>279.53387861733779</v>
      </c>
      <c r="L9" s="89">
        <v>333.33364176952091</v>
      </c>
      <c r="M9" s="86">
        <f t="shared" si="2"/>
        <v>373.36533123484878</v>
      </c>
      <c r="N9" s="38">
        <f t="shared" si="3"/>
        <v>97.170328924781828</v>
      </c>
      <c r="Q9" s="87">
        <v>0.3398532536011174</v>
      </c>
      <c r="R9" s="88">
        <v>1.2307498035224211</v>
      </c>
      <c r="S9" s="89">
        <v>2.0936365903446004</v>
      </c>
      <c r="T9" s="38">
        <f t="shared" si="4"/>
        <v>1.2214132158227129</v>
      </c>
      <c r="U9" s="38">
        <f t="shared" si="5"/>
        <v>0.71600948641861906</v>
      </c>
      <c r="X9" s="87">
        <v>7.9767187059488851E-3</v>
      </c>
      <c r="Y9" s="88">
        <v>1.3575678565776619E-2</v>
      </c>
      <c r="Z9" s="89">
        <v>2.9098271850185167E-2</v>
      </c>
      <c r="AA9" s="86">
        <f t="shared" si="6"/>
        <v>1.6883556373970224E-2</v>
      </c>
      <c r="AB9" s="38">
        <f t="shared" si="7"/>
        <v>8.9344480710582281E-3</v>
      </c>
      <c r="AE9" s="87">
        <v>0.93593036559576304</v>
      </c>
      <c r="AF9" s="88">
        <v>1.0368298328556882</v>
      </c>
      <c r="AG9" s="89">
        <v>1.6710362369132268</v>
      </c>
      <c r="AH9" s="86">
        <f t="shared" si="8"/>
        <v>1.214598811788226</v>
      </c>
      <c r="AI9" s="38">
        <f t="shared" si="9"/>
        <v>0.32536801514017899</v>
      </c>
      <c r="AL9" s="87">
        <v>0.22447790914317642</v>
      </c>
      <c r="AM9" s="88">
        <v>0.45652026987159283</v>
      </c>
      <c r="AN9" s="89">
        <v>0.47543159589733547</v>
      </c>
      <c r="AO9" s="38">
        <f t="shared" si="10"/>
        <v>0.38547659163736819</v>
      </c>
      <c r="AP9" s="38">
        <f t="shared" si="11"/>
        <v>0.1141047512497828</v>
      </c>
      <c r="AS9" s="29">
        <v>7.8506518023500503E-4</v>
      </c>
      <c r="AT9" s="47">
        <v>3.168240374918144E-3</v>
      </c>
      <c r="AU9" s="47">
        <v>2.6096948574804799E-3</v>
      </c>
      <c r="AV9" s="40">
        <v>2.1876668042112098E-3</v>
      </c>
      <c r="AW9" s="161">
        <v>1.0176645683288583E-3</v>
      </c>
      <c r="AZ9" s="29">
        <v>0.63248562558582055</v>
      </c>
      <c r="BA9" s="47">
        <v>0.62881169600120079</v>
      </c>
      <c r="BB9" s="47">
        <v>1.1244651654498734</v>
      </c>
      <c r="BC9" s="40">
        <v>0.79525416234563162</v>
      </c>
      <c r="BD9" s="161">
        <v>0.23279216462089641</v>
      </c>
      <c r="BG9" s="29">
        <v>0.32263162071050216</v>
      </c>
      <c r="BH9" s="47">
        <v>0.59152680018528847</v>
      </c>
      <c r="BI9" s="47">
        <v>0.70250178293837962</v>
      </c>
      <c r="BJ9" s="40">
        <v>0.32263162071050216</v>
      </c>
      <c r="BK9" s="161">
        <v>5.248672427592297E-2</v>
      </c>
    </row>
    <row r="10" spans="1:64" s="86" customFormat="1" x14ac:dyDescent="0.35">
      <c r="A10" s="265"/>
      <c r="B10" s="106" t="s">
        <v>191</v>
      </c>
      <c r="C10" s="91">
        <v>102.25906437205508</v>
      </c>
      <c r="D10" s="91">
        <v>86.397104460153855</v>
      </c>
      <c r="E10" s="91">
        <v>125.47658075312165</v>
      </c>
      <c r="F10" s="106">
        <f t="shared" si="0"/>
        <v>104.71091652844353</v>
      </c>
      <c r="G10" s="92">
        <f t="shared" si="1"/>
        <v>16.048053902384272</v>
      </c>
      <c r="H10" s="103">
        <f>ROUND(_xlfn.T.TEST(C9:E9,C10:E10,2,2),4)</f>
        <v>1.1999999999999999E-3</v>
      </c>
      <c r="I10" s="103"/>
      <c r="J10" s="87">
        <v>698.61497860342206</v>
      </c>
      <c r="K10" s="88">
        <v>224.52453751044462</v>
      </c>
      <c r="L10" s="89">
        <v>173.24861692276909</v>
      </c>
      <c r="M10" s="86">
        <f t="shared" si="2"/>
        <v>365.46271101221191</v>
      </c>
      <c r="N10" s="38">
        <f t="shared" si="3"/>
        <v>236.50247364302189</v>
      </c>
      <c r="O10" s="104">
        <f>ROUND(_xlfn.T.TEST(J9:L9,J10:L10,2,2),4)</f>
        <v>0.96719999999999995</v>
      </c>
      <c r="P10" s="104"/>
      <c r="Q10" s="90">
        <v>13.244524164913296</v>
      </c>
      <c r="R10" s="91">
        <v>31.169951028056193</v>
      </c>
      <c r="S10" s="92">
        <v>22.141516926666252</v>
      </c>
      <c r="T10" s="106">
        <f t="shared" si="4"/>
        <v>22.185330706545248</v>
      </c>
      <c r="U10" s="106">
        <f t="shared" si="5"/>
        <v>7.3180904518392644</v>
      </c>
      <c r="V10" s="103">
        <f>ROUND(_xlfn.T.TEST(Q9:S9,Q10:S10,2,2),4)</f>
        <v>1.5699999999999999E-2</v>
      </c>
      <c r="W10" s="103"/>
      <c r="X10" s="87">
        <v>4.9895718753209001E-2</v>
      </c>
      <c r="Y10" s="88">
        <v>8.2656835207901277E-2</v>
      </c>
      <c r="Z10" s="89">
        <v>9.1769909180607165E-2</v>
      </c>
      <c r="AA10" s="86">
        <f t="shared" si="6"/>
        <v>7.4774154380572486E-2</v>
      </c>
      <c r="AB10" s="38">
        <f t="shared" si="7"/>
        <v>1.798081289887743E-2</v>
      </c>
      <c r="AC10" s="103">
        <f>ROUND(_xlfn.T.TEST(X9:Z9,X10:Z10,2,2),4)</f>
        <v>1.5100000000000001E-2</v>
      </c>
      <c r="AD10" s="103"/>
      <c r="AE10" s="87">
        <v>4.1103766429718762</v>
      </c>
      <c r="AF10" s="88">
        <v>5.8640293805320178</v>
      </c>
      <c r="AG10" s="89">
        <v>5.0713855372592773</v>
      </c>
      <c r="AH10" s="86">
        <f t="shared" si="8"/>
        <v>5.0152638535877232</v>
      </c>
      <c r="AI10" s="38">
        <f t="shared" si="9"/>
        <v>0.71702473854191318</v>
      </c>
      <c r="AJ10" s="103">
        <f>ROUND(_xlfn.T.TEST(AE9:AG9,AE10:AG10,2,2),4)</f>
        <v>2.3999999999999998E-3</v>
      </c>
      <c r="AK10" s="103"/>
      <c r="AL10" s="90">
        <v>3.7590688024254866</v>
      </c>
      <c r="AM10" s="91">
        <v>9.1225923831691702</v>
      </c>
      <c r="AN10" s="92">
        <v>5.0709447122503226</v>
      </c>
      <c r="AO10" s="106">
        <f t="shared" si="10"/>
        <v>5.9842019659483263</v>
      </c>
      <c r="AP10" s="106">
        <f t="shared" si="11"/>
        <v>2.2828893109204689</v>
      </c>
      <c r="AQ10" s="103">
        <f>ROUND(_xlfn.T.TEST(AL9:AN9,AL10:AN10,2,2),4)</f>
        <v>2.5700000000000001E-2</v>
      </c>
      <c r="AS10" s="29">
        <v>6.0451417381938858E-3</v>
      </c>
      <c r="AT10" s="47">
        <v>1.8573027247868981E-2</v>
      </c>
      <c r="AU10" s="47">
        <v>1.7239042927987395E-2</v>
      </c>
      <c r="AV10" s="40">
        <v>1.3952403971350086E-2</v>
      </c>
      <c r="AW10" s="161">
        <v>5.617738308806389E-3</v>
      </c>
      <c r="AX10" s="103">
        <f>ROUND(_xlfn.T.TEST(AS9:AU9,AS10:AU10,2,2),4)</f>
        <v>4.3499999999999997E-2</v>
      </c>
      <c r="AZ10" s="29">
        <v>2.1479540140220208</v>
      </c>
      <c r="BA10" s="47">
        <v>4.1953701695098324</v>
      </c>
      <c r="BB10" s="47">
        <v>3.66319857456743</v>
      </c>
      <c r="BC10" s="40">
        <v>3.3355075860330943</v>
      </c>
      <c r="BD10" s="161">
        <v>0.8673769908611757</v>
      </c>
      <c r="BE10" s="103">
        <f>ROUND(_xlfn.T.TEST(AZ9:BB9,AZ10:BB10,2,2),4)</f>
        <v>1.61E-2</v>
      </c>
      <c r="BG10" s="29">
        <v>0.81021967395248218</v>
      </c>
      <c r="BH10" s="47">
        <v>2.9169482000220781</v>
      </c>
      <c r="BI10" s="47">
        <v>1.9060761319997734</v>
      </c>
      <c r="BJ10" s="40">
        <v>0.81021967395248218</v>
      </c>
      <c r="BK10" s="161">
        <v>0.12459062692104553</v>
      </c>
      <c r="BL10" s="104">
        <f>ROUND(_xlfn.T.TEST(BG9:BI9,BG10:BI10,2,2),4)</f>
        <v>9.6500000000000002E-2</v>
      </c>
    </row>
    <row r="11" spans="1:64" s="86" customFormat="1" x14ac:dyDescent="0.35">
      <c r="A11" s="266" t="s">
        <v>53</v>
      </c>
      <c r="B11" s="105" t="s">
        <v>172</v>
      </c>
      <c r="C11" s="94">
        <v>2.6281504845034939E-3</v>
      </c>
      <c r="D11" s="94">
        <v>6.1920203473934073E-2</v>
      </c>
      <c r="E11" s="94">
        <v>8.1872181412039072E-2</v>
      </c>
      <c r="F11" s="105">
        <f t="shared" si="0"/>
        <v>4.8806845123492211E-2</v>
      </c>
      <c r="G11" s="95">
        <f t="shared" si="1"/>
        <v>3.3653867879055464E-2</v>
      </c>
      <c r="J11" s="93">
        <v>0.35404236942240325</v>
      </c>
      <c r="K11" s="94">
        <v>0.19124433564379162</v>
      </c>
      <c r="L11" s="95">
        <v>0.27964602362634383</v>
      </c>
      <c r="M11" s="94">
        <f t="shared" si="2"/>
        <v>0.27497757623084623</v>
      </c>
      <c r="N11" s="105">
        <f t="shared" si="3"/>
        <v>6.6543949143198347E-2</v>
      </c>
      <c r="O11" s="104"/>
      <c r="P11" s="104"/>
      <c r="Q11" s="87">
        <v>9.757542700284895E-2</v>
      </c>
      <c r="R11" s="88">
        <v>0.27711833215689702</v>
      </c>
      <c r="S11" s="89">
        <v>0.36434695094483893</v>
      </c>
      <c r="T11" s="38">
        <f t="shared" si="4"/>
        <v>0.24634690336819495</v>
      </c>
      <c r="U11" s="38">
        <f t="shared" si="5"/>
        <v>0.11106131075178423</v>
      </c>
      <c r="X11" s="93">
        <v>1.9446579444992844E-3</v>
      </c>
      <c r="Y11" s="94">
        <v>4.4908908814393937E-3</v>
      </c>
      <c r="Z11" s="95">
        <v>6.4820681824709512E-3</v>
      </c>
      <c r="AA11" s="94">
        <f t="shared" si="6"/>
        <v>4.3058723361365436E-3</v>
      </c>
      <c r="AB11" s="105">
        <f t="shared" si="7"/>
        <v>1.8570041847901174E-3</v>
      </c>
      <c r="AE11" s="93">
        <v>0.62989037284322225</v>
      </c>
      <c r="AF11" s="94">
        <v>1.0294165292617439</v>
      </c>
      <c r="AG11" s="95">
        <v>0.6932383914904845</v>
      </c>
      <c r="AH11" s="94">
        <f t="shared" si="8"/>
        <v>0.78418176453181687</v>
      </c>
      <c r="AI11" s="105">
        <f t="shared" si="9"/>
        <v>0.17532505095914527</v>
      </c>
      <c r="AL11" s="87">
        <v>0.18995065131877295</v>
      </c>
      <c r="AM11" s="88">
        <v>0.7459030818916742</v>
      </c>
      <c r="AN11" s="89">
        <v>0.33734801224250144</v>
      </c>
      <c r="AO11" s="38">
        <f t="shared" si="10"/>
        <v>0.4244005818176495</v>
      </c>
      <c r="AP11" s="38">
        <f t="shared" si="11"/>
        <v>0.23516574108091812</v>
      </c>
      <c r="AS11" s="158">
        <v>1.0300622941227043E-3</v>
      </c>
      <c r="AT11" s="159">
        <v>8.3179962765505527E-3</v>
      </c>
      <c r="AU11" s="159">
        <v>4.4959583859046316E-3</v>
      </c>
      <c r="AV11" s="168">
        <v>4.614672318859296E-3</v>
      </c>
      <c r="AW11" s="160">
        <v>2.9764705252434847E-3</v>
      </c>
      <c r="AZ11" s="158">
        <v>0.43430040432601369</v>
      </c>
      <c r="BA11" s="159">
        <v>0.74880227586817971</v>
      </c>
      <c r="BB11" s="159">
        <v>0.75272637008487742</v>
      </c>
      <c r="BC11" s="168">
        <v>0.64527635009302353</v>
      </c>
      <c r="BD11" s="160">
        <v>0.14919112327943329</v>
      </c>
      <c r="BG11" s="158">
        <v>0.16388077942360865</v>
      </c>
      <c r="BH11" s="159">
        <v>0.64199286660080823</v>
      </c>
      <c r="BI11" s="159">
        <v>0.32087087797731811</v>
      </c>
      <c r="BJ11" s="168">
        <v>0.16388077942360865</v>
      </c>
      <c r="BK11" s="160">
        <v>5.1889651524948746E-3</v>
      </c>
    </row>
    <row r="12" spans="1:64" s="86" customFormat="1" x14ac:dyDescent="0.35">
      <c r="A12" s="267"/>
      <c r="B12" s="38" t="s">
        <v>190</v>
      </c>
      <c r="C12" s="88">
        <v>9.1428136972444996E-3</v>
      </c>
      <c r="D12" s="88">
        <v>1.1074973531639602E-2</v>
      </c>
      <c r="E12" s="88">
        <v>2.7969551477236908E-2</v>
      </c>
      <c r="F12" s="38">
        <f t="shared" si="0"/>
        <v>1.606244623537367E-2</v>
      </c>
      <c r="G12" s="89">
        <f t="shared" si="1"/>
        <v>8.4564640694566855E-3</v>
      </c>
      <c r="J12" s="87">
        <v>0.59078289336497491</v>
      </c>
      <c r="K12" s="88">
        <v>8.5815797630657401E-2</v>
      </c>
      <c r="L12" s="89">
        <v>0.158694098526903</v>
      </c>
      <c r="M12" s="88">
        <f t="shared" si="2"/>
        <v>0.27843092984084511</v>
      </c>
      <c r="N12" s="38">
        <f t="shared" si="3"/>
        <v>0.22286112794505827</v>
      </c>
      <c r="O12" s="104"/>
      <c r="P12" s="104"/>
      <c r="Q12" s="87">
        <v>1.9079611038875541E-2</v>
      </c>
      <c r="R12" s="88">
        <v>0.14536065472894419</v>
      </c>
      <c r="S12" s="89">
        <v>0.30674756247346863</v>
      </c>
      <c r="T12" s="38">
        <f t="shared" si="4"/>
        <v>0.15706260941376279</v>
      </c>
      <c r="U12" s="38">
        <f t="shared" si="5"/>
        <v>0.11773109013971349</v>
      </c>
      <c r="X12" s="87">
        <v>3.2321734381439134E-4</v>
      </c>
      <c r="Y12" s="88">
        <v>8.9421961316999657E-4</v>
      </c>
      <c r="Z12" s="89">
        <v>2.3119488421344406E-3</v>
      </c>
      <c r="AA12" s="88">
        <f t="shared" si="6"/>
        <v>1.1764619330396095E-3</v>
      </c>
      <c r="AB12" s="38">
        <f t="shared" si="7"/>
        <v>8.3606570254042144E-4</v>
      </c>
      <c r="AE12" s="87">
        <v>0.25921476466308896</v>
      </c>
      <c r="AF12" s="88">
        <v>0.4781798073223828</v>
      </c>
      <c r="AG12" s="89">
        <v>1.1728277715640252</v>
      </c>
      <c r="AH12" s="88">
        <f t="shared" si="8"/>
        <v>0.63674078118316568</v>
      </c>
      <c r="AI12" s="38">
        <f t="shared" si="9"/>
        <v>0.3894683285526585</v>
      </c>
      <c r="AL12" s="87">
        <v>1.4761310053363222E-2</v>
      </c>
      <c r="AM12" s="88">
        <v>3.7439425937159904E-2</v>
      </c>
      <c r="AN12" s="89">
        <v>0.3983560003149153</v>
      </c>
      <c r="AO12" s="38">
        <f t="shared" si="10"/>
        <v>0.15018557876847946</v>
      </c>
      <c r="AP12" s="38">
        <f t="shared" si="11"/>
        <v>0.17572704749679538</v>
      </c>
      <c r="AS12" s="29">
        <v>6.3591714806645087E-4</v>
      </c>
      <c r="AT12" s="47">
        <v>6.6773038097535072E-4</v>
      </c>
      <c r="AU12" s="47">
        <v>2.6755362837774296E-3</v>
      </c>
      <c r="AV12" s="40">
        <v>1.3263946042730769E-3</v>
      </c>
      <c r="AW12" s="161">
        <v>9.5407563431099726E-4</v>
      </c>
      <c r="AZ12" s="29">
        <v>0.25531096333978837</v>
      </c>
      <c r="BA12" s="47">
        <v>7.7951884266284674E-2</v>
      </c>
      <c r="BB12" s="47">
        <v>0.73119145239165018</v>
      </c>
      <c r="BC12" s="40">
        <v>0.35481809999924102</v>
      </c>
      <c r="BD12" s="161">
        <v>0.27581000226699026</v>
      </c>
      <c r="BG12" s="29">
        <v>0.22541726320518785</v>
      </c>
      <c r="BH12" s="47">
        <v>0.20911597364525691</v>
      </c>
      <c r="BI12" s="47">
        <v>0.4892129870721833</v>
      </c>
      <c r="BJ12" s="40">
        <v>0.22541726320518785</v>
      </c>
      <c r="BK12" s="161">
        <v>3.584803089966019E-2</v>
      </c>
    </row>
    <row r="13" spans="1:64" s="86" customFormat="1" x14ac:dyDescent="0.35">
      <c r="A13" s="267"/>
      <c r="B13" s="38" t="s">
        <v>163</v>
      </c>
      <c r="C13" s="88">
        <v>4.014973617628308</v>
      </c>
      <c r="D13" s="88">
        <v>3.3157564022638049</v>
      </c>
      <c r="E13" s="88">
        <v>3.9329437043108513</v>
      </c>
      <c r="F13" s="38">
        <f t="shared" si="0"/>
        <v>3.7545579080676545</v>
      </c>
      <c r="G13" s="89">
        <f t="shared" si="1"/>
        <v>0.31208150408882179</v>
      </c>
      <c r="J13" s="87">
        <v>479.3541474223145</v>
      </c>
      <c r="K13" s="88">
        <v>291.49298899739023</v>
      </c>
      <c r="L13" s="89">
        <v>278.34496615258689</v>
      </c>
      <c r="M13" s="88">
        <f t="shared" si="2"/>
        <v>349.73070085743052</v>
      </c>
      <c r="N13" s="38">
        <f t="shared" si="3"/>
        <v>91.814654061688799</v>
      </c>
      <c r="O13" s="104"/>
      <c r="P13" s="104"/>
      <c r="Q13" s="87">
        <v>0.26611380102484389</v>
      </c>
      <c r="R13" s="88">
        <v>0.88832667543901966</v>
      </c>
      <c r="S13" s="89">
        <v>2.31349963685122</v>
      </c>
      <c r="T13" s="38">
        <f t="shared" si="4"/>
        <v>1.1559800377716944</v>
      </c>
      <c r="U13" s="38">
        <f t="shared" si="5"/>
        <v>0.85700094591997855</v>
      </c>
      <c r="X13" s="87">
        <v>7.8479457629712836E-3</v>
      </c>
      <c r="Y13" s="88">
        <v>9.3140087548803721E-3</v>
      </c>
      <c r="Z13" s="89">
        <v>1.216423992514034E-2</v>
      </c>
      <c r="AA13" s="88">
        <f t="shared" si="6"/>
        <v>9.7753981476639985E-3</v>
      </c>
      <c r="AB13" s="38">
        <f t="shared" si="7"/>
        <v>1.7920675121999173E-3</v>
      </c>
      <c r="AE13" s="87">
        <v>0.76748327369826175</v>
      </c>
      <c r="AF13" s="88">
        <v>0.99754439467363032</v>
      </c>
      <c r="AG13" s="89">
        <v>0.74778519153952117</v>
      </c>
      <c r="AH13" s="88">
        <f t="shared" si="8"/>
        <v>0.83760428663713771</v>
      </c>
      <c r="AI13" s="38">
        <f t="shared" si="9"/>
        <v>0.11338028114631726</v>
      </c>
      <c r="AL13" s="87">
        <v>0.19388341068306469</v>
      </c>
      <c r="AM13" s="88">
        <v>0.35757224913567143</v>
      </c>
      <c r="AN13" s="89">
        <v>0.3331742032183535</v>
      </c>
      <c r="AO13" s="38">
        <f t="shared" si="10"/>
        <v>0.29487662101236323</v>
      </c>
      <c r="AP13" s="38">
        <f t="shared" si="11"/>
        <v>7.2104265063907338E-2</v>
      </c>
      <c r="AS13" s="29">
        <v>2.9190390305885658E-4</v>
      </c>
      <c r="AT13" s="47">
        <v>2.4300777276726709E-3</v>
      </c>
      <c r="AU13" s="47">
        <v>1.250607873467445E-3</v>
      </c>
      <c r="AV13" s="40">
        <v>1.3241965013996576E-3</v>
      </c>
      <c r="AW13" s="161">
        <v>8.7445536981088071E-4</v>
      </c>
      <c r="AZ13" s="29">
        <v>0.42091132142430637</v>
      </c>
      <c r="BA13" s="47">
        <v>0.67431803478369678</v>
      </c>
      <c r="BB13" s="47">
        <v>0.73744685361915396</v>
      </c>
      <c r="BC13" s="40">
        <v>0.61089206994238576</v>
      </c>
      <c r="BD13" s="161">
        <v>0.13678651382722215</v>
      </c>
      <c r="BG13" s="29">
        <v>0.24553337035131328</v>
      </c>
      <c r="BH13" s="47">
        <v>0.54469813558262736</v>
      </c>
      <c r="BI13" s="47">
        <v>0.33092383278374587</v>
      </c>
      <c r="BJ13" s="40">
        <v>0.24553337035131328</v>
      </c>
      <c r="BK13" s="161">
        <v>3.9169998350757976E-2</v>
      </c>
    </row>
    <row r="14" spans="1:64" s="86" customFormat="1" x14ac:dyDescent="0.35">
      <c r="A14" s="268"/>
      <c r="B14" s="106" t="s">
        <v>191</v>
      </c>
      <c r="C14" s="91">
        <v>7.5224827198353053</v>
      </c>
      <c r="D14" s="91">
        <v>10.584031310608605</v>
      </c>
      <c r="E14" s="91">
        <v>14.135977888835455</v>
      </c>
      <c r="F14" s="106">
        <f t="shared" si="0"/>
        <v>10.747497306426455</v>
      </c>
      <c r="G14" s="92">
        <f t="shared" si="1"/>
        <v>2.7024211905176969</v>
      </c>
      <c r="H14" s="103">
        <f>ROUND(_xlfn.T.TEST(C13:E13,C14:E14,2,2),4)</f>
        <v>2.2100000000000002E-2</v>
      </c>
      <c r="I14" s="103"/>
      <c r="J14" s="90">
        <v>480.26815641507193</v>
      </c>
      <c r="K14" s="91">
        <v>235.84258053209794</v>
      </c>
      <c r="L14" s="92">
        <v>249.95633329447131</v>
      </c>
      <c r="M14" s="91">
        <f t="shared" si="2"/>
        <v>322.02235674721373</v>
      </c>
      <c r="N14" s="106">
        <f t="shared" si="3"/>
        <v>112.04492949601152</v>
      </c>
      <c r="O14" s="104">
        <f>ROUND(_xlfn.T.TEST(J13:L13,J14:L14,2,2),4)</f>
        <v>0.80020000000000002</v>
      </c>
      <c r="P14" s="104"/>
      <c r="Q14" s="87">
        <v>2.2632363339817698</v>
      </c>
      <c r="R14" s="88">
        <v>5.3383418217634855</v>
      </c>
      <c r="S14" s="89">
        <v>3.7072070509052639</v>
      </c>
      <c r="T14" s="38">
        <f t="shared" si="4"/>
        <v>3.7695950688835063</v>
      </c>
      <c r="U14" s="38">
        <f t="shared" si="5"/>
        <v>1.2561814197099463</v>
      </c>
      <c r="V14" s="104">
        <f>ROUND(_xlfn.T.TEST(Q13:S13,Q14:S14,2,2),4)</f>
        <v>7.1900000000000006E-2</v>
      </c>
      <c r="W14" s="104"/>
      <c r="X14" s="90">
        <v>6.6515253003471926E-3</v>
      </c>
      <c r="Y14" s="91">
        <v>1.3688851465555296E-2</v>
      </c>
      <c r="Z14" s="92">
        <v>6.3514617255144524E-3</v>
      </c>
      <c r="AA14" s="91">
        <f t="shared" si="6"/>
        <v>8.8972794971389803E-3</v>
      </c>
      <c r="AB14" s="106">
        <f t="shared" si="7"/>
        <v>3.3903668418643752E-3</v>
      </c>
      <c r="AC14" s="104">
        <f>ROUND(_xlfn.T.TEST(X13:Z13,X14:Z14,2,2),4)</f>
        <v>0.76229999999999998</v>
      </c>
      <c r="AD14" s="104"/>
      <c r="AE14" s="90">
        <v>0.47261942242066063</v>
      </c>
      <c r="AF14" s="91">
        <v>0.86695507442388953</v>
      </c>
      <c r="AG14" s="92">
        <v>1.0072883898296758</v>
      </c>
      <c r="AH14" s="91">
        <f t="shared" si="8"/>
        <v>0.78228762889140879</v>
      </c>
      <c r="AI14" s="106">
        <f t="shared" si="9"/>
        <v>0.22633921213862782</v>
      </c>
      <c r="AJ14" s="104">
        <f>ROUND(_xlfn.T.TEST(AE13:AG13,AE14:AG14,2,2),4)</f>
        <v>0.77270000000000005</v>
      </c>
      <c r="AK14" s="104"/>
      <c r="AL14" s="87">
        <v>0.12814715719382436</v>
      </c>
      <c r="AM14" s="88">
        <v>0.29823051256448968</v>
      </c>
      <c r="AN14" s="89">
        <v>0.29062305018156154</v>
      </c>
      <c r="AO14" s="38">
        <f t="shared" si="10"/>
        <v>0.23900023997995853</v>
      </c>
      <c r="AP14" s="38">
        <f t="shared" si="11"/>
        <v>7.844646940586962E-2</v>
      </c>
      <c r="AQ14" s="104">
        <f>ROUND(_xlfn.T.TEST(AL13:AN13,AL14:AN14,2,2),4)</f>
        <v>0.4995</v>
      </c>
      <c r="AS14" s="162">
        <v>3.9003446040048053E-4</v>
      </c>
      <c r="AT14" s="163">
        <v>1.2431530145102911E-3</v>
      </c>
      <c r="AU14" s="163">
        <v>1.3033675023843827E-3</v>
      </c>
      <c r="AV14" s="44">
        <v>9.7885165909838479E-4</v>
      </c>
      <c r="AW14" s="164">
        <v>4.1708169962995675E-4</v>
      </c>
      <c r="AX14" s="104">
        <f>ROUND(_xlfn.T.TEST(AS13:AU13,AS14:AU14,2,2),4)</f>
        <v>0.64070000000000005</v>
      </c>
      <c r="AZ14" s="162">
        <v>0.3100201985144026</v>
      </c>
      <c r="BA14" s="163">
        <v>0.55636543169812802</v>
      </c>
      <c r="BB14" s="163">
        <v>0.85016178972124878</v>
      </c>
      <c r="BC14" s="44">
        <v>0.57218247331125982</v>
      </c>
      <c r="BD14" s="164">
        <v>0.22079533319631789</v>
      </c>
      <c r="BE14" s="104">
        <f>ROUND(_xlfn.T.TEST(AZ13:BB13,AZ14:BB14,2,2),4)</f>
        <v>0.84340000000000004</v>
      </c>
      <c r="BG14" s="162">
        <v>0.26797926403443501</v>
      </c>
      <c r="BH14" s="163">
        <v>0.50365416317341871</v>
      </c>
      <c r="BI14" s="163">
        <v>0.48298619260259007</v>
      </c>
      <c r="BJ14" s="44">
        <v>0.26797926403443501</v>
      </c>
      <c r="BK14" s="164">
        <v>4.4031404130875111E-3</v>
      </c>
      <c r="BL14" s="104">
        <f>ROUND(_xlfn.T.TEST(BG13:BI13,BG14:BI14,2,2),4)</f>
        <v>0.72219999999999995</v>
      </c>
    </row>
    <row r="15" spans="1:64" s="86" customFormat="1" x14ac:dyDescent="0.35">
      <c r="A15" s="266" t="s">
        <v>192</v>
      </c>
      <c r="B15" s="105" t="s">
        <v>172</v>
      </c>
      <c r="C15" s="94">
        <v>6.8774522352338394E-3</v>
      </c>
      <c r="D15" s="94">
        <v>4.3899426890946554E-3</v>
      </c>
      <c r="E15" s="94">
        <v>1.2628800962679029E-2</v>
      </c>
      <c r="F15" s="105">
        <f t="shared" si="0"/>
        <v>7.9653986290025083E-3</v>
      </c>
      <c r="G15" s="95">
        <f t="shared" si="1"/>
        <v>3.4503542745480619E-3</v>
      </c>
      <c r="J15" s="93">
        <v>0.52565469432870393</v>
      </c>
      <c r="K15" s="94">
        <v>0.14164455588078875</v>
      </c>
      <c r="L15" s="95">
        <v>0.1554902075284936</v>
      </c>
      <c r="M15" s="94">
        <f t="shared" si="2"/>
        <v>0.27426315257932876</v>
      </c>
      <c r="N15" s="105">
        <f t="shared" si="3"/>
        <v>0.17785051019462628</v>
      </c>
      <c r="O15" s="104"/>
      <c r="P15" s="104"/>
      <c r="Q15" s="93">
        <v>0.19124725177295879</v>
      </c>
      <c r="R15" s="94">
        <v>0.22246964496419586</v>
      </c>
      <c r="S15" s="95">
        <v>0.34157085574703139</v>
      </c>
      <c r="T15" s="105">
        <f t="shared" si="4"/>
        <v>0.25176258416139535</v>
      </c>
      <c r="U15" s="105">
        <f t="shared" si="5"/>
        <v>6.4770639917823725E-2</v>
      </c>
      <c r="X15" s="87">
        <v>5.2269279835301151E-3</v>
      </c>
      <c r="Y15" s="88">
        <v>7.8027293591783134E-3</v>
      </c>
      <c r="Z15" s="89">
        <v>5.2255809247383116E-3</v>
      </c>
      <c r="AA15" s="86">
        <f t="shared" si="6"/>
        <v>6.0850794224822464E-3</v>
      </c>
      <c r="AB15" s="38">
        <f t="shared" si="7"/>
        <v>1.2145620424432418E-3</v>
      </c>
      <c r="AE15" s="87">
        <v>0.47206111683607643</v>
      </c>
      <c r="AF15" s="88">
        <v>1.2466854240613909</v>
      </c>
      <c r="AG15" s="89">
        <v>1.1835892515356978</v>
      </c>
      <c r="AH15" s="86">
        <f t="shared" si="8"/>
        <v>0.96744526414438836</v>
      </c>
      <c r="AI15" s="38">
        <f t="shared" si="9"/>
        <v>0.35123531694115984</v>
      </c>
      <c r="AL15" s="93">
        <v>0.30845313077000452</v>
      </c>
      <c r="AM15" s="94">
        <v>0.68878389753580815</v>
      </c>
      <c r="AN15" s="95">
        <v>0.35726339147324437</v>
      </c>
      <c r="AO15" s="105">
        <f t="shared" si="10"/>
        <v>0.45150013992635235</v>
      </c>
      <c r="AP15" s="105">
        <f t="shared" si="11"/>
        <v>0.1689640920559291</v>
      </c>
      <c r="AS15" s="29">
        <v>1.1626844580393102E-3</v>
      </c>
      <c r="AT15" s="47">
        <v>5.669041707320896E-3</v>
      </c>
      <c r="AU15" s="69">
        <v>4.2680387252753476E-3</v>
      </c>
      <c r="AV15" s="40">
        <v>3.6999216302118511E-3</v>
      </c>
      <c r="AW15" s="161">
        <v>1.8830616364165591E-3</v>
      </c>
      <c r="AZ15" s="29">
        <v>0.45351474913666795</v>
      </c>
      <c r="BA15" s="47">
        <v>1.1565473204298133</v>
      </c>
      <c r="BB15" s="47">
        <v>0.93092150427317566</v>
      </c>
      <c r="BC15" s="40">
        <v>0.846994524613219</v>
      </c>
      <c r="BD15" s="161">
        <v>0.29308304000845359</v>
      </c>
      <c r="BG15" s="29">
        <v>0.23554657151368394</v>
      </c>
      <c r="BH15" s="47">
        <v>0.61366241183337966</v>
      </c>
      <c r="BI15" s="47">
        <v>0.48538913007855661</v>
      </c>
      <c r="BJ15" s="40">
        <v>0.23554657151368394</v>
      </c>
      <c r="BK15" s="161">
        <v>7.6385059066006273E-3</v>
      </c>
    </row>
    <row r="16" spans="1:64" s="86" customFormat="1" x14ac:dyDescent="0.35">
      <c r="A16" s="267"/>
      <c r="B16" s="38" t="s">
        <v>190</v>
      </c>
      <c r="C16" s="88">
        <v>7.2747749963300412E-2</v>
      </c>
      <c r="D16" s="88">
        <v>1.3029193098300869</v>
      </c>
      <c r="E16" s="88">
        <v>0.75442854942518656</v>
      </c>
      <c r="F16" s="38">
        <f t="shared" si="0"/>
        <v>0.7100318697395247</v>
      </c>
      <c r="G16" s="89">
        <f t="shared" si="1"/>
        <v>0.50319566476113708</v>
      </c>
      <c r="J16" s="87">
        <v>0.20325537367550298</v>
      </c>
      <c r="K16" s="88">
        <v>0.32927357216258551</v>
      </c>
      <c r="L16" s="89">
        <v>0.35378567550293721</v>
      </c>
      <c r="M16" s="88">
        <f t="shared" si="2"/>
        <v>0.29543820711367524</v>
      </c>
      <c r="N16" s="38">
        <f t="shared" si="3"/>
        <v>6.5946781008423064E-2</v>
      </c>
      <c r="O16" s="104"/>
      <c r="P16" s="104"/>
      <c r="Q16" s="87">
        <v>0.23200094432546572</v>
      </c>
      <c r="R16" s="88">
        <v>1.1429569480211417</v>
      </c>
      <c r="S16" s="89">
        <v>0.72904725684701344</v>
      </c>
      <c r="T16" s="38">
        <f t="shared" si="4"/>
        <v>0.70133504973120697</v>
      </c>
      <c r="U16" s="38">
        <f t="shared" si="5"/>
        <v>0.3724121238491222</v>
      </c>
      <c r="X16" s="87">
        <v>5.1925179307559868E-3</v>
      </c>
      <c r="Y16" s="88">
        <v>8.9726740646324313E-3</v>
      </c>
      <c r="Z16" s="89">
        <v>5.8200553504940125E-3</v>
      </c>
      <c r="AA16" s="86">
        <f t="shared" si="6"/>
        <v>6.6617491152941438E-3</v>
      </c>
      <c r="AB16" s="38">
        <f t="shared" si="7"/>
        <v>1.6540317196471759E-3</v>
      </c>
      <c r="AE16" s="87">
        <v>0.37661410440047965</v>
      </c>
      <c r="AF16" s="88">
        <v>1.6747141805805199</v>
      </c>
      <c r="AG16" s="89">
        <v>1.2607615849853921</v>
      </c>
      <c r="AH16" s="86">
        <f t="shared" si="8"/>
        <v>1.1040299566554639</v>
      </c>
      <c r="AI16" s="38">
        <f t="shared" si="9"/>
        <v>0.54141146055710709</v>
      </c>
      <c r="AL16" s="87">
        <v>0.37286011772511363</v>
      </c>
      <c r="AM16" s="88">
        <v>0.90501238073712642</v>
      </c>
      <c r="AN16" s="89">
        <v>0.68334962604463223</v>
      </c>
      <c r="AO16" s="38">
        <f t="shared" si="10"/>
        <v>0.65374070816895735</v>
      </c>
      <c r="AP16" s="38">
        <f t="shared" si="11"/>
        <v>0.21825676586767853</v>
      </c>
      <c r="AS16" s="29">
        <v>6.6914508365852445E-4</v>
      </c>
      <c r="AT16" s="47">
        <v>6.4424483644577321E-3</v>
      </c>
      <c r="AU16" s="47">
        <v>5.1724966568547125E-3</v>
      </c>
      <c r="AV16" s="40">
        <v>4.0946967016569904E-3</v>
      </c>
      <c r="AW16" s="161">
        <v>2.4770947028847964E-3</v>
      </c>
      <c r="AZ16" s="29">
        <v>0.32449042905926229</v>
      </c>
      <c r="BA16" s="47">
        <v>1.2980583917757995</v>
      </c>
      <c r="BB16" s="47">
        <v>0.71597388160062903</v>
      </c>
      <c r="BC16" s="40">
        <v>0.77950756747856353</v>
      </c>
      <c r="BD16" s="161">
        <v>0.39998836769580726</v>
      </c>
      <c r="BG16" s="29">
        <v>0.16971287167459417</v>
      </c>
      <c r="BH16" s="47">
        <v>0.79769597204408138</v>
      </c>
      <c r="BI16" s="47">
        <v>0.45070295473431959</v>
      </c>
      <c r="BJ16" s="40">
        <v>0.16971287167459417</v>
      </c>
      <c r="BK16" s="161">
        <v>6.8576231814553483E-3</v>
      </c>
    </row>
    <row r="17" spans="1:64" s="86" customFormat="1" x14ac:dyDescent="0.35">
      <c r="A17" s="267"/>
      <c r="B17" s="38" t="s">
        <v>163</v>
      </c>
      <c r="C17" s="88">
        <v>5.9125262960417615</v>
      </c>
      <c r="D17" s="88">
        <v>3.1395361399810411</v>
      </c>
      <c r="E17" s="88">
        <v>6.7679596519902061</v>
      </c>
      <c r="F17" s="38">
        <f t="shared" si="0"/>
        <v>5.2733406960043361</v>
      </c>
      <c r="G17" s="89">
        <f t="shared" si="1"/>
        <v>1.5487162359185618</v>
      </c>
      <c r="J17" s="87">
        <v>311.96939503542262</v>
      </c>
      <c r="K17" s="88">
        <v>210.8871522479127</v>
      </c>
      <c r="L17" s="89">
        <v>316.3883184321997</v>
      </c>
      <c r="M17" s="88">
        <f t="shared" si="2"/>
        <v>279.74828857184502</v>
      </c>
      <c r="N17" s="38">
        <f t="shared" si="3"/>
        <v>48.725583922370788</v>
      </c>
      <c r="O17" s="104"/>
      <c r="P17" s="104"/>
      <c r="Q17" s="87">
        <v>0.23493173948028681</v>
      </c>
      <c r="R17" s="88">
        <v>0.9460162236003562</v>
      </c>
      <c r="S17" s="89">
        <v>1.9743499381179241</v>
      </c>
      <c r="T17" s="38">
        <f t="shared" si="4"/>
        <v>1.0517659670661892</v>
      </c>
      <c r="U17" s="38">
        <f t="shared" si="5"/>
        <v>0.71404069614192522</v>
      </c>
      <c r="X17" s="87">
        <v>2.1973279283956315E-2</v>
      </c>
      <c r="Y17" s="88">
        <v>1.6461237393575568E-2</v>
      </c>
      <c r="Z17" s="89">
        <v>2.1400297974707733E-2</v>
      </c>
      <c r="AA17" s="86">
        <f t="shared" si="6"/>
        <v>1.9944938217413204E-2</v>
      </c>
      <c r="AB17" s="38">
        <f t="shared" si="7"/>
        <v>2.4744299636741025E-3</v>
      </c>
      <c r="AE17" s="87">
        <v>0.39148731394140107</v>
      </c>
      <c r="AF17" s="88">
        <v>0.80224397730759422</v>
      </c>
      <c r="AG17" s="89">
        <v>1.056526442323525</v>
      </c>
      <c r="AH17" s="86">
        <f t="shared" si="8"/>
        <v>0.75008591119084012</v>
      </c>
      <c r="AI17" s="38">
        <f t="shared" si="9"/>
        <v>0.27399465744863644</v>
      </c>
      <c r="AL17" s="87">
        <v>0.14917705539688483</v>
      </c>
      <c r="AM17" s="88">
        <v>0.30102567445617734</v>
      </c>
      <c r="AN17" s="89">
        <v>0.46100982077442237</v>
      </c>
      <c r="AO17" s="38">
        <f t="shared" si="10"/>
        <v>0.30373751687582823</v>
      </c>
      <c r="AP17" s="38">
        <f t="shared" si="11"/>
        <v>0.12731963440551855</v>
      </c>
      <c r="AS17" s="29">
        <v>5.8481663850673234E-4</v>
      </c>
      <c r="AT17" s="47">
        <v>1.2329624741400605E-3</v>
      </c>
      <c r="AU17" s="47">
        <v>3.290754872778856E-3</v>
      </c>
      <c r="AV17" s="40">
        <v>1.7028446618085498E-3</v>
      </c>
      <c r="AW17" s="161">
        <v>1.1535791793775374E-3</v>
      </c>
      <c r="AZ17" s="29">
        <v>0.35625005667012299</v>
      </c>
      <c r="BA17" s="47">
        <v>0.63812268393867211</v>
      </c>
      <c r="BB17" s="47">
        <v>0.78504174173344377</v>
      </c>
      <c r="BC17" s="40">
        <v>0.59313816078074633</v>
      </c>
      <c r="BD17" s="161">
        <v>0.17791998723709104</v>
      </c>
      <c r="BG17" s="29">
        <v>0.2153926274050488</v>
      </c>
      <c r="BH17" s="47">
        <v>0.28842523207476284</v>
      </c>
      <c r="BI17" s="47">
        <v>0.56007284892644649</v>
      </c>
      <c r="BJ17" s="40">
        <v>0.2153926274050488</v>
      </c>
      <c r="BK17" s="161">
        <v>2.3716149142922107E-2</v>
      </c>
    </row>
    <row r="18" spans="1:64" s="86" customFormat="1" x14ac:dyDescent="0.35">
      <c r="A18" s="268"/>
      <c r="B18" s="106" t="s">
        <v>191</v>
      </c>
      <c r="C18" s="91">
        <v>57.872529477338787</v>
      </c>
      <c r="D18" s="91">
        <v>145.49439312698055</v>
      </c>
      <c r="E18" s="91">
        <v>139.00567093055312</v>
      </c>
      <c r="F18" s="106">
        <f t="shared" si="0"/>
        <v>114.12419784495749</v>
      </c>
      <c r="G18" s="92">
        <f t="shared" si="1"/>
        <v>39.864048335486594</v>
      </c>
      <c r="H18" s="103">
        <f>ROUND(_xlfn.T.TEST(C17:E17,C18:E18,2,2),4)</f>
        <v>1.8200000000000001E-2</v>
      </c>
      <c r="I18" s="103"/>
      <c r="J18" s="90">
        <v>470.473433411234</v>
      </c>
      <c r="K18" s="91">
        <v>417.21781097675239</v>
      </c>
      <c r="L18" s="92">
        <v>255.82428421481004</v>
      </c>
      <c r="M18" s="91">
        <f t="shared" si="2"/>
        <v>381.1718428675988</v>
      </c>
      <c r="N18" s="106">
        <f t="shared" si="3"/>
        <v>91.261704912782662</v>
      </c>
      <c r="O18" s="104">
        <f>ROUND(_xlfn.T.TEST(J17:L17,J18:L18,2,2),4)</f>
        <v>0.2379</v>
      </c>
      <c r="P18" s="104"/>
      <c r="Q18" s="90">
        <v>11.363754146107562</v>
      </c>
      <c r="R18" s="91">
        <v>31.61086052198246</v>
      </c>
      <c r="S18" s="92">
        <v>27.659228018323997</v>
      </c>
      <c r="T18" s="106">
        <f t="shared" si="4"/>
        <v>23.544614228804672</v>
      </c>
      <c r="U18" s="106">
        <f t="shared" si="5"/>
        <v>8.7629471498530123</v>
      </c>
      <c r="V18" s="103">
        <f>ROUND(_xlfn.T.TEST(Q17:S17,Q18:S18,2,2),4)</f>
        <v>2.24E-2</v>
      </c>
      <c r="W18" s="103"/>
      <c r="X18" s="87">
        <v>5.7466882321001743E-2</v>
      </c>
      <c r="Y18" s="88">
        <v>0.15458015482766296</v>
      </c>
      <c r="Z18" s="89">
        <v>0.11046563499838187</v>
      </c>
      <c r="AA18" s="86">
        <f t="shared" si="6"/>
        <v>0.10750422404901554</v>
      </c>
      <c r="AB18" s="38">
        <f t="shared" si="7"/>
        <v>3.970159014738605E-2</v>
      </c>
      <c r="AC18" s="103">
        <f>ROUND(_xlfn.T.TEST(X17:Z17,X18:Z18,2,2),4)</f>
        <v>3.5799999999999998E-2</v>
      </c>
      <c r="AD18" s="103"/>
      <c r="AE18" s="87">
        <v>2.02721715351174</v>
      </c>
      <c r="AF18" s="88">
        <v>6.1163067752934177</v>
      </c>
      <c r="AG18" s="89">
        <v>4.8286806517565033</v>
      </c>
      <c r="AH18" s="86">
        <f t="shared" si="8"/>
        <v>4.3240681935205538</v>
      </c>
      <c r="AI18" s="38">
        <f t="shared" si="9"/>
        <v>1.7070713290107615</v>
      </c>
      <c r="AJ18" s="103">
        <f>ROUND(_xlfn.T.TEST(AE17:AG17,AE18:AG18,2,2),4)</f>
        <v>4.3099999999999999E-2</v>
      </c>
      <c r="AK18" s="103"/>
      <c r="AL18" s="90">
        <v>3.5658106414882398</v>
      </c>
      <c r="AM18" s="91">
        <v>9.3394722489868638</v>
      </c>
      <c r="AN18" s="92">
        <v>4.7783581745000125</v>
      </c>
      <c r="AO18" s="106">
        <f t="shared" si="10"/>
        <v>5.8945470216583722</v>
      </c>
      <c r="AP18" s="106">
        <f t="shared" si="11"/>
        <v>2.4857192448553578</v>
      </c>
      <c r="AQ18" s="103">
        <f>ROUND(_xlfn.T.TEST(AL17:AN17,AL18:AN18,2,2),4)</f>
        <v>3.3599999999999998E-2</v>
      </c>
      <c r="AS18" s="29">
        <v>1.51486782108951E-2</v>
      </c>
      <c r="AT18" s="47">
        <v>2.5322369772128098E-2</v>
      </c>
      <c r="AU18" s="47">
        <v>3.0406313676202501E-2</v>
      </c>
      <c r="AV18" s="40">
        <v>2.3625787219741942E-2</v>
      </c>
      <c r="AW18" s="161">
        <v>1.4443776258742507E-2</v>
      </c>
      <c r="AX18" s="103">
        <f>ROUND(_xlfn.T.TEST(AS17:AU17,AS18:AU18,2,2),4)</f>
        <v>8.6E-3</v>
      </c>
      <c r="AZ18" s="29">
        <v>1.3274761319064305</v>
      </c>
      <c r="BA18" s="47">
        <v>3.9728981070635361</v>
      </c>
      <c r="BB18" s="47">
        <v>3.6858412314336668</v>
      </c>
      <c r="BC18" s="40">
        <v>2.9954051568012114</v>
      </c>
      <c r="BD18" s="161">
        <v>1.1852118900647926</v>
      </c>
      <c r="BE18" s="103">
        <f>ROUND(_xlfn.T.TEST(AZ17:BB17,AZ18:BB18,2,2),4)</f>
        <v>4.7100000000000003E-2</v>
      </c>
      <c r="BG18" s="29">
        <v>0.75834365851822738</v>
      </c>
      <c r="BH18" s="47">
        <v>2.2337242873570733</v>
      </c>
      <c r="BI18" s="47">
        <v>1.3288214013533559</v>
      </c>
      <c r="BJ18" s="40">
        <v>0.75834365851822738</v>
      </c>
      <c r="BK18" s="161">
        <v>0.14248406600426264</v>
      </c>
      <c r="BL18" s="104">
        <f>ROUND(_xlfn.T.TEST(BG17:BI17,BG18:BI18,2,2),4)</f>
        <v>7.0000000000000007E-2</v>
      </c>
    </row>
    <row r="19" spans="1:64" s="86" customFormat="1" x14ac:dyDescent="0.35">
      <c r="A19" s="269" t="s">
        <v>193</v>
      </c>
      <c r="B19" s="105" t="s">
        <v>172</v>
      </c>
      <c r="C19" s="94">
        <v>1.8738613786320329E-3</v>
      </c>
      <c r="D19" s="94">
        <v>3.256651395060995E-2</v>
      </c>
      <c r="E19" s="94">
        <v>7.7437204096411178E-3</v>
      </c>
      <c r="F19" s="105">
        <f t="shared" si="0"/>
        <v>1.4061365246294366E-2</v>
      </c>
      <c r="G19" s="95">
        <f t="shared" si="1"/>
        <v>1.3302736753204942E-2</v>
      </c>
      <c r="H19" s="103"/>
      <c r="I19" s="103"/>
      <c r="J19" s="93">
        <v>0.33773617609649448</v>
      </c>
      <c r="K19" s="94">
        <v>0.20245895963846886</v>
      </c>
      <c r="L19" s="95">
        <v>0.12460607330809377</v>
      </c>
      <c r="M19" s="94">
        <f t="shared" si="2"/>
        <v>0.22160040301435238</v>
      </c>
      <c r="N19" s="105">
        <f t="shared" si="3"/>
        <v>8.8056445228927513E-2</v>
      </c>
      <c r="O19" s="104"/>
      <c r="P19" s="104"/>
      <c r="Q19" s="87">
        <v>9.1351884730002955E-2</v>
      </c>
      <c r="R19" s="88">
        <v>0.24327051589267468</v>
      </c>
      <c r="S19" s="89">
        <v>0.2436648756111813</v>
      </c>
      <c r="T19" s="38">
        <f t="shared" si="4"/>
        <v>0.1927624254112863</v>
      </c>
      <c r="U19" s="38">
        <f t="shared" si="5"/>
        <v>7.1708261731591158E-2</v>
      </c>
      <c r="V19" s="103"/>
      <c r="W19" s="103"/>
      <c r="X19" s="93">
        <v>5.5248314274491854E-3</v>
      </c>
      <c r="Y19" s="94">
        <v>6.9056581474127117E-3</v>
      </c>
      <c r="Z19" s="95">
        <v>3.7745452905467943E-3</v>
      </c>
      <c r="AA19" s="94">
        <f t="shared" si="6"/>
        <v>5.4016782884695642E-3</v>
      </c>
      <c r="AB19" s="105">
        <f t="shared" si="7"/>
        <v>1.2812342883168459E-3</v>
      </c>
      <c r="AC19" s="103"/>
      <c r="AD19" s="103"/>
      <c r="AE19" s="93">
        <v>0.56315874720114822</v>
      </c>
      <c r="AF19" s="94">
        <v>1.0571482950379918</v>
      </c>
      <c r="AG19" s="95">
        <v>0.80738246001486125</v>
      </c>
      <c r="AH19" s="94">
        <f t="shared" si="8"/>
        <v>0.8092298340846672</v>
      </c>
      <c r="AI19" s="105">
        <f t="shared" si="9"/>
        <v>0.2016746190215441</v>
      </c>
      <c r="AJ19" s="103"/>
      <c r="AK19" s="103"/>
      <c r="AL19" s="87">
        <v>0.40113821083100309</v>
      </c>
      <c r="AM19" s="88">
        <v>0.48735989944129021</v>
      </c>
      <c r="AN19" s="89">
        <v>0.34644307875312297</v>
      </c>
      <c r="AO19" s="38">
        <f t="shared" si="10"/>
        <v>0.41164706300847209</v>
      </c>
      <c r="AP19" s="38">
        <f t="shared" si="11"/>
        <v>5.800697986036514E-2</v>
      </c>
      <c r="AQ19" s="103"/>
      <c r="AS19" s="158">
        <v>1.0256932667581E-3</v>
      </c>
      <c r="AT19" s="159">
        <v>8.5327959373046828E-3</v>
      </c>
      <c r="AU19" s="159">
        <v>7.4792422323290845E-3</v>
      </c>
      <c r="AV19" s="168">
        <v>5.6792438121306228E-3</v>
      </c>
      <c r="AW19" s="160">
        <v>3.3185482128052744E-3</v>
      </c>
      <c r="AX19" s="103"/>
      <c r="AZ19" s="158">
        <v>0.338509265932251</v>
      </c>
      <c r="BA19" s="159">
        <v>0.83268848140498652</v>
      </c>
      <c r="BB19" s="159">
        <v>0.83360894095074267</v>
      </c>
      <c r="BC19" s="168">
        <v>0.66826889609599338</v>
      </c>
      <c r="BD19" s="160">
        <v>0.23317557344304596</v>
      </c>
      <c r="BE19" s="103"/>
      <c r="BG19" s="158">
        <v>0.21197059672149979</v>
      </c>
      <c r="BH19" s="159">
        <v>0.5375471711387384</v>
      </c>
      <c r="BI19" s="159">
        <v>0.37290296254788774</v>
      </c>
      <c r="BJ19" s="168">
        <v>0.21197059672149979</v>
      </c>
      <c r="BK19" s="160">
        <v>1.793663584148977E-2</v>
      </c>
      <c r="BL19" s="103"/>
    </row>
    <row r="20" spans="1:64" s="86" customFormat="1" x14ac:dyDescent="0.35">
      <c r="A20" s="270"/>
      <c r="B20" s="38" t="s">
        <v>190</v>
      </c>
      <c r="C20" s="88">
        <v>1.3890913354130957E-2</v>
      </c>
      <c r="D20" s="88">
        <v>1.503041092485668E-2</v>
      </c>
      <c r="E20" s="88">
        <v>2.5372916815845234E-2</v>
      </c>
      <c r="F20" s="38">
        <f t="shared" si="0"/>
        <v>1.8098080364944289E-2</v>
      </c>
      <c r="G20" s="89">
        <f t="shared" si="1"/>
        <v>5.1650781032455632E-3</v>
      </c>
      <c r="H20" s="103"/>
      <c r="I20" s="103"/>
      <c r="J20" s="87">
        <v>0.56110880964654219</v>
      </c>
      <c r="K20" s="88">
        <v>0.6632597855045631</v>
      </c>
      <c r="L20" s="89">
        <v>0.26020957108069159</v>
      </c>
      <c r="M20" s="88">
        <f t="shared" si="2"/>
        <v>0.49485938874393232</v>
      </c>
      <c r="N20" s="38">
        <f t="shared" si="3"/>
        <v>0.17108303668926478</v>
      </c>
      <c r="O20" s="104"/>
      <c r="P20" s="104"/>
      <c r="Q20" s="87">
        <v>0.10396179650489816</v>
      </c>
      <c r="R20" s="88">
        <v>0.32552915387771114</v>
      </c>
      <c r="S20" s="89">
        <v>0.2497836279091685</v>
      </c>
      <c r="T20" s="38">
        <f>AVERAGE(Q20:S20)</f>
        <v>0.22642485943059262</v>
      </c>
      <c r="U20" s="38">
        <f t="shared" si="5"/>
        <v>9.1950158643762825E-2</v>
      </c>
      <c r="V20" s="103"/>
      <c r="W20" s="103"/>
      <c r="X20" s="87">
        <v>3.8406075570279253E-3</v>
      </c>
      <c r="Y20" s="88">
        <v>4.8979689108204902E-3</v>
      </c>
      <c r="Z20" s="89">
        <v>1.7176588246384291E-3</v>
      </c>
      <c r="AA20" s="88">
        <f t="shared" si="6"/>
        <v>3.4854117641622815E-3</v>
      </c>
      <c r="AB20" s="38">
        <f t="shared" si="7"/>
        <v>1.3224260784683902E-3</v>
      </c>
      <c r="AC20" s="103"/>
      <c r="AD20" s="103"/>
      <c r="AE20" s="87">
        <v>0.58985837211646042</v>
      </c>
      <c r="AF20" s="88">
        <v>0.97616274561480054</v>
      </c>
      <c r="AG20" s="89">
        <v>0.89004283458471678</v>
      </c>
      <c r="AH20" s="88">
        <f t="shared" si="8"/>
        <v>0.81868798410532584</v>
      </c>
      <c r="AI20" s="38">
        <f t="shared" si="9"/>
        <v>0.16558261434741775</v>
      </c>
      <c r="AJ20" s="103"/>
      <c r="AK20" s="103"/>
      <c r="AL20" s="87">
        <v>0.42534047130217267</v>
      </c>
      <c r="AM20" s="88">
        <v>0.44010595826806148</v>
      </c>
      <c r="AN20" s="89">
        <v>0.29552079640040824</v>
      </c>
      <c r="AO20" s="38">
        <f t="shared" si="10"/>
        <v>0.38698907532354748</v>
      </c>
      <c r="AP20" s="38">
        <f t="shared" si="11"/>
        <v>6.495813748461815E-2</v>
      </c>
      <c r="AQ20" s="103"/>
      <c r="AS20" s="29">
        <v>3.1048542360112542E-4</v>
      </c>
      <c r="AT20" s="47">
        <v>2.4273432324737384E-3</v>
      </c>
      <c r="AU20" s="47">
        <v>1.8475061554744444E-3</v>
      </c>
      <c r="AV20" s="40">
        <v>1.5284449371831029E-3</v>
      </c>
      <c r="AW20" s="161">
        <v>8.9316731971466072E-4</v>
      </c>
      <c r="AX20" s="103"/>
      <c r="AZ20" s="29">
        <v>0.18858383694737871</v>
      </c>
      <c r="BA20" s="47">
        <v>0.68616540578267571</v>
      </c>
      <c r="BB20" s="47">
        <v>0.51704213705152036</v>
      </c>
      <c r="BC20" s="40">
        <v>0.46393045992719156</v>
      </c>
      <c r="BD20" s="161">
        <v>0.20657926984794986</v>
      </c>
      <c r="BE20" s="103"/>
      <c r="BG20" s="29">
        <v>0.14862525896399131</v>
      </c>
      <c r="BH20" s="47">
        <v>0.44859775276445601</v>
      </c>
      <c r="BI20" s="47">
        <v>0.41035847190148478</v>
      </c>
      <c r="BJ20" s="40">
        <v>0.14862525896399131</v>
      </c>
      <c r="BK20" s="161">
        <v>9.658407151538444E-3</v>
      </c>
      <c r="BL20" s="103"/>
    </row>
    <row r="21" spans="1:64" s="86" customFormat="1" x14ac:dyDescent="0.35">
      <c r="A21" s="270"/>
      <c r="B21" s="38" t="s">
        <v>163</v>
      </c>
      <c r="C21" s="88">
        <v>3.1210154379656116</v>
      </c>
      <c r="D21" s="88">
        <v>2.9402793014945701</v>
      </c>
      <c r="E21" s="88">
        <v>3.7476088344226497</v>
      </c>
      <c r="F21" s="38">
        <f t="shared" si="0"/>
        <v>3.2696345246276106</v>
      </c>
      <c r="G21" s="89">
        <f t="shared" si="1"/>
        <v>0.34593927056122886</v>
      </c>
      <c r="H21" s="103"/>
      <c r="I21" s="103"/>
      <c r="J21" s="87">
        <v>469.3866879365998</v>
      </c>
      <c r="K21" s="88">
        <v>263.07726507289294</v>
      </c>
      <c r="L21" s="89">
        <v>219.57104756965478</v>
      </c>
      <c r="M21" s="88">
        <f t="shared" si="2"/>
        <v>317.3450001930492</v>
      </c>
      <c r="N21" s="38">
        <f t="shared" si="3"/>
        <v>108.96697924689622</v>
      </c>
      <c r="O21" s="104"/>
      <c r="P21" s="104"/>
      <c r="Q21" s="87">
        <v>0.14344300958603831</v>
      </c>
      <c r="R21" s="88">
        <v>0.68385248848453994</v>
      </c>
      <c r="S21" s="89">
        <v>1.2196113246299218</v>
      </c>
      <c r="T21" s="38">
        <f t="shared" si="4"/>
        <v>0.68230227423349998</v>
      </c>
      <c r="U21" s="38">
        <f t="shared" si="5"/>
        <v>0.43934524233929889</v>
      </c>
      <c r="V21" s="103"/>
      <c r="W21" s="103"/>
      <c r="X21" s="87">
        <v>6.1591291643830065E-3</v>
      </c>
      <c r="Y21" s="88">
        <v>8.368956370292403E-3</v>
      </c>
      <c r="Z21" s="89">
        <v>1.1235319533841215E-2</v>
      </c>
      <c r="AA21" s="88">
        <f t="shared" si="6"/>
        <v>8.587801689505542E-3</v>
      </c>
      <c r="AB21" s="38">
        <f t="shared" si="7"/>
        <v>2.0781156724384055E-3</v>
      </c>
      <c r="AC21" s="103"/>
      <c r="AD21" s="103"/>
      <c r="AE21" s="87">
        <v>0.49785604988298404</v>
      </c>
      <c r="AF21" s="88">
        <v>0.92661800951083073</v>
      </c>
      <c r="AG21" s="89">
        <v>0.81614901561231201</v>
      </c>
      <c r="AH21" s="88">
        <f t="shared" si="8"/>
        <v>0.74687435833537563</v>
      </c>
      <c r="AI21" s="38">
        <f t="shared" si="9"/>
        <v>0.18176622002195675</v>
      </c>
      <c r="AJ21" s="103"/>
      <c r="AK21" s="103"/>
      <c r="AL21" s="87">
        <v>0.15182438423813446</v>
      </c>
      <c r="AM21" s="88">
        <v>0.31642080252413773</v>
      </c>
      <c r="AN21" s="89">
        <v>0.34088726858215473</v>
      </c>
      <c r="AO21" s="38">
        <f t="shared" si="10"/>
        <v>0.26971081844814232</v>
      </c>
      <c r="AP21" s="38">
        <f t="shared" si="11"/>
        <v>8.3954592959150171E-2</v>
      </c>
      <c r="AQ21" s="103"/>
      <c r="AS21" s="29">
        <v>4.1534698400243225E-4</v>
      </c>
      <c r="AT21" s="47">
        <v>1.5643020152776022E-3</v>
      </c>
      <c r="AU21" s="47">
        <v>2.5211216311555617E-3</v>
      </c>
      <c r="AV21" s="40">
        <v>1.5002568768118652E-3</v>
      </c>
      <c r="AW21" s="161">
        <v>8.6087089661924837E-4</v>
      </c>
      <c r="AX21" s="103"/>
      <c r="AZ21" s="29">
        <v>0.42636037047142611</v>
      </c>
      <c r="BA21" s="47">
        <v>0.77191850682649854</v>
      </c>
      <c r="BB21" s="47">
        <v>0.76203411962569312</v>
      </c>
      <c r="BC21" s="40">
        <v>0.65343766564120598</v>
      </c>
      <c r="BD21" s="161">
        <v>0.16061859328608519</v>
      </c>
      <c r="BE21" s="103"/>
      <c r="BG21" s="29">
        <v>0.21523702257929186</v>
      </c>
      <c r="BH21" s="47">
        <v>0.49499224808241421</v>
      </c>
      <c r="BI21" s="47">
        <v>0.40939281702979197</v>
      </c>
      <c r="BJ21" s="40">
        <v>0.21523702257929186</v>
      </c>
      <c r="BK21" s="161">
        <v>1.612007465111653E-2</v>
      </c>
      <c r="BL21" s="103"/>
    </row>
    <row r="22" spans="1:64" s="86" customFormat="1" x14ac:dyDescent="0.35">
      <c r="A22" s="271"/>
      <c r="B22" s="106" t="s">
        <v>191</v>
      </c>
      <c r="C22" s="91">
        <v>5.0100541473424611</v>
      </c>
      <c r="D22" s="91">
        <v>11.106009051239001</v>
      </c>
      <c r="E22" s="91">
        <v>9.9027386379887918</v>
      </c>
      <c r="F22" s="106">
        <f t="shared" si="0"/>
        <v>8.6729339455234182</v>
      </c>
      <c r="G22" s="92">
        <f t="shared" si="1"/>
        <v>2.6362196713972135</v>
      </c>
      <c r="H22" s="103">
        <f>ROUND(_xlfn.T.TEST(C21:E21,C22:E22,2,2),4)</f>
        <v>4.53E-2</v>
      </c>
      <c r="I22" s="103"/>
      <c r="J22" s="90">
        <v>539.74303970465326</v>
      </c>
      <c r="K22" s="91">
        <v>352.98773112948794</v>
      </c>
      <c r="L22" s="92">
        <v>260.56108766264276</v>
      </c>
      <c r="M22" s="91">
        <f t="shared" si="2"/>
        <v>384.43061949892791</v>
      </c>
      <c r="N22" s="106">
        <f t="shared" si="3"/>
        <v>116.12387640864888</v>
      </c>
      <c r="O22" s="104">
        <f>ROUND(_xlfn.T.TEST(J21:L21,J22:L22,2,2),4)</f>
        <v>0.58340000000000003</v>
      </c>
      <c r="P22" s="104"/>
      <c r="Q22" s="90">
        <v>3.3609923795609444</v>
      </c>
      <c r="R22" s="91">
        <v>4.8186083708192458</v>
      </c>
      <c r="S22" s="92">
        <v>2.8112800395255211</v>
      </c>
      <c r="T22" s="106">
        <f t="shared" si="4"/>
        <v>3.6636269299685704</v>
      </c>
      <c r="U22" s="106">
        <f t="shared" si="5"/>
        <v>0.84696812640890995</v>
      </c>
      <c r="V22" s="103">
        <f>ROUND(_xlfn.T.TEST(Q21:S21,Q22:S22,2,2),4)</f>
        <v>1.15E-2</v>
      </c>
      <c r="W22" s="103"/>
      <c r="X22" s="90">
        <v>4.2821802341955151E-2</v>
      </c>
      <c r="Y22" s="91">
        <v>2.7888611530559538E-2</v>
      </c>
      <c r="Z22" s="92">
        <v>5.7610560670666236E-3</v>
      </c>
      <c r="AA22" s="91">
        <f t="shared" si="6"/>
        <v>2.5490489979860437E-2</v>
      </c>
      <c r="AB22" s="106">
        <f t="shared" si="7"/>
        <v>1.5224716063950348E-2</v>
      </c>
      <c r="AC22" s="104">
        <f>ROUND(_xlfn.T.TEST(X21:Z21,X22:Z22,2,2),4)</f>
        <v>0.1948</v>
      </c>
      <c r="AD22" s="104"/>
      <c r="AE22" s="90">
        <v>0.84327573809540202</v>
      </c>
      <c r="AF22" s="91">
        <v>1.0700820014970958</v>
      </c>
      <c r="AG22" s="92">
        <v>0.95960551507100444</v>
      </c>
      <c r="AH22" s="91">
        <f t="shared" si="8"/>
        <v>0.95765441822116737</v>
      </c>
      <c r="AI22" s="106">
        <f t="shared" si="9"/>
        <v>9.2603546957798197E-2</v>
      </c>
      <c r="AJ22" s="104">
        <f>ROUND(_xlfn.T.TEST(AE21:AG21,AE22:AG22,2,2),4)</f>
        <v>0.2177</v>
      </c>
      <c r="AK22" s="104"/>
      <c r="AL22" s="90">
        <v>0.28734812419666517</v>
      </c>
      <c r="AM22" s="91">
        <v>0.35960667094225401</v>
      </c>
      <c r="AN22" s="92">
        <v>0.37052122163666928</v>
      </c>
      <c r="AO22" s="106">
        <f t="shared" si="10"/>
        <v>0.33915867225852953</v>
      </c>
      <c r="AP22" s="106">
        <f t="shared" si="11"/>
        <v>3.6905568884820134E-2</v>
      </c>
      <c r="AQ22" s="104">
        <f>ROUND(_xlfn.T.TEST(AL21:AN21,AL22:AN22,2,2),4)</f>
        <v>0.34449999999999997</v>
      </c>
      <c r="AS22" s="162">
        <v>1.5737392349745802E-4</v>
      </c>
      <c r="AT22" s="163">
        <v>2.1522731154184648E-3</v>
      </c>
      <c r="AU22" s="163">
        <v>1.1076310418955068E-3</v>
      </c>
      <c r="AV22" s="44">
        <v>1.13909269360381E-3</v>
      </c>
      <c r="AW22" s="164">
        <v>8.1471797702351468E-4</v>
      </c>
      <c r="AX22" s="104">
        <f>ROUND(_xlfn.T.TEST(AS21:AU21,AS22:AU22,2,2),4)</f>
        <v>0.68869999999999998</v>
      </c>
      <c r="AZ22" s="162">
        <v>0.16452844306908368</v>
      </c>
      <c r="BA22" s="163">
        <v>0.91595373541007874</v>
      </c>
      <c r="BB22" s="163">
        <v>0.70105135154209819</v>
      </c>
      <c r="BC22" s="44">
        <v>0.59384451000708693</v>
      </c>
      <c r="BD22" s="164">
        <v>0.31599575170812261</v>
      </c>
      <c r="BE22" s="104">
        <f>ROUND(_xlfn.T.TEST(AZ21:BB21,AZ22:BB22,2,2),4)</f>
        <v>0.82379999999999998</v>
      </c>
      <c r="BG22" s="162">
        <v>0.16949577888100684</v>
      </c>
      <c r="BH22" s="163">
        <v>0.466442412791437</v>
      </c>
      <c r="BI22" s="163">
        <v>0.50598040845513215</v>
      </c>
      <c r="BJ22" s="44">
        <v>0.16949577888100684</v>
      </c>
      <c r="BK22" s="164">
        <v>6.2057585696434811E-2</v>
      </c>
      <c r="BL22" s="104">
        <f>ROUND(_xlfn.T.TEST(BG21:BI21,BG22:BI22,2,2),4)</f>
        <v>0.95860000000000001</v>
      </c>
    </row>
  </sheetData>
  <mergeCells count="13">
    <mergeCell ref="AS5:AU5"/>
    <mergeCell ref="AZ5:BB5"/>
    <mergeCell ref="BG5:BI5"/>
    <mergeCell ref="Q5:S5"/>
    <mergeCell ref="X5:Z5"/>
    <mergeCell ref="AE5:AG5"/>
    <mergeCell ref="AL5:AN5"/>
    <mergeCell ref="J5:L5"/>
    <mergeCell ref="A7:A10"/>
    <mergeCell ref="A11:A14"/>
    <mergeCell ref="A15:A18"/>
    <mergeCell ref="A19:A22"/>
    <mergeCell ref="C5:E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H33" sqref="H33"/>
    </sheetView>
  </sheetViews>
  <sheetFormatPr defaultRowHeight="14.5" x14ac:dyDescent="0.35"/>
  <sheetData>
    <row r="1" spans="1:1" x14ac:dyDescent="0.35">
      <c r="A1" s="2" t="s">
        <v>156</v>
      </c>
    </row>
    <row r="2" spans="1:1" x14ac:dyDescent="0.35">
      <c r="A2" s="2"/>
    </row>
    <row r="3" spans="1:1" x14ac:dyDescent="0.35">
      <c r="A3" s="2" t="s">
        <v>270</v>
      </c>
    </row>
    <row r="5" spans="1:1" x14ac:dyDescent="0.35">
      <c r="A5" s="2" t="s">
        <v>269</v>
      </c>
    </row>
    <row r="7" spans="1:1" x14ac:dyDescent="0.35">
      <c r="A7" s="1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1"/>
  <sheetViews>
    <sheetView topLeftCell="A109" zoomScale="54" zoomScaleNormal="54" workbookViewId="0">
      <selection activeCell="M57" sqref="M57"/>
    </sheetView>
  </sheetViews>
  <sheetFormatPr defaultRowHeight="14.5" x14ac:dyDescent="0.35"/>
  <cols>
    <col min="1" max="1" width="15.54296875" customWidth="1"/>
    <col min="2" max="2" width="13" customWidth="1"/>
  </cols>
  <sheetData>
    <row r="1" spans="1:1" x14ac:dyDescent="0.35">
      <c r="A1" t="s">
        <v>157</v>
      </c>
    </row>
    <row r="3" spans="1:1" x14ac:dyDescent="0.35">
      <c r="A3" t="s">
        <v>81</v>
      </c>
    </row>
    <row r="5" spans="1:1" s="102" customFormat="1" x14ac:dyDescent="0.35"/>
    <row r="6" spans="1:1" s="102" customFormat="1" x14ac:dyDescent="0.35"/>
    <row r="7" spans="1:1" s="102" customFormat="1" x14ac:dyDescent="0.35"/>
    <row r="8" spans="1:1" s="102" customFormat="1" x14ac:dyDescent="0.35"/>
    <row r="9" spans="1:1" s="102" customFormat="1" x14ac:dyDescent="0.35"/>
    <row r="10" spans="1:1" s="102" customFormat="1" x14ac:dyDescent="0.35"/>
    <row r="11" spans="1:1" s="102" customFormat="1" x14ac:dyDescent="0.35"/>
    <row r="12" spans="1:1" s="102" customFormat="1" x14ac:dyDescent="0.35"/>
    <row r="13" spans="1:1" s="102" customFormat="1" x14ac:dyDescent="0.35"/>
    <row r="14" spans="1:1" s="102" customFormat="1" x14ac:dyDescent="0.35"/>
    <row r="15" spans="1:1" s="102" customFormat="1" x14ac:dyDescent="0.35"/>
    <row r="16" spans="1:1" s="102" customFormat="1" x14ac:dyDescent="0.35"/>
    <row r="23" spans="1:1" x14ac:dyDescent="0.35">
      <c r="A23" t="s">
        <v>82</v>
      </c>
    </row>
    <row r="54" spans="1:33" x14ac:dyDescent="0.35">
      <c r="A54" t="s">
        <v>83</v>
      </c>
    </row>
    <row r="62" spans="1:33" x14ac:dyDescent="0.35"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</row>
    <row r="63" spans="1:33" x14ac:dyDescent="0.35"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</row>
    <row r="64" spans="1:33" x14ac:dyDescent="0.35"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</row>
    <row r="65" spans="23:33" x14ac:dyDescent="0.35"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</row>
    <row r="66" spans="23:33" x14ac:dyDescent="0.35"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</row>
    <row r="67" spans="23:33" x14ac:dyDescent="0.35"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</row>
    <row r="68" spans="23:33" x14ac:dyDescent="0.35"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23:33" x14ac:dyDescent="0.35"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</row>
    <row r="70" spans="23:33" x14ac:dyDescent="0.35"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</row>
    <row r="71" spans="23:33" x14ac:dyDescent="0.35"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</row>
    <row r="72" spans="23:33" x14ac:dyDescent="0.35"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</row>
    <row r="73" spans="23:33" x14ac:dyDescent="0.35"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</row>
    <row r="74" spans="23:33" x14ac:dyDescent="0.35"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</row>
    <row r="75" spans="23:33" x14ac:dyDescent="0.35"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</row>
    <row r="76" spans="23:33" x14ac:dyDescent="0.35"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</row>
    <row r="77" spans="23:33" x14ac:dyDescent="0.35"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</row>
    <row r="78" spans="23:33" x14ac:dyDescent="0.35"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</row>
    <row r="79" spans="23:33" x14ac:dyDescent="0.35"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</row>
    <row r="80" spans="23:33" x14ac:dyDescent="0.35"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</row>
    <row r="81" spans="1:33" x14ac:dyDescent="0.35"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</row>
    <row r="82" spans="1:33" x14ac:dyDescent="0.35"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</row>
    <row r="83" spans="1:33" x14ac:dyDescent="0.35"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</row>
    <row r="84" spans="1:33" x14ac:dyDescent="0.35"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</row>
    <row r="86" spans="1:33" x14ac:dyDescent="0.35">
      <c r="A86" t="s">
        <v>84</v>
      </c>
    </row>
    <row r="88" spans="1:33" x14ac:dyDescent="0.35">
      <c r="A88" s="45"/>
      <c r="B88" s="45"/>
      <c r="C88" s="277" t="s">
        <v>16</v>
      </c>
      <c r="D88" s="278"/>
      <c r="E88" s="278"/>
      <c r="F88" s="273" t="s">
        <v>112</v>
      </c>
      <c r="G88" s="241"/>
      <c r="H88" s="242"/>
      <c r="I88" s="273" t="s">
        <v>101</v>
      </c>
      <c r="J88" s="241"/>
      <c r="K88" s="242"/>
      <c r="L88" s="273" t="s">
        <v>28</v>
      </c>
      <c r="M88" s="241"/>
      <c r="N88" s="242"/>
      <c r="O88" s="45"/>
      <c r="P88" s="45"/>
      <c r="Q88" s="45"/>
      <c r="R88" s="45"/>
      <c r="S88" s="45"/>
      <c r="T88" s="45"/>
      <c r="U88" s="45"/>
      <c r="V88" s="45"/>
    </row>
    <row r="89" spans="1:33" x14ac:dyDescent="0.35">
      <c r="A89" s="48" t="s">
        <v>85</v>
      </c>
      <c r="B89" s="48" t="s">
        <v>86</v>
      </c>
      <c r="C89" s="65" t="s">
        <v>32</v>
      </c>
      <c r="D89" s="66" t="s">
        <v>33</v>
      </c>
      <c r="E89" s="67" t="s">
        <v>34</v>
      </c>
      <c r="F89" s="65" t="s">
        <v>32</v>
      </c>
      <c r="G89" s="66" t="s">
        <v>33</v>
      </c>
      <c r="H89" s="67" t="s">
        <v>34</v>
      </c>
      <c r="I89" s="65" t="s">
        <v>32</v>
      </c>
      <c r="J89" s="66" t="s">
        <v>33</v>
      </c>
      <c r="K89" s="67" t="s">
        <v>34</v>
      </c>
      <c r="L89" s="65" t="s">
        <v>32</v>
      </c>
      <c r="M89" s="66" t="s">
        <v>33</v>
      </c>
      <c r="N89" s="67" t="s">
        <v>34</v>
      </c>
      <c r="O89" s="47"/>
      <c r="P89" s="47"/>
      <c r="Q89" s="47"/>
      <c r="R89" s="47"/>
      <c r="S89" s="47"/>
      <c r="T89" s="47"/>
      <c r="U89" s="47"/>
      <c r="V89" s="47"/>
    </row>
    <row r="90" spans="1:33" x14ac:dyDescent="0.35">
      <c r="A90" s="40" t="s">
        <v>87</v>
      </c>
      <c r="B90" s="40" t="s">
        <v>88</v>
      </c>
      <c r="C90" s="68">
        <v>0</v>
      </c>
      <c r="D90" s="69">
        <v>1</v>
      </c>
      <c r="E90" s="70">
        <v>2</v>
      </c>
      <c r="F90" s="68">
        <v>8</v>
      </c>
      <c r="G90" s="69">
        <v>10</v>
      </c>
      <c r="H90" s="70">
        <v>10</v>
      </c>
      <c r="I90" s="68">
        <v>14</v>
      </c>
      <c r="J90" s="69">
        <v>14</v>
      </c>
      <c r="K90" s="70">
        <v>14</v>
      </c>
      <c r="L90" s="68">
        <v>16</v>
      </c>
      <c r="M90" s="69">
        <v>17</v>
      </c>
      <c r="N90" s="70">
        <v>18</v>
      </c>
      <c r="O90" s="47"/>
      <c r="P90" s="47"/>
      <c r="Q90" s="47"/>
      <c r="R90" s="47"/>
      <c r="S90" s="47"/>
      <c r="T90" s="47"/>
      <c r="U90" s="47"/>
      <c r="V90" s="47"/>
    </row>
    <row r="91" spans="1:33" x14ac:dyDescent="0.35">
      <c r="A91" s="40" t="s">
        <v>89</v>
      </c>
      <c r="B91" s="40" t="s">
        <v>90</v>
      </c>
      <c r="C91" s="68">
        <v>1</v>
      </c>
      <c r="D91" s="69">
        <v>1</v>
      </c>
      <c r="E91" s="70">
        <v>1</v>
      </c>
      <c r="F91" s="68">
        <v>0</v>
      </c>
      <c r="G91" s="69">
        <v>1</v>
      </c>
      <c r="H91" s="70">
        <v>1</v>
      </c>
      <c r="I91" s="68">
        <v>11</v>
      </c>
      <c r="J91" s="69">
        <v>9</v>
      </c>
      <c r="K91" s="70">
        <v>11</v>
      </c>
      <c r="L91" s="68">
        <v>14</v>
      </c>
      <c r="M91" s="69">
        <v>13</v>
      </c>
      <c r="N91" s="70">
        <v>13</v>
      </c>
      <c r="O91" s="47"/>
      <c r="P91" s="47"/>
      <c r="Q91" s="47"/>
      <c r="R91" s="47"/>
      <c r="S91" s="47"/>
      <c r="T91" s="47"/>
      <c r="U91" s="47"/>
      <c r="V91" s="47"/>
    </row>
    <row r="92" spans="1:33" x14ac:dyDescent="0.35">
      <c r="A92" s="38" t="s">
        <v>91</v>
      </c>
      <c r="B92" s="38" t="s">
        <v>92</v>
      </c>
      <c r="C92" s="71">
        <v>0</v>
      </c>
      <c r="D92" s="72">
        <v>0</v>
      </c>
      <c r="E92" s="73">
        <v>0</v>
      </c>
      <c r="F92" s="71">
        <v>3</v>
      </c>
      <c r="G92" s="72">
        <v>3</v>
      </c>
      <c r="H92" s="73">
        <v>4</v>
      </c>
      <c r="I92" s="71">
        <v>4</v>
      </c>
      <c r="J92" s="72">
        <v>6</v>
      </c>
      <c r="K92" s="73">
        <v>3</v>
      </c>
      <c r="L92" s="71">
        <v>5</v>
      </c>
      <c r="M92" s="72">
        <v>7</v>
      </c>
      <c r="N92" s="73">
        <v>6</v>
      </c>
      <c r="O92" s="47"/>
      <c r="P92" s="47"/>
      <c r="Q92" s="47"/>
      <c r="R92" s="47"/>
      <c r="S92" s="47"/>
      <c r="T92" s="47"/>
      <c r="U92" s="47"/>
      <c r="V92" s="47"/>
    </row>
    <row r="93" spans="1:33" x14ac:dyDescent="0.35">
      <c r="A93" s="40" t="s">
        <v>93</v>
      </c>
      <c r="B93" s="40" t="s">
        <v>94</v>
      </c>
      <c r="C93" s="68">
        <v>0</v>
      </c>
      <c r="D93" s="69">
        <v>0</v>
      </c>
      <c r="E93" s="70">
        <v>0</v>
      </c>
      <c r="F93" s="68">
        <v>1</v>
      </c>
      <c r="G93" s="69">
        <v>2</v>
      </c>
      <c r="H93" s="70">
        <v>0</v>
      </c>
      <c r="I93" s="68">
        <v>3</v>
      </c>
      <c r="J93" s="69">
        <v>5</v>
      </c>
      <c r="K93" s="70">
        <v>3</v>
      </c>
      <c r="L93" s="68">
        <v>6</v>
      </c>
      <c r="M93" s="69">
        <v>6</v>
      </c>
      <c r="N93" s="70">
        <v>6</v>
      </c>
      <c r="O93" s="47"/>
      <c r="P93" s="47"/>
      <c r="Q93" s="47"/>
      <c r="R93" s="47"/>
      <c r="S93" s="47"/>
      <c r="T93" s="47"/>
      <c r="U93" s="47"/>
      <c r="V93" s="47"/>
    </row>
    <row r="94" spans="1:33" x14ac:dyDescent="0.35">
      <c r="A94" s="40" t="s">
        <v>95</v>
      </c>
      <c r="B94" s="40" t="s">
        <v>96</v>
      </c>
      <c r="C94" s="68">
        <v>0</v>
      </c>
      <c r="D94" s="69">
        <v>0</v>
      </c>
      <c r="E94" s="70">
        <v>0</v>
      </c>
      <c r="F94" s="68">
        <v>0</v>
      </c>
      <c r="G94" s="69">
        <v>1</v>
      </c>
      <c r="H94" s="70">
        <v>0</v>
      </c>
      <c r="I94" s="68">
        <v>0</v>
      </c>
      <c r="J94" s="69">
        <v>1</v>
      </c>
      <c r="K94" s="70">
        <v>1</v>
      </c>
      <c r="L94" s="68">
        <v>2</v>
      </c>
      <c r="M94" s="69">
        <v>5</v>
      </c>
      <c r="N94" s="70">
        <v>5</v>
      </c>
      <c r="O94" s="47"/>
      <c r="P94" s="47"/>
      <c r="Q94" s="47"/>
      <c r="R94" s="47"/>
      <c r="S94" s="47"/>
      <c r="T94" s="47"/>
      <c r="U94" s="47"/>
      <c r="V94" s="47"/>
    </row>
    <row r="95" spans="1:33" x14ac:dyDescent="0.35">
      <c r="A95" s="40" t="s">
        <v>97</v>
      </c>
      <c r="B95" s="40" t="s">
        <v>98</v>
      </c>
      <c r="C95" s="68">
        <v>0</v>
      </c>
      <c r="D95" s="69">
        <v>0</v>
      </c>
      <c r="E95" s="70">
        <v>0</v>
      </c>
      <c r="F95" s="68">
        <v>0</v>
      </c>
      <c r="G95" s="69">
        <v>0</v>
      </c>
      <c r="H95" s="70">
        <v>0</v>
      </c>
      <c r="I95" s="68">
        <v>2</v>
      </c>
      <c r="J95" s="69">
        <v>2</v>
      </c>
      <c r="K95" s="70">
        <v>2</v>
      </c>
      <c r="L95" s="68">
        <v>2</v>
      </c>
      <c r="M95" s="69">
        <v>3</v>
      </c>
      <c r="N95" s="70">
        <v>3</v>
      </c>
      <c r="O95" s="47"/>
      <c r="P95" s="47"/>
      <c r="Q95" s="47"/>
      <c r="R95" s="47"/>
      <c r="S95" s="47"/>
      <c r="T95" s="47"/>
      <c r="U95" s="47"/>
      <c r="V95" s="47"/>
    </row>
    <row r="96" spans="1:33" x14ac:dyDescent="0.35">
      <c r="A96" s="44" t="s">
        <v>99</v>
      </c>
      <c r="B96" s="44" t="s">
        <v>100</v>
      </c>
      <c r="C96" s="74">
        <v>0</v>
      </c>
      <c r="D96" s="75">
        <v>0</v>
      </c>
      <c r="E96" s="76">
        <v>0</v>
      </c>
      <c r="F96" s="74">
        <v>0</v>
      </c>
      <c r="G96" s="75">
        <v>0</v>
      </c>
      <c r="H96" s="76">
        <v>0</v>
      </c>
      <c r="I96" s="74">
        <v>0</v>
      </c>
      <c r="J96" s="75">
        <v>0</v>
      </c>
      <c r="K96" s="76">
        <v>0</v>
      </c>
      <c r="L96" s="74">
        <v>1</v>
      </c>
      <c r="M96" s="75">
        <v>1</v>
      </c>
      <c r="N96" s="76">
        <v>1</v>
      </c>
      <c r="O96" s="47"/>
      <c r="P96" s="47"/>
      <c r="Q96" s="47"/>
      <c r="R96" s="47"/>
      <c r="S96" s="47"/>
      <c r="T96" s="47"/>
      <c r="U96" s="47"/>
      <c r="V96" s="47"/>
    </row>
    <row r="99" spans="1:13" x14ac:dyDescent="0.35">
      <c r="A99" s="45" t="s">
        <v>102</v>
      </c>
    </row>
    <row r="102" spans="1:13" x14ac:dyDescent="0.35">
      <c r="A102" s="49" t="s">
        <v>103</v>
      </c>
      <c r="B102" s="77" t="s">
        <v>113</v>
      </c>
      <c r="C102" s="78" t="s">
        <v>90</v>
      </c>
      <c r="D102" s="79" t="s">
        <v>88</v>
      </c>
      <c r="E102" s="79" t="s">
        <v>100</v>
      </c>
      <c r="F102" s="79" t="s">
        <v>104</v>
      </c>
      <c r="G102" s="79" t="s">
        <v>92</v>
      </c>
      <c r="H102" s="79" t="s">
        <v>96</v>
      </c>
      <c r="I102" s="79" t="s">
        <v>105</v>
      </c>
      <c r="J102" s="80" t="s">
        <v>106</v>
      </c>
      <c r="L102" s="41"/>
      <c r="M102" s="41"/>
    </row>
    <row r="103" spans="1:13" x14ac:dyDescent="0.35">
      <c r="A103" s="274" t="s">
        <v>107</v>
      </c>
      <c r="B103" s="81" t="s">
        <v>108</v>
      </c>
      <c r="C103" s="55">
        <v>22</v>
      </c>
      <c r="D103" s="55">
        <v>2</v>
      </c>
      <c r="E103" s="55">
        <v>2</v>
      </c>
      <c r="F103" s="55">
        <v>5</v>
      </c>
      <c r="G103" s="55">
        <v>5</v>
      </c>
      <c r="H103" s="55">
        <v>0</v>
      </c>
      <c r="I103" s="55">
        <v>7</v>
      </c>
      <c r="J103" s="56">
        <v>0</v>
      </c>
      <c r="L103" s="39"/>
      <c r="M103" s="39"/>
    </row>
    <row r="104" spans="1:13" x14ac:dyDescent="0.35">
      <c r="A104" s="275"/>
      <c r="B104" s="82">
        <v>3</v>
      </c>
      <c r="C104" s="55">
        <v>26</v>
      </c>
      <c r="D104" s="55">
        <v>6</v>
      </c>
      <c r="E104" s="55">
        <v>4</v>
      </c>
      <c r="F104" s="55">
        <v>6</v>
      </c>
      <c r="G104" s="55">
        <v>7</v>
      </c>
      <c r="H104" s="55">
        <v>1</v>
      </c>
      <c r="I104" s="55">
        <v>9</v>
      </c>
      <c r="J104" s="56">
        <v>1</v>
      </c>
      <c r="L104" s="39"/>
      <c r="M104" s="39"/>
    </row>
    <row r="105" spans="1:13" x14ac:dyDescent="0.35">
      <c r="A105" s="276"/>
      <c r="B105" s="83" t="s">
        <v>112</v>
      </c>
      <c r="C105" s="57">
        <v>23</v>
      </c>
      <c r="D105" s="57">
        <v>1</v>
      </c>
      <c r="E105" s="57">
        <v>4</v>
      </c>
      <c r="F105" s="57">
        <v>4</v>
      </c>
      <c r="G105" s="57">
        <v>6</v>
      </c>
      <c r="H105" s="57">
        <v>1</v>
      </c>
      <c r="I105" s="57">
        <v>0</v>
      </c>
      <c r="J105" s="58">
        <v>0</v>
      </c>
      <c r="L105" s="39"/>
      <c r="M105" s="39"/>
    </row>
    <row r="106" spans="1:13" x14ac:dyDescent="0.35">
      <c r="A106" s="274" t="s">
        <v>109</v>
      </c>
      <c r="B106" s="81" t="s">
        <v>108</v>
      </c>
      <c r="C106" s="53">
        <v>27</v>
      </c>
      <c r="D106" s="53">
        <v>9</v>
      </c>
      <c r="E106" s="53">
        <v>6</v>
      </c>
      <c r="F106" s="53">
        <v>10</v>
      </c>
      <c r="G106" s="53">
        <v>9</v>
      </c>
      <c r="H106" s="53">
        <v>6</v>
      </c>
      <c r="I106" s="53">
        <v>11</v>
      </c>
      <c r="J106" s="54">
        <v>4</v>
      </c>
      <c r="L106" s="43"/>
      <c r="M106" s="39"/>
    </row>
    <row r="107" spans="1:13" x14ac:dyDescent="0.35">
      <c r="A107" s="275"/>
      <c r="B107" s="82">
        <v>3</v>
      </c>
      <c r="C107" s="55">
        <v>27</v>
      </c>
      <c r="D107" s="55">
        <v>9</v>
      </c>
      <c r="E107" s="55">
        <v>6</v>
      </c>
      <c r="F107" s="55">
        <v>10</v>
      </c>
      <c r="G107" s="55">
        <v>9</v>
      </c>
      <c r="H107" s="55">
        <v>6</v>
      </c>
      <c r="I107" s="55">
        <v>10</v>
      </c>
      <c r="J107" s="56">
        <v>4</v>
      </c>
      <c r="L107" s="43"/>
      <c r="M107" s="39"/>
    </row>
    <row r="108" spans="1:13" x14ac:dyDescent="0.35">
      <c r="A108" s="276"/>
      <c r="B108" s="83" t="s">
        <v>112</v>
      </c>
      <c r="C108" s="57">
        <v>23</v>
      </c>
      <c r="D108" s="57">
        <v>0</v>
      </c>
      <c r="E108" s="57">
        <v>4</v>
      </c>
      <c r="F108" s="57">
        <v>5</v>
      </c>
      <c r="G108" s="57">
        <v>6</v>
      </c>
      <c r="H108" s="57">
        <v>1</v>
      </c>
      <c r="I108" s="57">
        <v>0</v>
      </c>
      <c r="J108" s="58">
        <v>0</v>
      </c>
      <c r="L108" s="39"/>
      <c r="M108" s="39"/>
    </row>
    <row r="109" spans="1:13" x14ac:dyDescent="0.35">
      <c r="A109" s="274" t="s">
        <v>110</v>
      </c>
      <c r="B109" s="81" t="s">
        <v>108</v>
      </c>
      <c r="C109" s="53">
        <v>26</v>
      </c>
      <c r="D109" s="53">
        <v>2</v>
      </c>
      <c r="E109" s="53">
        <v>4</v>
      </c>
      <c r="F109" s="53">
        <v>5</v>
      </c>
      <c r="G109" s="53">
        <v>7</v>
      </c>
      <c r="H109" s="53">
        <v>1</v>
      </c>
      <c r="I109" s="53">
        <v>11</v>
      </c>
      <c r="J109" s="54">
        <v>0</v>
      </c>
      <c r="L109" s="39"/>
      <c r="M109" s="39"/>
    </row>
    <row r="110" spans="1:13" x14ac:dyDescent="0.35">
      <c r="A110" s="275"/>
      <c r="B110" s="82">
        <v>3</v>
      </c>
      <c r="C110" s="55">
        <v>28</v>
      </c>
      <c r="D110" s="55">
        <v>11</v>
      </c>
      <c r="E110" s="55">
        <v>5</v>
      </c>
      <c r="F110" s="55">
        <v>7</v>
      </c>
      <c r="G110" s="55">
        <v>7</v>
      </c>
      <c r="H110" s="55">
        <v>7</v>
      </c>
      <c r="I110" s="55">
        <v>13</v>
      </c>
      <c r="J110" s="56">
        <v>5</v>
      </c>
      <c r="L110" s="43"/>
      <c r="M110" s="43"/>
    </row>
    <row r="111" spans="1:13" x14ac:dyDescent="0.35">
      <c r="A111" s="276"/>
      <c r="B111" s="83" t="s">
        <v>112</v>
      </c>
      <c r="C111" s="57">
        <v>25</v>
      </c>
      <c r="D111" s="57">
        <v>2</v>
      </c>
      <c r="E111" s="57">
        <v>5</v>
      </c>
      <c r="F111" s="57">
        <v>5</v>
      </c>
      <c r="G111" s="57">
        <v>8</v>
      </c>
      <c r="H111" s="57">
        <v>3</v>
      </c>
      <c r="I111" s="57">
        <v>0</v>
      </c>
      <c r="J111" s="58">
        <v>0</v>
      </c>
      <c r="L111" s="39"/>
      <c r="M111" s="39"/>
    </row>
    <row r="112" spans="1:13" x14ac:dyDescent="0.35">
      <c r="A112" s="274" t="s">
        <v>111</v>
      </c>
      <c r="B112" s="50"/>
      <c r="C112" s="53">
        <v>3</v>
      </c>
      <c r="D112" s="59">
        <v>0</v>
      </c>
      <c r="E112" s="59">
        <v>0</v>
      </c>
      <c r="F112" s="59">
        <v>0</v>
      </c>
      <c r="G112" s="59">
        <v>0</v>
      </c>
      <c r="H112" s="59">
        <v>0</v>
      </c>
      <c r="I112" s="59">
        <v>0</v>
      </c>
      <c r="J112" s="60">
        <v>0</v>
      </c>
      <c r="L112" s="42"/>
      <c r="M112" s="42"/>
    </row>
    <row r="113" spans="1:14" x14ac:dyDescent="0.35">
      <c r="A113" s="275"/>
      <c r="B113" s="51"/>
      <c r="C113" s="55">
        <v>0</v>
      </c>
      <c r="D113" s="61">
        <v>0</v>
      </c>
      <c r="E113" s="61">
        <v>0</v>
      </c>
      <c r="F113" s="61">
        <v>0</v>
      </c>
      <c r="G113" s="61">
        <v>0</v>
      </c>
      <c r="H113" s="61">
        <v>0</v>
      </c>
      <c r="I113" s="61">
        <v>0</v>
      </c>
      <c r="J113" s="62">
        <v>0</v>
      </c>
      <c r="L113" s="42"/>
      <c r="M113" s="42"/>
      <c r="N113" s="41"/>
    </row>
    <row r="114" spans="1:14" x14ac:dyDescent="0.35">
      <c r="A114" s="276"/>
      <c r="B114" s="52"/>
      <c r="C114" s="57">
        <v>0</v>
      </c>
      <c r="D114" s="63">
        <v>0</v>
      </c>
      <c r="E114" s="63">
        <v>0</v>
      </c>
      <c r="F114" s="63">
        <v>0</v>
      </c>
      <c r="G114" s="63">
        <v>0</v>
      </c>
      <c r="H114" s="63">
        <v>0</v>
      </c>
      <c r="I114" s="63">
        <v>0</v>
      </c>
      <c r="J114" s="64">
        <v>0</v>
      </c>
      <c r="L114" s="42"/>
      <c r="M114" s="42"/>
      <c r="N114" s="41"/>
    </row>
    <row r="115" spans="1:14" x14ac:dyDescent="0.35">
      <c r="L115" s="46"/>
      <c r="M115" s="46"/>
    </row>
    <row r="117" spans="1:14" x14ac:dyDescent="0.35">
      <c r="A117" t="s">
        <v>114</v>
      </c>
    </row>
    <row r="141" spans="1:1" x14ac:dyDescent="0.35">
      <c r="A141" s="45" t="s">
        <v>242</v>
      </c>
    </row>
  </sheetData>
  <mergeCells count="8">
    <mergeCell ref="L88:N88"/>
    <mergeCell ref="A103:A105"/>
    <mergeCell ref="A106:A108"/>
    <mergeCell ref="A109:A111"/>
    <mergeCell ref="A112:A114"/>
    <mergeCell ref="C88:E88"/>
    <mergeCell ref="F88:H88"/>
    <mergeCell ref="I88:K88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6"/>
  <sheetViews>
    <sheetView topLeftCell="L1" zoomScale="70" zoomScaleNormal="70" workbookViewId="0">
      <selection activeCell="T48" sqref="T48"/>
    </sheetView>
  </sheetViews>
  <sheetFormatPr defaultRowHeight="14.5" x14ac:dyDescent="0.35"/>
  <cols>
    <col min="2" max="2" width="10.1796875" customWidth="1"/>
  </cols>
  <sheetData>
    <row r="1" spans="1:47" x14ac:dyDescent="0.35">
      <c r="A1" t="s">
        <v>158</v>
      </c>
    </row>
    <row r="3" spans="1:47" x14ac:dyDescent="0.35">
      <c r="A3" t="s">
        <v>115</v>
      </c>
    </row>
    <row r="5" spans="1:47" s="84" customFormat="1" x14ac:dyDescent="0.35">
      <c r="D5" s="273" t="s">
        <v>122</v>
      </c>
      <c r="E5" s="238"/>
      <c r="F5" s="239"/>
      <c r="J5" s="273" t="s">
        <v>123</v>
      </c>
      <c r="K5" s="238"/>
      <c r="L5" s="239"/>
      <c r="P5" s="273" t="s">
        <v>124</v>
      </c>
      <c r="Q5" s="238"/>
      <c r="R5" s="239"/>
      <c r="V5" s="273" t="s">
        <v>209</v>
      </c>
      <c r="W5" s="238"/>
      <c r="X5" s="239"/>
      <c r="AC5" s="273" t="s">
        <v>268</v>
      </c>
      <c r="AD5" s="238"/>
      <c r="AE5" s="239"/>
      <c r="AI5" s="273" t="s">
        <v>120</v>
      </c>
      <c r="AJ5" s="238"/>
      <c r="AK5" s="239"/>
      <c r="AO5" s="273" t="s">
        <v>121</v>
      </c>
      <c r="AP5" s="238"/>
      <c r="AQ5" s="239"/>
    </row>
    <row r="6" spans="1:47" s="84" customFormat="1" x14ac:dyDescent="0.35">
      <c r="D6" s="229" t="s">
        <v>130</v>
      </c>
      <c r="E6" s="230" t="s">
        <v>131</v>
      </c>
      <c r="F6" s="231" t="s">
        <v>132</v>
      </c>
      <c r="G6" s="159" t="s">
        <v>118</v>
      </c>
      <c r="H6" s="159" t="s">
        <v>119</v>
      </c>
      <c r="I6" s="213" t="s">
        <v>267</v>
      </c>
      <c r="J6" s="229" t="s">
        <v>130</v>
      </c>
      <c r="K6" s="230" t="s">
        <v>131</v>
      </c>
      <c r="L6" s="231" t="s">
        <v>132</v>
      </c>
      <c r="M6" s="159" t="s">
        <v>118</v>
      </c>
      <c r="N6" s="159" t="s">
        <v>119</v>
      </c>
      <c r="O6" s="213" t="s">
        <v>267</v>
      </c>
      <c r="P6" s="229" t="s">
        <v>130</v>
      </c>
      <c r="Q6" s="230" t="s">
        <v>131</v>
      </c>
      <c r="R6" s="231" t="s">
        <v>132</v>
      </c>
      <c r="S6" s="159" t="s">
        <v>118</v>
      </c>
      <c r="T6" s="159" t="s">
        <v>119</v>
      </c>
      <c r="U6" s="213" t="s">
        <v>267</v>
      </c>
      <c r="V6" s="229" t="s">
        <v>130</v>
      </c>
      <c r="W6" s="230" t="s">
        <v>131</v>
      </c>
      <c r="X6" s="231" t="s">
        <v>132</v>
      </c>
      <c r="Y6" s="159" t="s">
        <v>118</v>
      </c>
      <c r="Z6" s="159" t="s">
        <v>119</v>
      </c>
      <c r="AA6" s="227" t="s">
        <v>267</v>
      </c>
      <c r="AC6" s="229" t="s">
        <v>130</v>
      </c>
      <c r="AD6" s="230" t="s">
        <v>131</v>
      </c>
      <c r="AE6" s="231" t="s">
        <v>132</v>
      </c>
      <c r="AF6" s="208" t="s">
        <v>118</v>
      </c>
      <c r="AG6" s="208" t="s">
        <v>119</v>
      </c>
      <c r="AH6" s="232" t="s">
        <v>267</v>
      </c>
      <c r="AI6" s="229" t="s">
        <v>130</v>
      </c>
      <c r="AJ6" s="230" t="s">
        <v>131</v>
      </c>
      <c r="AK6" s="231" t="s">
        <v>132</v>
      </c>
      <c r="AL6" s="208" t="s">
        <v>118</v>
      </c>
      <c r="AM6" s="208" t="s">
        <v>119</v>
      </c>
      <c r="AN6" s="232" t="s">
        <v>267</v>
      </c>
      <c r="AO6" s="229" t="s">
        <v>130</v>
      </c>
      <c r="AP6" s="230" t="s">
        <v>131</v>
      </c>
      <c r="AQ6" s="231" t="s">
        <v>132</v>
      </c>
      <c r="AR6" s="208" t="s">
        <v>118</v>
      </c>
      <c r="AS6" s="208" t="s">
        <v>119</v>
      </c>
      <c r="AT6" s="232" t="s">
        <v>267</v>
      </c>
      <c r="AU6" s="84" t="s">
        <v>175</v>
      </c>
    </row>
    <row r="7" spans="1:47" s="84" customFormat="1" x14ac:dyDescent="0.35">
      <c r="B7" s="280" t="s">
        <v>264</v>
      </c>
      <c r="C7" s="158" t="s">
        <v>203</v>
      </c>
      <c r="D7" s="158">
        <v>5.2695622627112085E-4</v>
      </c>
      <c r="E7" s="159">
        <v>5.2303535645470704E-4</v>
      </c>
      <c r="F7" s="160">
        <v>5.4507228657022118E-4</v>
      </c>
      <c r="G7" s="158">
        <v>5.3168795643201636E-4</v>
      </c>
      <c r="H7" s="130">
        <v>5.5417310766313948E-6</v>
      </c>
      <c r="I7" s="131"/>
      <c r="J7" s="158">
        <v>6.8297080802382209E-4</v>
      </c>
      <c r="K7" s="159">
        <v>4.0469895410098652E-4</v>
      </c>
      <c r="L7" s="160">
        <v>6.8608227217019509E-4</v>
      </c>
      <c r="M7" s="158">
        <v>5.9125067809833462E-4</v>
      </c>
      <c r="N7" s="130">
        <v>7.6162953369835165E-5</v>
      </c>
      <c r="O7" s="131"/>
      <c r="P7" s="158">
        <v>9.1226220607097468E-4</v>
      </c>
      <c r="Q7" s="159">
        <v>9.3429220498776524E-4</v>
      </c>
      <c r="R7" s="160">
        <v>6.3992083028334738E-4</v>
      </c>
      <c r="S7" s="158">
        <v>8.2882508044736236E-4</v>
      </c>
      <c r="T7" s="160">
        <v>7.7294447135023203E-5</v>
      </c>
      <c r="U7" s="131"/>
      <c r="V7" s="158">
        <v>4.1161420453040796E-3</v>
      </c>
      <c r="W7" s="159">
        <v>7.2970534496262171E-4</v>
      </c>
      <c r="X7" s="160">
        <v>6.4078481032334188E-4</v>
      </c>
      <c r="Y7" s="158">
        <v>1.8288774001966809E-3</v>
      </c>
      <c r="Z7" s="160">
        <v>9.3400706432480009E-4</v>
      </c>
      <c r="AA7" s="138"/>
      <c r="AC7" s="29">
        <v>1.1266772550186477E-3</v>
      </c>
      <c r="AD7" s="47">
        <v>9.0632440306635754E-4</v>
      </c>
      <c r="AE7" s="161">
        <v>1.0109635518617242E-3</v>
      </c>
      <c r="AF7" s="29">
        <v>1.014655069982243E-3</v>
      </c>
      <c r="AG7" s="161">
        <v>5.1959525531155419E-5</v>
      </c>
      <c r="AH7" s="138"/>
      <c r="AI7" s="29">
        <v>2.9915743568610285E-4</v>
      </c>
      <c r="AJ7" s="47">
        <v>1.7657090344719035E-4</v>
      </c>
      <c r="AK7" s="161">
        <v>6.1089615806592167E-4</v>
      </c>
      <c r="AL7" s="29">
        <v>3.6220816573307167E-4</v>
      </c>
      <c r="AM7" s="161">
        <v>1.0555793840298559E-4</v>
      </c>
      <c r="AN7" s="138"/>
      <c r="AO7" s="29">
        <v>1.5810740324414613E-4</v>
      </c>
      <c r="AP7" s="47">
        <v>3.2296368002652972E-4</v>
      </c>
      <c r="AQ7" s="161">
        <v>2.4285080328241494E-4</v>
      </c>
      <c r="AR7" s="29">
        <v>2.4130729551769694E-4</v>
      </c>
      <c r="AS7" s="161">
        <v>3.8862106109800513E-5</v>
      </c>
      <c r="AT7" s="138"/>
    </row>
    <row r="8" spans="1:47" s="84" customFormat="1" x14ac:dyDescent="0.35">
      <c r="B8" s="281"/>
      <c r="C8" s="29" t="s">
        <v>204</v>
      </c>
      <c r="D8" s="29">
        <v>1.2796712088363521E-3</v>
      </c>
      <c r="E8" s="47">
        <v>4.0747529061060136E-4</v>
      </c>
      <c r="F8" s="161">
        <v>1.0309129299717087E-3</v>
      </c>
      <c r="G8" s="29">
        <v>9.0601980980622077E-4</v>
      </c>
      <c r="H8" s="133">
        <v>2.1180711799020162E-4</v>
      </c>
      <c r="I8" s="131"/>
      <c r="J8" s="29">
        <v>2.8914303636954374E-3</v>
      </c>
      <c r="K8" s="47">
        <v>6.0641959351136936E-4</v>
      </c>
      <c r="L8" s="161">
        <v>1.2512973092804701E-3</v>
      </c>
      <c r="M8" s="29">
        <v>1.5830490888290923E-3</v>
      </c>
      <c r="N8" s="133">
        <v>5.5535033735262904E-4</v>
      </c>
      <c r="O8" s="131"/>
      <c r="P8" s="29">
        <v>2.8458171104034351E-3</v>
      </c>
      <c r="Q8" s="47">
        <v>8.3734091276549622E-4</v>
      </c>
      <c r="R8" s="161">
        <v>1.1050998860163291E-3</v>
      </c>
      <c r="S8" s="29">
        <v>1.5960859697284203E-3</v>
      </c>
      <c r="T8" s="161">
        <v>5.14089196739403E-4</v>
      </c>
      <c r="U8" s="131"/>
      <c r="V8" s="29">
        <v>3.4076754691992838E-3</v>
      </c>
      <c r="W8" s="47">
        <v>5.7052734839061739E-4</v>
      </c>
      <c r="X8" s="161">
        <v>1.2769817893850024E-3</v>
      </c>
      <c r="Y8" s="29">
        <v>1.7517282023249679E-3</v>
      </c>
      <c r="Z8" s="161">
        <v>6.9624237195926083E-4</v>
      </c>
      <c r="AA8" s="138"/>
      <c r="AC8" s="29">
        <v>2.6437208036895177E-3</v>
      </c>
      <c r="AD8" s="47">
        <v>1.1580203854356557E-3</v>
      </c>
      <c r="AE8" s="161">
        <v>9.2911964340876285E-4</v>
      </c>
      <c r="AF8" s="29">
        <v>1.5769536108446453E-3</v>
      </c>
      <c r="AG8" s="161">
        <v>4.3883509183663676E-4</v>
      </c>
      <c r="AH8" s="138"/>
      <c r="AI8" s="29">
        <v>2.9232467041190178E-4</v>
      </c>
      <c r="AJ8" s="47">
        <v>2.3441800166578981E-4</v>
      </c>
      <c r="AK8" s="161">
        <v>1.2408131084281793E-3</v>
      </c>
      <c r="AL8" s="29">
        <v>5.8918526016862361E-4</v>
      </c>
      <c r="AM8" s="161">
        <v>2.6637585603047265E-4</v>
      </c>
      <c r="AN8" s="138"/>
      <c r="AO8" s="29">
        <v>1.622541502632134E-3</v>
      </c>
      <c r="AP8" s="47">
        <v>2.5594551774180493E-4</v>
      </c>
      <c r="AQ8" s="161">
        <v>1.0717706507766779E-3</v>
      </c>
      <c r="AR8" s="29">
        <v>9.834192237168722E-4</v>
      </c>
      <c r="AS8" s="161">
        <v>3.2412296277020827E-4</v>
      </c>
      <c r="AT8" s="138"/>
    </row>
    <row r="9" spans="1:47" s="84" customFormat="1" x14ac:dyDescent="0.35">
      <c r="B9" s="281"/>
      <c r="C9" s="29" t="s">
        <v>266</v>
      </c>
      <c r="D9" s="29">
        <v>4.8697670749560037E-4</v>
      </c>
      <c r="E9" s="47">
        <v>8.4276192040186294E-4</v>
      </c>
      <c r="F9" s="161">
        <v>6.3515064372101444E-4</v>
      </c>
      <c r="G9" s="29">
        <v>6.5496309053949262E-4</v>
      </c>
      <c r="H9" s="133">
        <v>8.4248546597935015E-5</v>
      </c>
      <c r="I9" s="131">
        <f>ROUND(_xlfn.T.TEST(D7:F7,D9:F9,2,2),4)</f>
        <v>0.29909999999999998</v>
      </c>
      <c r="J9" s="131">
        <v>1.1749255698755108E-2</v>
      </c>
      <c r="K9" s="132">
        <v>1.229844232038182E-2</v>
      </c>
      <c r="L9" s="133">
        <v>2.2834473473857104E-2</v>
      </c>
      <c r="M9" s="131">
        <v>1.5627390497664678E-2</v>
      </c>
      <c r="N9" s="133">
        <v>2.9451253606835159E-3</v>
      </c>
      <c r="O9" s="228">
        <f>ROUND(_xlfn.T.TEST(J7:L7,J9:L9,2,2),4)</f>
        <v>1.41E-2</v>
      </c>
      <c r="P9" s="131">
        <v>1.1506566862608175E-2</v>
      </c>
      <c r="Q9" s="132">
        <v>2.0061168468472234E-2</v>
      </c>
      <c r="R9" s="133">
        <v>2.6850488569936309E-2</v>
      </c>
      <c r="S9" s="131">
        <v>1.9472741300338908E-2</v>
      </c>
      <c r="T9" s="133">
        <v>3.624566433513941E-3</v>
      </c>
      <c r="U9" s="228">
        <f>ROUND(_xlfn.T.TEST(P7:R7,P9:R9,2,2),4)</f>
        <v>1.37E-2</v>
      </c>
      <c r="V9" s="131">
        <v>2.2939441245869974E-3</v>
      </c>
      <c r="W9" s="132">
        <v>6.3568845397475853E-4</v>
      </c>
      <c r="X9" s="161">
        <v>1.2022526153074558E-3</v>
      </c>
      <c r="Y9" s="29">
        <v>1.3772950646230705E-3</v>
      </c>
      <c r="Z9" s="161">
        <v>3.9733357426620738E-4</v>
      </c>
      <c r="AA9" s="138">
        <f>ROUND(_xlfn.T.TEST(V7:X7,V9:X9,2,2),4)</f>
        <v>0.73480000000000001</v>
      </c>
      <c r="AC9" s="29">
        <v>1.1690608289750355E-3</v>
      </c>
      <c r="AD9" s="47">
        <v>1.2756789198956886E-3</v>
      </c>
      <c r="AE9" s="161">
        <v>8.9561024919148377E-4</v>
      </c>
      <c r="AF9" s="29">
        <v>1.1134499993540692E-3</v>
      </c>
      <c r="AG9" s="161">
        <v>9.2415092431514837E-5</v>
      </c>
      <c r="AH9" s="138">
        <f>ROUND(_xlfn.T.TEST(AC7:AE7,AC9:AE9,2,2),4)</f>
        <v>0.48909999999999998</v>
      </c>
      <c r="AI9" s="29">
        <v>1.601003905694363E-3</v>
      </c>
      <c r="AJ9" s="47">
        <v>2.6463743868630368E-3</v>
      </c>
      <c r="AK9" s="161">
        <v>9.9558575706469657E-3</v>
      </c>
      <c r="AL9" s="29">
        <v>4.7344119544014554E-3</v>
      </c>
      <c r="AM9" s="161">
        <v>2.1458394163425395E-3</v>
      </c>
      <c r="AN9" s="138">
        <f>ROUND(_xlfn.T.TEST(AI7:AK7,AI9:AK9,2,2),4)</f>
        <v>0.1719</v>
      </c>
      <c r="AO9" s="29">
        <v>1.3334795814596583E-2</v>
      </c>
      <c r="AP9" s="47">
        <v>1.3333664921843444E-2</v>
      </c>
      <c r="AQ9" s="161">
        <v>1.5456176208003427E-2</v>
      </c>
      <c r="AR9" s="29">
        <v>1.4041545648147817E-2</v>
      </c>
      <c r="AS9" s="161">
        <v>5.7752056921283972E-4</v>
      </c>
      <c r="AT9" s="215">
        <f>ROUND(_xlfn.T.TEST(AO7:AQ7,AO9:AQ9,2,2),4)</f>
        <v>0</v>
      </c>
    </row>
    <row r="10" spans="1:47" s="84" customFormat="1" x14ac:dyDescent="0.35">
      <c r="B10" s="281"/>
      <c r="C10" s="29" t="s">
        <v>127</v>
      </c>
      <c r="D10" s="29">
        <v>1.272873603955417E-3</v>
      </c>
      <c r="E10" s="47">
        <v>8.9206142154417227E-4</v>
      </c>
      <c r="F10" s="161">
        <v>1.6424662761252747E-3</v>
      </c>
      <c r="G10" s="29">
        <v>1.269133767208288E-3</v>
      </c>
      <c r="H10" s="133">
        <v>1.76878709998872E-4</v>
      </c>
      <c r="I10" s="228">
        <f>ROUND(_xlfn.T.TEST(D7:F7,D10:F10,2,2),4)</f>
        <v>2.7199999999999998E-2</v>
      </c>
      <c r="J10" s="131">
        <v>3.7874698027475985E-2</v>
      </c>
      <c r="K10" s="132">
        <v>5.6462576149657571E-2</v>
      </c>
      <c r="L10" s="133">
        <v>2.4834571671301455E-2</v>
      </c>
      <c r="M10" s="131">
        <v>3.9723948616145005E-2</v>
      </c>
      <c r="N10" s="133">
        <v>7.4929220323879005E-3</v>
      </c>
      <c r="O10" s="228">
        <f>ROUND(_xlfn.T.TEST(J7:L7,J10:L10,2,2),4)</f>
        <v>1.2999999999999999E-2</v>
      </c>
      <c r="P10" s="131">
        <v>3.3324109705121972E-2</v>
      </c>
      <c r="Q10" s="132">
        <v>7.732218943517126E-2</v>
      </c>
      <c r="R10" s="133">
        <v>4.1101877489650995E-2</v>
      </c>
      <c r="S10" s="131">
        <v>5.0582725543314742E-2</v>
      </c>
      <c r="T10" s="133">
        <v>1.1069202669724261E-2</v>
      </c>
      <c r="U10" s="228">
        <f>ROUND(_xlfn.T.TEST(P7:R7,P10:R10,2,2),4)</f>
        <v>2.1399999999999999E-2</v>
      </c>
      <c r="V10" s="131">
        <v>1.0435210882201113E-3</v>
      </c>
      <c r="W10" s="132">
        <v>1.3615888506933928E-3</v>
      </c>
      <c r="X10" s="161">
        <v>1.4137299478766032E-3</v>
      </c>
      <c r="Y10" s="29">
        <v>1.2729466289300359E-3</v>
      </c>
      <c r="Z10" s="161">
        <v>9.4465434656043103E-5</v>
      </c>
      <c r="AA10" s="138">
        <f>ROUND(_xlfn.T.TEST(V7:X7,V10:X10,2,2),4)</f>
        <v>0.65400000000000003</v>
      </c>
      <c r="AC10" s="29">
        <v>2.9627220185559355E-3</v>
      </c>
      <c r="AD10" s="47">
        <v>1.188446616182916E-3</v>
      </c>
      <c r="AE10" s="161">
        <v>1.6915274521582455E-3</v>
      </c>
      <c r="AF10" s="29">
        <v>1.9475653622990326E-3</v>
      </c>
      <c r="AG10" s="161">
        <v>4.3106582622828464E-4</v>
      </c>
      <c r="AH10" s="138">
        <f>ROUND(_xlfn.T.TEST(AC7:AE7,AC10:AE10,2,2),4)</f>
        <v>0.1542</v>
      </c>
      <c r="AI10" s="29">
        <v>1.6400222628153431E-2</v>
      </c>
      <c r="AJ10" s="47">
        <v>2.1029159838850352E-2</v>
      </c>
      <c r="AK10" s="161">
        <v>6.3848722786606056E-3</v>
      </c>
      <c r="AL10" s="29">
        <v>1.4604751581888129E-2</v>
      </c>
      <c r="AM10" s="161">
        <v>3.5286628485672661E-3</v>
      </c>
      <c r="AN10" s="215">
        <f>ROUND(_xlfn.T.TEST(AI7:AK7,AI10:AK10,2,2),4)</f>
        <v>3.0099999999999998E-2</v>
      </c>
      <c r="AO10" s="29">
        <v>3.4120605750147685E-2</v>
      </c>
      <c r="AP10" s="47">
        <v>5.4792187626475884E-2</v>
      </c>
      <c r="AQ10" s="161">
        <v>1.8064382317756391E-2</v>
      </c>
      <c r="AR10" s="29">
        <v>3.5659058564793324E-2</v>
      </c>
      <c r="AS10" s="161">
        <v>8.6795807437913229E-3</v>
      </c>
      <c r="AT10" s="215">
        <f>ROUND(_xlfn.T.TEST(AO7:AQ7,AO10:AQ10,2,2),4)</f>
        <v>2.9100000000000001E-2</v>
      </c>
    </row>
    <row r="11" spans="1:47" s="84" customFormat="1" x14ac:dyDescent="0.35">
      <c r="B11" s="281"/>
      <c r="C11" s="29" t="s">
        <v>128</v>
      </c>
      <c r="D11" s="29">
        <v>1.0476395372804213E-3</v>
      </c>
      <c r="E11" s="47">
        <v>5.5038720929115055E-4</v>
      </c>
      <c r="F11" s="161">
        <v>5.7682624599054023E-4</v>
      </c>
      <c r="G11" s="29">
        <v>7.2495099752070398E-4</v>
      </c>
      <c r="H11" s="133">
        <v>1.3188435669563099E-4</v>
      </c>
      <c r="I11" s="131">
        <f>ROUND(_xlfn.T.TEST(D7:F7,D11:F11,2,2),4)</f>
        <v>0.2979</v>
      </c>
      <c r="J11" s="131">
        <v>1.3114015565737096E-2</v>
      </c>
      <c r="K11" s="132">
        <v>3.9541658332709534E-2</v>
      </c>
      <c r="L11" s="133">
        <v>2.6119420697017764E-2</v>
      </c>
      <c r="M11" s="131">
        <v>2.6258364865154798E-2</v>
      </c>
      <c r="N11" s="133">
        <v>6.2293134036865844E-3</v>
      </c>
      <c r="O11" s="228">
        <f>ROUND(_xlfn.T.TEST(J7:L7,J11:L11,2,2),4)</f>
        <v>2.8199999999999999E-2</v>
      </c>
      <c r="P11" s="131">
        <v>2.7490061768806848E-2</v>
      </c>
      <c r="Q11" s="132">
        <v>5.67536989786811E-2</v>
      </c>
      <c r="R11" s="133">
        <v>5.0961330508007295E-2</v>
      </c>
      <c r="S11" s="131">
        <v>4.5068363751831743E-2</v>
      </c>
      <c r="T11" s="133">
        <v>7.3050273188298501E-3</v>
      </c>
      <c r="U11" s="228">
        <f>ROUND(_xlfn.T.TEST(P7:R7,P11:R11,2,2),4)</f>
        <v>7.7999999999999996E-3</v>
      </c>
      <c r="V11" s="131">
        <v>3.2768631514632691E-3</v>
      </c>
      <c r="W11" s="132">
        <v>7.4024436229473461E-4</v>
      </c>
      <c r="X11" s="161">
        <v>1.6069542241197506E-3</v>
      </c>
      <c r="Y11" s="29">
        <v>1.8746872459592513E-3</v>
      </c>
      <c r="Z11" s="161">
        <v>6.0779555199794578E-4</v>
      </c>
      <c r="AA11" s="138">
        <f>ROUND(_xlfn.T.TEST(V7:X7,V11:X11,2,2),4)</f>
        <v>0.9748</v>
      </c>
      <c r="AC11" s="29">
        <v>7.8296010554750484E-4</v>
      </c>
      <c r="AD11" s="47">
        <v>1.6162455431769191E-3</v>
      </c>
      <c r="AE11" s="161">
        <v>1.4212615187414483E-3</v>
      </c>
      <c r="AF11" s="29">
        <v>1.2734890558219573E-3</v>
      </c>
      <c r="AG11" s="161">
        <v>2.0546353055106092E-4</v>
      </c>
      <c r="AH11" s="138">
        <f>ROUND(_xlfn.T.TEST(AC7:AE7,AC11:AE11,2,2),4)</f>
        <v>0.37509999999999999</v>
      </c>
      <c r="AI11" s="29">
        <v>1.0025786374148644E-2</v>
      </c>
      <c r="AJ11" s="47">
        <v>8.0300425780319307E-3</v>
      </c>
      <c r="AK11" s="161">
        <v>4.9429452448334701E-3</v>
      </c>
      <c r="AL11" s="29">
        <v>7.6662580656713481E-3</v>
      </c>
      <c r="AM11" s="161">
        <v>1.2072073250127117E-3</v>
      </c>
      <c r="AN11" s="215">
        <f>ROUND(_xlfn.T.TEST(AI7:AK7,AI11:AK11,2,2),4)</f>
        <v>7.9000000000000008E-3</v>
      </c>
      <c r="AO11" s="29">
        <v>1.2957138988123616E-2</v>
      </c>
      <c r="AP11" s="47">
        <v>1.6928574293708757E-2</v>
      </c>
      <c r="AQ11" s="161">
        <v>1.6145509263035342E-2</v>
      </c>
      <c r="AR11" s="29">
        <v>1.5343740848289239E-2</v>
      </c>
      <c r="AS11" s="161">
        <v>9.916539539549735E-4</v>
      </c>
      <c r="AT11" s="215">
        <f>ROUND(_xlfn.T.TEST(AO7:AQ7,AO11:AQ11,2,2),4)</f>
        <v>2.0000000000000001E-4</v>
      </c>
    </row>
    <row r="12" spans="1:47" s="84" customFormat="1" x14ac:dyDescent="0.35">
      <c r="B12" s="282"/>
      <c r="C12" s="29" t="s">
        <v>129</v>
      </c>
      <c r="D12" s="29">
        <v>2.2230796670878921E-3</v>
      </c>
      <c r="E12" s="47">
        <v>1.590134175917835E-3</v>
      </c>
      <c r="F12" s="161">
        <v>1.1793714290320269E-3</v>
      </c>
      <c r="G12" s="29">
        <v>1.6641950906792515E-3</v>
      </c>
      <c r="H12" s="133">
        <v>2.4785546230185267E-4</v>
      </c>
      <c r="I12" s="131">
        <f>ROUND(_xlfn.T.TEST(D8:F8,D12:F12,2,2),4)</f>
        <v>0.13039999999999999</v>
      </c>
      <c r="J12" s="131">
        <v>1.1923343897478846E-2</v>
      </c>
      <c r="K12" s="132">
        <v>1.0852584915978769E-2</v>
      </c>
      <c r="L12" s="133">
        <v>6.7885823448386199E-3</v>
      </c>
      <c r="M12" s="131">
        <v>9.8548370527654118E-3</v>
      </c>
      <c r="N12" s="133">
        <v>1.2769816538774534E-3</v>
      </c>
      <c r="O12" s="228">
        <f>ROUND(_xlfn.T.TEST(J8:L8,J12:L12,2,2),4)</f>
        <v>8.3000000000000001E-3</v>
      </c>
      <c r="P12" s="131">
        <v>1.9599336072119538E-2</v>
      </c>
      <c r="Q12" s="132">
        <v>1.7739985995410591E-2</v>
      </c>
      <c r="R12" s="133">
        <v>9.6112487980751365E-3</v>
      </c>
      <c r="S12" s="131">
        <v>1.565019028853509E-2</v>
      </c>
      <c r="T12" s="133">
        <v>2.5040370258550479E-3</v>
      </c>
      <c r="U12" s="228">
        <f>ROUND(_xlfn.T.TEST(P8:R8,P12:R12,2,2),4)</f>
        <v>1.09E-2</v>
      </c>
      <c r="V12" s="131">
        <v>5.9235068331897718E-3</v>
      </c>
      <c r="W12" s="132">
        <v>1.6814621337048884E-3</v>
      </c>
      <c r="X12" s="161">
        <v>8.4094108386429734E-4</v>
      </c>
      <c r="Y12" s="29">
        <v>2.8153033502529858E-3</v>
      </c>
      <c r="Z12" s="161">
        <v>1.2842910346275841E-3</v>
      </c>
      <c r="AA12" s="138">
        <f>ROUND(_xlfn.T.TEST(V8:X8,V12:X12,2,2),4)</f>
        <v>0.58420000000000005</v>
      </c>
      <c r="AC12" s="29">
        <v>2.7306255563167409E-3</v>
      </c>
      <c r="AD12" s="47">
        <v>1.2058480143523048E-3</v>
      </c>
      <c r="AE12" s="161">
        <v>1.6325971234516159E-3</v>
      </c>
      <c r="AF12" s="29">
        <v>1.8563568980402205E-3</v>
      </c>
      <c r="AG12" s="161">
        <v>3.7082130037787879E-4</v>
      </c>
      <c r="AH12" s="138">
        <f>ROUND(_xlfn.T.TEST(AC8:AE8,AC12:AE12,2,2),4)</f>
        <v>0.71160000000000001</v>
      </c>
      <c r="AI12" s="29">
        <v>5.6137967343239843E-3</v>
      </c>
      <c r="AJ12" s="47">
        <v>9.1241445366155669E-3</v>
      </c>
      <c r="AK12" s="161">
        <v>2.0442516512023602E-3</v>
      </c>
      <c r="AL12" s="29">
        <v>5.5940643073806376E-3</v>
      </c>
      <c r="AM12" s="161">
        <v>1.6687662005030303E-3</v>
      </c>
      <c r="AN12" s="138">
        <f>ROUND(_xlfn.T.TEST(AI8:AK8,AI12:AK12,2,2),4)</f>
        <v>7.2900000000000006E-2</v>
      </c>
      <c r="AO12" s="29">
        <v>1.6506928890066375E-2</v>
      </c>
      <c r="AP12" s="47">
        <v>1.5321600791553772E-2</v>
      </c>
      <c r="AQ12" s="161">
        <v>5.3623468104034497E-3</v>
      </c>
      <c r="AR12" s="29">
        <v>1.239695883067453E-2</v>
      </c>
      <c r="AS12" s="161">
        <v>2.8854260375621673E-3</v>
      </c>
      <c r="AT12" s="215">
        <f>ROUND(_xlfn.T.TEST(AO8:AQ8,AO12:AQ12,2,2),4)</f>
        <v>3.2599999999999997E-2</v>
      </c>
    </row>
    <row r="13" spans="1:47" s="84" customFormat="1" x14ac:dyDescent="0.35">
      <c r="B13" s="280" t="s">
        <v>224</v>
      </c>
      <c r="C13" s="158" t="s">
        <v>203</v>
      </c>
      <c r="D13" s="158">
        <v>5.7737830452463123E-4</v>
      </c>
      <c r="E13" s="159">
        <v>4.6288771427158392E-4</v>
      </c>
      <c r="F13" s="160">
        <v>1.6362474634255112E-4</v>
      </c>
      <c r="G13" s="158">
        <v>4.0129692171292212E-4</v>
      </c>
      <c r="H13" s="130">
        <v>1.0071198871930247E-4</v>
      </c>
      <c r="I13" s="128"/>
      <c r="J13" s="128">
        <v>1.9622738508161051E-3</v>
      </c>
      <c r="K13" s="129">
        <v>3.1364529787387041E-4</v>
      </c>
      <c r="L13" s="130">
        <v>2.7014150203291513E-4</v>
      </c>
      <c r="M13" s="128">
        <v>8.4868688357429692E-4</v>
      </c>
      <c r="N13" s="130">
        <v>4.5473559967945448E-4</v>
      </c>
      <c r="O13" s="128"/>
      <c r="P13" s="128">
        <v>1.7659761064382597E-3</v>
      </c>
      <c r="Q13" s="129">
        <v>8.4571438616493023E-4</v>
      </c>
      <c r="R13" s="130">
        <v>1.2098078790192748E-4</v>
      </c>
      <c r="S13" s="128">
        <v>9.1089042683503913E-4</v>
      </c>
      <c r="T13" s="130">
        <v>3.8864103309114496E-4</v>
      </c>
      <c r="U13" s="128"/>
      <c r="V13" s="128">
        <v>2.2500329653068218E-3</v>
      </c>
      <c r="W13" s="129">
        <v>3.6211590197210092E-3</v>
      </c>
      <c r="X13" s="160">
        <v>4.9466489970481928E-3</v>
      </c>
      <c r="Y13" s="158">
        <v>3.6059469940253413E-3</v>
      </c>
      <c r="Z13" s="160">
        <v>6.3562883298623073E-4</v>
      </c>
      <c r="AA13" s="137"/>
      <c r="AC13" s="158">
        <v>2.0425369267222178E-3</v>
      </c>
      <c r="AD13" s="159">
        <v>8.3847564752704846E-4</v>
      </c>
      <c r="AE13" s="160">
        <v>4.722664436243419E-4</v>
      </c>
      <c r="AF13" s="158">
        <v>1.117759672624536E-3</v>
      </c>
      <c r="AG13" s="160">
        <v>3.8728026674005012E-4</v>
      </c>
      <c r="AH13" s="137"/>
      <c r="AI13" s="158">
        <v>1.3119194838760605E-3</v>
      </c>
      <c r="AJ13" s="159">
        <v>3.2853284881076829E-4</v>
      </c>
      <c r="AK13" s="160">
        <v>9.9362849539007324E-4</v>
      </c>
      <c r="AL13" s="158">
        <v>8.7802694269230059E-4</v>
      </c>
      <c r="AM13" s="160">
        <v>2.3654227141411112E-4</v>
      </c>
      <c r="AN13" s="137"/>
      <c r="AO13" s="158">
        <v>6.7718800642157552E-4</v>
      </c>
      <c r="AP13" s="159">
        <v>1.0432097707333485E-3</v>
      </c>
      <c r="AQ13" s="160">
        <v>9.388566672275439E-4</v>
      </c>
      <c r="AR13" s="158">
        <v>8.8641814812748937E-4</v>
      </c>
      <c r="AS13" s="160">
        <v>8.8888609070917609E-5</v>
      </c>
      <c r="AT13" s="137"/>
    </row>
    <row r="14" spans="1:47" s="84" customFormat="1" x14ac:dyDescent="0.35">
      <c r="B14" s="281"/>
      <c r="C14" s="29" t="s">
        <v>204</v>
      </c>
      <c r="D14" s="29">
        <v>1.4654929276846265E-3</v>
      </c>
      <c r="E14" s="47">
        <v>2.9320062872513307E-4</v>
      </c>
      <c r="F14" s="161">
        <v>3.2617138682692628E-4</v>
      </c>
      <c r="G14" s="29">
        <v>6.9495498107889533E-4</v>
      </c>
      <c r="H14" s="133">
        <v>3.1466677722172644E-4</v>
      </c>
      <c r="I14" s="131"/>
      <c r="J14" s="131">
        <v>1.4591426008224149E-3</v>
      </c>
      <c r="K14" s="132">
        <v>5.2545325174375339E-4</v>
      </c>
      <c r="L14" s="133">
        <v>2.5951684624224886E-4</v>
      </c>
      <c r="M14" s="131">
        <v>7.480375662694724E-4</v>
      </c>
      <c r="N14" s="133">
        <v>2.9699731407976346E-4</v>
      </c>
      <c r="O14" s="131"/>
      <c r="P14" s="131">
        <v>1.3961790562392338E-3</v>
      </c>
      <c r="Q14" s="132">
        <v>6.0048497833081911E-4</v>
      </c>
      <c r="R14" s="133">
        <v>2.6991858087142893E-4</v>
      </c>
      <c r="S14" s="131">
        <v>7.5552753848049401E-4</v>
      </c>
      <c r="T14" s="133">
        <v>2.7290385412662691E-4</v>
      </c>
      <c r="U14" s="131"/>
      <c r="V14" s="131">
        <v>2.6291759868792824E-3</v>
      </c>
      <c r="W14" s="132">
        <v>4.6582396599333725E-3</v>
      </c>
      <c r="X14" s="161">
        <v>1.945019832906241E-3</v>
      </c>
      <c r="Y14" s="29">
        <v>3.0774784932396317E-3</v>
      </c>
      <c r="Z14" s="161">
        <v>6.6518532260650032E-4</v>
      </c>
      <c r="AA14" s="138"/>
      <c r="AC14" s="29">
        <v>2.9340810037897006E-3</v>
      </c>
      <c r="AD14" s="47">
        <v>3.2592551423372041E-4</v>
      </c>
      <c r="AE14" s="161">
        <v>8.0118229495596861E-4</v>
      </c>
      <c r="AF14" s="29">
        <v>1.3537296043264634E-3</v>
      </c>
      <c r="AG14" s="161">
        <v>6.5482824910975766E-4</v>
      </c>
      <c r="AH14" s="138"/>
      <c r="AI14" s="29">
        <v>4.594500629241034E-4</v>
      </c>
      <c r="AJ14" s="47">
        <v>7.476803914688592E-4</v>
      </c>
      <c r="AK14" s="161">
        <v>1.0482611442806699E-3</v>
      </c>
      <c r="AL14" s="29">
        <v>7.517971995578774E-4</v>
      </c>
      <c r="AM14" s="161">
        <v>1.3879427899168983E-4</v>
      </c>
      <c r="AN14" s="138"/>
      <c r="AO14" s="29">
        <v>9.0995058700297365E-4</v>
      </c>
      <c r="AP14" s="47">
        <v>6.3600999490746684E-4</v>
      </c>
      <c r="AQ14" s="161">
        <v>5.8969297613541095E-4</v>
      </c>
      <c r="AR14" s="29">
        <v>7.1188451934861704E-4</v>
      </c>
      <c r="AS14" s="161">
        <v>8.1593765998291587E-5</v>
      </c>
      <c r="AT14" s="138"/>
    </row>
    <row r="15" spans="1:47" s="84" customFormat="1" x14ac:dyDescent="0.35">
      <c r="B15" s="281"/>
      <c r="C15" s="29" t="s">
        <v>266</v>
      </c>
      <c r="D15" s="29">
        <v>4.1090021293605308E-4</v>
      </c>
      <c r="E15" s="47">
        <v>4.3569166551083843E-4</v>
      </c>
      <c r="F15" s="161">
        <v>1.9587619916245605E-4</v>
      </c>
      <c r="G15" s="29">
        <v>3.4748935920311585E-4</v>
      </c>
      <c r="H15" s="133">
        <v>6.2171030683873274E-5</v>
      </c>
      <c r="I15" s="131">
        <f>ROUND(_xlfn.T.TEST(D13:F13,D15:F15,2,2),4)</f>
        <v>0.72929999999999995</v>
      </c>
      <c r="J15" s="131">
        <v>8.1254355376767862E-4</v>
      </c>
      <c r="K15" s="132">
        <v>2.5067568208432208E-3</v>
      </c>
      <c r="L15" s="133">
        <v>3.7075902417464256E-3</v>
      </c>
      <c r="M15" s="131">
        <v>2.3422968721191085E-3</v>
      </c>
      <c r="N15" s="133">
        <v>6.8566417718636248E-4</v>
      </c>
      <c r="O15" s="131">
        <f>ROUND(_xlfn.T.TEST(J13:L13,J15:L15,2,2),4)</f>
        <v>0.21240000000000001</v>
      </c>
      <c r="P15" s="131">
        <v>6.6448836993192458E-4</v>
      </c>
      <c r="Q15" s="132">
        <v>4.1785890495560614E-3</v>
      </c>
      <c r="R15" s="133">
        <v>4.5723287538401184E-3</v>
      </c>
      <c r="S15" s="131">
        <v>3.1384687244427017E-3</v>
      </c>
      <c r="T15" s="133">
        <v>1.0142530732362583E-3</v>
      </c>
      <c r="U15" s="131">
        <f>ROUND(_xlfn.T.TEST(P13:R13,P15:R15,2,2),4)</f>
        <v>0.16930000000000001</v>
      </c>
      <c r="V15" s="131">
        <v>3.5354676890919055E-3</v>
      </c>
      <c r="W15" s="132">
        <v>8.9282636335499062E-4</v>
      </c>
      <c r="X15" s="161">
        <v>1.8358542579366374E-3</v>
      </c>
      <c r="Y15" s="29">
        <v>2.0880494367945114E-3</v>
      </c>
      <c r="Z15" s="161">
        <v>6.3132842312460589E-4</v>
      </c>
      <c r="AA15" s="138">
        <f>ROUND(_xlfn.T.TEST(V13:X13,V15:X15,2,2),4)</f>
        <v>0.2387</v>
      </c>
      <c r="AC15" s="29">
        <v>4.0398408746229342E-3</v>
      </c>
      <c r="AD15" s="47">
        <v>2.11058977495158E-4</v>
      </c>
      <c r="AE15" s="161">
        <v>3.2062900068877262E-4</v>
      </c>
      <c r="AF15" s="29">
        <v>1.5238429509356218E-3</v>
      </c>
      <c r="AG15" s="161">
        <v>1.0274764729931304E-3</v>
      </c>
      <c r="AH15" s="138">
        <f>ROUND(_xlfn.T.TEST(AC13:AE13,AC15:AE15,2,2),4)</f>
        <v>0.77769999999999995</v>
      </c>
      <c r="AI15" s="29">
        <v>1.6118985344942011E-3</v>
      </c>
      <c r="AJ15" s="47">
        <v>5.0733903067718984E-4</v>
      </c>
      <c r="AK15" s="161">
        <v>6.8154498624497647E-3</v>
      </c>
      <c r="AL15" s="29">
        <v>2.9782291425403851E-3</v>
      </c>
      <c r="AM15" s="161">
        <v>1.5880253331553701E-3</v>
      </c>
      <c r="AN15" s="138">
        <f>ROUND(_xlfn.T.TEST(AI13:AK13,AI15:AK15,2,2),4)</f>
        <v>0.34570000000000001</v>
      </c>
      <c r="AO15" s="29">
        <v>3.8961695458976041E-3</v>
      </c>
      <c r="AP15" s="47">
        <v>3.8287648040487149E-3</v>
      </c>
      <c r="AQ15" s="161">
        <v>3.0027922277550026E-3</v>
      </c>
      <c r="AR15" s="29">
        <v>3.575908859233774E-3</v>
      </c>
      <c r="AS15" s="161">
        <v>2.3451266479143466E-4</v>
      </c>
      <c r="AT15" s="215">
        <f>ROUND(_xlfn.T.TEST(AO13:AQ13,AO15:AQ15,2,2),4)</f>
        <v>8.9999999999999998E-4</v>
      </c>
    </row>
    <row r="16" spans="1:47" s="84" customFormat="1" x14ac:dyDescent="0.35">
      <c r="B16" s="281"/>
      <c r="C16" s="29" t="s">
        <v>127</v>
      </c>
      <c r="D16" s="29">
        <v>5.6625048944725239E-4</v>
      </c>
      <c r="E16" s="47">
        <v>2.6700144183795034E-4</v>
      </c>
      <c r="F16" s="161">
        <v>2.4525566118093769E-4</v>
      </c>
      <c r="G16" s="29">
        <v>3.5950253082204679E-4</v>
      </c>
      <c r="H16" s="133">
        <v>8.455998336600149E-5</v>
      </c>
      <c r="I16" s="131">
        <f>ROUND(_xlfn.T.TEST(D13:F13,D16:F16,2,2),4)</f>
        <v>0.80810000000000004</v>
      </c>
      <c r="J16" s="131">
        <v>1.8282031796009828E-2</v>
      </c>
      <c r="K16" s="132">
        <v>1.1312622002673587E-2</v>
      </c>
      <c r="L16" s="133">
        <v>8.7175184434466826E-3</v>
      </c>
      <c r="M16" s="131">
        <v>1.2770724080710033E-2</v>
      </c>
      <c r="N16" s="133">
        <v>2.3316434437881074E-3</v>
      </c>
      <c r="O16" s="228">
        <f>ROUND(_xlfn.T.TEST(J13:L13,J16:L16,2,2),4)</f>
        <v>1.49E-2</v>
      </c>
      <c r="P16" s="131">
        <v>2.5293756245522395E-2</v>
      </c>
      <c r="Q16" s="132">
        <v>1.6212817683072301E-2</v>
      </c>
      <c r="R16" s="133">
        <v>1.0003450969572459E-2</v>
      </c>
      <c r="S16" s="131">
        <v>1.7170008299389052E-2</v>
      </c>
      <c r="T16" s="133">
        <v>3.6250829650248252E-3</v>
      </c>
      <c r="U16" s="228">
        <f>ROUND(_xlfn.T.TEST(P13:R13,P16:R16,2,2),4)</f>
        <v>2.1899999999999999E-2</v>
      </c>
      <c r="V16" s="131">
        <v>3.5987216819626661E-3</v>
      </c>
      <c r="W16" s="132">
        <v>4.4995629163681614E-3</v>
      </c>
      <c r="X16" s="161">
        <v>4.6582396599333898E-3</v>
      </c>
      <c r="Y16" s="29">
        <v>4.2521747527547388E-3</v>
      </c>
      <c r="Z16" s="161">
        <v>2.6938005536697235E-4</v>
      </c>
      <c r="AA16" s="138">
        <f>ROUND(_xlfn.T.TEST(V13:X13,V16:X16,2,2),4)</f>
        <v>0.48730000000000001</v>
      </c>
      <c r="AC16" s="29">
        <v>4.842351057503168E-3</v>
      </c>
      <c r="AD16" s="47">
        <v>6.0086417372381409E-4</v>
      </c>
      <c r="AE16" s="161">
        <v>8.822329293936779E-5</v>
      </c>
      <c r="AF16" s="29">
        <v>1.8438128413887835E-3</v>
      </c>
      <c r="AG16" s="161">
        <v>1.2300969919560262E-3</v>
      </c>
      <c r="AH16" s="138">
        <f>ROUND(_xlfn.T.TEST(AC13:AE13,AC16:AE16,2,2),4)</f>
        <v>0.66959999999999997</v>
      </c>
      <c r="AI16" s="29">
        <v>2.3192257317802942E-3</v>
      </c>
      <c r="AJ16" s="47">
        <v>5.2495550362120294E-3</v>
      </c>
      <c r="AK16" s="161">
        <v>1.3316433029667979E-2</v>
      </c>
      <c r="AL16" s="29">
        <v>6.9617379325534337E-3</v>
      </c>
      <c r="AM16" s="161">
        <v>2.6846609465658615E-3</v>
      </c>
      <c r="AN16" s="138">
        <f>ROUND(_xlfn.T.TEST(AI13:AK13,AI16:AK16,2,2),4)</f>
        <v>0.1391</v>
      </c>
      <c r="AO16" s="29">
        <v>5.365290117929117E-3</v>
      </c>
      <c r="AP16" s="47">
        <v>8.8833191184967356E-3</v>
      </c>
      <c r="AQ16" s="161">
        <v>1.8068263091674999E-3</v>
      </c>
      <c r="AR16" s="29">
        <v>5.3518118485311184E-3</v>
      </c>
      <c r="AS16" s="161">
        <v>1.667954427030744E-3</v>
      </c>
      <c r="AT16" s="138">
        <f>ROUND(_xlfn.T.TEST(AO13:AQ13,AO16:AQ16,2,2),4)</f>
        <v>9.4399999999999998E-2</v>
      </c>
    </row>
    <row r="17" spans="1:46" s="84" customFormat="1" x14ac:dyDescent="0.35">
      <c r="B17" s="281"/>
      <c r="C17" s="29" t="s">
        <v>128</v>
      </c>
      <c r="D17" s="29">
        <v>9.5073320550100504E-4</v>
      </c>
      <c r="E17" s="47">
        <v>1.654897302738894E-4</v>
      </c>
      <c r="F17" s="161">
        <v>4.2337206301107291E-4</v>
      </c>
      <c r="G17" s="29">
        <v>5.1319833292865576E-4</v>
      </c>
      <c r="H17" s="133">
        <v>1.8868162362513046E-4</v>
      </c>
      <c r="I17" s="131">
        <f>ROUND(_xlfn.T.TEST(D13:F13,D17:F17,2,2),4)</f>
        <v>0.69120000000000004</v>
      </c>
      <c r="J17" s="131">
        <v>6.919419991954269E-2</v>
      </c>
      <c r="K17" s="132">
        <v>1.7757857325204265E-2</v>
      </c>
      <c r="L17" s="133">
        <v>4.5564213452693063E-2</v>
      </c>
      <c r="M17" s="131">
        <v>4.4172090232480005E-2</v>
      </c>
      <c r="N17" s="133">
        <v>1.2136976011490497E-2</v>
      </c>
      <c r="O17" s="228">
        <f>ROUND(_xlfn.T.TEST(J13:L13,J17:L17,2,2),4)</f>
        <v>4.36E-2</v>
      </c>
      <c r="P17" s="131">
        <v>0.11762346272276901</v>
      </c>
      <c r="Q17" s="132">
        <v>1.4571450413678175E-2</v>
      </c>
      <c r="R17" s="133">
        <v>4.3327202642919255E-2</v>
      </c>
      <c r="S17" s="131">
        <v>5.8507371926455477E-2</v>
      </c>
      <c r="T17" s="133">
        <v>2.5067719236969398E-2</v>
      </c>
      <c r="U17" s="131">
        <f>ROUND(_xlfn.T.TEST(P13:R13,P17:R17,2,2),4)</f>
        <v>0.13389999999999999</v>
      </c>
      <c r="V17" s="131">
        <v>9.0687393085498915E-3</v>
      </c>
      <c r="W17" s="132">
        <v>2.3237446325517185E-3</v>
      </c>
      <c r="X17" s="161">
        <v>4.5204034267483486E-3</v>
      </c>
      <c r="Y17" s="29">
        <v>5.3042957892833198E-3</v>
      </c>
      <c r="Z17" s="161">
        <v>1.6217003231753337E-3</v>
      </c>
      <c r="AA17" s="138">
        <f>ROUND(_xlfn.T.TEST(V13:X13,V17:X17,2,2),4)</f>
        <v>0.47049999999999997</v>
      </c>
      <c r="AC17" s="29">
        <v>7.4897224719572388E-3</v>
      </c>
      <c r="AD17" s="47">
        <v>2.8878095730783921E-4</v>
      </c>
      <c r="AE17" s="161">
        <v>2.2536981537733572E-4</v>
      </c>
      <c r="AF17" s="29">
        <v>2.6679577482141381E-3</v>
      </c>
      <c r="AG17" s="161">
        <v>1.9685339458355116E-3</v>
      </c>
      <c r="AH17" s="138">
        <f>ROUND(_xlfn.T.TEST(AC13:AE13,AC17:AE17,2,2),4)</f>
        <v>0.56240000000000001</v>
      </c>
      <c r="AI17" s="29">
        <v>1.6557309395678808E-2</v>
      </c>
      <c r="AJ17" s="47">
        <v>7.7681374977780042E-3</v>
      </c>
      <c r="AK17" s="161">
        <v>1.0045622449614116E-2</v>
      </c>
      <c r="AL17" s="29">
        <v>1.1457023114356977E-2</v>
      </c>
      <c r="AM17" s="161">
        <v>2.1502674014611776E-3</v>
      </c>
      <c r="AN17" s="215">
        <f>ROUND(_xlfn.T.TEST(AI13:AK13,AI17:AK17,2,2),4)</f>
        <v>1.6199999999999999E-2</v>
      </c>
      <c r="AO17" s="29">
        <v>4.2648293424338422E-2</v>
      </c>
      <c r="AP17" s="47">
        <v>2.7018261822012408E-2</v>
      </c>
      <c r="AQ17" s="161">
        <v>1.3072838250520183E-2</v>
      </c>
      <c r="AR17" s="29">
        <v>2.7579797832290337E-2</v>
      </c>
      <c r="AS17" s="161">
        <v>6.9747700751074098E-3</v>
      </c>
      <c r="AT17" s="215">
        <f>ROUND(_xlfn.T.TEST(AO13:AQ13,AO17:AQ17,2,2),4)</f>
        <v>3.5400000000000001E-2</v>
      </c>
    </row>
    <row r="18" spans="1:46" s="84" customFormat="1" x14ac:dyDescent="0.35">
      <c r="B18" s="282"/>
      <c r="C18" s="162" t="s">
        <v>129</v>
      </c>
      <c r="D18" s="162">
        <v>1.3941016891275623E-3</v>
      </c>
      <c r="E18" s="163">
        <v>2.6583976597750601E-4</v>
      </c>
      <c r="F18" s="164">
        <v>1.2578020763246892E-4</v>
      </c>
      <c r="G18" s="162">
        <v>5.9524055424584575E-4</v>
      </c>
      <c r="H18" s="136">
        <v>3.2780024560675829E-4</v>
      </c>
      <c r="I18" s="134">
        <f>ROUND(_xlfn.T.TEST(D14:F14,D18:F18,2,2),4)</f>
        <v>0.86650000000000005</v>
      </c>
      <c r="J18" s="134">
        <v>5.0786671570117958E-2</v>
      </c>
      <c r="K18" s="135">
        <v>1.0960213952559731E-2</v>
      </c>
      <c r="L18" s="136">
        <v>8.6141649420579322E-3</v>
      </c>
      <c r="M18" s="134">
        <v>2.3453683488245208E-2</v>
      </c>
      <c r="N18" s="136">
        <v>1.1172338505859188E-2</v>
      </c>
      <c r="O18" s="134">
        <f>ROUND(_xlfn.T.TEST(J14:L14,J18:L18,2,2),4)</f>
        <v>0.17249999999999999</v>
      </c>
      <c r="P18" s="134">
        <v>6.225255531796281E-2</v>
      </c>
      <c r="Q18" s="135">
        <v>9.0791485097730541E-3</v>
      </c>
      <c r="R18" s="136">
        <v>7.4746993241354793E-3</v>
      </c>
      <c r="S18" s="134">
        <v>2.6268801050623781E-2</v>
      </c>
      <c r="T18" s="136">
        <v>1.4695172999446704E-2</v>
      </c>
      <c r="U18" s="134">
        <f>ROUND(_xlfn.T.TEST(P14:R14,P18:R18,2,2),4)</f>
        <v>0.22939999999999999</v>
      </c>
      <c r="V18" s="134">
        <v>3.2203357743888945E-3</v>
      </c>
      <c r="W18" s="135">
        <v>5.0857182294795893E-3</v>
      </c>
      <c r="X18" s="164">
        <v>6.6642916217922931E-3</v>
      </c>
      <c r="Y18" s="162">
        <v>4.9901152085535918E-3</v>
      </c>
      <c r="Z18" s="164">
        <v>8.1268593399687089E-4</v>
      </c>
      <c r="AA18" s="139">
        <f>ROUND(_xlfn.T.TEST(V14:X14,V18:X18,2,2),4)</f>
        <v>0.2112</v>
      </c>
      <c r="AC18" s="25">
        <v>6.3116925719191039E-3</v>
      </c>
      <c r="AD18" s="14">
        <v>5.4139580073069536E-4</v>
      </c>
      <c r="AE18" s="17">
        <v>2.6408274705269755E-4</v>
      </c>
      <c r="AF18" s="25">
        <v>2.3723903732341656E-3</v>
      </c>
      <c r="AG18" s="17">
        <v>1.6095411348758205E-3</v>
      </c>
      <c r="AH18" s="139">
        <f>ROUND(_xlfn.T.TEST(AC14:AE14,AC18:AE18,2,2),4)</f>
        <v>0.65720000000000001</v>
      </c>
      <c r="AI18" s="25">
        <v>1.5169113204739298E-2</v>
      </c>
      <c r="AJ18" s="14">
        <v>2.9096396335487797E-3</v>
      </c>
      <c r="AK18" s="17">
        <v>2.5280304915159002E-3</v>
      </c>
      <c r="AL18" s="25">
        <v>6.8689277766013261E-3</v>
      </c>
      <c r="AM18" s="17">
        <v>3.389730077435738E-3</v>
      </c>
      <c r="AN18" s="139">
        <f>ROUND(_xlfn.T.TEST(AI14:AK14,AI18:AK18,2,2),4)</f>
        <v>0.21490000000000001</v>
      </c>
      <c r="AO18" s="25">
        <v>2.7467719049050879E-2</v>
      </c>
      <c r="AP18" s="14">
        <v>6.4968135064691112E-3</v>
      </c>
      <c r="AQ18" s="17">
        <v>4.7624687242209009E-3</v>
      </c>
      <c r="AR18" s="25">
        <v>1.2909000426580297E-2</v>
      </c>
      <c r="AS18" s="17">
        <v>5.9576133159761164E-3</v>
      </c>
      <c r="AT18" s="139">
        <f>ROUND(_xlfn.T.TEST(AO14:AQ14,AO18:AQ18,2,2),4)</f>
        <v>0.1699</v>
      </c>
    </row>
    <row r="21" spans="1:46" x14ac:dyDescent="0.35">
      <c r="A21" s="45" t="s">
        <v>116</v>
      </c>
    </row>
    <row r="23" spans="1:46" s="84" customFormat="1" x14ac:dyDescent="0.35">
      <c r="D23" s="273" t="s">
        <v>122</v>
      </c>
      <c r="E23" s="238"/>
      <c r="F23" s="239"/>
      <c r="J23" s="273" t="s">
        <v>123</v>
      </c>
      <c r="K23" s="238"/>
      <c r="L23" s="239"/>
      <c r="P23" s="273" t="s">
        <v>124</v>
      </c>
      <c r="Q23" s="238"/>
      <c r="R23" s="239"/>
      <c r="X23" s="273" t="s">
        <v>117</v>
      </c>
      <c r="Y23" s="238"/>
      <c r="Z23" s="239"/>
      <c r="AD23" s="273" t="s">
        <v>120</v>
      </c>
      <c r="AE23" s="238"/>
      <c r="AF23" s="239"/>
      <c r="AJ23" s="273" t="s">
        <v>121</v>
      </c>
      <c r="AK23" s="238"/>
      <c r="AL23" s="239"/>
    </row>
    <row r="24" spans="1:46" s="84" customFormat="1" x14ac:dyDescent="0.35">
      <c r="D24" s="74" t="s">
        <v>130</v>
      </c>
      <c r="E24" s="75" t="s">
        <v>131</v>
      </c>
      <c r="F24" s="76" t="s">
        <v>132</v>
      </c>
      <c r="G24" s="84" t="s">
        <v>118</v>
      </c>
      <c r="H24" s="84" t="s">
        <v>119</v>
      </c>
      <c r="I24" s="111" t="s">
        <v>196</v>
      </c>
      <c r="J24" s="74" t="s">
        <v>130</v>
      </c>
      <c r="K24" s="75" t="s">
        <v>131</v>
      </c>
      <c r="L24" s="76" t="s">
        <v>132</v>
      </c>
      <c r="M24" s="84" t="s">
        <v>118</v>
      </c>
      <c r="N24" s="84" t="s">
        <v>119</v>
      </c>
      <c r="O24" s="111" t="s">
        <v>196</v>
      </c>
      <c r="P24" s="74" t="s">
        <v>130</v>
      </c>
      <c r="Q24" s="75" t="s">
        <v>131</v>
      </c>
      <c r="R24" s="76" t="s">
        <v>132</v>
      </c>
      <c r="S24" s="84" t="s">
        <v>118</v>
      </c>
      <c r="T24" s="84" t="s">
        <v>119</v>
      </c>
      <c r="U24" s="111" t="s">
        <v>196</v>
      </c>
      <c r="V24" s="84" t="s">
        <v>175</v>
      </c>
      <c r="X24" s="68" t="s">
        <v>130</v>
      </c>
      <c r="Y24" s="69" t="s">
        <v>131</v>
      </c>
      <c r="Z24" s="70" t="s">
        <v>132</v>
      </c>
      <c r="AA24" s="84" t="s">
        <v>118</v>
      </c>
      <c r="AB24" s="84" t="s">
        <v>119</v>
      </c>
      <c r="AC24" s="111" t="s">
        <v>196</v>
      </c>
      <c r="AD24" s="68" t="s">
        <v>130</v>
      </c>
      <c r="AE24" s="69" t="s">
        <v>131</v>
      </c>
      <c r="AF24" s="70" t="s">
        <v>132</v>
      </c>
      <c r="AG24" s="84" t="s">
        <v>118</v>
      </c>
      <c r="AH24" s="84" t="s">
        <v>119</v>
      </c>
      <c r="AI24" s="111" t="s">
        <v>196</v>
      </c>
      <c r="AJ24" s="68" t="s">
        <v>130</v>
      </c>
      <c r="AK24" s="69" t="s">
        <v>131</v>
      </c>
      <c r="AL24" s="70" t="s">
        <v>132</v>
      </c>
      <c r="AM24" s="84" t="s">
        <v>118</v>
      </c>
      <c r="AN24" s="84" t="s">
        <v>119</v>
      </c>
      <c r="AO24" s="111" t="s">
        <v>196</v>
      </c>
      <c r="AP24" s="84" t="s">
        <v>175</v>
      </c>
    </row>
    <row r="25" spans="1:46" s="84" customFormat="1" x14ac:dyDescent="0.35">
      <c r="B25" s="283" t="s">
        <v>125</v>
      </c>
      <c r="C25" s="168" t="s">
        <v>203</v>
      </c>
      <c r="D25" s="29">
        <v>1.0989540088064418E-3</v>
      </c>
      <c r="E25" s="47">
        <v>9.7656742384574606E-5</v>
      </c>
      <c r="F25" s="161">
        <v>7.6633089263257043E-3</v>
      </c>
      <c r="G25" s="158">
        <f>AVERAGE(D25:F25)</f>
        <v>2.9533065591722404E-3</v>
      </c>
      <c r="H25" s="160">
        <f>_xlfn.STDEV.P(D25:F25)</f>
        <v>3.3554672578623487E-3</v>
      </c>
      <c r="J25" s="29">
        <v>9.0379887343060685E-4</v>
      </c>
      <c r="K25" s="47">
        <v>1.5204107167695279E-3</v>
      </c>
      <c r="L25" s="161">
        <v>7.415943902849738E-3</v>
      </c>
      <c r="M25" s="158">
        <f>AVERAGE(J25:L25)</f>
        <v>3.2800511643499577E-3</v>
      </c>
      <c r="N25" s="160">
        <f>_xlfn.STDEV.P(J25:L25)</f>
        <v>2.9353317926732879E-3</v>
      </c>
      <c r="P25" s="158">
        <v>1.893079070229086E-3</v>
      </c>
      <c r="Q25" s="159">
        <v>6.9689611930291717E-4</v>
      </c>
      <c r="R25" s="160">
        <v>8.9568407026143129E-3</v>
      </c>
      <c r="S25" s="158">
        <f>AVERAGE(P25:R25)</f>
        <v>3.8489386307154392E-3</v>
      </c>
      <c r="T25" s="160">
        <f>_xlfn.STDEV.P(P25:R25)</f>
        <v>3.644695789326659E-3</v>
      </c>
      <c r="X25" s="158">
        <v>1.1786045582373882E-3</v>
      </c>
      <c r="Y25" s="159">
        <v>5.8982476036354987E-4</v>
      </c>
      <c r="Z25" s="160">
        <v>3.1002148692088E-3</v>
      </c>
      <c r="AA25" s="159">
        <v>1.6228813959365794E-3</v>
      </c>
      <c r="AB25" s="160">
        <v>1.0719300524549202E-3</v>
      </c>
      <c r="AD25" s="29">
        <v>4.9964552109726598E-4</v>
      </c>
      <c r="AE25" s="47">
        <v>3.5568206793453903E-4</v>
      </c>
      <c r="AF25" s="161">
        <v>2.6406716484275207E-4</v>
      </c>
      <c r="AG25" s="158">
        <v>3.7313158462485234E-4</v>
      </c>
      <c r="AH25" s="160">
        <v>9.696272379438334E-5</v>
      </c>
      <c r="AJ25" s="29">
        <v>3.9474060295434686E-4</v>
      </c>
      <c r="AK25" s="47">
        <v>4.542165358106115E-4</v>
      </c>
      <c r="AL25" s="161">
        <v>2.7154024455519599E-3</v>
      </c>
      <c r="AM25" s="158">
        <v>1.1881198614389727E-3</v>
      </c>
      <c r="AN25" s="160">
        <v>1.0802247961877853E-3</v>
      </c>
    </row>
    <row r="26" spans="1:46" s="84" customFormat="1" x14ac:dyDescent="0.35">
      <c r="B26" s="284"/>
      <c r="C26" s="40" t="s">
        <v>204</v>
      </c>
      <c r="D26" s="29">
        <v>9.1981744863414358E-4</v>
      </c>
      <c r="E26" s="47">
        <v>3.6958689108480044E-4</v>
      </c>
      <c r="F26" s="161">
        <v>9.3299095664728393E-4</v>
      </c>
      <c r="G26" s="29">
        <f t="shared" ref="G26:G36" si="0">AVERAGE(D26:F26)</f>
        <v>7.4079843212207595E-4</v>
      </c>
      <c r="H26" s="161">
        <f t="shared" ref="H26:H36" si="1">_xlfn.STDEV.P(D26:F26)</f>
        <v>2.6254128751848377E-4</v>
      </c>
      <c r="J26" s="29">
        <v>1.1740185111060615E-3</v>
      </c>
      <c r="K26" s="47">
        <v>5.8736265142812121E-4</v>
      </c>
      <c r="L26" s="161">
        <v>1.7067128941383597E-3</v>
      </c>
      <c r="M26" s="29">
        <f t="shared" ref="M26:M36" si="2">AVERAGE(J26:L26)</f>
        <v>1.1560313522241807E-3</v>
      </c>
      <c r="N26" s="161">
        <f t="shared" ref="N26:N36" si="3">_xlfn.STDEV.P(J26:L26)</f>
        <v>4.5714978936693457E-4</v>
      </c>
      <c r="P26" s="29">
        <v>1.3509012108722544E-3</v>
      </c>
      <c r="Q26" s="47">
        <v>6.3355798753418852E-4</v>
      </c>
      <c r="R26" s="161">
        <v>1.5539921347662133E-3</v>
      </c>
      <c r="S26" s="29">
        <f t="shared" ref="S26:S36" si="4">AVERAGE(P26:R26)</f>
        <v>1.1794837777242186E-3</v>
      </c>
      <c r="T26" s="161">
        <f t="shared" ref="T26:T36" si="5">_xlfn.STDEV.P(P26:R26)</f>
        <v>3.9483136243041126E-4</v>
      </c>
      <c r="X26" s="29">
        <v>1.2902090724155864E-3</v>
      </c>
      <c r="Y26" s="47">
        <v>6.9485691867454279E-4</v>
      </c>
      <c r="Z26" s="161">
        <v>1.5042876648552273E-3</v>
      </c>
      <c r="AA26" s="47">
        <v>1.1631178853151187E-3</v>
      </c>
      <c r="AB26" s="161">
        <v>3.4245063935756684E-4</v>
      </c>
      <c r="AD26" s="29">
        <v>5.0779220742689659E-4</v>
      </c>
      <c r="AE26" s="47">
        <v>3.9281455724758359E-4</v>
      </c>
      <c r="AF26" s="161">
        <v>2.7783690706827059E-4</v>
      </c>
      <c r="AG26" s="29">
        <v>3.9281455724758359E-4</v>
      </c>
      <c r="AH26" s="161">
        <v>9.3878858254513219E-5</v>
      </c>
      <c r="AJ26" s="29">
        <v>1.9737030147717299E-4</v>
      </c>
      <c r="AK26" s="47">
        <v>2.0518895193936463E-4</v>
      </c>
      <c r="AL26" s="161">
        <v>6.1702872303721283E-4</v>
      </c>
      <c r="AM26" s="29">
        <v>3.3986265881791685E-4</v>
      </c>
      <c r="AN26" s="161">
        <v>1.9601199485384167E-4</v>
      </c>
    </row>
    <row r="27" spans="1:46" s="84" customFormat="1" x14ac:dyDescent="0.35">
      <c r="B27" s="284"/>
      <c r="C27" s="40" t="s">
        <v>126</v>
      </c>
      <c r="D27" s="29">
        <v>5.2342091720284192E-4</v>
      </c>
      <c r="E27" s="47">
        <v>2.4211259819069122E-3</v>
      </c>
      <c r="F27" s="161">
        <v>1.0736035086596797E-3</v>
      </c>
      <c r="G27" s="29">
        <f t="shared" si="0"/>
        <v>1.3393834692564781E-3</v>
      </c>
      <c r="H27" s="161">
        <f t="shared" si="1"/>
        <v>7.972035995662157E-4</v>
      </c>
      <c r="J27" s="29">
        <v>1.1834467023376742E-3</v>
      </c>
      <c r="K27" s="47">
        <v>9.7883614164892096E-4</v>
      </c>
      <c r="L27" s="161">
        <v>2.4694350968940755E-3</v>
      </c>
      <c r="M27" s="29">
        <f t="shared" si="2"/>
        <v>1.543905980293557E-3</v>
      </c>
      <c r="N27" s="161">
        <f t="shared" si="3"/>
        <v>6.5975726831557469E-4</v>
      </c>
      <c r="P27" s="29">
        <v>3.2390026976717389E-3</v>
      </c>
      <c r="Q27" s="47">
        <v>1.1033599932714561E-3</v>
      </c>
      <c r="R27" s="161">
        <v>3.1893291532244703E-3</v>
      </c>
      <c r="S27" s="29">
        <f t="shared" si="4"/>
        <v>2.5105639480558881E-3</v>
      </c>
      <c r="T27" s="161">
        <f t="shared" si="5"/>
        <v>9.9525008348829878E-4</v>
      </c>
      <c r="X27" s="29">
        <v>9.5547241566963778E-4</v>
      </c>
      <c r="Y27" s="47">
        <v>1.0353311154151742E-3</v>
      </c>
      <c r="Z27" s="161">
        <v>1.1634014557598239E-3</v>
      </c>
      <c r="AA27" s="47">
        <v>1.0514016622815451E-3</v>
      </c>
      <c r="AB27" s="161">
        <v>8.5643907296996234E-5</v>
      </c>
      <c r="AD27" s="29">
        <v>1.8221522315670681E-3</v>
      </c>
      <c r="AE27" s="47">
        <v>1.5601521653769677E-3</v>
      </c>
      <c r="AF27" s="161">
        <v>1.4870454944694951E-3</v>
      </c>
      <c r="AG27" s="29">
        <v>1.623116630471177E-3</v>
      </c>
      <c r="AH27" s="161">
        <v>1.4386920960950472E-4</v>
      </c>
      <c r="AJ27" s="29">
        <v>5.335574036145499E-3</v>
      </c>
      <c r="AK27" s="47">
        <v>4.1478345346889645E-3</v>
      </c>
      <c r="AL27" s="161">
        <v>3.7603958019075913E-3</v>
      </c>
      <c r="AM27" s="29">
        <v>4.4146014575806849E-3</v>
      </c>
      <c r="AN27" s="161">
        <v>6.70159215294421E-4</v>
      </c>
    </row>
    <row r="28" spans="1:46" s="84" customFormat="1" x14ac:dyDescent="0.35">
      <c r="B28" s="284"/>
      <c r="C28" s="40" t="s">
        <v>127</v>
      </c>
      <c r="D28" s="29">
        <v>8.0990680034116209E-3</v>
      </c>
      <c r="E28" s="47">
        <v>2.4821458924840134E-4</v>
      </c>
      <c r="F28" s="161">
        <v>6.2963089773019373E-4</v>
      </c>
      <c r="G28" s="29">
        <f t="shared" si="0"/>
        <v>2.9923044967967386E-3</v>
      </c>
      <c r="H28" s="161">
        <f t="shared" si="1"/>
        <v>3.6143828181737217E-3</v>
      </c>
      <c r="J28" s="29">
        <v>2.0885108181346913E-2</v>
      </c>
      <c r="K28" s="47">
        <v>1.4620878313395341E-2</v>
      </c>
      <c r="L28" s="161">
        <v>8.2987372885899265E-4</v>
      </c>
      <c r="M28" s="29">
        <f t="shared" si="2"/>
        <v>1.2111953407867082E-2</v>
      </c>
      <c r="N28" s="161">
        <f t="shared" si="3"/>
        <v>8.3775149605854523E-3</v>
      </c>
      <c r="P28" s="29">
        <v>5.0182167036115465E-2</v>
      </c>
      <c r="Q28" s="47">
        <v>9.9515428596501608E-3</v>
      </c>
      <c r="R28" s="161">
        <v>1.592008593409405E-3</v>
      </c>
      <c r="S28" s="29">
        <f t="shared" si="4"/>
        <v>2.0575239496391676E-2</v>
      </c>
      <c r="T28" s="161">
        <f t="shared" si="5"/>
        <v>2.1211601731818911E-2</v>
      </c>
      <c r="X28" s="29">
        <v>8.5597673704417097E-4</v>
      </c>
      <c r="Y28" s="47">
        <v>7.4521413950431718E-4</v>
      </c>
      <c r="Z28" s="161">
        <v>6.3778016427539549E-4</v>
      </c>
      <c r="AA28" s="47">
        <v>7.4632368027462788E-4</v>
      </c>
      <c r="AB28" s="161">
        <v>8.9081832800149246E-5</v>
      </c>
      <c r="AD28" s="29">
        <v>2.2329900572694798E-3</v>
      </c>
      <c r="AE28" s="47">
        <v>1.5293474177282959E-3</v>
      </c>
      <c r="AF28" s="161">
        <v>1.2914366070108003E-3</v>
      </c>
      <c r="AG28" s="29">
        <v>1.6845913606695253E-3</v>
      </c>
      <c r="AH28" s="161">
        <v>3.9975512195047664E-4</v>
      </c>
      <c r="AJ28" s="29">
        <v>1.8071489215477621E-2</v>
      </c>
      <c r="AK28" s="47">
        <v>2.3019146653264808E-2</v>
      </c>
      <c r="AL28" s="161">
        <v>2.0886180918103307E-4</v>
      </c>
      <c r="AM28" s="29">
        <v>1.3766499225974485E-2</v>
      </c>
      <c r="AN28" s="161">
        <v>9.7971757078031147E-3</v>
      </c>
    </row>
    <row r="29" spans="1:46" s="84" customFormat="1" x14ac:dyDescent="0.35">
      <c r="B29" s="284"/>
      <c r="C29" s="40" t="s">
        <v>128</v>
      </c>
      <c r="D29" s="29">
        <v>3.0130408354822474E-3</v>
      </c>
      <c r="E29" s="47">
        <v>1.9583703928913489E-3</v>
      </c>
      <c r="F29" s="161">
        <v>4.3619112144605422E-4</v>
      </c>
      <c r="G29" s="29">
        <f t="shared" si="0"/>
        <v>1.8025341166065503E-3</v>
      </c>
      <c r="H29" s="161">
        <f t="shared" si="1"/>
        <v>1.0577499140272042E-3</v>
      </c>
      <c r="J29" s="29">
        <v>3.3320314867808502E-2</v>
      </c>
      <c r="K29" s="47">
        <v>2.5751536833416449E-2</v>
      </c>
      <c r="L29" s="161">
        <v>4.2803494104083017E-2</v>
      </c>
      <c r="M29" s="29">
        <f t="shared" si="2"/>
        <v>3.3958448601769324E-2</v>
      </c>
      <c r="N29" s="161">
        <f t="shared" si="3"/>
        <v>6.9760410304113476E-3</v>
      </c>
      <c r="P29" s="29">
        <v>3.3631767521714671E-2</v>
      </c>
      <c r="Q29" s="47">
        <v>2.6258545528417481E-2</v>
      </c>
      <c r="R29" s="161">
        <v>6.2385753221094076E-2</v>
      </c>
      <c r="S29" s="29">
        <f t="shared" si="4"/>
        <v>4.0758688757075411E-2</v>
      </c>
      <c r="T29" s="161">
        <f t="shared" si="5"/>
        <v>1.5586073669331107E-2</v>
      </c>
      <c r="X29" s="29">
        <v>4.0999995135390281E-3</v>
      </c>
      <c r="Y29" s="47">
        <v>8.8528586545523914E-4</v>
      </c>
      <c r="Z29" s="161">
        <v>9.2067523539622902E-4</v>
      </c>
      <c r="AA29" s="47">
        <v>1.9686535381301653E-3</v>
      </c>
      <c r="AB29" s="161">
        <v>1.5071584415813474E-3</v>
      </c>
      <c r="AD29" s="29">
        <v>3.5610684341609352E-3</v>
      </c>
      <c r="AE29" s="47">
        <v>5.1729433210969972E-3</v>
      </c>
      <c r="AF29" s="161">
        <v>1.0431036268347618E-2</v>
      </c>
      <c r="AG29" s="29">
        <v>6.3883493412018504E-3</v>
      </c>
      <c r="AH29" s="161">
        <v>2.9333738659287002E-3</v>
      </c>
      <c r="AJ29" s="29">
        <v>5.3567202272141803E-3</v>
      </c>
      <c r="AK29" s="47">
        <v>3.0015838198541124E-2</v>
      </c>
      <c r="AL29" s="161">
        <v>1.6736357414946983E-2</v>
      </c>
      <c r="AM29" s="29">
        <v>1.7369638613567429E-2</v>
      </c>
      <c r="AN29" s="161">
        <v>1.0076997191238715E-2</v>
      </c>
    </row>
    <row r="30" spans="1:46" s="84" customFormat="1" x14ac:dyDescent="0.35">
      <c r="B30" s="285"/>
      <c r="C30" s="40" t="s">
        <v>129</v>
      </c>
      <c r="D30" s="29">
        <v>1.0659063145071152E-3</v>
      </c>
      <c r="E30" s="47">
        <v>5.8107692880066196E-4</v>
      </c>
      <c r="F30" s="161">
        <v>1.0854589562849708E-3</v>
      </c>
      <c r="G30" s="29">
        <f t="shared" si="0"/>
        <v>9.1081406653091589E-4</v>
      </c>
      <c r="H30" s="161">
        <f t="shared" si="1"/>
        <v>2.3329596574455755E-4</v>
      </c>
      <c r="J30" s="29">
        <v>2.7444996684112866E-2</v>
      </c>
      <c r="K30" s="47">
        <v>1.430423251277284E-2</v>
      </c>
      <c r="L30" s="161">
        <v>3.5733730396897929E-2</v>
      </c>
      <c r="M30" s="29">
        <f t="shared" si="2"/>
        <v>2.5827653197927878E-2</v>
      </c>
      <c r="N30" s="161">
        <f t="shared" si="3"/>
        <v>8.8229887171962732E-3</v>
      </c>
      <c r="P30" s="29">
        <v>3.6607141416886951E-2</v>
      </c>
      <c r="Q30" s="47">
        <v>1.8194254432916387E-2</v>
      </c>
      <c r="R30" s="161">
        <v>4.0641365862878746E-2</v>
      </c>
      <c r="S30" s="29">
        <f t="shared" si="4"/>
        <v>3.1814253904227367E-2</v>
      </c>
      <c r="T30" s="161">
        <f t="shared" si="5"/>
        <v>9.770603219830476E-3</v>
      </c>
      <c r="X30" s="29">
        <v>1.4020826551136975E-3</v>
      </c>
      <c r="Y30" s="47">
        <v>8.2038671738008339E-4</v>
      </c>
      <c r="Z30" s="161">
        <v>1.0368161579940515E-3</v>
      </c>
      <c r="AA30" s="47">
        <v>1.0864285101626107E-3</v>
      </c>
      <c r="AB30" s="161">
        <v>2.4005357750541166E-4</v>
      </c>
      <c r="AD30" s="29">
        <v>1.0345309646928953E-3</v>
      </c>
      <c r="AE30" s="47">
        <v>1.1998013782723424E-3</v>
      </c>
      <c r="AF30" s="161">
        <v>1.2546393848359863E-2</v>
      </c>
      <c r="AG30" s="29">
        <v>4.9269087304417E-3</v>
      </c>
      <c r="AH30" s="161">
        <v>5.3882120518797608E-3</v>
      </c>
      <c r="AJ30" s="29">
        <v>6.9408631317979183E-3</v>
      </c>
      <c r="AK30" s="47">
        <v>2.014918480840764E-3</v>
      </c>
      <c r="AL30" s="161">
        <v>2.0316727535286773E-2</v>
      </c>
      <c r="AM30" s="29">
        <v>9.7575030493084851E-3</v>
      </c>
      <c r="AN30" s="161">
        <v>7.7325782239835092E-3</v>
      </c>
    </row>
    <row r="31" spans="1:46" s="84" customFormat="1" x14ac:dyDescent="0.35">
      <c r="B31" s="279" t="s">
        <v>53</v>
      </c>
      <c r="C31" s="168" t="s">
        <v>203</v>
      </c>
      <c r="D31" s="29">
        <v>2.3523601953066948E-4</v>
      </c>
      <c r="E31" s="47">
        <v>3.9928975298010897E-4</v>
      </c>
      <c r="F31" s="161">
        <v>1.1150013012731698E-3</v>
      </c>
      <c r="G31" s="29">
        <f t="shared" si="0"/>
        <v>5.831756912613161E-4</v>
      </c>
      <c r="H31" s="161">
        <f t="shared" si="1"/>
        <v>3.8197492628272098E-4</v>
      </c>
      <c r="I31" s="104">
        <f>ROUND(_xlfn.T.TEST(D25:F25,D31:F31,2,2),4)</f>
        <v>0.37709999999999999</v>
      </c>
      <c r="J31" s="29">
        <v>1.4584958723817005E-3</v>
      </c>
      <c r="K31" s="47">
        <v>2.5723432825776132E-4</v>
      </c>
      <c r="L31" s="161">
        <v>5.5302229275528108E-4</v>
      </c>
      <c r="M31" s="29">
        <f t="shared" si="2"/>
        <v>7.5625083113158096E-4</v>
      </c>
      <c r="N31" s="161">
        <f t="shared" si="3"/>
        <v>5.1103405200024455E-4</v>
      </c>
      <c r="O31" s="104">
        <f>ROUND(_xlfn.T.TEST(J25:L25,J31:L31,2,2),4)</f>
        <v>0.29709999999999998</v>
      </c>
      <c r="P31" s="29">
        <v>1.0885020099264144E-3</v>
      </c>
      <c r="Q31" s="47">
        <v>3.6359213380549022E-4</v>
      </c>
      <c r="R31" s="161">
        <v>1.2925064637362763E-3</v>
      </c>
      <c r="S31" s="29">
        <f t="shared" si="4"/>
        <v>9.1486686915606024E-4</v>
      </c>
      <c r="T31" s="161">
        <f t="shared" si="5"/>
        <v>3.9860785213075917E-4</v>
      </c>
      <c r="U31" s="104">
        <f>ROUND(_xlfn.T.TEST(P25:R25,P31:R31,2,2),4)</f>
        <v>0.32100000000000001</v>
      </c>
      <c r="X31" s="29">
        <v>1.2075690737819607E-3</v>
      </c>
      <c r="Y31" s="47">
        <v>2.8018718582075835E-4</v>
      </c>
      <c r="Z31" s="161">
        <v>7.3078744284830858E-4</v>
      </c>
      <c r="AA31" s="47">
        <v>7.3951456748367597E-4</v>
      </c>
      <c r="AB31" s="161">
        <v>3.7865235908233114E-4</v>
      </c>
      <c r="AC31" s="104">
        <f>ROUND(_xlfn.T.TEST(X25:Z25,X31:Z31,2,2),4)</f>
        <v>0.33350000000000002</v>
      </c>
      <c r="AD31" s="29">
        <v>1.2093553797636813E-4</v>
      </c>
      <c r="AE31" s="47">
        <v>9.028541466013222E-5</v>
      </c>
      <c r="AF31" s="161">
        <v>9.3902493175856971E-4</v>
      </c>
      <c r="AG31" s="29">
        <v>3.8341529479835669E-4</v>
      </c>
      <c r="AH31" s="161">
        <v>3.9307455529209712E-4</v>
      </c>
      <c r="AI31" s="104">
        <f>ROUND(_xlfn.T.TEST(AD25:AF25,AD31:AF31,2,2),4)</f>
        <v>0.97309999999999997</v>
      </c>
      <c r="AJ31" s="29">
        <v>6.0247648040971408E-4</v>
      </c>
      <c r="AK31" s="47">
        <v>3.6081143157662643E-4</v>
      </c>
      <c r="AL31" s="161">
        <v>1.0798882001985467E-3</v>
      </c>
      <c r="AM31" s="29">
        <v>6.81058704061629E-4</v>
      </c>
      <c r="AN31" s="161">
        <v>2.9877441233422847E-4</v>
      </c>
      <c r="AO31" s="104">
        <f>ROUND(_xlfn.T.TEST(AJ25:AL25,AJ31:AL31,2,2),4)</f>
        <v>0.55710000000000004</v>
      </c>
    </row>
    <row r="32" spans="1:46" s="84" customFormat="1" x14ac:dyDescent="0.35">
      <c r="B32" s="251"/>
      <c r="C32" s="40" t="s">
        <v>204</v>
      </c>
      <c r="D32" s="29">
        <v>2.2618711761711852E-3</v>
      </c>
      <c r="E32" s="47">
        <v>1.7713793351152995E-3</v>
      </c>
      <c r="F32" s="161">
        <v>6.0682370648880088E-4</v>
      </c>
      <c r="G32" s="29">
        <f t="shared" si="0"/>
        <v>1.5466914059250952E-3</v>
      </c>
      <c r="H32" s="161">
        <f t="shared" si="1"/>
        <v>6.9409847085667058E-4</v>
      </c>
      <c r="I32" s="104">
        <f t="shared" ref="I32:I36" si="6">ROUND(_xlfn.T.TEST(D26:F26,D32:F32,2,2),4)</f>
        <v>0.19939999999999999</v>
      </c>
      <c r="J32" s="29">
        <v>5.1993327753557554E-3</v>
      </c>
      <c r="K32" s="47">
        <v>1.7248843606222906E-3</v>
      </c>
      <c r="L32" s="161">
        <v>2.1652126824739603E-3</v>
      </c>
      <c r="M32" s="29">
        <f t="shared" si="2"/>
        <v>3.0298099394840024E-3</v>
      </c>
      <c r="N32" s="161">
        <f t="shared" si="3"/>
        <v>1.5445806894392488E-3</v>
      </c>
      <c r="O32" s="104">
        <f t="shared" ref="O32:O36" si="7">ROUND(_xlfn.T.TEST(J26:L26,J32:L32,2,2),4)</f>
        <v>0.17530000000000001</v>
      </c>
      <c r="P32" s="29">
        <v>4.5863697984917465E-3</v>
      </c>
      <c r="Q32" s="47">
        <v>1.1312022567986529E-3</v>
      </c>
      <c r="R32" s="161">
        <v>1.9688544833021131E-3</v>
      </c>
      <c r="S32" s="29">
        <f t="shared" si="4"/>
        <v>2.5621421795308376E-3</v>
      </c>
      <c r="T32" s="161">
        <f t="shared" si="5"/>
        <v>1.4716291206606515E-3</v>
      </c>
      <c r="U32" s="104">
        <f t="shared" ref="U32:U36" si="8">ROUND(_xlfn.T.TEST(P26:R26,P32:R32,2,2),4)</f>
        <v>0.26869999999999999</v>
      </c>
      <c r="X32" s="29">
        <v>1.8180360969701941E-3</v>
      </c>
      <c r="Y32" s="47">
        <v>1.9078781065642581E-3</v>
      </c>
      <c r="Z32" s="161">
        <v>1.1660336878443383E-3</v>
      </c>
      <c r="AA32" s="47">
        <v>1.6306492971262636E-3</v>
      </c>
      <c r="AB32" s="161">
        <v>3.305738898373412E-4</v>
      </c>
      <c r="AC32" s="104">
        <f t="shared" ref="AC32:AC36" si="9">ROUND(_xlfn.T.TEST(X26:Z26,X32:Z32,2,2),4)</f>
        <v>0.23710000000000001</v>
      </c>
      <c r="AD32" s="29">
        <v>1.1087828341299151E-3</v>
      </c>
      <c r="AE32" s="47">
        <v>2.4052421677804815E-3</v>
      </c>
      <c r="AF32" s="161">
        <v>5.9969887050226951E-4</v>
      </c>
      <c r="AG32" s="29">
        <v>1.3712412908042221E-3</v>
      </c>
      <c r="AH32" s="161">
        <v>7.6011401806854557E-4</v>
      </c>
      <c r="AI32" s="104">
        <f t="shared" ref="AI32:AI36" si="10">ROUND(_xlfn.T.TEST(AD26:AF26,AD32:AF32,2,2),4)</f>
        <v>0.14510000000000001</v>
      </c>
      <c r="AJ32" s="29">
        <v>4.1532429177406076E-4</v>
      </c>
      <c r="AK32" s="47">
        <v>5.3806777258296888E-4</v>
      </c>
      <c r="AL32" s="161">
        <v>3.0370921460985326E-4</v>
      </c>
      <c r="AM32" s="29">
        <v>4.190337596556276E-4</v>
      </c>
      <c r="AN32" s="161">
        <v>9.5712428791607589E-5</v>
      </c>
      <c r="AO32" s="104">
        <f t="shared" ref="AO32:AO36" si="11">ROUND(_xlfn.T.TEST(AJ26:AL26,AJ32:AL32,2,2),4)</f>
        <v>0.63480000000000003</v>
      </c>
    </row>
    <row r="33" spans="2:41" s="84" customFormat="1" x14ac:dyDescent="0.35">
      <c r="B33" s="251"/>
      <c r="C33" s="40" t="s">
        <v>126</v>
      </c>
      <c r="D33" s="29">
        <v>8.1145012684738071E-4</v>
      </c>
      <c r="E33" s="47">
        <v>9.6739795868937078E-4</v>
      </c>
      <c r="F33" s="161"/>
      <c r="G33" s="29">
        <f t="shared" si="0"/>
        <v>8.8942404276837574E-4</v>
      </c>
      <c r="H33" s="161">
        <f t="shared" si="1"/>
        <v>7.7973915920995034E-5</v>
      </c>
      <c r="I33" s="104">
        <f t="shared" si="6"/>
        <v>0.58130000000000004</v>
      </c>
      <c r="J33" s="29">
        <v>3.2561395988500476E-3</v>
      </c>
      <c r="K33" s="47">
        <v>2.3093289997955873E-3</v>
      </c>
      <c r="L33" s="161"/>
      <c r="M33" s="29">
        <f t="shared" si="2"/>
        <v>2.7827342993228176E-3</v>
      </c>
      <c r="N33" s="161">
        <f t="shared" si="3"/>
        <v>4.7340529952723015E-4</v>
      </c>
      <c r="O33" s="104">
        <f t="shared" si="7"/>
        <v>0.17399999999999999</v>
      </c>
      <c r="P33" s="29">
        <v>2.1200162414689934E-3</v>
      </c>
      <c r="Q33" s="47">
        <v>3.1073706149356236E-3</v>
      </c>
      <c r="R33" s="161"/>
      <c r="S33" s="29">
        <f t="shared" si="4"/>
        <v>2.6136934282023085E-3</v>
      </c>
      <c r="T33" s="161">
        <f t="shared" si="5"/>
        <v>4.936771867333151E-4</v>
      </c>
      <c r="U33" s="104">
        <f t="shared" si="8"/>
        <v>0.92279999999999995</v>
      </c>
      <c r="X33" s="29">
        <v>1.9705178982136473E-3</v>
      </c>
      <c r="Y33" s="47">
        <v>1.4586262998419058E-3</v>
      </c>
      <c r="Z33" s="161"/>
      <c r="AA33" s="47">
        <v>1.7145720990277766E-3</v>
      </c>
      <c r="AB33" s="161">
        <v>2.5594579918587074E-4</v>
      </c>
      <c r="AC33" s="103">
        <f t="shared" si="9"/>
        <v>4.87E-2</v>
      </c>
      <c r="AD33" s="29">
        <v>3.9330362790334829E-3</v>
      </c>
      <c r="AE33" s="47">
        <v>3.5834338755967275E-3</v>
      </c>
      <c r="AF33" s="161"/>
      <c r="AG33" s="29">
        <v>3.7582350773151052E-3</v>
      </c>
      <c r="AH33" s="161">
        <v>1.7480120171837771E-4</v>
      </c>
      <c r="AI33" s="103">
        <f t="shared" si="10"/>
        <v>1.4E-3</v>
      </c>
      <c r="AJ33" s="29">
        <v>1.8179470258757244E-3</v>
      </c>
      <c r="AK33" s="47">
        <v>2.4806564013528272E-3</v>
      </c>
      <c r="AL33" s="161"/>
      <c r="AM33" s="29">
        <v>2.1493017136142759E-3</v>
      </c>
      <c r="AN33" s="161">
        <v>3.313546877385514E-4</v>
      </c>
      <c r="AO33" s="103">
        <f t="shared" si="11"/>
        <v>4.1399999999999999E-2</v>
      </c>
    </row>
    <row r="34" spans="2:41" s="84" customFormat="1" x14ac:dyDescent="0.35">
      <c r="B34" s="251"/>
      <c r="C34" s="40" t="s">
        <v>127</v>
      </c>
      <c r="D34" s="29">
        <v>1.4618704090697229E-3</v>
      </c>
      <c r="E34" s="47">
        <v>1.112609264460438E-3</v>
      </c>
      <c r="F34" s="161">
        <v>7.2737650776112368E-4</v>
      </c>
      <c r="G34" s="29">
        <f t="shared" si="0"/>
        <v>1.1006187270970948E-3</v>
      </c>
      <c r="H34" s="161">
        <f t="shared" si="1"/>
        <v>2.9997572402288143E-4</v>
      </c>
      <c r="I34" s="104">
        <f t="shared" si="6"/>
        <v>0.50170000000000003</v>
      </c>
      <c r="J34" s="29">
        <v>1.4301020439289637E-2</v>
      </c>
      <c r="K34" s="47">
        <v>1.3057026357880025E-2</v>
      </c>
      <c r="L34" s="161">
        <v>1.0135399419953103E-2</v>
      </c>
      <c r="M34" s="29">
        <f t="shared" si="2"/>
        <v>1.2497815405707588E-2</v>
      </c>
      <c r="N34" s="161">
        <f t="shared" si="3"/>
        <v>1.7459738993766559E-3</v>
      </c>
      <c r="O34" s="104">
        <f t="shared" si="7"/>
        <v>0.95220000000000005</v>
      </c>
      <c r="P34" s="29">
        <v>2.9555334696230267E-2</v>
      </c>
      <c r="Q34" s="47">
        <v>1.7595220619503044E-2</v>
      </c>
      <c r="R34" s="161">
        <v>1.661283645241594E-2</v>
      </c>
      <c r="S34" s="29">
        <f t="shared" si="4"/>
        <v>2.1254463922716418E-2</v>
      </c>
      <c r="T34" s="161">
        <f t="shared" si="5"/>
        <v>5.8832877068222206E-3</v>
      </c>
      <c r="U34" s="104">
        <f t="shared" si="8"/>
        <v>0.96730000000000005</v>
      </c>
      <c r="X34" s="29">
        <v>1.8487249205620399E-3</v>
      </c>
      <c r="Y34" s="47">
        <v>1.4391281172938654E-3</v>
      </c>
      <c r="Z34" s="161">
        <v>1.2446516564583315E-3</v>
      </c>
      <c r="AA34" s="47">
        <v>1.5108348981047457E-3</v>
      </c>
      <c r="AB34" s="161">
        <v>2.5177042970653762E-4</v>
      </c>
      <c r="AC34" s="103">
        <f t="shared" si="9"/>
        <v>1.55E-2</v>
      </c>
      <c r="AD34" s="29">
        <v>4.7975909640181396E-3</v>
      </c>
      <c r="AE34" s="47">
        <v>5.2713019884510345E-3</v>
      </c>
      <c r="AF34" s="161">
        <v>1.3851375588346121E-3</v>
      </c>
      <c r="AG34" s="29">
        <v>3.8180101704345954E-3</v>
      </c>
      <c r="AH34" s="161">
        <v>1.7311368888435347E-3</v>
      </c>
      <c r="AI34" s="104">
        <f t="shared" si="10"/>
        <v>0.16470000000000001</v>
      </c>
      <c r="AJ34" s="29">
        <v>1.1731455897000214E-2</v>
      </c>
      <c r="AK34" s="47">
        <v>1.0663839675065742E-2</v>
      </c>
      <c r="AL34" s="161">
        <v>6.9089942898430332E-3</v>
      </c>
      <c r="AM34" s="29">
        <v>9.7680966206363292E-3</v>
      </c>
      <c r="AN34" s="161">
        <v>2.0681393735747363E-3</v>
      </c>
      <c r="AO34" s="104">
        <f t="shared" si="11"/>
        <v>0.60240000000000005</v>
      </c>
    </row>
    <row r="35" spans="2:41" s="84" customFormat="1" x14ac:dyDescent="0.35">
      <c r="B35" s="251"/>
      <c r="C35" s="40" t="s">
        <v>128</v>
      </c>
      <c r="D35" s="29">
        <v>2.4124358619079102E-3</v>
      </c>
      <c r="E35" s="47">
        <v>1.6551493849638499E-3</v>
      </c>
      <c r="F35" s="161">
        <v>1.325394992841977E-3</v>
      </c>
      <c r="G35" s="29">
        <f t="shared" si="0"/>
        <v>1.797660079904579E-3</v>
      </c>
      <c r="H35" s="161">
        <f t="shared" si="1"/>
        <v>4.5507979987709994E-4</v>
      </c>
      <c r="I35" s="104">
        <f t="shared" si="6"/>
        <v>0.99550000000000005</v>
      </c>
      <c r="J35" s="29">
        <v>0.12155343931373301</v>
      </c>
      <c r="K35" s="47">
        <v>2.5600720968104212E-2</v>
      </c>
      <c r="L35" s="161">
        <v>5.4493342399267945E-2</v>
      </c>
      <c r="M35" s="29">
        <f t="shared" si="2"/>
        <v>6.721583422703506E-2</v>
      </c>
      <c r="N35" s="161">
        <f t="shared" si="3"/>
        <v>4.0192266156642557E-2</v>
      </c>
      <c r="O35" s="104">
        <f t="shared" si="7"/>
        <v>0.31309999999999999</v>
      </c>
      <c r="P35" s="29">
        <v>0.1728739725005197</v>
      </c>
      <c r="Q35" s="47">
        <v>2.8874233879413808E-2</v>
      </c>
      <c r="R35" s="161">
        <v>4.4363311407619621E-2</v>
      </c>
      <c r="S35" s="29">
        <f t="shared" si="4"/>
        <v>8.2037172595851041E-2</v>
      </c>
      <c r="T35" s="161">
        <f t="shared" si="5"/>
        <v>6.4541826455714241E-2</v>
      </c>
      <c r="U35" s="104">
        <f t="shared" si="8"/>
        <v>0.4289</v>
      </c>
      <c r="X35" s="29">
        <v>2.503629993428427E-3</v>
      </c>
      <c r="Y35" s="47">
        <v>9.658312763546166E-4</v>
      </c>
      <c r="Z35" s="161">
        <v>2.713917339424879E-3</v>
      </c>
      <c r="AA35" s="47">
        <v>2.0611262030693074E-3</v>
      </c>
      <c r="AB35" s="161">
        <v>7.7923399324240764E-4</v>
      </c>
      <c r="AC35" s="104">
        <f t="shared" si="9"/>
        <v>0.94230000000000003</v>
      </c>
      <c r="AD35" s="29">
        <v>9.8877584104492978E-3</v>
      </c>
      <c r="AE35" s="47">
        <v>9.9567723922989702E-3</v>
      </c>
      <c r="AF35" s="161">
        <v>2.8805032921426877E-2</v>
      </c>
      <c r="AG35" s="29">
        <v>1.6216521241391713E-2</v>
      </c>
      <c r="AH35" s="161">
        <v>8.9014665634830053E-3</v>
      </c>
      <c r="AI35" s="104">
        <f t="shared" si="10"/>
        <v>0.2122</v>
      </c>
      <c r="AJ35" s="29">
        <v>7.1873861812251957E-2</v>
      </c>
      <c r="AK35" s="47">
        <v>3.1794856043091797E-2</v>
      </c>
      <c r="AL35" s="161">
        <v>4.4216491500182357E-2</v>
      </c>
      <c r="AM35" s="29">
        <v>4.9295069785175373E-2</v>
      </c>
      <c r="AN35" s="161">
        <v>1.6751629650249844E-2</v>
      </c>
      <c r="AO35" s="104">
        <f t="shared" si="11"/>
        <v>8.2100000000000006E-2</v>
      </c>
    </row>
    <row r="36" spans="2:41" s="84" customFormat="1" x14ac:dyDescent="0.35">
      <c r="B36" s="252"/>
      <c r="C36" s="44" t="s">
        <v>129</v>
      </c>
      <c r="D36" s="162">
        <v>3.1611114740108504E-3</v>
      </c>
      <c r="E36" s="163">
        <v>1.0158777834714534E-3</v>
      </c>
      <c r="F36" s="164">
        <v>1.1024747646787344E-3</v>
      </c>
      <c r="G36" s="162">
        <f t="shared" si="0"/>
        <v>1.759821340720346E-3</v>
      </c>
      <c r="H36" s="164">
        <f t="shared" si="1"/>
        <v>9.91492238171516E-4</v>
      </c>
      <c r="I36" s="104">
        <f t="shared" si="6"/>
        <v>0.30380000000000001</v>
      </c>
      <c r="J36" s="162">
        <v>1.9726213527992541E-2</v>
      </c>
      <c r="K36" s="163">
        <v>1.7837009467774046E-2</v>
      </c>
      <c r="L36" s="164">
        <v>1.3869677559318222E-2</v>
      </c>
      <c r="M36" s="162">
        <f t="shared" si="2"/>
        <v>1.7144300185028268E-2</v>
      </c>
      <c r="N36" s="164">
        <f t="shared" si="3"/>
        <v>2.4405788931994034E-3</v>
      </c>
      <c r="O36" s="104">
        <f t="shared" si="7"/>
        <v>0.25090000000000001</v>
      </c>
      <c r="P36" s="162">
        <v>1.8511058078307767E-2</v>
      </c>
      <c r="Q36" s="163">
        <v>1.7299069012065616E-2</v>
      </c>
      <c r="R36" s="164">
        <v>2.0507064117393278E-2</v>
      </c>
      <c r="S36" s="162">
        <f t="shared" si="4"/>
        <v>1.8772397069255556E-2</v>
      </c>
      <c r="T36" s="164">
        <f t="shared" si="5"/>
        <v>1.3226316443852295E-3</v>
      </c>
      <c r="U36" s="104">
        <f t="shared" si="8"/>
        <v>0.13469999999999999</v>
      </c>
      <c r="X36" s="162">
        <v>3.5843653185453346E-3</v>
      </c>
      <c r="Y36" s="163">
        <v>1.9302203123273071E-3</v>
      </c>
      <c r="Z36" s="164">
        <v>1.3026998265184468E-3</v>
      </c>
      <c r="AA36" s="163">
        <v>2.2724284857970293E-3</v>
      </c>
      <c r="AB36" s="164">
        <v>9.6240295783304401E-4</v>
      </c>
      <c r="AC36" s="104">
        <f t="shared" si="9"/>
        <v>0.1661</v>
      </c>
      <c r="AD36" s="162">
        <v>6.2001802625896987E-3</v>
      </c>
      <c r="AE36" s="163">
        <v>6.3318279486911915E-3</v>
      </c>
      <c r="AF36" s="164">
        <v>4.3812645960059999E-3</v>
      </c>
      <c r="AG36" s="162">
        <v>5.6377576024289637E-3</v>
      </c>
      <c r="AH36" s="164">
        <v>8.9009879028728502E-4</v>
      </c>
      <c r="AI36" s="104">
        <f t="shared" si="10"/>
        <v>0.8629</v>
      </c>
      <c r="AJ36" s="162">
        <v>1.3770466493150946E-2</v>
      </c>
      <c r="AK36" s="163">
        <v>1.7462617775689554E-2</v>
      </c>
      <c r="AL36" s="164">
        <v>7.8849765163099376E-3</v>
      </c>
      <c r="AM36" s="162">
        <v>1.3039353595050146E-2</v>
      </c>
      <c r="AN36" s="164">
        <v>3.9440839727089673E-3</v>
      </c>
      <c r="AO36" s="104">
        <f t="shared" si="11"/>
        <v>0.62119999999999997</v>
      </c>
    </row>
  </sheetData>
  <mergeCells count="17">
    <mergeCell ref="V5:X5"/>
    <mergeCell ref="AC5:AE5"/>
    <mergeCell ref="AI5:AK5"/>
    <mergeCell ref="AO5:AQ5"/>
    <mergeCell ref="B7:B12"/>
    <mergeCell ref="B13:B18"/>
    <mergeCell ref="J5:L5"/>
    <mergeCell ref="P5:R5"/>
    <mergeCell ref="D5:F5"/>
    <mergeCell ref="B25:B30"/>
    <mergeCell ref="B31:B36"/>
    <mergeCell ref="AJ23:AL23"/>
    <mergeCell ref="D23:F23"/>
    <mergeCell ref="J23:L23"/>
    <mergeCell ref="P23:R23"/>
    <mergeCell ref="X23:Z23"/>
    <mergeCell ref="AD23:AF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workbookViewId="0"/>
  </sheetViews>
  <sheetFormatPr defaultRowHeight="14.5" x14ac:dyDescent="0.35"/>
  <sheetData>
    <row r="1" spans="1:23" x14ac:dyDescent="0.35">
      <c r="A1" t="s">
        <v>159</v>
      </c>
    </row>
    <row r="3" spans="1:23" x14ac:dyDescent="0.35">
      <c r="C3" s="272" t="s">
        <v>122</v>
      </c>
      <c r="D3" s="241"/>
      <c r="E3" s="242"/>
      <c r="I3" s="287" t="s">
        <v>214</v>
      </c>
      <c r="J3" s="288"/>
      <c r="K3" s="289"/>
      <c r="L3" s="86"/>
      <c r="M3" s="86"/>
      <c r="O3" s="272" t="s">
        <v>117</v>
      </c>
      <c r="P3" s="241"/>
      <c r="Q3" s="242"/>
    </row>
    <row r="4" spans="1:23" x14ac:dyDescent="0.35">
      <c r="C4" s="68" t="s">
        <v>32</v>
      </c>
      <c r="D4" s="69" t="s">
        <v>33</v>
      </c>
      <c r="E4" s="70" t="s">
        <v>34</v>
      </c>
      <c r="F4" s="45" t="s">
        <v>21</v>
      </c>
      <c r="G4" s="45" t="s">
        <v>20</v>
      </c>
      <c r="H4" s="111" t="s">
        <v>196</v>
      </c>
      <c r="I4" s="71" t="s">
        <v>32</v>
      </c>
      <c r="J4" s="72" t="s">
        <v>33</v>
      </c>
      <c r="K4" s="73" t="s">
        <v>34</v>
      </c>
      <c r="L4" s="86" t="s">
        <v>21</v>
      </c>
      <c r="M4" s="86" t="s">
        <v>20</v>
      </c>
      <c r="N4" s="111" t="s">
        <v>196</v>
      </c>
      <c r="O4" s="68" t="s">
        <v>32</v>
      </c>
      <c r="P4" s="69" t="s">
        <v>33</v>
      </c>
      <c r="Q4" s="70" t="s">
        <v>34</v>
      </c>
      <c r="R4" s="45" t="s">
        <v>21</v>
      </c>
      <c r="S4" s="45" t="s">
        <v>20</v>
      </c>
      <c r="T4" s="111" t="s">
        <v>196</v>
      </c>
    </row>
    <row r="5" spans="1:23" x14ac:dyDescent="0.35">
      <c r="A5" s="96" t="s">
        <v>16</v>
      </c>
      <c r="B5" s="290" t="s">
        <v>112</v>
      </c>
      <c r="C5" s="93">
        <v>4.7847883274551771E-2</v>
      </c>
      <c r="D5" s="94">
        <v>8.0223713990779499E-3</v>
      </c>
      <c r="E5" s="95">
        <v>7.1765562672858538E-3</v>
      </c>
      <c r="F5" s="94">
        <v>2.1015603646971859E-2</v>
      </c>
      <c r="G5" s="95">
        <v>1.8976428770429425E-2</v>
      </c>
      <c r="H5" s="86"/>
      <c r="I5" s="217">
        <v>7.4181114357452893E-2</v>
      </c>
      <c r="J5" s="218">
        <v>8.0946646957088683E-2</v>
      </c>
      <c r="K5" s="219">
        <v>1.3294781009689529E-3</v>
      </c>
      <c r="L5" s="218">
        <v>5.2152413138503516E-2</v>
      </c>
      <c r="M5" s="219">
        <v>3.6043225458804111E-2</v>
      </c>
      <c r="N5" s="86"/>
      <c r="O5" s="93">
        <v>0.11444109886440069</v>
      </c>
      <c r="P5" s="94">
        <v>4.8844273931169337E-2</v>
      </c>
      <c r="Q5" s="95">
        <v>8.5575157595351309E-2</v>
      </c>
      <c r="R5" s="94">
        <v>8.295351013030712E-2</v>
      </c>
      <c r="S5" s="95">
        <v>2.6843877475797966E-2</v>
      </c>
      <c r="T5" s="86"/>
      <c r="U5" s="84"/>
      <c r="V5" s="84"/>
      <c r="W5" s="84"/>
    </row>
    <row r="6" spans="1:23" x14ac:dyDescent="0.35">
      <c r="A6" s="97" t="s">
        <v>53</v>
      </c>
      <c r="B6" s="291"/>
      <c r="C6" s="87">
        <v>2.1815396938905895E-2</v>
      </c>
      <c r="D6" s="88">
        <v>1.4065237828494649E-2</v>
      </c>
      <c r="E6" s="89">
        <v>5.8756812485636538E-3</v>
      </c>
      <c r="F6" s="88">
        <v>1.3918772005321399E-2</v>
      </c>
      <c r="G6" s="89">
        <v>6.5081857815243753E-3</v>
      </c>
      <c r="H6" s="154">
        <f>ROUND(_xlfn.T.TEST(C5:E5,C6:E6,2,2),4)</f>
        <v>0.6431</v>
      </c>
      <c r="I6" s="220">
        <v>0.2638827632693197</v>
      </c>
      <c r="J6" s="221">
        <v>0.16753631037097325</v>
      </c>
      <c r="K6" s="222">
        <v>1.9464533896216022E-3</v>
      </c>
      <c r="L6" s="221">
        <v>0.14445517567663821</v>
      </c>
      <c r="M6" s="222">
        <v>0.10817335375045566</v>
      </c>
      <c r="N6" s="154">
        <f>ROUND(_xlfn.T.TEST(I5:K5,I6:K6,2,2),4)</f>
        <v>0.31609999999999999</v>
      </c>
      <c r="O6" s="87">
        <v>7.0753752848527945E-2</v>
      </c>
      <c r="P6" s="88">
        <v>6.8367266204293023E-2</v>
      </c>
      <c r="Q6" s="89">
        <v>2.6629216201418126E-2</v>
      </c>
      <c r="R6" s="88">
        <v>5.5250078418079697E-2</v>
      </c>
      <c r="S6" s="89">
        <v>2.0261443600175223E-2</v>
      </c>
      <c r="T6" s="154">
        <f>ROUND(_xlfn.T.TEST(O5:Q5,O6:Q6,2,2),4)</f>
        <v>0.30880000000000002</v>
      </c>
      <c r="U6" s="84"/>
      <c r="V6" s="84"/>
      <c r="W6" s="84"/>
    </row>
    <row r="7" spans="1:23" x14ac:dyDescent="0.35">
      <c r="A7" s="97" t="s">
        <v>17</v>
      </c>
      <c r="B7" s="291"/>
      <c r="C7" s="87">
        <v>1.2857864578487553E-2</v>
      </c>
      <c r="D7" s="88">
        <v>2.1390805361169715E-2</v>
      </c>
      <c r="E7" s="89">
        <v>1.6400851500342227E-2</v>
      </c>
      <c r="F7" s="88">
        <v>1.6883173813333163E-2</v>
      </c>
      <c r="G7" s="89">
        <v>3.5002138706462693E-3</v>
      </c>
      <c r="H7" s="154">
        <f>ROUND(_xlfn.T.TEST(C5:E5,C7:E7,2,2),4)</f>
        <v>0.77710000000000001</v>
      </c>
      <c r="I7" s="220">
        <v>0.51061655535493078</v>
      </c>
      <c r="J7" s="221">
        <v>0.12049140708956085</v>
      </c>
      <c r="K7" s="222">
        <v>1.16765184770696E-3</v>
      </c>
      <c r="L7" s="221">
        <v>0.21075853809739953</v>
      </c>
      <c r="M7" s="222">
        <v>0.21755560595928558</v>
      </c>
      <c r="N7" s="154">
        <f>ROUND(_xlfn.T.TEST(I5:K5,I7:K7,2,2),4)</f>
        <v>0.36659999999999998</v>
      </c>
      <c r="O7" s="87">
        <v>5.2119261731891117E-2</v>
      </c>
      <c r="P7" s="88">
        <v>6.9653777268314246E-2</v>
      </c>
      <c r="Q7" s="89">
        <v>6.4416822510848862E-2</v>
      </c>
      <c r="R7" s="88">
        <v>6.2063287170351401E-2</v>
      </c>
      <c r="S7" s="89">
        <v>7.3493380755681606E-3</v>
      </c>
      <c r="T7" s="154">
        <f>ROUND(_xlfn.T.TEST(O5:Q5,O7:Q7,2,2),4)</f>
        <v>0.3483</v>
      </c>
      <c r="U7" s="84"/>
      <c r="V7" s="84"/>
      <c r="W7" s="84"/>
    </row>
    <row r="8" spans="1:23" x14ac:dyDescent="0.35">
      <c r="A8" s="99" t="s">
        <v>57</v>
      </c>
      <c r="B8" s="292"/>
      <c r="C8" s="87">
        <v>2.0361417447922438E-2</v>
      </c>
      <c r="D8" s="88">
        <v>5.118162084729776E-3</v>
      </c>
      <c r="E8" s="89">
        <v>2.2992186787627482E-2</v>
      </c>
      <c r="F8" s="88">
        <v>1.6157255440093232E-2</v>
      </c>
      <c r="G8" s="89">
        <v>7.8793579861561949E-3</v>
      </c>
      <c r="H8" s="154">
        <f>ROUND(_xlfn.T.TEST(C5:E5,C8:E8,2,2),4)</f>
        <v>0.75490000000000002</v>
      </c>
      <c r="I8" s="220">
        <v>9.9522598542070934E-2</v>
      </c>
      <c r="J8" s="221">
        <v>7.6799071514389999E-2</v>
      </c>
      <c r="K8" s="222">
        <v>1.3319749325235366E-3</v>
      </c>
      <c r="L8" s="221">
        <v>5.9217881662994826E-2</v>
      </c>
      <c r="M8" s="222">
        <v>4.1969618524603028E-2</v>
      </c>
      <c r="N8" s="154">
        <f>ROUND(_xlfn.T.TEST(I5:K5,I8:K8,2,2),4)</f>
        <v>0.86550000000000005</v>
      </c>
      <c r="O8" s="87">
        <v>6.8786737441481297E-2</v>
      </c>
      <c r="P8" s="88">
        <v>5.6612255241891382E-2</v>
      </c>
      <c r="Q8" s="89">
        <v>0.12546538983042649</v>
      </c>
      <c r="R8" s="88">
        <v>8.3621460837933051E-2</v>
      </c>
      <c r="S8" s="89">
        <v>3.0002669874014606E-2</v>
      </c>
      <c r="T8" s="154">
        <f>ROUND(_xlfn.T.TEST(O5:Q5,O8:Q8,2,2),4)</f>
        <v>0.98240000000000005</v>
      </c>
      <c r="U8" s="84"/>
      <c r="V8" s="84"/>
      <c r="W8" s="84"/>
    </row>
    <row r="9" spans="1:23" x14ac:dyDescent="0.35">
      <c r="A9" s="96" t="s">
        <v>16</v>
      </c>
      <c r="B9" s="290" t="s">
        <v>134</v>
      </c>
      <c r="C9" s="87">
        <v>3.6830911850515284E-2</v>
      </c>
      <c r="D9" s="88">
        <v>1.5513114835910086E-2</v>
      </c>
      <c r="E9" s="89">
        <v>2.3986534662524015E-2</v>
      </c>
      <c r="F9" s="88">
        <v>2.5443520449649797E-2</v>
      </c>
      <c r="G9" s="89">
        <v>8.7637215487825076E-3</v>
      </c>
      <c r="H9" s="86"/>
      <c r="I9" s="220"/>
      <c r="J9" s="221">
        <v>0.17512373523092348</v>
      </c>
      <c r="K9" s="222">
        <v>1.7994465045559627E-3</v>
      </c>
      <c r="L9" s="221">
        <v>8.846159086773972E-2</v>
      </c>
      <c r="M9" s="222">
        <v>8.6662144363183757E-2</v>
      </c>
      <c r="N9" s="86"/>
      <c r="O9" s="87">
        <v>0.10511063299996053</v>
      </c>
      <c r="P9" s="88">
        <v>7.2594259093376218E-2</v>
      </c>
      <c r="Q9" s="89">
        <v>0.13811007806276654</v>
      </c>
      <c r="R9" s="88">
        <v>0.10527165671870109</v>
      </c>
      <c r="S9" s="89">
        <v>2.6746963444921865E-2</v>
      </c>
      <c r="T9" s="86"/>
      <c r="U9" s="84"/>
      <c r="V9" s="84"/>
      <c r="W9" s="84"/>
    </row>
    <row r="10" spans="1:23" x14ac:dyDescent="0.35">
      <c r="A10" s="97" t="s">
        <v>53</v>
      </c>
      <c r="B10" s="291"/>
      <c r="C10" s="87">
        <v>0.169386284540366</v>
      </c>
      <c r="D10" s="88">
        <v>7.9841011198327396E-3</v>
      </c>
      <c r="E10" s="89">
        <v>8.4226810024748994E-2</v>
      </c>
      <c r="F10" s="88">
        <v>8.8685192830099374E-2</v>
      </c>
      <c r="G10" s="89">
        <v>8.0701091710266612E-2</v>
      </c>
      <c r="H10" s="154">
        <f>ROUND(_xlfn.T.TEST(C9:E9,C10:E10,2,2),4)</f>
        <v>0.25940000000000002</v>
      </c>
      <c r="I10" s="220">
        <v>0.12661890186782179</v>
      </c>
      <c r="J10" s="221">
        <v>9.391372187860364E-2</v>
      </c>
      <c r="K10" s="222">
        <v>1.0058726925129254E-3</v>
      </c>
      <c r="L10" s="221">
        <v>7.384616547964612E-2</v>
      </c>
      <c r="M10" s="222">
        <v>5.3208322591603741E-2</v>
      </c>
      <c r="N10" s="154">
        <f>ROUND(_xlfn.T.TEST(I9:K9,I10:K10,2,2),4)</f>
        <v>0.86799999999999999</v>
      </c>
      <c r="O10" s="87">
        <v>0.4271896063812643</v>
      </c>
      <c r="P10" s="88">
        <v>6.4590094178307772E-2</v>
      </c>
      <c r="Q10" s="89">
        <v>8.3300985205764788E-2</v>
      </c>
      <c r="R10" s="88">
        <v>0.19169356192177897</v>
      </c>
      <c r="S10" s="89">
        <v>0.16669595991466671</v>
      </c>
      <c r="T10" s="154">
        <f>ROUND(_xlfn.T.TEST(O9:Q9,O10:Q10,2,2),4)</f>
        <v>0.50919999999999999</v>
      </c>
      <c r="U10" s="84"/>
      <c r="V10" s="84"/>
      <c r="W10" s="84"/>
    </row>
    <row r="11" spans="1:23" x14ac:dyDescent="0.35">
      <c r="A11" s="97" t="s">
        <v>17</v>
      </c>
      <c r="B11" s="291"/>
      <c r="C11" s="87">
        <v>6.8374552507368003E-3</v>
      </c>
      <c r="D11" s="88">
        <v>1.0500684502306798E-2</v>
      </c>
      <c r="E11" s="89">
        <v>1.3321821393413676E-2</v>
      </c>
      <c r="F11" s="88">
        <v>1.0219987048819093E-2</v>
      </c>
      <c r="G11" s="89">
        <v>2.6546618571071543E-3</v>
      </c>
      <c r="H11" s="154">
        <f>ROUND(_xlfn.T.TEST(C9:E9,C11:E11,2,2),4)</f>
        <v>7.8399999999999997E-2</v>
      </c>
      <c r="I11" s="220">
        <v>6.4581163431614963E-2</v>
      </c>
      <c r="J11" s="221">
        <v>6.5249570425421205E-2</v>
      </c>
      <c r="K11" s="222">
        <v>1.119455551451863E-3</v>
      </c>
      <c r="L11" s="221">
        <v>4.3650063136162681E-2</v>
      </c>
      <c r="M11" s="222">
        <v>3.0074918987098836E-2</v>
      </c>
      <c r="N11" s="154">
        <f>ROUND(_xlfn.T.TEST(I9:K9,I11:K11,2,2),4)</f>
        <v>0.56859999999999999</v>
      </c>
      <c r="O11" s="87">
        <v>0.11483152086524429</v>
      </c>
      <c r="P11" s="88">
        <v>5.2990073327429402E-2</v>
      </c>
      <c r="Q11" s="89">
        <v>7.5257666921825658E-2</v>
      </c>
      <c r="R11" s="88">
        <v>8.1026420371499777E-2</v>
      </c>
      <c r="S11" s="89">
        <v>2.5574076010228566E-2</v>
      </c>
      <c r="T11" s="154">
        <f>ROUND(_xlfn.T.TEST(O9:Q9,O11:Q11,2,2),4)</f>
        <v>0.40660000000000002</v>
      </c>
      <c r="U11" s="84"/>
      <c r="V11" s="84"/>
      <c r="W11" s="84"/>
    </row>
    <row r="12" spans="1:23" x14ac:dyDescent="0.35">
      <c r="A12" s="99" t="s">
        <v>57</v>
      </c>
      <c r="B12" s="292"/>
      <c r="C12" s="87">
        <v>3.0245738097004884E-2</v>
      </c>
      <c r="D12" s="88">
        <v>6.2709022577612551E-3</v>
      </c>
      <c r="E12" s="89">
        <v>2.5660087752065276E-2</v>
      </c>
      <c r="F12" s="88">
        <v>2.0725576035610472E-2</v>
      </c>
      <c r="G12" s="89">
        <v>1.0391029554044605E-2</v>
      </c>
      <c r="H12" s="154">
        <f>ROUND(_xlfn.T.TEST(C9:E9,C12:E12,2,2),4)</f>
        <v>0.6492</v>
      </c>
      <c r="I12" s="220">
        <v>9.4421324728709302E-2</v>
      </c>
      <c r="J12" s="221">
        <v>9.3530973414477497E-2</v>
      </c>
      <c r="K12" s="222">
        <v>5.4034618630604463E-4</v>
      </c>
      <c r="L12" s="221">
        <v>6.2830881443164288E-2</v>
      </c>
      <c r="M12" s="222">
        <v>4.4047559662294657E-2</v>
      </c>
      <c r="N12" s="154">
        <f>ROUND(_xlfn.T.TEST(I9:K9,I12:K12,2,2),4)</f>
        <v>0.75839999999999996</v>
      </c>
      <c r="O12" s="87">
        <v>9.7865298361219641E-2</v>
      </c>
      <c r="P12" s="88">
        <v>5.2155883950296342E-2</v>
      </c>
      <c r="Q12" s="89">
        <v>0.12669888672295379</v>
      </c>
      <c r="R12" s="88">
        <v>9.2240023011489924E-2</v>
      </c>
      <c r="S12" s="89">
        <v>3.0690906445409456E-2</v>
      </c>
      <c r="T12" s="154">
        <f>ROUND(_xlfn.T.TEST(O9:Q9,O12:Q12,2,2),4)</f>
        <v>0.67420000000000002</v>
      </c>
      <c r="U12" s="84"/>
      <c r="V12" s="84"/>
      <c r="W12" s="84"/>
    </row>
    <row r="13" spans="1:23" x14ac:dyDescent="0.35">
      <c r="A13" s="98" t="s">
        <v>16</v>
      </c>
      <c r="B13" s="286" t="s">
        <v>30</v>
      </c>
      <c r="C13" s="87">
        <v>9.4618060283965313E-2</v>
      </c>
      <c r="D13" s="88">
        <v>2.6177647627811895E-2</v>
      </c>
      <c r="E13" s="89">
        <v>1.1550545584906797E-2</v>
      </c>
      <c r="F13" s="88">
        <v>4.4115417832227999E-2</v>
      </c>
      <c r="G13" s="89">
        <v>3.6206589635031948E-2</v>
      </c>
      <c r="H13" s="86"/>
      <c r="I13" s="220">
        <v>6.7430514482535134E-2</v>
      </c>
      <c r="J13" s="221">
        <v>0.10439088361625198</v>
      </c>
      <c r="K13" s="222">
        <v>8.5343396142606583E-4</v>
      </c>
      <c r="L13" s="221">
        <v>5.7558277353404387E-2</v>
      </c>
      <c r="M13" s="222">
        <v>4.2841542687028625E-2</v>
      </c>
      <c r="N13" s="86"/>
      <c r="O13" s="87">
        <v>0.15627438186665044</v>
      </c>
      <c r="P13" s="88">
        <v>5.6148953106661174E-2</v>
      </c>
      <c r="Q13" s="89">
        <v>4.4871943803392586E-2</v>
      </c>
      <c r="R13" s="88">
        <v>8.5765092925568068E-2</v>
      </c>
      <c r="S13" s="89">
        <v>5.0069702115745796E-2</v>
      </c>
      <c r="T13" s="86"/>
      <c r="U13" s="84"/>
      <c r="V13" s="84"/>
      <c r="W13" s="84"/>
    </row>
    <row r="14" spans="1:23" x14ac:dyDescent="0.35">
      <c r="A14" s="97" t="s">
        <v>53</v>
      </c>
      <c r="B14" s="284"/>
      <c r="C14" s="87">
        <v>2.1260990357158362E-2</v>
      </c>
      <c r="D14" s="88">
        <v>1.3066404515805163E-2</v>
      </c>
      <c r="E14" s="89">
        <v>1.8565984188608314E-2</v>
      </c>
      <c r="F14" s="88">
        <v>1.7631126353857277E-2</v>
      </c>
      <c r="G14" s="89">
        <v>3.410110326291817E-3</v>
      </c>
      <c r="H14" s="154">
        <f>ROUND(_xlfn.T.TEST(C13:E13,C14:E14,2,2),4)</f>
        <v>0.36130000000000001</v>
      </c>
      <c r="I14" s="220">
        <v>7.8599066296838827E-2</v>
      </c>
      <c r="J14" s="221">
        <v>6.3055959965921282E-2</v>
      </c>
      <c r="K14" s="222">
        <v>6.647583809549387E-4</v>
      </c>
      <c r="L14" s="221">
        <v>4.7439928214571686E-2</v>
      </c>
      <c r="M14" s="222">
        <v>3.3678226629147399E-2</v>
      </c>
      <c r="N14" s="154">
        <f>ROUND(_xlfn.T.TEST(I13:K13,I14:K14,2,2),4)</f>
        <v>0.80579999999999996</v>
      </c>
      <c r="O14" s="87">
        <v>0.10425656916981273</v>
      </c>
      <c r="P14" s="88">
        <v>0.11271062297127882</v>
      </c>
      <c r="Q14" s="89">
        <v>0.10473965958034558</v>
      </c>
      <c r="R14" s="88">
        <v>0.10723561724047904</v>
      </c>
      <c r="S14" s="89">
        <v>3.8764339196745421E-3</v>
      </c>
      <c r="T14" s="154">
        <f>ROUND(_xlfn.T.TEST(O13:Q13,O14:Q14,2,2),4)</f>
        <v>0.57809999999999995</v>
      </c>
      <c r="U14" s="84"/>
      <c r="V14" s="84"/>
      <c r="W14" s="84"/>
    </row>
    <row r="15" spans="1:23" x14ac:dyDescent="0.35">
      <c r="A15" s="97" t="s">
        <v>17</v>
      </c>
      <c r="B15" s="284"/>
      <c r="C15" s="87">
        <v>3.4613898196358676E-2</v>
      </c>
      <c r="D15" s="88">
        <v>1.1844293287170578E-2</v>
      </c>
      <c r="E15" s="89">
        <v>2.2785089828784862E-2</v>
      </c>
      <c r="F15" s="88">
        <v>2.3081093770771371E-2</v>
      </c>
      <c r="G15" s="89">
        <v>9.2980084132888163E-3</v>
      </c>
      <c r="H15" s="154">
        <f>ROUND(_xlfn.T.TEST(C13:E13,C15:E15,2,2),4)</f>
        <v>0.47070000000000001</v>
      </c>
      <c r="I15" s="220">
        <v>0.12010916404967378</v>
      </c>
      <c r="J15" s="221">
        <v>6.3831515913469514E-2</v>
      </c>
      <c r="K15" s="222">
        <v>5.8716208998080407E-4</v>
      </c>
      <c r="L15" s="221">
        <v>6.1509280684374695E-2</v>
      </c>
      <c r="M15" s="222">
        <v>4.8822275110565742E-2</v>
      </c>
      <c r="N15" s="154">
        <f>ROUND(_xlfn.T.TEST(I13:K13,I15:K15,2,2),4)</f>
        <v>0.93559999999999999</v>
      </c>
      <c r="O15" s="87">
        <v>0.10004920577550111</v>
      </c>
      <c r="P15" s="88">
        <v>0.20054251721286082</v>
      </c>
      <c r="Q15" s="89">
        <v>0.11520568238997451</v>
      </c>
      <c r="R15" s="88">
        <v>0.13859913512611213</v>
      </c>
      <c r="S15" s="89">
        <v>4.4235480737374717E-2</v>
      </c>
      <c r="T15" s="154">
        <f>ROUND(_xlfn.T.TEST(O13:Q13,O15:Q15,2,2),4)</f>
        <v>0.32600000000000001</v>
      </c>
      <c r="U15" s="84"/>
      <c r="V15" s="84"/>
      <c r="W15" s="84"/>
    </row>
    <row r="16" spans="1:23" x14ac:dyDescent="0.35">
      <c r="A16" s="99" t="s">
        <v>57</v>
      </c>
      <c r="B16" s="285"/>
      <c r="C16" s="90">
        <v>1.3698651545128098E-2</v>
      </c>
      <c r="D16" s="91">
        <v>1.564667036063952E-2</v>
      </c>
      <c r="E16" s="92">
        <v>6.7167403203761281E-3</v>
      </c>
      <c r="F16" s="91">
        <v>1.2020687408714583E-2</v>
      </c>
      <c r="G16" s="92">
        <v>3.8338479680617727E-3</v>
      </c>
      <c r="H16" s="154">
        <f>ROUND(_xlfn.T.TEST(C13:E13,C16:E16,2,2),4)</f>
        <v>0.28050000000000003</v>
      </c>
      <c r="I16" s="223">
        <v>0.14682754814599872</v>
      </c>
      <c r="J16" s="224">
        <v>8.4028066333713278E-2</v>
      </c>
      <c r="K16" s="225">
        <v>9.2675932893298196E-4</v>
      </c>
      <c r="L16" s="224">
        <v>7.7260791269548323E-2</v>
      </c>
      <c r="M16" s="225">
        <v>5.9755652749097318E-2</v>
      </c>
      <c r="N16" s="154">
        <f>ROUND(_xlfn.T.TEST(I13:K13,I16:K16,2,2),4)</f>
        <v>0.72399999999999998</v>
      </c>
      <c r="O16" s="90">
        <v>0.13732562016134314</v>
      </c>
      <c r="P16" s="91">
        <v>7.034782752140091E-2</v>
      </c>
      <c r="Q16" s="92">
        <v>4.7951519411556599E-2</v>
      </c>
      <c r="R16" s="91">
        <v>8.5208322364766886E-2</v>
      </c>
      <c r="S16" s="92">
        <v>3.796979678156949E-2</v>
      </c>
      <c r="T16" s="154">
        <f>ROUND(_xlfn.T.TEST(O13:Q13,O16:Q16,2,2),4)</f>
        <v>0.99060000000000004</v>
      </c>
      <c r="U16" s="84"/>
      <c r="V16" s="84"/>
      <c r="W16" s="84"/>
    </row>
    <row r="17" spans="1:20" x14ac:dyDescent="0.35"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</row>
    <row r="18" spans="1:20" x14ac:dyDescent="0.35">
      <c r="C18" s="287" t="s">
        <v>123</v>
      </c>
      <c r="D18" s="288"/>
      <c r="E18" s="289"/>
      <c r="F18" s="86"/>
      <c r="G18" s="86"/>
      <c r="H18" s="86"/>
      <c r="I18" s="287" t="s">
        <v>133</v>
      </c>
      <c r="J18" s="288"/>
      <c r="K18" s="289"/>
      <c r="L18" s="86"/>
      <c r="M18" s="86"/>
      <c r="N18" s="86"/>
      <c r="O18" s="287" t="s">
        <v>120</v>
      </c>
      <c r="P18" s="288"/>
      <c r="Q18" s="289"/>
      <c r="R18" s="86"/>
      <c r="S18" s="86"/>
    </row>
    <row r="19" spans="1:20" x14ac:dyDescent="0.35">
      <c r="C19" s="71" t="s">
        <v>32</v>
      </c>
      <c r="D19" s="72" t="s">
        <v>33</v>
      </c>
      <c r="E19" s="73" t="s">
        <v>34</v>
      </c>
      <c r="F19" s="86" t="s">
        <v>21</v>
      </c>
      <c r="G19" s="86" t="s">
        <v>20</v>
      </c>
      <c r="H19" s="111" t="s">
        <v>196</v>
      </c>
      <c r="I19" s="71" t="s">
        <v>32</v>
      </c>
      <c r="J19" s="72" t="s">
        <v>33</v>
      </c>
      <c r="K19" s="73" t="s">
        <v>34</v>
      </c>
      <c r="L19" s="86" t="s">
        <v>21</v>
      </c>
      <c r="M19" s="86" t="s">
        <v>20</v>
      </c>
      <c r="N19" s="111" t="s">
        <v>196</v>
      </c>
      <c r="O19" s="71" t="s">
        <v>32</v>
      </c>
      <c r="P19" s="72" t="s">
        <v>33</v>
      </c>
      <c r="Q19" s="73" t="s">
        <v>34</v>
      </c>
      <c r="R19" s="86" t="s">
        <v>21</v>
      </c>
      <c r="S19" s="86" t="s">
        <v>20</v>
      </c>
      <c r="T19" s="111" t="s">
        <v>196</v>
      </c>
    </row>
    <row r="20" spans="1:20" x14ac:dyDescent="0.35">
      <c r="A20" s="96" t="s">
        <v>16</v>
      </c>
      <c r="B20" s="290" t="s">
        <v>112</v>
      </c>
      <c r="C20" s="93">
        <v>0.25740634211875485</v>
      </c>
      <c r="D20" s="94">
        <v>4.8417200137939924E-2</v>
      </c>
      <c r="E20" s="95">
        <v>0.11537968715347581</v>
      </c>
      <c r="F20" s="94">
        <v>0.14040107647005687</v>
      </c>
      <c r="G20" s="95">
        <v>8.7134638382097118E-2</v>
      </c>
      <c r="H20" s="86"/>
      <c r="I20" s="93">
        <v>0.38326634044168673</v>
      </c>
      <c r="J20" s="94">
        <v>0.26995200791879159</v>
      </c>
      <c r="K20" s="95">
        <v>0.18442362022895839</v>
      </c>
      <c r="L20" s="94">
        <v>0.27921398952981225</v>
      </c>
      <c r="M20" s="95">
        <v>8.1440960508913071E-2</v>
      </c>
      <c r="N20" s="86"/>
      <c r="O20" s="93">
        <v>9.0593132433587247</v>
      </c>
      <c r="P20" s="94">
        <v>0.80926533835709502</v>
      </c>
      <c r="Q20" s="95">
        <v>4.5243886272965765</v>
      </c>
      <c r="R20" s="94">
        <v>4.7976557363374654</v>
      </c>
      <c r="S20" s="95">
        <v>3.3736062597135934</v>
      </c>
    </row>
    <row r="21" spans="1:20" x14ac:dyDescent="0.35">
      <c r="A21" s="97" t="s">
        <v>53</v>
      </c>
      <c r="B21" s="291"/>
      <c r="C21" s="87">
        <v>0.19205787549792527</v>
      </c>
      <c r="D21" s="88">
        <v>3.6024100181049054E-2</v>
      </c>
      <c r="E21" s="89">
        <v>8.6120319004824655E-3</v>
      </c>
      <c r="F21" s="88">
        <v>7.8898002526485586E-2</v>
      </c>
      <c r="G21" s="89">
        <v>8.0794896744942515E-2</v>
      </c>
      <c r="H21" s="154">
        <f>ROUND(_xlfn.T.TEST(C20:E20,C21:E21,2,2),4)</f>
        <v>0.50480000000000003</v>
      </c>
      <c r="I21" s="87">
        <v>0.39789517030462984</v>
      </c>
      <c r="J21" s="88">
        <v>0.14475596733864252</v>
      </c>
      <c r="K21" s="89">
        <v>4.2822608651054354E-2</v>
      </c>
      <c r="L21" s="88">
        <v>0.19515791543144223</v>
      </c>
      <c r="M21" s="89">
        <v>0.14927468704476765</v>
      </c>
      <c r="N21" s="154">
        <f>ROUND(_xlfn.T.TEST(I20:K20,I21:K21,2,2),4)</f>
        <v>0.52300000000000002</v>
      </c>
      <c r="O21" s="87">
        <v>6.6997429192353453</v>
      </c>
      <c r="P21" s="88">
        <v>1.6681337198012074</v>
      </c>
      <c r="Q21" s="89">
        <v>0.31764045990288486</v>
      </c>
      <c r="R21" s="88">
        <v>2.8951723663131457</v>
      </c>
      <c r="S21" s="89">
        <v>2.7461519538413195</v>
      </c>
      <c r="T21" s="154">
        <f>ROUND(_xlfn.T.TEST(O20:Q20,O21:Q21,2,2),4)</f>
        <v>0.56969999999999998</v>
      </c>
    </row>
    <row r="22" spans="1:20" x14ac:dyDescent="0.35">
      <c r="A22" s="97" t="s">
        <v>17</v>
      </c>
      <c r="B22" s="291"/>
      <c r="C22" s="87">
        <v>0.15591578386568877</v>
      </c>
      <c r="D22" s="88">
        <v>0.1265958875242072</v>
      </c>
      <c r="E22" s="89">
        <v>0.11257686497983682</v>
      </c>
      <c r="F22" s="88">
        <v>0.13169617878991094</v>
      </c>
      <c r="G22" s="89">
        <v>1.8056858360834847E-2</v>
      </c>
      <c r="H22" s="154">
        <f>ROUND(_xlfn.T.TEST(C20:E20,C22:E22,2,2),4)</f>
        <v>0.89670000000000005</v>
      </c>
      <c r="I22" s="87">
        <v>0.31770831140006384</v>
      </c>
      <c r="J22" s="88">
        <v>0.29239868428941934</v>
      </c>
      <c r="K22" s="89">
        <v>0.1595467081630865</v>
      </c>
      <c r="L22" s="88">
        <v>0.25655123461752322</v>
      </c>
      <c r="M22" s="89">
        <v>6.9366432422832705E-2</v>
      </c>
      <c r="N22" s="154">
        <f>ROUND(_xlfn.T.TEST(I20:K20,I22:K22,2,2),4)</f>
        <v>0.77939999999999998</v>
      </c>
      <c r="O22" s="71" t="s">
        <v>42</v>
      </c>
      <c r="P22" s="88">
        <v>3.5191920586461487</v>
      </c>
      <c r="Q22" s="89">
        <v>3.11667800370846</v>
      </c>
      <c r="R22" s="88">
        <v>3.3179350311773046</v>
      </c>
      <c r="S22" s="89">
        <v>0.20125702746884433</v>
      </c>
      <c r="T22" s="154">
        <f>ROUND(_xlfn.T.TEST(O20:Q20,O22:Q22,2,2),4)</f>
        <v>0.66410000000000002</v>
      </c>
    </row>
    <row r="23" spans="1:20" x14ac:dyDescent="0.35">
      <c r="A23" s="99" t="s">
        <v>57</v>
      </c>
      <c r="B23" s="292"/>
      <c r="C23" s="87">
        <v>0.15510843721883841</v>
      </c>
      <c r="D23" s="88">
        <v>7.6353282322348767E-2</v>
      </c>
      <c r="E23" s="89">
        <v>8.9373539336696686E-2</v>
      </c>
      <c r="F23" s="88">
        <v>0.10694508629262794</v>
      </c>
      <c r="G23" s="89">
        <v>3.4468952720875204E-2</v>
      </c>
      <c r="H23" s="154">
        <f>ROUND(_xlfn.T.TEST(C20:E20,C23:E23,2,2),4)</f>
        <v>0.64019999999999999</v>
      </c>
      <c r="I23" s="87">
        <v>0.36130765158934297</v>
      </c>
      <c r="J23" s="88">
        <v>0.1707218840458416</v>
      </c>
      <c r="K23" s="89">
        <v>0.14690814955450654</v>
      </c>
      <c r="L23" s="88">
        <v>0.22631256172989703</v>
      </c>
      <c r="M23" s="89">
        <v>9.5949741018326401E-2</v>
      </c>
      <c r="N23" s="154">
        <f>ROUND(_xlfn.T.TEST(I20:K20,I23:K23,2,2),4)</f>
        <v>0.58420000000000005</v>
      </c>
      <c r="O23" s="87">
        <v>9.0253900798037812</v>
      </c>
      <c r="P23" s="88">
        <v>1.8774102618774953</v>
      </c>
      <c r="Q23" s="89">
        <v>2.7747455271159898</v>
      </c>
      <c r="R23" s="88">
        <v>4.5591819562657552</v>
      </c>
      <c r="S23" s="89">
        <v>3.1792623774106215</v>
      </c>
      <c r="T23" s="154">
        <f>ROUND(_xlfn.T.TEST(O20:Q20,O23:Q23,2,2),4)</f>
        <v>0.94550000000000001</v>
      </c>
    </row>
    <row r="24" spans="1:20" x14ac:dyDescent="0.35">
      <c r="A24" s="96" t="s">
        <v>16</v>
      </c>
      <c r="B24" s="290" t="s">
        <v>134</v>
      </c>
      <c r="C24" s="87">
        <v>2.1053096765011867</v>
      </c>
      <c r="D24" s="88">
        <v>2.3836578608536736</v>
      </c>
      <c r="E24" s="89">
        <v>3.2987845658673378</v>
      </c>
      <c r="F24" s="88">
        <v>2.5959173677407326</v>
      </c>
      <c r="G24" s="89">
        <v>0.50982752088972261</v>
      </c>
      <c r="H24" s="86"/>
      <c r="I24" s="87">
        <v>3.3099112419439853</v>
      </c>
      <c r="J24" s="88">
        <v>1.2447096603684575</v>
      </c>
      <c r="K24" s="89">
        <v>2.9381541656053636</v>
      </c>
      <c r="L24" s="88">
        <v>2.4975916893059353</v>
      </c>
      <c r="M24" s="89">
        <v>0.89882733409623883</v>
      </c>
      <c r="N24" s="86"/>
      <c r="O24" s="87">
        <v>7.6295237658206467</v>
      </c>
      <c r="P24" s="88">
        <v>2.4304693284559824</v>
      </c>
      <c r="Q24" s="89">
        <v>7.0883036924304577</v>
      </c>
      <c r="R24" s="88">
        <v>5.7160989289023618</v>
      </c>
      <c r="S24" s="89">
        <v>2.3337739387034633</v>
      </c>
      <c r="T24" s="86"/>
    </row>
    <row r="25" spans="1:20" x14ac:dyDescent="0.35">
      <c r="A25" s="97" t="s">
        <v>53</v>
      </c>
      <c r="B25" s="291"/>
      <c r="C25" s="87">
        <v>1.0581111336209577</v>
      </c>
      <c r="D25" s="88">
        <v>0.7637942932385775</v>
      </c>
      <c r="E25" s="89">
        <v>0.41865324171926366</v>
      </c>
      <c r="F25" s="88">
        <v>0.74685288952626616</v>
      </c>
      <c r="G25" s="89">
        <v>0.26133230091035126</v>
      </c>
      <c r="H25" s="155">
        <f>ROUND(_xlfn.T.TEST(C24:E24,C25:E25,2,2),4)</f>
        <v>1.03E-2</v>
      </c>
      <c r="I25" s="87">
        <v>1.0695863788950124</v>
      </c>
      <c r="J25" s="88">
        <v>1.0301764152758466</v>
      </c>
      <c r="K25" s="89">
        <v>0.56560827467668462</v>
      </c>
      <c r="L25" s="88">
        <v>0.88845702294918116</v>
      </c>
      <c r="M25" s="89">
        <v>0.22885478948298854</v>
      </c>
      <c r="N25" s="154">
        <f>ROUND(_xlfn.T.TEST(I24:K24,I25:K25,2,2),4)</f>
        <v>7.0199999999999999E-2</v>
      </c>
      <c r="O25" s="87">
        <v>3.9862295933729435</v>
      </c>
      <c r="P25" s="88">
        <v>2.8732822461903926</v>
      </c>
      <c r="Q25" s="89">
        <v>3.2324924798131445</v>
      </c>
      <c r="R25" s="88">
        <v>3.36400143979216</v>
      </c>
      <c r="S25" s="89">
        <v>0.46377717660980339</v>
      </c>
      <c r="T25" s="154">
        <f>ROUND(_xlfn.T.TEST(O24:Q24,O25:Q25,2,2),4)</f>
        <v>0.23469999999999999</v>
      </c>
    </row>
    <row r="26" spans="1:20" x14ac:dyDescent="0.35">
      <c r="A26" s="97" t="s">
        <v>17</v>
      </c>
      <c r="B26" s="291"/>
      <c r="C26" s="233">
        <v>1.8089895767751301</v>
      </c>
      <c r="D26" s="88">
        <v>0.72545577910516401</v>
      </c>
      <c r="E26" s="89">
        <v>1.0879188728221489</v>
      </c>
      <c r="F26" s="88">
        <v>1.2407880762341501</v>
      </c>
      <c r="G26" s="89">
        <v>0.49511938464080857</v>
      </c>
      <c r="H26" s="155">
        <f>ROUND(_xlfn.T.TEST(C24:E24,C26:E26,2,2),4)</f>
        <v>4.4699999999999997E-2</v>
      </c>
      <c r="I26" s="87">
        <v>2.8996414962823738</v>
      </c>
      <c r="J26" s="88">
        <v>1.1326134228912146</v>
      </c>
      <c r="K26" s="89">
        <v>1.5104553243633458</v>
      </c>
      <c r="L26" s="88">
        <v>1.8475700811789781</v>
      </c>
      <c r="M26" s="89">
        <v>0.75975075846633855</v>
      </c>
      <c r="N26" s="154">
        <f>ROUND(_xlfn.T.TEST(I24:K24,I26:K26,2,2),4)</f>
        <v>0.47839999999999999</v>
      </c>
      <c r="O26" s="71" t="s">
        <v>42</v>
      </c>
      <c r="P26" s="88">
        <v>2.5634543889272292</v>
      </c>
      <c r="Q26" s="89">
        <v>5.5524712531828104</v>
      </c>
      <c r="R26" s="88">
        <v>4.0579628210550194</v>
      </c>
      <c r="S26" s="89">
        <v>1.4945084321277924</v>
      </c>
      <c r="T26" s="154">
        <f>ROUND(_xlfn.T.TEST(O24:Q24,O26:Q26,2,2),4)</f>
        <v>0.53990000000000005</v>
      </c>
    </row>
    <row r="27" spans="1:20" x14ac:dyDescent="0.35">
      <c r="A27" s="99" t="s">
        <v>57</v>
      </c>
      <c r="B27" s="292"/>
      <c r="C27" s="87">
        <v>0.2493479212200472</v>
      </c>
      <c r="D27" s="88">
        <v>0.16235032463707391</v>
      </c>
      <c r="E27" s="89">
        <v>0.23121814613001432</v>
      </c>
      <c r="F27" s="88">
        <v>0.21430546399571182</v>
      </c>
      <c r="G27" s="89">
        <v>3.7475988450699188E-2</v>
      </c>
      <c r="H27" s="155">
        <f>ROUND(_xlfn.T.TEST(C24:E24,C27:E27,2,2),4)</f>
        <v>2.7000000000000001E-3</v>
      </c>
      <c r="I27" s="87">
        <v>0.26265017310227956</v>
      </c>
      <c r="J27" s="88">
        <v>0.2012634140296701</v>
      </c>
      <c r="K27" s="89">
        <v>0.25126776559302749</v>
      </c>
      <c r="L27" s="88">
        <v>0.23839378424165902</v>
      </c>
      <c r="M27" s="89">
        <v>2.6663184283904823E-2</v>
      </c>
      <c r="N27" s="155">
        <f>ROUND(_xlfn.T.TEST(I24:K24,I27:K27,2,2),4)</f>
        <v>2.3699999999999999E-2</v>
      </c>
      <c r="O27" s="87">
        <v>11.222431913882636</v>
      </c>
      <c r="P27" s="88">
        <v>2.1049286854021965</v>
      </c>
      <c r="Q27" s="89">
        <v>3.7990470790464728</v>
      </c>
      <c r="R27" s="88">
        <v>5.7088025594437681</v>
      </c>
      <c r="S27" s="89">
        <v>3.9595951625150132</v>
      </c>
      <c r="T27" s="154">
        <f>ROUND(_xlfn.T.TEST(O24:Q24,O27:Q27,2,2),4)</f>
        <v>0.99829999999999997</v>
      </c>
    </row>
    <row r="28" spans="1:20" x14ac:dyDescent="0.35">
      <c r="A28" s="98" t="s">
        <v>16</v>
      </c>
      <c r="B28" s="286" t="s">
        <v>30</v>
      </c>
      <c r="C28" s="87">
        <v>3.3183811153591853</v>
      </c>
      <c r="D28" s="88">
        <v>1.0213879955765592</v>
      </c>
      <c r="E28" s="89">
        <v>0.95076255457116721</v>
      </c>
      <c r="F28" s="88">
        <v>1.7635105551689705</v>
      </c>
      <c r="G28" s="89">
        <v>1.0998375129805844</v>
      </c>
      <c r="H28" s="86"/>
      <c r="I28" s="87">
        <v>2.8861589117246158</v>
      </c>
      <c r="J28" s="88">
        <v>0.95391077426418858</v>
      </c>
      <c r="K28" s="89">
        <v>1.0874297100078432</v>
      </c>
      <c r="L28" s="88">
        <v>1.642499798665549</v>
      </c>
      <c r="M28" s="89">
        <v>0.88108751690611609</v>
      </c>
      <c r="N28" s="86"/>
      <c r="O28" s="87">
        <v>13.224788179876651</v>
      </c>
      <c r="P28" s="88">
        <v>1.8288499937411331</v>
      </c>
      <c r="Q28" s="89">
        <v>3.7029478509294456</v>
      </c>
      <c r="R28" s="88">
        <v>6.2521953415157432</v>
      </c>
      <c r="S28" s="89">
        <v>4.9893786427938318</v>
      </c>
      <c r="T28" s="104"/>
    </row>
    <row r="29" spans="1:20" x14ac:dyDescent="0.35">
      <c r="A29" s="97" t="s">
        <v>53</v>
      </c>
      <c r="B29" s="284"/>
      <c r="C29" s="87">
        <v>0.51163413352076859</v>
      </c>
      <c r="D29" s="88">
        <v>0.3929792730802239</v>
      </c>
      <c r="E29" s="89">
        <v>0.28833131281072394</v>
      </c>
      <c r="F29" s="88">
        <v>0.39764823980390546</v>
      </c>
      <c r="G29" s="89">
        <v>9.1222756195902921E-2</v>
      </c>
      <c r="H29" s="154">
        <f>ROUND(_xlfn.T.TEST(C28:E28,C29:E29,2,2),4)</f>
        <v>0.155</v>
      </c>
      <c r="I29" s="87">
        <v>0.33204098986202746</v>
      </c>
      <c r="J29" s="88">
        <v>0.65679547666650817</v>
      </c>
      <c r="K29" s="89">
        <v>0.3498082559926583</v>
      </c>
      <c r="L29" s="88">
        <v>0.44621490750706466</v>
      </c>
      <c r="M29" s="89">
        <v>0.14907951126177724</v>
      </c>
      <c r="N29" s="154">
        <f>ROUND(_xlfn.T.TEST(I28:K28,I29:K29,2,2),4)</f>
        <v>0.1313</v>
      </c>
      <c r="O29" s="87">
        <v>5.3077752991389531</v>
      </c>
      <c r="P29" s="88">
        <v>2.628470604007958</v>
      </c>
      <c r="Q29" s="89">
        <v>3.3875366161958751</v>
      </c>
      <c r="R29" s="88">
        <v>3.7745941731142625</v>
      </c>
      <c r="S29" s="89">
        <v>1.1275426308610155</v>
      </c>
      <c r="T29" s="154">
        <f>ROUND(_xlfn.T.TEST(O28:Q28,O29:Q29,2,2),4)</f>
        <v>0.53100000000000003</v>
      </c>
    </row>
    <row r="30" spans="1:20" x14ac:dyDescent="0.35">
      <c r="A30" s="97" t="s">
        <v>17</v>
      </c>
      <c r="B30" s="284"/>
      <c r="C30" s="87">
        <v>1.3658856874430285</v>
      </c>
      <c r="D30" s="88">
        <v>0.49572868401518172</v>
      </c>
      <c r="E30" s="89">
        <v>0.49395180913625014</v>
      </c>
      <c r="F30" s="88">
        <v>0.78518872686482011</v>
      </c>
      <c r="G30" s="89">
        <v>0.4106153994024585</v>
      </c>
      <c r="H30" s="154">
        <f>ROUND(_xlfn.T.TEST(C28:E28,C30:E30,2,2),4)</f>
        <v>0.3039</v>
      </c>
      <c r="I30" s="87">
        <v>1.9456304048279518</v>
      </c>
      <c r="J30" s="88">
        <v>1.4025860322009496</v>
      </c>
      <c r="K30" s="89">
        <v>1.6353851817756802</v>
      </c>
      <c r="L30" s="88">
        <v>1.661200539601527</v>
      </c>
      <c r="M30" s="89">
        <v>0.22244718052490831</v>
      </c>
      <c r="N30" s="154">
        <f>ROUND(_xlfn.T.TEST(I28:K28,I30:K30,2,2),4)</f>
        <v>0.97819999999999996</v>
      </c>
      <c r="O30" s="71" t="s">
        <v>42</v>
      </c>
      <c r="P30" s="88">
        <v>2.8928300138353311</v>
      </c>
      <c r="Q30" s="89">
        <v>5.9961868806434087</v>
      </c>
      <c r="R30" s="88">
        <v>4.4445084472393699</v>
      </c>
      <c r="S30" s="89">
        <v>1.5516784334040392</v>
      </c>
      <c r="T30" s="154">
        <f>ROUND(_xlfn.T.TEST(O28:Q28,O30:Q30,2,2),4)</f>
        <v>0.72609999999999997</v>
      </c>
    </row>
    <row r="31" spans="1:20" x14ac:dyDescent="0.35">
      <c r="A31" s="99" t="s">
        <v>57</v>
      </c>
      <c r="B31" s="285"/>
      <c r="C31" s="90">
        <v>0.157731524262366</v>
      </c>
      <c r="D31" s="91">
        <v>0.11180015266135261</v>
      </c>
      <c r="E31" s="92">
        <v>0.14008572526880875</v>
      </c>
      <c r="F31" s="91">
        <v>0.13653913406417578</v>
      </c>
      <c r="G31" s="92">
        <v>1.8918358916974021E-2</v>
      </c>
      <c r="H31" s="154">
        <f>ROUND(_xlfn.T.TEST(C28:E28,C31:E31,2,2),4)</f>
        <v>0.1046</v>
      </c>
      <c r="I31" s="90">
        <v>0.1439070318634551</v>
      </c>
      <c r="J31" s="91">
        <v>0.12589732721879685</v>
      </c>
      <c r="K31" s="92">
        <v>8.592669035862846E-2</v>
      </c>
      <c r="L31" s="91">
        <v>0.11857701648029347</v>
      </c>
      <c r="M31" s="92">
        <v>2.4229736719373979E-2</v>
      </c>
      <c r="N31" s="155">
        <f>ROUND(_xlfn.T.TEST(I28:K28,I31:K31,2,2),4)</f>
        <v>7.0800000000000002E-2</v>
      </c>
      <c r="O31" s="90">
        <v>3.8460073624904583</v>
      </c>
      <c r="P31" s="91">
        <v>3.2421529033046763</v>
      </c>
      <c r="Q31" s="92">
        <v>2.0682894675757559</v>
      </c>
      <c r="R31" s="91">
        <v>3.0521499111236303</v>
      </c>
      <c r="S31" s="92">
        <v>0.7380813330310334</v>
      </c>
      <c r="T31" s="154">
        <f>ROUND(_xlfn.T.TEST(O28:Q28,O31:Q31,2,2),4)</f>
        <v>0.42030000000000001</v>
      </c>
    </row>
  </sheetData>
  <mergeCells count="12">
    <mergeCell ref="B28:B31"/>
    <mergeCell ref="C3:E3"/>
    <mergeCell ref="C18:E18"/>
    <mergeCell ref="I18:K18"/>
    <mergeCell ref="O3:Q3"/>
    <mergeCell ref="O18:Q18"/>
    <mergeCell ref="B5:B8"/>
    <mergeCell ref="B9:B12"/>
    <mergeCell ref="B13:B16"/>
    <mergeCell ref="B20:B23"/>
    <mergeCell ref="B24:B27"/>
    <mergeCell ref="I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124"/>
  <sheetViews>
    <sheetView topLeftCell="A24" zoomScale="55" zoomScaleNormal="55" workbookViewId="0">
      <selection activeCell="H43" sqref="H43"/>
    </sheetView>
  </sheetViews>
  <sheetFormatPr defaultRowHeight="14.5" x14ac:dyDescent="0.35"/>
  <cols>
    <col min="1" max="1" width="18.7265625" customWidth="1"/>
    <col min="2" max="2" width="12.1796875" customWidth="1"/>
    <col min="9" max="9" width="11.1796875" customWidth="1"/>
    <col min="20" max="20" width="11.81640625" customWidth="1"/>
  </cols>
  <sheetData>
    <row r="2" spans="1:1" x14ac:dyDescent="0.35">
      <c r="A2" t="s">
        <v>66</v>
      </c>
    </row>
    <row r="4" spans="1:1" s="102" customFormat="1" x14ac:dyDescent="0.35"/>
    <row r="5" spans="1:1" s="102" customFormat="1" x14ac:dyDescent="0.35"/>
    <row r="6" spans="1:1" s="102" customFormat="1" x14ac:dyDescent="0.35"/>
    <row r="7" spans="1:1" s="102" customFormat="1" x14ac:dyDescent="0.35"/>
    <row r="8" spans="1:1" s="102" customFormat="1" x14ac:dyDescent="0.35"/>
    <row r="9" spans="1:1" s="102" customFormat="1" x14ac:dyDescent="0.35"/>
    <row r="10" spans="1:1" s="102" customFormat="1" x14ac:dyDescent="0.35"/>
    <row r="11" spans="1:1" s="102" customFormat="1" x14ac:dyDescent="0.35"/>
    <row r="12" spans="1:1" s="102" customFormat="1" x14ac:dyDescent="0.35"/>
    <row r="13" spans="1:1" s="102" customFormat="1" x14ac:dyDescent="0.35"/>
    <row r="25" spans="1:44" x14ac:dyDescent="0.35">
      <c r="A25" t="s">
        <v>76</v>
      </c>
    </row>
    <row r="26" spans="1:44" s="45" customFormat="1" x14ac:dyDescent="0.35"/>
    <row r="27" spans="1:44" s="45" customFormat="1" x14ac:dyDescent="0.35">
      <c r="B27" s="260" t="s">
        <v>135</v>
      </c>
      <c r="C27" s="261"/>
      <c r="D27" s="261"/>
      <c r="E27" s="261"/>
      <c r="F27" s="261"/>
      <c r="G27" s="261"/>
      <c r="H27" s="261"/>
      <c r="I27" s="262"/>
      <c r="M27" s="260" t="s">
        <v>136</v>
      </c>
      <c r="N27" s="261"/>
      <c r="O27" s="261"/>
      <c r="P27" s="261"/>
      <c r="Q27" s="261"/>
      <c r="R27" s="261"/>
      <c r="S27" s="261"/>
      <c r="T27" s="262"/>
      <c r="X27" s="260" t="s">
        <v>137</v>
      </c>
      <c r="Y27" s="261"/>
      <c r="Z27" s="261"/>
      <c r="AA27" s="261"/>
      <c r="AB27" s="261"/>
      <c r="AC27" s="261"/>
      <c r="AD27" s="261"/>
      <c r="AE27" s="262"/>
      <c r="AI27" s="260" t="s">
        <v>138</v>
      </c>
      <c r="AJ27" s="261"/>
      <c r="AK27" s="261"/>
      <c r="AL27" s="261"/>
      <c r="AM27" s="261"/>
      <c r="AN27" s="261"/>
      <c r="AO27" s="261"/>
      <c r="AP27" s="262"/>
    </row>
    <row r="29" spans="1:44" s="8" customFormat="1" ht="15" customHeight="1" x14ac:dyDescent="0.35">
      <c r="B29" s="272" t="s">
        <v>8</v>
      </c>
      <c r="C29" s="241"/>
      <c r="D29" s="241"/>
      <c r="E29" s="242"/>
      <c r="F29" s="272" t="s">
        <v>153</v>
      </c>
      <c r="G29" s="241"/>
      <c r="H29" s="241"/>
      <c r="I29" s="242"/>
      <c r="M29" s="272" t="s">
        <v>8</v>
      </c>
      <c r="N29" s="241"/>
      <c r="O29" s="241"/>
      <c r="P29" s="242"/>
      <c r="Q29" s="272" t="s">
        <v>153</v>
      </c>
      <c r="R29" s="241"/>
      <c r="S29" s="241"/>
      <c r="T29" s="242"/>
      <c r="U29" s="18"/>
      <c r="X29" s="272" t="s">
        <v>8</v>
      </c>
      <c r="Y29" s="241"/>
      <c r="Z29" s="241"/>
      <c r="AA29" s="242"/>
      <c r="AB29" s="272" t="s">
        <v>153</v>
      </c>
      <c r="AC29" s="241"/>
      <c r="AD29" s="241"/>
      <c r="AE29" s="242"/>
      <c r="AI29" s="272" t="s">
        <v>8</v>
      </c>
      <c r="AJ29" s="241"/>
      <c r="AK29" s="241"/>
      <c r="AL29" s="242"/>
      <c r="AM29" s="272" t="s">
        <v>153</v>
      </c>
      <c r="AN29" s="241"/>
      <c r="AO29" s="241"/>
      <c r="AP29" s="242"/>
    </row>
    <row r="30" spans="1:44" s="8" customFormat="1" ht="29" x14ac:dyDescent="0.35">
      <c r="B30" s="33" t="s">
        <v>37</v>
      </c>
      <c r="C30" s="34" t="s">
        <v>38</v>
      </c>
      <c r="D30" s="34" t="s">
        <v>75</v>
      </c>
      <c r="E30" s="35" t="s">
        <v>40</v>
      </c>
      <c r="F30" s="33" t="s">
        <v>37</v>
      </c>
      <c r="G30" s="34" t="s">
        <v>38</v>
      </c>
      <c r="H30" s="34" t="s">
        <v>75</v>
      </c>
      <c r="I30" s="35" t="s">
        <v>40</v>
      </c>
      <c r="J30" s="2" t="s">
        <v>217</v>
      </c>
      <c r="K30" s="180" t="s">
        <v>175</v>
      </c>
      <c r="M30" s="33" t="s">
        <v>37</v>
      </c>
      <c r="N30" s="34" t="s">
        <v>38</v>
      </c>
      <c r="O30" s="34" t="s">
        <v>75</v>
      </c>
      <c r="P30" s="35" t="s">
        <v>40</v>
      </c>
      <c r="Q30" s="34" t="s">
        <v>37</v>
      </c>
      <c r="R30" s="34" t="s">
        <v>38</v>
      </c>
      <c r="S30" s="34" t="s">
        <v>75</v>
      </c>
      <c r="T30" s="35" t="s">
        <v>40</v>
      </c>
      <c r="U30" s="2" t="s">
        <v>217</v>
      </c>
      <c r="V30" s="180" t="s">
        <v>175</v>
      </c>
      <c r="X30" s="33" t="s">
        <v>37</v>
      </c>
      <c r="Y30" s="34" t="s">
        <v>38</v>
      </c>
      <c r="Z30" s="34" t="s">
        <v>75</v>
      </c>
      <c r="AA30" s="35" t="s">
        <v>40</v>
      </c>
      <c r="AB30" s="34" t="s">
        <v>37</v>
      </c>
      <c r="AC30" s="34" t="s">
        <v>38</v>
      </c>
      <c r="AD30" s="34" t="s">
        <v>75</v>
      </c>
      <c r="AE30" s="35" t="s">
        <v>40</v>
      </c>
      <c r="AF30" s="2" t="s">
        <v>217</v>
      </c>
      <c r="AG30" s="180" t="s">
        <v>175</v>
      </c>
      <c r="AI30" s="33" t="s">
        <v>37</v>
      </c>
      <c r="AJ30" s="34" t="s">
        <v>38</v>
      </c>
      <c r="AK30" s="34" t="s">
        <v>75</v>
      </c>
      <c r="AL30" s="35" t="s">
        <v>40</v>
      </c>
      <c r="AM30" s="34" t="s">
        <v>37</v>
      </c>
      <c r="AN30" s="34" t="s">
        <v>38</v>
      </c>
      <c r="AO30" s="34" t="s">
        <v>75</v>
      </c>
      <c r="AP30" s="35" t="s">
        <v>40</v>
      </c>
      <c r="AQ30" s="2" t="s">
        <v>217</v>
      </c>
      <c r="AR30" s="180" t="s">
        <v>175</v>
      </c>
    </row>
    <row r="31" spans="1:44" s="8" customFormat="1" x14ac:dyDescent="0.35">
      <c r="A31" s="8" t="s">
        <v>16</v>
      </c>
      <c r="B31" s="28">
        <v>28</v>
      </c>
      <c r="E31" s="27"/>
      <c r="F31" s="28">
        <v>13</v>
      </c>
      <c r="G31" s="8">
        <v>10</v>
      </c>
      <c r="H31" s="8">
        <v>5</v>
      </c>
      <c r="I31" s="27"/>
      <c r="J31" s="181">
        <v>2.8999999999999998E-13</v>
      </c>
      <c r="L31" s="8" t="s">
        <v>16</v>
      </c>
      <c r="M31" s="36">
        <v>28</v>
      </c>
      <c r="N31" s="37"/>
      <c r="O31" s="37"/>
      <c r="P31" s="19"/>
      <c r="Q31" s="37">
        <v>8</v>
      </c>
      <c r="R31" s="37">
        <v>12</v>
      </c>
      <c r="S31" s="37">
        <v>6</v>
      </c>
      <c r="T31" s="19">
        <v>2</v>
      </c>
      <c r="U31" s="181">
        <v>3.7800000000000001E-8</v>
      </c>
      <c r="W31" s="8" t="s">
        <v>16</v>
      </c>
      <c r="X31" s="28">
        <v>28</v>
      </c>
      <c r="AA31" s="27"/>
      <c r="AB31" s="8">
        <v>3</v>
      </c>
      <c r="AC31" s="8">
        <v>14</v>
      </c>
      <c r="AD31" s="8">
        <v>8</v>
      </c>
      <c r="AE31" s="27">
        <v>1</v>
      </c>
      <c r="AF31" s="181">
        <v>7.1400000000000004E-8</v>
      </c>
      <c r="AH31" s="8" t="s">
        <v>16</v>
      </c>
      <c r="AI31" s="28">
        <v>28</v>
      </c>
      <c r="AL31" s="27"/>
      <c r="AM31" s="8">
        <v>10</v>
      </c>
      <c r="AN31" s="8">
        <v>10</v>
      </c>
      <c r="AO31" s="8">
        <v>3</v>
      </c>
      <c r="AP31" s="27">
        <v>2</v>
      </c>
      <c r="AQ31" s="181">
        <v>9.9999999999999995E-7</v>
      </c>
    </row>
    <row r="32" spans="1:44" s="8" customFormat="1" x14ac:dyDescent="0.35">
      <c r="A32" s="8" t="s">
        <v>53</v>
      </c>
      <c r="B32" s="28">
        <v>26</v>
      </c>
      <c r="E32" s="27"/>
      <c r="F32" s="28"/>
      <c r="H32" s="8">
        <v>6</v>
      </c>
      <c r="I32" s="27">
        <v>21</v>
      </c>
      <c r="L32" s="8" t="s">
        <v>17</v>
      </c>
      <c r="M32" s="28">
        <v>26</v>
      </c>
      <c r="P32" s="27"/>
      <c r="S32" s="8">
        <v>13</v>
      </c>
      <c r="T32" s="27">
        <v>14</v>
      </c>
      <c r="U32" s="46"/>
      <c r="W32" s="8" t="s">
        <v>17</v>
      </c>
      <c r="X32" s="28">
        <v>26</v>
      </c>
      <c r="AA32" s="27"/>
      <c r="AD32" s="8">
        <v>13</v>
      </c>
      <c r="AE32" s="27">
        <v>14</v>
      </c>
      <c r="AF32" s="46"/>
      <c r="AH32" s="8" t="s">
        <v>53</v>
      </c>
      <c r="AI32" s="28">
        <v>26</v>
      </c>
      <c r="AL32" s="27"/>
      <c r="AN32" s="8">
        <v>3</v>
      </c>
      <c r="AO32" s="8">
        <v>7</v>
      </c>
      <c r="AP32" s="27">
        <v>16</v>
      </c>
      <c r="AQ32" s="46"/>
    </row>
    <row r="33" spans="1:43" s="8" customFormat="1" x14ac:dyDescent="0.35">
      <c r="A33" s="8" t="s">
        <v>19</v>
      </c>
      <c r="B33" s="28">
        <v>27</v>
      </c>
      <c r="E33" s="27"/>
      <c r="F33" s="28"/>
      <c r="G33" s="8">
        <v>7</v>
      </c>
      <c r="H33" s="9">
        <v>14</v>
      </c>
      <c r="I33" s="27">
        <v>5</v>
      </c>
      <c r="J33" s="165">
        <v>1.5999999999999999E-5</v>
      </c>
      <c r="L33" s="8" t="s">
        <v>69</v>
      </c>
      <c r="M33" s="28">
        <v>27</v>
      </c>
      <c r="P33" s="27"/>
      <c r="R33" s="8">
        <v>7</v>
      </c>
      <c r="S33" s="9">
        <v>13</v>
      </c>
      <c r="T33" s="27">
        <v>4</v>
      </c>
      <c r="U33" s="165">
        <v>1.1999999999999999E-3</v>
      </c>
      <c r="W33" s="8" t="s">
        <v>69</v>
      </c>
      <c r="X33" s="28">
        <v>27</v>
      </c>
      <c r="AA33" s="27"/>
      <c r="AB33" s="8">
        <v>2</v>
      </c>
      <c r="AC33" s="8">
        <v>12</v>
      </c>
      <c r="AD33" s="9">
        <v>8</v>
      </c>
      <c r="AE33" s="27">
        <v>3</v>
      </c>
      <c r="AF33" s="165">
        <v>6.0000000000000002E-6</v>
      </c>
      <c r="AH33" s="8" t="s">
        <v>73</v>
      </c>
      <c r="AI33" s="28">
        <v>27</v>
      </c>
      <c r="AL33" s="27"/>
      <c r="AM33" s="8">
        <v>9</v>
      </c>
      <c r="AN33" s="8">
        <v>16</v>
      </c>
      <c r="AO33" s="9">
        <v>3</v>
      </c>
      <c r="AP33" s="27"/>
      <c r="AQ33" s="183">
        <v>1.13E-9</v>
      </c>
    </row>
    <row r="34" spans="1:43" s="8" customFormat="1" x14ac:dyDescent="0.35">
      <c r="A34" s="8" t="s">
        <v>67</v>
      </c>
      <c r="B34" s="28">
        <v>24</v>
      </c>
      <c r="E34" s="27"/>
      <c r="F34" s="28"/>
      <c r="G34" s="9">
        <v>3</v>
      </c>
      <c r="H34" s="9">
        <v>17</v>
      </c>
      <c r="I34" s="27">
        <v>7</v>
      </c>
      <c r="J34" s="182">
        <v>3.3500000000000001E-4</v>
      </c>
      <c r="L34" s="8" t="s">
        <v>70</v>
      </c>
      <c r="M34" s="28">
        <v>24</v>
      </c>
      <c r="P34" s="27"/>
      <c r="Q34" s="8">
        <v>1</v>
      </c>
      <c r="R34" s="9">
        <v>4</v>
      </c>
      <c r="S34" s="9">
        <v>17</v>
      </c>
      <c r="T34" s="27">
        <v>6</v>
      </c>
      <c r="U34" s="182">
        <v>1.6556999999999999E-2</v>
      </c>
      <c r="W34" s="8" t="s">
        <v>72</v>
      </c>
      <c r="X34" s="28">
        <v>24</v>
      </c>
      <c r="AA34" s="27"/>
      <c r="AC34" s="9">
        <v>8</v>
      </c>
      <c r="AD34" s="9">
        <v>15</v>
      </c>
      <c r="AE34" s="27">
        <v>2</v>
      </c>
      <c r="AF34" s="182">
        <v>6.6000000000000005E-5</v>
      </c>
      <c r="AH34" s="8" t="s">
        <v>74</v>
      </c>
      <c r="AI34" s="28">
        <v>24</v>
      </c>
      <c r="AL34" s="27"/>
      <c r="AM34" s="8">
        <v>8</v>
      </c>
      <c r="AN34" s="9">
        <v>13</v>
      </c>
      <c r="AO34" s="9">
        <v>6</v>
      </c>
      <c r="AP34" s="27">
        <v>1</v>
      </c>
      <c r="AQ34" s="181">
        <v>5.6599999999999996E-7</v>
      </c>
    </row>
    <row r="35" spans="1:43" s="8" customFormat="1" x14ac:dyDescent="0.35">
      <c r="A35" s="8" t="s">
        <v>68</v>
      </c>
      <c r="B35" s="25">
        <v>27</v>
      </c>
      <c r="C35" s="14"/>
      <c r="D35" s="14"/>
      <c r="E35" s="17"/>
      <c r="F35" s="25">
        <v>16</v>
      </c>
      <c r="G35" s="14">
        <v>10</v>
      </c>
      <c r="H35" s="14">
        <v>1</v>
      </c>
      <c r="I35" s="17"/>
      <c r="J35" s="181">
        <v>7.1900000000000005E-15</v>
      </c>
      <c r="L35" s="8" t="s">
        <v>71</v>
      </c>
      <c r="M35" s="25">
        <v>27</v>
      </c>
      <c r="N35" s="14"/>
      <c r="O35" s="14"/>
      <c r="P35" s="17"/>
      <c r="Q35" s="14">
        <v>12</v>
      </c>
      <c r="R35" s="14">
        <v>10</v>
      </c>
      <c r="S35" s="14">
        <v>4</v>
      </c>
      <c r="T35" s="17">
        <v>2</v>
      </c>
      <c r="U35" s="181">
        <v>2.1299999999999999E-9</v>
      </c>
      <c r="W35" s="8" t="s">
        <v>71</v>
      </c>
      <c r="X35" s="25">
        <v>27</v>
      </c>
      <c r="Y35" s="14"/>
      <c r="Z35" s="14"/>
      <c r="AA35" s="17"/>
      <c r="AB35" s="14">
        <v>11</v>
      </c>
      <c r="AC35" s="14">
        <v>9</v>
      </c>
      <c r="AD35" s="14">
        <v>5</v>
      </c>
      <c r="AE35" s="17">
        <v>2</v>
      </c>
      <c r="AF35" s="181">
        <v>2.2600000000000001E-8</v>
      </c>
      <c r="AH35" s="8" t="s">
        <v>68</v>
      </c>
      <c r="AI35" s="25">
        <v>27</v>
      </c>
      <c r="AJ35" s="14"/>
      <c r="AK35" s="14"/>
      <c r="AL35" s="17"/>
      <c r="AM35" s="14">
        <v>2</v>
      </c>
      <c r="AN35" s="14">
        <v>13</v>
      </c>
      <c r="AO35" s="14">
        <v>6</v>
      </c>
      <c r="AP35" s="17">
        <v>7</v>
      </c>
      <c r="AQ35" s="181">
        <v>5.3680000000000004E-3</v>
      </c>
    </row>
    <row r="36" spans="1:43" s="8" customFormat="1" x14ac:dyDescent="0.35"/>
    <row r="37" spans="1:43" s="8" customFormat="1" x14ac:dyDescent="0.35"/>
    <row r="39" spans="1:43" x14ac:dyDescent="0.35">
      <c r="A39" t="s">
        <v>288</v>
      </c>
    </row>
    <row r="42" spans="1:43" x14ac:dyDescent="0.35">
      <c r="C42" s="293" t="s">
        <v>160</v>
      </c>
      <c r="D42" s="293"/>
      <c r="E42" s="293"/>
      <c r="J42" s="102"/>
      <c r="K42" s="102"/>
      <c r="L42" s="293" t="s">
        <v>160</v>
      </c>
      <c r="M42" s="293"/>
      <c r="N42" s="293"/>
      <c r="O42" s="102"/>
      <c r="P42" s="102"/>
      <c r="Q42" s="102"/>
    </row>
    <row r="43" spans="1:43" x14ac:dyDescent="0.35">
      <c r="C43" s="85" t="s">
        <v>32</v>
      </c>
      <c r="D43" s="85" t="s">
        <v>33</v>
      </c>
      <c r="E43" s="85" t="s">
        <v>34</v>
      </c>
      <c r="F43" s="85" t="s">
        <v>21</v>
      </c>
      <c r="G43" s="85" t="s">
        <v>20</v>
      </c>
      <c r="H43" s="86" t="s">
        <v>194</v>
      </c>
      <c r="I43" s="119" t="s">
        <v>175</v>
      </c>
      <c r="J43" s="102"/>
      <c r="K43" s="102"/>
      <c r="L43" s="118" t="s">
        <v>32</v>
      </c>
      <c r="M43" s="118" t="s">
        <v>33</v>
      </c>
      <c r="N43" s="118" t="s">
        <v>34</v>
      </c>
      <c r="O43" s="118" t="s">
        <v>21</v>
      </c>
      <c r="P43" s="118" t="s">
        <v>20</v>
      </c>
      <c r="Q43" s="86" t="s">
        <v>194</v>
      </c>
      <c r="R43" s="118" t="s">
        <v>175</v>
      </c>
    </row>
    <row r="44" spans="1:43" x14ac:dyDescent="0.35">
      <c r="A44" s="101" t="s">
        <v>112</v>
      </c>
      <c r="B44" s="294" t="s">
        <v>16</v>
      </c>
      <c r="C44" s="84">
        <v>5.8221193867039566E-4</v>
      </c>
      <c r="D44" s="84">
        <v>3.4311678591998244E-4</v>
      </c>
      <c r="E44" s="84">
        <v>1.7521394702535811E-3</v>
      </c>
      <c r="F44" s="84">
        <v>8.9248939828131971E-4</v>
      </c>
      <c r="G44" s="84">
        <v>6.1565158312074607E-4</v>
      </c>
      <c r="J44" s="101" t="s">
        <v>112</v>
      </c>
      <c r="K44" s="294" t="s">
        <v>16</v>
      </c>
      <c r="L44" s="84">
        <v>7.5858303188699201E-3</v>
      </c>
      <c r="M44" s="84">
        <v>4.4402959984663349E-4</v>
      </c>
      <c r="N44" s="84">
        <v>1.3059658107560379E-2</v>
      </c>
      <c r="O44" s="84">
        <v>7.0298393420923115E-3</v>
      </c>
      <c r="P44" s="84">
        <v>5.1652921915320872E-3</v>
      </c>
      <c r="Q44" s="102"/>
    </row>
    <row r="45" spans="1:43" x14ac:dyDescent="0.35">
      <c r="A45" s="101" t="s">
        <v>162</v>
      </c>
      <c r="B45" s="294"/>
      <c r="C45" s="84">
        <v>0.19731325098573682</v>
      </c>
      <c r="D45" s="84">
        <v>0.14956943298481362</v>
      </c>
      <c r="E45" s="84">
        <v>0.10462745161730652</v>
      </c>
      <c r="F45" s="84">
        <v>0.15050337852928566</v>
      </c>
      <c r="G45" s="84">
        <v>3.7844581662824284E-2</v>
      </c>
      <c r="J45" s="101" t="s">
        <v>162</v>
      </c>
      <c r="K45" s="294"/>
      <c r="L45" s="84">
        <v>0.26996371948001546</v>
      </c>
      <c r="M45" s="84">
        <v>0.13989543694884846</v>
      </c>
      <c r="N45" s="84">
        <v>0.18340912038189319</v>
      </c>
      <c r="O45" s="84">
        <v>0.19775609227025237</v>
      </c>
      <c r="P45" s="84">
        <v>5.4060560065700945E-2</v>
      </c>
      <c r="Q45" s="102"/>
    </row>
    <row r="46" spans="1:43" x14ac:dyDescent="0.35">
      <c r="A46" s="101" t="s">
        <v>163</v>
      </c>
      <c r="B46" s="294"/>
      <c r="C46" s="84">
        <v>2.101976369046441</v>
      </c>
      <c r="D46" s="84">
        <v>1.2287708594404847</v>
      </c>
      <c r="E46" s="84">
        <v>0.490842927623377</v>
      </c>
      <c r="F46" s="84">
        <v>1.2738633853701009</v>
      </c>
      <c r="G46" s="84">
        <v>0.65851486616424293</v>
      </c>
      <c r="J46" s="101" t="s">
        <v>163</v>
      </c>
      <c r="K46" s="294"/>
      <c r="L46" s="84">
        <v>5.0574650258261258</v>
      </c>
      <c r="M46" s="84">
        <v>8.6728490505056186</v>
      </c>
      <c r="N46" s="84">
        <v>5.9600905844033703</v>
      </c>
      <c r="O46" s="84">
        <v>6.5634682202450385</v>
      </c>
      <c r="P46" s="84">
        <v>1.5364024733235999</v>
      </c>
      <c r="Q46" s="102"/>
    </row>
    <row r="47" spans="1:43" x14ac:dyDescent="0.35">
      <c r="A47" s="101" t="s">
        <v>164</v>
      </c>
      <c r="B47" s="294"/>
      <c r="C47" s="84">
        <v>29.925787525359713</v>
      </c>
      <c r="D47" s="84">
        <v>14.050296538272903</v>
      </c>
      <c r="E47" s="84">
        <v>12.582383486303671</v>
      </c>
      <c r="F47" s="84">
        <v>18.852822516645428</v>
      </c>
      <c r="G47" s="84">
        <v>7.8526686650757469</v>
      </c>
      <c r="H47" s="103">
        <f>ROUND(_xlfn.T.TEST(C46:E46,C47:E47,2,2),4)</f>
        <v>3.44E-2</v>
      </c>
      <c r="J47" s="101" t="s">
        <v>164</v>
      </c>
      <c r="K47" s="294"/>
      <c r="L47" s="84">
        <v>47.631244886900014</v>
      </c>
      <c r="M47" s="84">
        <v>85.435070003866798</v>
      </c>
      <c r="N47" s="84">
        <v>28.828943068907801</v>
      </c>
      <c r="O47" s="84">
        <v>53.965085986558222</v>
      </c>
      <c r="P47" s="84">
        <v>23.539350868293745</v>
      </c>
      <c r="Q47" s="103">
        <f>ROUND(_xlfn.T.TEST(L46:N46,L47:N47,2,2),4)</f>
        <v>4.6800000000000001E-2</v>
      </c>
    </row>
    <row r="48" spans="1:43" x14ac:dyDescent="0.35">
      <c r="A48" s="101" t="s">
        <v>112</v>
      </c>
      <c r="B48" s="294" t="s">
        <v>53</v>
      </c>
      <c r="C48" s="84">
        <v>1.3516744996446078E-3</v>
      </c>
      <c r="D48" s="84">
        <v>1.1595587446510641E-3</v>
      </c>
      <c r="E48" s="84">
        <v>1.0007250956912501E-4</v>
      </c>
      <c r="F48" s="84">
        <v>8.7043525128826561E-4</v>
      </c>
      <c r="G48" s="84">
        <v>5.5034606155336988E-4</v>
      </c>
      <c r="J48" s="101" t="s">
        <v>112</v>
      </c>
      <c r="K48" s="294" t="s">
        <v>53</v>
      </c>
      <c r="L48" s="84">
        <v>4.1612480044111733</v>
      </c>
      <c r="M48" s="84">
        <v>6.9858101453039228E-3</v>
      </c>
      <c r="N48" s="84">
        <v>3.7345655140226634E-3</v>
      </c>
      <c r="O48" s="84">
        <v>1.3906561266901667</v>
      </c>
      <c r="P48" s="84">
        <v>1.9591047542722368</v>
      </c>
      <c r="Q48" s="102"/>
    </row>
    <row r="49" spans="1:17" x14ac:dyDescent="0.35">
      <c r="A49" s="101" t="s">
        <v>162</v>
      </c>
      <c r="B49" s="294"/>
      <c r="C49" s="84">
        <v>2.0962834505364801E-3</v>
      </c>
      <c r="D49" s="84">
        <v>9.6676075717454962E-4</v>
      </c>
      <c r="E49" s="84">
        <v>3.4766850478444111E-4</v>
      </c>
      <c r="F49" s="84">
        <v>1.1369042374984903E-3</v>
      </c>
      <c r="G49" s="84">
        <v>7.2393607454867127E-4</v>
      </c>
      <c r="J49" s="101" t="s">
        <v>162</v>
      </c>
      <c r="K49" s="294"/>
      <c r="L49" s="84">
        <v>1.7183744448564946E-2</v>
      </c>
      <c r="M49" s="84">
        <v>4.9306787910160264E-2</v>
      </c>
      <c r="N49" s="84">
        <v>6.2691054237982973E-3</v>
      </c>
      <c r="O49" s="84">
        <v>2.4253212594174501E-2</v>
      </c>
      <c r="P49" s="84">
        <v>1.8267339951318729E-2</v>
      </c>
      <c r="Q49" s="102"/>
    </row>
    <row r="50" spans="1:17" x14ac:dyDescent="0.35">
      <c r="A50" s="101" t="s">
        <v>163</v>
      </c>
      <c r="B50" s="294"/>
      <c r="C50" s="84">
        <v>1.520595172404047</v>
      </c>
      <c r="D50" s="84">
        <v>1.4682738751924915</v>
      </c>
      <c r="E50" s="84">
        <v>3.3249515845711528</v>
      </c>
      <c r="F50" s="84">
        <v>2.1046068773892306</v>
      </c>
      <c r="G50" s="84">
        <v>0.86317834495376233</v>
      </c>
      <c r="J50" s="101" t="s">
        <v>163</v>
      </c>
      <c r="K50" s="294"/>
      <c r="L50" s="84">
        <v>4.4144982399516479</v>
      </c>
      <c r="M50" s="84">
        <v>5.714982557739682</v>
      </c>
      <c r="N50" s="84">
        <v>5.1619429428505041</v>
      </c>
      <c r="O50" s="84">
        <v>5.0971412468472783</v>
      </c>
      <c r="P50" s="84">
        <v>0.53289417964971708</v>
      </c>
      <c r="Q50" s="102"/>
    </row>
    <row r="51" spans="1:17" x14ac:dyDescent="0.35">
      <c r="A51" s="101" t="s">
        <v>164</v>
      </c>
      <c r="B51" s="294"/>
      <c r="C51" s="84">
        <v>3.013641797347415</v>
      </c>
      <c r="D51" s="84">
        <v>0.94979286956930364</v>
      </c>
      <c r="E51" s="84">
        <v>1.7451285752816428</v>
      </c>
      <c r="F51" s="84">
        <v>1.9028544140661205</v>
      </c>
      <c r="G51" s="84">
        <v>0.84991222265906763</v>
      </c>
      <c r="H51" s="104">
        <f>ROUND(_xlfn.T.TEST(C50:E50,C51:E51,2,2),4)</f>
        <v>0.82540000000000002</v>
      </c>
      <c r="J51" s="101" t="s">
        <v>164</v>
      </c>
      <c r="K51" s="294"/>
      <c r="L51" s="84">
        <v>6.8187933823409175</v>
      </c>
      <c r="M51" s="84">
        <v>9.1276142850864908</v>
      </c>
      <c r="N51" s="84">
        <v>6.6481167366139955</v>
      </c>
      <c r="O51" s="84">
        <v>7.5315081346804682</v>
      </c>
      <c r="P51" s="84">
        <v>1.1307663365676932</v>
      </c>
      <c r="Q51" s="104">
        <f>ROUND(_xlfn.T.TEST(L50:N50,L51:N51,2,2),4)</f>
        <v>5.1200000000000002E-2</v>
      </c>
    </row>
    <row r="52" spans="1:17" ht="15" customHeight="1" x14ac:dyDescent="0.35">
      <c r="A52" s="101" t="s">
        <v>112</v>
      </c>
      <c r="B52" s="295" t="s">
        <v>161</v>
      </c>
      <c r="C52" s="84">
        <v>3.2764165335267196E-3</v>
      </c>
      <c r="D52" s="84">
        <v>9.308946777701431E-4</v>
      </c>
      <c r="E52" s="84">
        <v>1.7028159169859558E-3</v>
      </c>
      <c r="F52" s="84">
        <v>1.9700423760942729E-3</v>
      </c>
      <c r="G52" s="84">
        <v>9.7602106510519542E-4</v>
      </c>
      <c r="J52" s="101" t="s">
        <v>112</v>
      </c>
      <c r="K52" s="295" t="s">
        <v>222</v>
      </c>
      <c r="L52" s="84">
        <v>1.1260520041615339E-2</v>
      </c>
      <c r="M52" s="84">
        <v>1.3256278850184636E-2</v>
      </c>
      <c r="N52" s="84">
        <v>1.9316581062612107E-3</v>
      </c>
      <c r="O52" s="84">
        <v>8.8161523326870609E-3</v>
      </c>
      <c r="P52" s="84">
        <v>4.9357849001459859E-3</v>
      </c>
      <c r="Q52" s="102"/>
    </row>
    <row r="53" spans="1:17" x14ac:dyDescent="0.35">
      <c r="A53" s="101" t="s">
        <v>162</v>
      </c>
      <c r="B53" s="295"/>
      <c r="C53" s="84">
        <v>7.8283861001045438E-2</v>
      </c>
      <c r="D53" s="84">
        <v>2.3063945915291605E-2</v>
      </c>
      <c r="E53" s="84">
        <v>3.4189834919896904E-2</v>
      </c>
      <c r="F53" s="84">
        <v>4.5179213945411321E-2</v>
      </c>
      <c r="G53" s="84">
        <v>2.3845119613095916E-2</v>
      </c>
      <c r="J53" s="101" t="s">
        <v>162</v>
      </c>
      <c r="K53" s="295"/>
      <c r="L53" s="84">
        <v>0.15685690524006601</v>
      </c>
      <c r="M53" s="84">
        <v>0.53704676286991571</v>
      </c>
      <c r="N53" s="84">
        <v>0.11366617320108767</v>
      </c>
      <c r="O53" s="84">
        <v>0.26918994710368976</v>
      </c>
      <c r="P53" s="84">
        <v>0.19022235260843581</v>
      </c>
      <c r="Q53" s="102"/>
    </row>
    <row r="54" spans="1:17" x14ac:dyDescent="0.35">
      <c r="A54" s="101" t="s">
        <v>163</v>
      </c>
      <c r="B54" s="295"/>
      <c r="C54" s="84">
        <v>3.4192894710136117</v>
      </c>
      <c r="D54" s="84">
        <v>1.5490203339196691</v>
      </c>
      <c r="E54" s="84">
        <v>1.1306881881979842</v>
      </c>
      <c r="F54" s="84">
        <v>2.0329993310437549</v>
      </c>
      <c r="G54" s="84">
        <v>0.99502117571076909</v>
      </c>
      <c r="J54" s="101" t="s">
        <v>163</v>
      </c>
      <c r="K54" s="295"/>
      <c r="L54" s="84">
        <v>7.8655461307585002</v>
      </c>
      <c r="M54" s="84">
        <v>4.3061277703317131</v>
      </c>
      <c r="N54" s="84">
        <v>6.470199174636492</v>
      </c>
      <c r="O54" s="84">
        <v>6.2139576919089015</v>
      </c>
      <c r="P54" s="84">
        <v>1.4643791720358645</v>
      </c>
      <c r="Q54" s="102"/>
    </row>
    <row r="55" spans="1:17" x14ac:dyDescent="0.35">
      <c r="A55" s="101" t="s">
        <v>164</v>
      </c>
      <c r="B55" s="295"/>
      <c r="C55" s="84">
        <v>8.9418761559518263</v>
      </c>
      <c r="D55" s="84">
        <v>8.8562810891224846</v>
      </c>
      <c r="E55" s="84">
        <v>9.2143650368217145</v>
      </c>
      <c r="F55" s="84">
        <v>9.0041740939653412</v>
      </c>
      <c r="G55" s="84">
        <v>0.15268006464612655</v>
      </c>
      <c r="H55" s="103">
        <f>ROUND(_xlfn.T.TEST(C54:E54,C55:E55,2,2),4)</f>
        <v>5.9999999999999995E-4</v>
      </c>
      <c r="J55" s="101" t="s">
        <v>164</v>
      </c>
      <c r="K55" s="295"/>
      <c r="L55" s="84">
        <v>68.616497480337429</v>
      </c>
      <c r="M55" s="84">
        <v>62.148416814711815</v>
      </c>
      <c r="N55" s="84">
        <v>30.067609813542003</v>
      </c>
      <c r="O55" s="84">
        <v>53.610841369530412</v>
      </c>
      <c r="P55" s="84">
        <v>16.855697967323049</v>
      </c>
      <c r="Q55" s="103">
        <f>ROUND(_xlfn.T.TEST(L54:N54,L55:N55,2,2),4)</f>
        <v>1.67E-2</v>
      </c>
    </row>
    <row r="59" spans="1:17" x14ac:dyDescent="0.35">
      <c r="A59" s="102" t="s">
        <v>289</v>
      </c>
    </row>
    <row r="61" spans="1:17" x14ac:dyDescent="0.35">
      <c r="A61" s="102"/>
      <c r="B61" s="102"/>
      <c r="C61" s="293" t="s">
        <v>224</v>
      </c>
      <c r="D61" s="293"/>
      <c r="E61" s="293"/>
      <c r="F61" s="102"/>
      <c r="G61" s="102"/>
      <c r="H61" s="102"/>
      <c r="L61" s="293" t="s">
        <v>223</v>
      </c>
      <c r="M61" s="293"/>
      <c r="N61" s="293"/>
      <c r="O61" s="102"/>
      <c r="P61" s="102"/>
      <c r="Q61" s="102"/>
    </row>
    <row r="62" spans="1:17" x14ac:dyDescent="0.35">
      <c r="A62" s="102"/>
      <c r="B62" s="102"/>
      <c r="C62" s="118" t="s">
        <v>32</v>
      </c>
      <c r="D62" s="118" t="s">
        <v>33</v>
      </c>
      <c r="E62" s="118" t="s">
        <v>34</v>
      </c>
      <c r="F62" s="118" t="s">
        <v>21</v>
      </c>
      <c r="G62" s="118" t="s">
        <v>20</v>
      </c>
      <c r="H62" s="86" t="s">
        <v>194</v>
      </c>
      <c r="I62" s="118" t="s">
        <v>175</v>
      </c>
      <c r="L62" s="118" t="s">
        <v>32</v>
      </c>
      <c r="M62" s="118" t="s">
        <v>33</v>
      </c>
      <c r="N62" s="118" t="s">
        <v>34</v>
      </c>
      <c r="O62" s="118" t="s">
        <v>21</v>
      </c>
      <c r="P62" s="118" t="s">
        <v>20</v>
      </c>
      <c r="Q62" s="86" t="s">
        <v>194</v>
      </c>
    </row>
    <row r="63" spans="1:17" x14ac:dyDescent="0.35">
      <c r="A63" s="101" t="s">
        <v>112</v>
      </c>
      <c r="B63" s="294" t="s">
        <v>16</v>
      </c>
      <c r="C63">
        <v>8.2625422726087994E-4</v>
      </c>
      <c r="D63">
        <v>9.2957194966987802E-4</v>
      </c>
      <c r="E63">
        <v>1.9116699593031805E-3</v>
      </c>
      <c r="F63">
        <v>1.2224987120779795E-3</v>
      </c>
      <c r="G63">
        <v>4.8913964873193425E-4</v>
      </c>
      <c r="H63" s="102"/>
      <c r="J63" s="101" t="s">
        <v>112</v>
      </c>
      <c r="K63" s="294" t="s">
        <v>16</v>
      </c>
      <c r="L63">
        <v>5.1151692978862469E-2</v>
      </c>
      <c r="M63">
        <v>3.36645125924298E-2</v>
      </c>
      <c r="N63">
        <v>5.3755236379312211E-2</v>
      </c>
      <c r="O63">
        <v>4.6190480650201489E-2</v>
      </c>
      <c r="P63">
        <v>8.9207442289584993E-3</v>
      </c>
      <c r="Q63" s="102"/>
    </row>
    <row r="64" spans="1:17" x14ac:dyDescent="0.35">
      <c r="A64" s="101" t="s">
        <v>162</v>
      </c>
      <c r="B64" s="294"/>
      <c r="C64">
        <v>9.4097551967230121E-4</v>
      </c>
      <c r="D64">
        <v>1.1560395009088719E-3</v>
      </c>
      <c r="E64">
        <v>1.9047118285832358E-3</v>
      </c>
      <c r="F64">
        <v>1.3339089497214696E-3</v>
      </c>
      <c r="G64">
        <v>4.1305776342943532E-4</v>
      </c>
      <c r="H64" s="102"/>
      <c r="J64" s="101" t="s">
        <v>162</v>
      </c>
      <c r="K64" s="294"/>
      <c r="L64">
        <v>5.5011786904450431E-2</v>
      </c>
      <c r="M64">
        <v>7.4511799953801708E-2</v>
      </c>
      <c r="N64">
        <v>3.8876196224303147E-2</v>
      </c>
      <c r="O64">
        <v>5.6133261027518422E-2</v>
      </c>
      <c r="P64">
        <v>1.456977102194809E-2</v>
      </c>
      <c r="Q64" s="102"/>
    </row>
    <row r="65" spans="1:17" x14ac:dyDescent="0.35">
      <c r="A65" s="101" t="s">
        <v>163</v>
      </c>
      <c r="B65" s="294"/>
      <c r="C65">
        <v>1.0257224710774899E-3</v>
      </c>
      <c r="D65">
        <v>3.4621101419664014E-4</v>
      </c>
      <c r="E65">
        <v>4.3626873356009409E-4</v>
      </c>
      <c r="F65">
        <v>6.0273407294474135E-4</v>
      </c>
      <c r="G65">
        <v>3.0134917390564067E-4</v>
      </c>
      <c r="H65" s="102"/>
      <c r="J65" s="101" t="s">
        <v>163</v>
      </c>
      <c r="K65" s="294"/>
      <c r="L65">
        <v>1.0297608876876196</v>
      </c>
      <c r="M65">
        <v>1.1141042662397842</v>
      </c>
      <c r="N65">
        <v>0.89791730785991086</v>
      </c>
      <c r="O65">
        <v>1.0139274872624384</v>
      </c>
      <c r="P65">
        <v>8.896524666090451E-2</v>
      </c>
      <c r="Q65" s="102"/>
    </row>
    <row r="66" spans="1:17" x14ac:dyDescent="0.35">
      <c r="A66" s="101" t="s">
        <v>164</v>
      </c>
      <c r="B66" s="294"/>
      <c r="C66">
        <v>3.9859236851216701E-3</v>
      </c>
      <c r="D66">
        <v>1.1748518578514674E-4</v>
      </c>
      <c r="E66">
        <v>1.592740151769279E-3</v>
      </c>
      <c r="F66">
        <v>1.8987163408920318E-3</v>
      </c>
      <c r="G66">
        <v>1.5940347501481507E-3</v>
      </c>
      <c r="H66" s="104">
        <f>ROUND(_xlfn.T.TEST(C65:E65,C66:E66,2,2),4)</f>
        <v>0.32169999999999999</v>
      </c>
      <c r="J66" s="101" t="s">
        <v>164</v>
      </c>
      <c r="K66" s="294"/>
      <c r="L66">
        <v>1.3281173604794034</v>
      </c>
      <c r="M66">
        <v>0.55056225268596015</v>
      </c>
      <c r="N66">
        <v>1.1743201509448891</v>
      </c>
      <c r="O66">
        <v>1.0176665880367508</v>
      </c>
      <c r="P66">
        <v>0.33620751577240587</v>
      </c>
      <c r="Q66" s="104">
        <f>ROUND(_xlfn.T.TEST(L65:N65,L66:N66,2,2),4)</f>
        <v>0.98860000000000003</v>
      </c>
    </row>
    <row r="67" spans="1:17" x14ac:dyDescent="0.35">
      <c r="A67" s="101" t="s">
        <v>112</v>
      </c>
      <c r="B67" s="294" t="s">
        <v>53</v>
      </c>
      <c r="C67">
        <v>6.217389936171238E-3</v>
      </c>
      <c r="D67">
        <v>9.8890912267091146E-4</v>
      </c>
      <c r="E67">
        <v>1.4901494312847014E-4</v>
      </c>
      <c r="F67">
        <v>2.4517713339902067E-3</v>
      </c>
      <c r="G67">
        <v>2.6846810053866971E-3</v>
      </c>
      <c r="H67" s="113"/>
      <c r="J67" s="101" t="s">
        <v>112</v>
      </c>
      <c r="K67" s="294" t="s">
        <v>53</v>
      </c>
      <c r="L67">
        <v>5.2196991509844227E-2</v>
      </c>
      <c r="M67">
        <v>4.2346694248661644E-2</v>
      </c>
      <c r="N67">
        <v>5.6354941887180043E-3</v>
      </c>
      <c r="O67">
        <v>3.3393059982407956E-2</v>
      </c>
      <c r="P67">
        <v>2.0035284427341111E-2</v>
      </c>
      <c r="Q67" s="113"/>
    </row>
    <row r="68" spans="1:17" x14ac:dyDescent="0.35">
      <c r="A68" s="101" t="s">
        <v>162</v>
      </c>
      <c r="B68" s="294"/>
      <c r="C68">
        <v>2.4765205704020883E-3</v>
      </c>
      <c r="D68">
        <v>4.4494766857006108E-4</v>
      </c>
      <c r="E68">
        <v>1.7841999044522106E-3</v>
      </c>
      <c r="F68">
        <v>1.5685560478081199E-3</v>
      </c>
      <c r="G68">
        <v>8.4328675176193922E-4</v>
      </c>
      <c r="H68" s="113"/>
      <c r="J68" s="101" t="s">
        <v>162</v>
      </c>
      <c r="K68" s="294"/>
      <c r="L68">
        <v>3.3292569250843791E-2</v>
      </c>
      <c r="M68">
        <v>2.7354934147483318E-2</v>
      </c>
      <c r="N68">
        <v>1.8521577435479636E-2</v>
      </c>
      <c r="O68">
        <v>2.6389693611268916E-2</v>
      </c>
      <c r="P68">
        <v>6.0687350011872131E-3</v>
      </c>
      <c r="Q68" s="113"/>
    </row>
    <row r="69" spans="1:17" x14ac:dyDescent="0.35">
      <c r="A69" s="101" t="s">
        <v>163</v>
      </c>
      <c r="B69" s="294"/>
      <c r="C69">
        <v>2.8448899948053377E-4</v>
      </c>
      <c r="D69">
        <v>1.3159437529423606E-3</v>
      </c>
      <c r="E69">
        <v>1.4007905254370115E-2</v>
      </c>
      <c r="F69">
        <v>5.2027793355976697E-3</v>
      </c>
      <c r="G69">
        <v>6.2403876247761232E-3</v>
      </c>
      <c r="H69" s="113"/>
      <c r="J69" s="101" t="s">
        <v>163</v>
      </c>
      <c r="K69" s="294"/>
      <c r="L69">
        <v>2.4689524064324746</v>
      </c>
      <c r="M69">
        <v>2.301835464050805</v>
      </c>
      <c r="N69">
        <v>2.2915904483627538</v>
      </c>
      <c r="O69">
        <v>2.3541261062820111</v>
      </c>
      <c r="P69">
        <v>8.1302109408039946E-2</v>
      </c>
      <c r="Q69" s="113"/>
    </row>
    <row r="70" spans="1:17" x14ac:dyDescent="0.35">
      <c r="A70" s="101" t="s">
        <v>164</v>
      </c>
      <c r="B70" s="294"/>
      <c r="C70">
        <v>5.8061571375682636E-4</v>
      </c>
      <c r="D70">
        <v>1.4925583132069877E-4</v>
      </c>
      <c r="E70">
        <v>1.0551341200850022E-3</v>
      </c>
      <c r="F70">
        <v>5.9500188838750901E-4</v>
      </c>
      <c r="G70">
        <v>3.6996314233448904E-4</v>
      </c>
      <c r="H70" s="104">
        <f>ROUND(_xlfn.T.TEST(C69:E69,C70:E70,2,2),4)</f>
        <v>0.35610000000000003</v>
      </c>
      <c r="J70" s="101" t="s">
        <v>164</v>
      </c>
      <c r="K70" s="294"/>
      <c r="L70">
        <v>2.533448143285836</v>
      </c>
      <c r="M70">
        <v>0.91699627420144603</v>
      </c>
      <c r="N70">
        <v>2.3515396310832015</v>
      </c>
      <c r="O70">
        <v>1.933994682856828</v>
      </c>
      <c r="P70">
        <v>0.72295089695341852</v>
      </c>
      <c r="Q70" s="104">
        <f>ROUND(_xlfn.T.TEST(L69:N69,L70:N70,2,2),4)</f>
        <v>0.45989999999999998</v>
      </c>
    </row>
    <row r="71" spans="1:17" x14ac:dyDescent="0.35">
      <c r="A71" s="101" t="s">
        <v>112</v>
      </c>
      <c r="B71" s="295" t="s">
        <v>161</v>
      </c>
      <c r="C71">
        <v>0.23339238037438015</v>
      </c>
      <c r="D71">
        <v>0.17689041422877791</v>
      </c>
      <c r="E71">
        <v>0.17697949351091216</v>
      </c>
      <c r="F71">
        <v>0.19575409603802341</v>
      </c>
      <c r="G71">
        <v>2.661431093250341E-2</v>
      </c>
      <c r="H71" s="113"/>
      <c r="J71" s="101" t="s">
        <v>112</v>
      </c>
      <c r="K71" s="295" t="s">
        <v>161</v>
      </c>
      <c r="L71">
        <v>3.3047155555905657E-2</v>
      </c>
      <c r="M71">
        <v>2.2860465376753378E-2</v>
      </c>
      <c r="N71">
        <v>4.9135918516255032E-2</v>
      </c>
      <c r="O71">
        <v>3.5014513149638021E-2</v>
      </c>
      <c r="P71">
        <v>1.0816737997127393E-2</v>
      </c>
      <c r="Q71" s="113"/>
    </row>
    <row r="72" spans="1:17" x14ac:dyDescent="0.35">
      <c r="A72" s="101" t="s">
        <v>162</v>
      </c>
      <c r="B72" s="295"/>
      <c r="C72">
        <v>1.169178726206449</v>
      </c>
      <c r="D72">
        <v>0.29767937499815272</v>
      </c>
      <c r="E72">
        <v>0.54602616411617921</v>
      </c>
      <c r="F72">
        <v>0.67096142177359364</v>
      </c>
      <c r="G72">
        <v>0.36659186547036537</v>
      </c>
      <c r="H72" s="113"/>
      <c r="J72" s="101" t="s">
        <v>162</v>
      </c>
      <c r="K72" s="295"/>
      <c r="L72">
        <v>0.21868945208479018</v>
      </c>
      <c r="M72">
        <v>3.4121377656423993E-2</v>
      </c>
      <c r="N72">
        <v>7.6637243627146717E-2</v>
      </c>
      <c r="O72">
        <v>0.10981602445612031</v>
      </c>
      <c r="P72">
        <v>7.89175398650242E-2</v>
      </c>
      <c r="Q72" s="113"/>
    </row>
    <row r="73" spans="1:17" x14ac:dyDescent="0.35">
      <c r="A73" s="101" t="s">
        <v>163</v>
      </c>
      <c r="B73" s="295"/>
      <c r="C73">
        <v>26.496577569426169</v>
      </c>
      <c r="D73">
        <v>20.408201187368149</v>
      </c>
      <c r="E73">
        <v>17.592428919754518</v>
      </c>
      <c r="F73">
        <v>21.49906922551628</v>
      </c>
      <c r="G73">
        <v>3.7160427519385215</v>
      </c>
      <c r="H73" s="113"/>
      <c r="J73" s="101" t="s">
        <v>163</v>
      </c>
      <c r="K73" s="295"/>
      <c r="L73">
        <v>2.3261063156175337</v>
      </c>
      <c r="M73">
        <v>2.0059383933427521</v>
      </c>
      <c r="N73">
        <v>1.5216591880153747</v>
      </c>
      <c r="O73">
        <v>1.9512346323252201</v>
      </c>
      <c r="P73">
        <v>0.3306843120751663</v>
      </c>
      <c r="Q73" s="113"/>
    </row>
    <row r="74" spans="1:17" x14ac:dyDescent="0.35">
      <c r="A74" s="101" t="s">
        <v>164</v>
      </c>
      <c r="B74" s="295"/>
      <c r="C74">
        <v>26.483738429739947</v>
      </c>
      <c r="D74">
        <v>24.578423716561534</v>
      </c>
      <c r="E74">
        <v>45.27951791633518</v>
      </c>
      <c r="F74">
        <v>32.113893354212223</v>
      </c>
      <c r="G74">
        <v>9.341941576287196</v>
      </c>
      <c r="H74" s="104">
        <f>ROUND(_xlfn.T.TEST(C73:E73,C74:E74,2,2),4)</f>
        <v>0.2097</v>
      </c>
      <c r="J74" s="101" t="s">
        <v>164</v>
      </c>
      <c r="K74" s="295"/>
      <c r="L74">
        <v>1.5397289313886349</v>
      </c>
      <c r="M74">
        <v>2.2221310317112661</v>
      </c>
      <c r="N74">
        <v>3.1845447818616548</v>
      </c>
      <c r="O74">
        <v>2.3154682483205185</v>
      </c>
      <c r="P74">
        <v>0.67472891963864212</v>
      </c>
      <c r="Q74" s="104">
        <f>ROUND(_xlfn.T.TEST(L73:N73,L74:N74,2,2),4)</f>
        <v>0.53069999999999995</v>
      </c>
    </row>
    <row r="75" spans="1:17" x14ac:dyDescent="0.35">
      <c r="A75" s="46"/>
      <c r="B75" s="46"/>
      <c r="C75" s="46"/>
      <c r="D75" s="46"/>
      <c r="E75" s="46"/>
      <c r="F75" s="46"/>
      <c r="G75" s="46"/>
      <c r="H75" s="46"/>
      <c r="I75" s="46"/>
    </row>
    <row r="76" spans="1:17" x14ac:dyDescent="0.35">
      <c r="A76" s="46"/>
      <c r="B76" s="46"/>
      <c r="C76" s="46"/>
      <c r="D76" s="46"/>
      <c r="E76" s="46"/>
      <c r="F76" s="46"/>
      <c r="G76" s="46"/>
      <c r="H76" s="46"/>
      <c r="I76" s="46"/>
    </row>
    <row r="77" spans="1:17" x14ac:dyDescent="0.35">
      <c r="A77" s="46"/>
      <c r="B77" s="46"/>
      <c r="C77" s="46"/>
      <c r="D77" s="46"/>
      <c r="E77" s="46"/>
      <c r="F77" s="46"/>
      <c r="G77" s="46"/>
      <c r="H77" s="46"/>
      <c r="I77" s="46"/>
    </row>
    <row r="78" spans="1:17" x14ac:dyDescent="0.35">
      <c r="A78" s="46"/>
      <c r="B78" s="46"/>
      <c r="C78" s="46"/>
      <c r="D78" s="46"/>
      <c r="E78" s="46"/>
      <c r="F78" s="46"/>
      <c r="G78" s="46"/>
      <c r="H78" s="46"/>
      <c r="I78" s="46"/>
    </row>
    <row r="79" spans="1:17" x14ac:dyDescent="0.35">
      <c r="A79" s="46"/>
      <c r="B79" s="46"/>
      <c r="C79" s="46"/>
      <c r="D79" s="46"/>
      <c r="E79" s="46"/>
      <c r="F79" s="46"/>
      <c r="G79" s="46"/>
      <c r="H79" s="46"/>
      <c r="I79" s="46"/>
    </row>
    <row r="80" spans="1:17" x14ac:dyDescent="0.35">
      <c r="A80" s="46"/>
      <c r="B80" s="46"/>
      <c r="C80" s="46"/>
      <c r="D80" s="46"/>
      <c r="E80" s="46"/>
      <c r="F80" s="46"/>
      <c r="G80" s="46"/>
      <c r="H80" s="46"/>
      <c r="I80" s="46"/>
    </row>
    <row r="81" spans="1:9" x14ac:dyDescent="0.35">
      <c r="A81" s="46"/>
      <c r="B81" s="46"/>
      <c r="C81" s="46"/>
      <c r="D81" s="46"/>
      <c r="E81" s="46"/>
      <c r="F81" s="46"/>
      <c r="G81" s="46"/>
      <c r="H81" s="46"/>
      <c r="I81" s="46"/>
    </row>
    <row r="82" spans="1:9" x14ac:dyDescent="0.35">
      <c r="A82" s="46"/>
      <c r="B82" s="46"/>
      <c r="C82" s="46"/>
      <c r="D82" s="46"/>
      <c r="E82" s="46"/>
      <c r="F82" s="46"/>
      <c r="G82" s="46"/>
      <c r="H82" s="46"/>
      <c r="I82" s="46"/>
    </row>
    <row r="83" spans="1:9" x14ac:dyDescent="0.35">
      <c r="A83" s="46"/>
      <c r="B83" s="46"/>
      <c r="C83" s="46"/>
      <c r="D83" s="46"/>
      <c r="E83" s="46"/>
      <c r="F83" s="46"/>
      <c r="G83" s="46"/>
      <c r="H83" s="46"/>
      <c r="I83" s="46"/>
    </row>
    <row r="84" spans="1:9" x14ac:dyDescent="0.35">
      <c r="A84" s="46"/>
      <c r="B84" s="46"/>
      <c r="C84" s="46"/>
      <c r="D84" s="46"/>
      <c r="E84" s="46"/>
      <c r="F84" s="46"/>
      <c r="G84" s="46"/>
      <c r="H84" s="46"/>
      <c r="I84" s="46"/>
    </row>
    <row r="85" spans="1:9" x14ac:dyDescent="0.35">
      <c r="A85" s="46"/>
      <c r="B85" s="46"/>
      <c r="C85" s="46"/>
      <c r="D85" s="46"/>
      <c r="E85" s="46"/>
      <c r="F85" s="46"/>
      <c r="G85" s="46"/>
      <c r="H85" s="46"/>
      <c r="I85" s="46"/>
    </row>
    <row r="86" spans="1:9" x14ac:dyDescent="0.35">
      <c r="A86" s="46"/>
      <c r="B86" s="46"/>
      <c r="C86" s="46"/>
      <c r="D86" s="46"/>
      <c r="E86" s="46"/>
      <c r="F86" s="46"/>
      <c r="G86" s="46"/>
      <c r="H86" s="46"/>
      <c r="I86" s="46"/>
    </row>
    <row r="87" spans="1:9" x14ac:dyDescent="0.35">
      <c r="A87" s="46"/>
      <c r="B87" s="46"/>
      <c r="C87" s="46"/>
      <c r="D87" s="46"/>
      <c r="E87" s="46"/>
      <c r="F87" s="46"/>
      <c r="G87" s="46"/>
      <c r="H87" s="46"/>
      <c r="I87" s="46"/>
    </row>
    <row r="88" spans="1:9" x14ac:dyDescent="0.35">
      <c r="A88" s="46"/>
      <c r="B88" s="46"/>
      <c r="C88" s="46"/>
      <c r="D88" s="46"/>
      <c r="E88" s="46"/>
      <c r="F88" s="46"/>
      <c r="G88" s="46"/>
      <c r="H88" s="47"/>
      <c r="I88" s="46"/>
    </row>
    <row r="89" spans="1:9" x14ac:dyDescent="0.35">
      <c r="A89" s="46"/>
      <c r="B89" s="46"/>
      <c r="C89" s="46"/>
      <c r="D89" s="46"/>
      <c r="E89" s="46"/>
      <c r="F89" s="46"/>
      <c r="G89" s="47"/>
      <c r="H89" s="47"/>
      <c r="I89" s="46"/>
    </row>
    <row r="90" spans="1:9" x14ac:dyDescent="0.35">
      <c r="A90" s="46"/>
      <c r="B90" s="46"/>
      <c r="C90" s="46"/>
      <c r="D90" s="46"/>
      <c r="E90" s="46"/>
      <c r="F90" s="46"/>
      <c r="G90" s="46"/>
      <c r="H90" s="46"/>
      <c r="I90" s="46"/>
    </row>
    <row r="91" spans="1:9" x14ac:dyDescent="0.35">
      <c r="A91" s="46"/>
      <c r="B91" s="46"/>
      <c r="C91" s="46"/>
      <c r="D91" s="46"/>
      <c r="E91" s="46"/>
      <c r="F91" s="46"/>
      <c r="G91" s="46"/>
      <c r="H91" s="46"/>
      <c r="I91" s="46"/>
    </row>
    <row r="92" spans="1:9" x14ac:dyDescent="0.35">
      <c r="A92" s="46"/>
      <c r="B92" s="46"/>
      <c r="C92" s="46"/>
      <c r="D92" s="46"/>
      <c r="E92" s="46"/>
      <c r="F92" s="46"/>
      <c r="G92" s="46"/>
      <c r="H92" s="46"/>
      <c r="I92" s="46"/>
    </row>
    <row r="93" spans="1:9" x14ac:dyDescent="0.35">
      <c r="A93" s="46"/>
      <c r="B93" s="46"/>
      <c r="C93" s="46"/>
      <c r="D93" s="46"/>
      <c r="E93" s="46"/>
      <c r="F93" s="46"/>
      <c r="G93" s="46"/>
      <c r="H93" s="46"/>
      <c r="I93" s="46"/>
    </row>
    <row r="94" spans="1:9" x14ac:dyDescent="0.35">
      <c r="A94" s="46"/>
      <c r="B94" s="46"/>
      <c r="C94" s="46"/>
      <c r="D94" s="46"/>
      <c r="E94" s="46"/>
      <c r="F94" s="46"/>
      <c r="G94" s="46"/>
      <c r="H94" s="46"/>
      <c r="I94" s="46"/>
    </row>
    <row r="95" spans="1:9" x14ac:dyDescent="0.35">
      <c r="A95" s="46"/>
      <c r="B95" s="46"/>
      <c r="C95" s="46"/>
      <c r="D95" s="46"/>
      <c r="E95" s="46"/>
      <c r="F95" s="46"/>
      <c r="G95" s="46"/>
      <c r="H95" s="46"/>
      <c r="I95" s="46"/>
    </row>
    <row r="96" spans="1:9" x14ac:dyDescent="0.35">
      <c r="A96" s="46"/>
      <c r="B96" s="46"/>
      <c r="C96" s="46"/>
      <c r="D96" s="46"/>
      <c r="E96" s="46"/>
      <c r="F96" s="46"/>
      <c r="G96" s="46"/>
      <c r="H96" s="46"/>
      <c r="I96" s="46"/>
    </row>
    <row r="97" spans="1:9" x14ac:dyDescent="0.35">
      <c r="A97" s="46"/>
      <c r="B97" s="46"/>
      <c r="C97" s="46"/>
      <c r="D97" s="46"/>
      <c r="E97" s="46"/>
      <c r="F97" s="46"/>
      <c r="G97" s="46"/>
      <c r="H97" s="46"/>
      <c r="I97" s="46"/>
    </row>
    <row r="98" spans="1:9" x14ac:dyDescent="0.35">
      <c r="A98" s="46"/>
      <c r="B98" s="46"/>
      <c r="C98" s="46"/>
      <c r="D98" s="46"/>
      <c r="E98" s="46"/>
      <c r="F98" s="46"/>
      <c r="G98" s="46"/>
      <c r="H98" s="46"/>
      <c r="I98" s="46"/>
    </row>
    <row r="99" spans="1:9" x14ac:dyDescent="0.35">
      <c r="A99" s="46"/>
      <c r="B99" s="46"/>
      <c r="C99" s="46"/>
      <c r="D99" s="46"/>
      <c r="E99" s="46"/>
      <c r="F99" s="46"/>
      <c r="G99" s="46"/>
      <c r="H99" s="46"/>
      <c r="I99" s="46"/>
    </row>
    <row r="100" spans="1:9" x14ac:dyDescent="0.35">
      <c r="A100" s="46"/>
      <c r="B100" s="46"/>
      <c r="C100" s="46"/>
      <c r="D100" s="46"/>
      <c r="E100" s="46"/>
      <c r="F100" s="46"/>
      <c r="G100" s="46"/>
      <c r="H100" s="46"/>
      <c r="I100" s="46"/>
    </row>
    <row r="101" spans="1:9" x14ac:dyDescent="0.35">
      <c r="A101" s="46"/>
      <c r="B101" s="46"/>
      <c r="C101" s="46"/>
      <c r="D101" s="46"/>
      <c r="E101" s="46"/>
      <c r="F101" s="46"/>
      <c r="G101" s="46"/>
      <c r="H101" s="46"/>
      <c r="I101" s="46"/>
    </row>
    <row r="102" spans="1:9" x14ac:dyDescent="0.35">
      <c r="A102" s="46"/>
      <c r="B102" s="46"/>
      <c r="C102" s="46"/>
      <c r="D102" s="46"/>
      <c r="E102" s="46"/>
      <c r="F102" s="46"/>
      <c r="G102" s="46"/>
      <c r="H102" s="46"/>
      <c r="I102" s="46"/>
    </row>
    <row r="103" spans="1:9" x14ac:dyDescent="0.35">
      <c r="A103" s="46"/>
      <c r="B103" s="46"/>
      <c r="C103" s="46"/>
      <c r="D103" s="46"/>
      <c r="E103" s="46"/>
      <c r="F103" s="46"/>
      <c r="G103" s="46"/>
      <c r="H103" s="46"/>
      <c r="I103" s="46"/>
    </row>
    <row r="104" spans="1:9" x14ac:dyDescent="0.35">
      <c r="A104" s="46"/>
      <c r="B104" s="46"/>
      <c r="C104" s="46"/>
      <c r="D104" s="46"/>
      <c r="E104" s="46"/>
      <c r="F104" s="46"/>
      <c r="G104" s="46"/>
      <c r="H104" s="46"/>
      <c r="I104" s="46"/>
    </row>
    <row r="105" spans="1:9" x14ac:dyDescent="0.35">
      <c r="A105" s="46"/>
      <c r="B105" s="46"/>
      <c r="C105" s="46"/>
      <c r="D105" s="46"/>
      <c r="E105" s="46"/>
      <c r="F105" s="46"/>
      <c r="G105" s="46"/>
      <c r="H105" s="46"/>
      <c r="I105" s="46"/>
    </row>
    <row r="106" spans="1:9" x14ac:dyDescent="0.35">
      <c r="A106" s="46"/>
      <c r="B106" s="46"/>
      <c r="C106" s="46"/>
      <c r="D106" s="46"/>
      <c r="E106" s="46"/>
      <c r="F106" s="46"/>
      <c r="G106" s="46"/>
      <c r="H106" s="46"/>
      <c r="I106" s="46"/>
    </row>
    <row r="107" spans="1:9" x14ac:dyDescent="0.35">
      <c r="A107" s="46"/>
      <c r="B107" s="46"/>
      <c r="C107" s="46"/>
      <c r="D107" s="46"/>
      <c r="E107" s="46"/>
      <c r="F107" s="46"/>
      <c r="G107" s="46"/>
      <c r="H107" s="46"/>
      <c r="I107" s="46"/>
    </row>
    <row r="108" spans="1:9" x14ac:dyDescent="0.35">
      <c r="A108" s="46"/>
      <c r="B108" s="46"/>
      <c r="C108" s="46"/>
      <c r="D108" s="46"/>
      <c r="E108" s="46"/>
      <c r="F108" s="46"/>
      <c r="G108" s="46"/>
      <c r="H108" s="46"/>
      <c r="I108" s="46"/>
    </row>
    <row r="109" spans="1:9" x14ac:dyDescent="0.35">
      <c r="A109" s="46"/>
      <c r="B109" s="46"/>
      <c r="C109" s="46"/>
      <c r="D109" s="46"/>
      <c r="E109" s="46"/>
      <c r="F109" s="46"/>
      <c r="G109" s="46"/>
      <c r="H109" s="46"/>
      <c r="I109" s="46"/>
    </row>
    <row r="110" spans="1:9" x14ac:dyDescent="0.35">
      <c r="A110" s="46"/>
      <c r="B110" s="46"/>
      <c r="C110" s="46"/>
      <c r="D110" s="46"/>
      <c r="E110" s="46"/>
      <c r="F110" s="46"/>
      <c r="G110" s="46"/>
      <c r="H110" s="46"/>
      <c r="I110" s="46"/>
    </row>
    <row r="111" spans="1:9" x14ac:dyDescent="0.35">
      <c r="A111" s="46"/>
      <c r="B111" s="46"/>
      <c r="C111" s="46"/>
      <c r="D111" s="46"/>
      <c r="E111" s="46"/>
      <c r="F111" s="46"/>
      <c r="G111" s="46"/>
      <c r="H111" s="46"/>
      <c r="I111" s="46"/>
    </row>
    <row r="112" spans="1:9" x14ac:dyDescent="0.35">
      <c r="A112" s="46"/>
      <c r="B112" s="46"/>
      <c r="C112" s="46"/>
      <c r="D112" s="46"/>
      <c r="E112" s="46"/>
      <c r="F112" s="46"/>
      <c r="G112" s="46"/>
      <c r="H112" s="46"/>
      <c r="I112" s="46"/>
    </row>
    <row r="113" spans="1:9" x14ac:dyDescent="0.35">
      <c r="A113" s="46"/>
      <c r="B113" s="46"/>
      <c r="C113" s="46"/>
      <c r="D113" s="46"/>
      <c r="E113" s="46"/>
      <c r="F113" s="46"/>
      <c r="G113" s="46"/>
      <c r="H113" s="46"/>
      <c r="I113" s="46"/>
    </row>
    <row r="114" spans="1:9" x14ac:dyDescent="0.35">
      <c r="A114" s="46"/>
      <c r="B114" s="46"/>
      <c r="C114" s="46"/>
      <c r="D114" s="46"/>
      <c r="E114" s="46"/>
      <c r="F114" s="46"/>
      <c r="G114" s="46"/>
      <c r="H114" s="46"/>
      <c r="I114" s="46"/>
    </row>
    <row r="115" spans="1:9" x14ac:dyDescent="0.35">
      <c r="A115" s="46"/>
      <c r="B115" s="46"/>
      <c r="C115" s="46"/>
      <c r="D115" s="46"/>
      <c r="E115" s="46"/>
      <c r="F115" s="46"/>
      <c r="G115" s="46"/>
      <c r="H115" s="46"/>
      <c r="I115" s="46"/>
    </row>
    <row r="116" spans="1:9" x14ac:dyDescent="0.35">
      <c r="A116" s="46"/>
      <c r="B116" s="46"/>
      <c r="C116" s="46"/>
      <c r="D116" s="46"/>
      <c r="E116" s="46"/>
      <c r="F116" s="46"/>
      <c r="G116" s="46"/>
      <c r="H116" s="46"/>
      <c r="I116" s="46"/>
    </row>
    <row r="117" spans="1:9" x14ac:dyDescent="0.35">
      <c r="A117" s="46"/>
      <c r="B117" s="46"/>
      <c r="C117" s="46"/>
      <c r="D117" s="46"/>
      <c r="E117" s="46"/>
      <c r="F117" s="46"/>
      <c r="G117" s="46"/>
      <c r="H117" s="47"/>
      <c r="I117" s="46"/>
    </row>
    <row r="118" spans="1:9" x14ac:dyDescent="0.35">
      <c r="A118" s="46"/>
      <c r="B118" s="46"/>
      <c r="C118" s="46"/>
      <c r="D118" s="46"/>
      <c r="E118" s="46"/>
      <c r="F118" s="46"/>
      <c r="G118" s="47"/>
      <c r="H118" s="47"/>
      <c r="I118" s="46"/>
    </row>
    <row r="119" spans="1:9" x14ac:dyDescent="0.35">
      <c r="A119" s="46"/>
      <c r="B119" s="46"/>
      <c r="C119" s="46"/>
      <c r="D119" s="46"/>
      <c r="E119" s="46"/>
      <c r="F119" s="46"/>
      <c r="G119" s="46"/>
      <c r="H119" s="46"/>
      <c r="I119" s="46"/>
    </row>
    <row r="120" spans="1:9" x14ac:dyDescent="0.35">
      <c r="A120" s="46"/>
      <c r="B120" s="46"/>
      <c r="C120" s="46"/>
      <c r="D120" s="46"/>
      <c r="E120" s="46"/>
      <c r="F120" s="46"/>
      <c r="G120" s="46"/>
      <c r="H120" s="46"/>
      <c r="I120" s="46"/>
    </row>
    <row r="121" spans="1:9" x14ac:dyDescent="0.35">
      <c r="A121" s="46"/>
      <c r="B121" s="46"/>
      <c r="C121" s="46"/>
      <c r="D121" s="46"/>
      <c r="E121" s="46"/>
      <c r="F121" s="46"/>
      <c r="G121" s="46"/>
      <c r="H121" s="46"/>
      <c r="I121" s="46"/>
    </row>
    <row r="122" spans="1:9" x14ac:dyDescent="0.35">
      <c r="A122" s="46"/>
      <c r="B122" s="46"/>
      <c r="C122" s="46"/>
      <c r="D122" s="46"/>
      <c r="E122" s="46"/>
      <c r="F122" s="46"/>
      <c r="G122" s="46"/>
      <c r="H122" s="46"/>
      <c r="I122" s="46"/>
    </row>
    <row r="123" spans="1:9" x14ac:dyDescent="0.35">
      <c r="A123" s="46"/>
      <c r="B123" s="46"/>
      <c r="C123" s="46"/>
      <c r="D123" s="46"/>
      <c r="E123" s="46"/>
      <c r="F123" s="46"/>
      <c r="G123" s="46"/>
      <c r="H123" s="46"/>
      <c r="I123" s="46"/>
    </row>
    <row r="124" spans="1:9" x14ac:dyDescent="0.35">
      <c r="A124" s="46"/>
      <c r="B124" s="46"/>
      <c r="C124" s="46"/>
      <c r="D124" s="46"/>
      <c r="E124" s="46"/>
      <c r="F124" s="46"/>
      <c r="G124" s="46"/>
      <c r="H124" s="46"/>
      <c r="I124" s="46"/>
    </row>
  </sheetData>
  <mergeCells count="28">
    <mergeCell ref="AI27:AP27"/>
    <mergeCell ref="AI29:AL29"/>
    <mergeCell ref="AM29:AP29"/>
    <mergeCell ref="M29:P29"/>
    <mergeCell ref="Q29:T29"/>
    <mergeCell ref="X29:AA29"/>
    <mergeCell ref="AB29:AE29"/>
    <mergeCell ref="B27:I27"/>
    <mergeCell ref="B29:E29"/>
    <mergeCell ref="F29:I29"/>
    <mergeCell ref="M27:T27"/>
    <mergeCell ref="X27:AE27"/>
    <mergeCell ref="L42:N42"/>
    <mergeCell ref="B67:B70"/>
    <mergeCell ref="B71:B74"/>
    <mergeCell ref="L61:N61"/>
    <mergeCell ref="K63:K66"/>
    <mergeCell ref="K67:K70"/>
    <mergeCell ref="K71:K74"/>
    <mergeCell ref="K44:K47"/>
    <mergeCell ref="K48:K51"/>
    <mergeCell ref="K52:K55"/>
    <mergeCell ref="C61:E61"/>
    <mergeCell ref="B63:B66"/>
    <mergeCell ref="C42:E42"/>
    <mergeCell ref="B52:B55"/>
    <mergeCell ref="B48:B51"/>
    <mergeCell ref="B44:B47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zoomScale="82" zoomScaleNormal="82" workbookViewId="0">
      <selection activeCell="I8" sqref="I8"/>
    </sheetView>
  </sheetViews>
  <sheetFormatPr defaultRowHeight="14.5" x14ac:dyDescent="0.35"/>
  <sheetData>
    <row r="1" spans="1:1" x14ac:dyDescent="0.35">
      <c r="A1" t="s">
        <v>165</v>
      </c>
    </row>
    <row r="3" spans="1:1" x14ac:dyDescent="0.35">
      <c r="A3" t="s">
        <v>155</v>
      </c>
    </row>
    <row r="26" spans="1:1" x14ac:dyDescent="0.35">
      <c r="A26" s="45" t="s">
        <v>154</v>
      </c>
    </row>
    <row r="50" spans="1:1" x14ac:dyDescent="0.35">
      <c r="A50" s="102" t="s">
        <v>178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zoomScale="55" zoomScaleNormal="55" workbookViewId="0">
      <selection activeCell="W63" sqref="W63"/>
    </sheetView>
  </sheetViews>
  <sheetFormatPr defaultRowHeight="14.5" x14ac:dyDescent="0.35"/>
  <sheetData>
    <row r="1" spans="1:1" x14ac:dyDescent="0.35">
      <c r="A1" t="s">
        <v>166</v>
      </c>
    </row>
    <row r="3" spans="1:1" x14ac:dyDescent="0.35">
      <c r="A3" t="s">
        <v>167</v>
      </c>
    </row>
    <row r="22" spans="1:18" x14ac:dyDescent="0.35">
      <c r="A22" t="s">
        <v>168</v>
      </c>
    </row>
    <row r="24" spans="1:18" x14ac:dyDescent="0.35">
      <c r="B24" t="s">
        <v>180</v>
      </c>
      <c r="J24" s="102" t="s">
        <v>179</v>
      </c>
      <c r="R24" s="102" t="s">
        <v>181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59"/>
  <sheetViews>
    <sheetView topLeftCell="A7" zoomScale="85" zoomScaleNormal="85" workbookViewId="0">
      <selection activeCell="AE28" sqref="AE28:AG28"/>
    </sheetView>
  </sheetViews>
  <sheetFormatPr defaultRowHeight="14.5" x14ac:dyDescent="0.35"/>
  <cols>
    <col min="3" max="3" width="10.26953125" customWidth="1"/>
    <col min="13" max="13" width="11.1796875" customWidth="1"/>
  </cols>
  <sheetData>
    <row r="1" spans="1:97" x14ac:dyDescent="0.35">
      <c r="A1" t="s">
        <v>169</v>
      </c>
    </row>
    <row r="3" spans="1:97" x14ac:dyDescent="0.35">
      <c r="A3" t="s">
        <v>170</v>
      </c>
      <c r="I3" s="298" t="s">
        <v>226</v>
      </c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  <c r="AA3" s="298"/>
      <c r="AB3" s="298"/>
      <c r="AC3" s="298"/>
      <c r="AE3" s="298" t="s">
        <v>227</v>
      </c>
      <c r="AF3" s="298"/>
      <c r="AG3" s="298"/>
      <c r="AH3" s="298"/>
      <c r="AI3" s="298"/>
      <c r="AJ3" s="298"/>
      <c r="AK3" s="298"/>
      <c r="AL3" s="298"/>
      <c r="AM3" s="298"/>
      <c r="AN3" s="298"/>
      <c r="AO3" s="298"/>
      <c r="AP3" s="298"/>
      <c r="AQ3" s="298"/>
      <c r="AR3" s="298"/>
      <c r="AS3" s="298"/>
      <c r="AT3" s="298"/>
      <c r="AU3" s="298"/>
      <c r="AV3" s="298"/>
      <c r="AW3" s="298"/>
      <c r="AX3" s="298"/>
      <c r="AY3" s="298"/>
      <c r="BB3" s="298" t="s">
        <v>225</v>
      </c>
      <c r="BC3" s="298"/>
      <c r="BD3" s="298"/>
      <c r="BE3" s="298"/>
      <c r="BF3" s="298"/>
      <c r="BG3" s="298"/>
      <c r="BH3" s="298"/>
      <c r="BI3" s="298"/>
      <c r="BJ3" s="298"/>
      <c r="BK3" s="298"/>
      <c r="BL3" s="298"/>
      <c r="BM3" s="298"/>
      <c r="BN3" s="298"/>
      <c r="BO3" s="298"/>
      <c r="BP3" s="298"/>
      <c r="BQ3" s="298"/>
      <c r="BR3" s="298"/>
      <c r="BS3" s="298"/>
      <c r="BT3" s="298"/>
      <c r="BU3" s="298"/>
      <c r="BV3" s="298"/>
      <c r="BY3" s="298" t="s">
        <v>228</v>
      </c>
      <c r="BZ3" s="298"/>
      <c r="CA3" s="298"/>
      <c r="CB3" s="298"/>
      <c r="CC3" s="298"/>
      <c r="CD3" s="298"/>
      <c r="CE3" s="298"/>
      <c r="CF3" s="298"/>
      <c r="CG3" s="298"/>
      <c r="CH3" s="298"/>
      <c r="CI3" s="298"/>
      <c r="CJ3" s="298"/>
      <c r="CK3" s="298"/>
      <c r="CL3" s="298"/>
      <c r="CM3" s="298"/>
      <c r="CN3" s="298"/>
      <c r="CO3" s="298"/>
      <c r="CP3" s="298"/>
      <c r="CQ3" s="298"/>
      <c r="CR3" s="298"/>
      <c r="CS3" s="298"/>
    </row>
    <row r="24" spans="1:37" x14ac:dyDescent="0.35">
      <c r="A24" s="84" t="s">
        <v>244</v>
      </c>
      <c r="B24" s="84"/>
      <c r="C24" s="84"/>
      <c r="D24" s="84"/>
      <c r="E24" s="84"/>
      <c r="F24" s="84"/>
      <c r="G24" s="84"/>
      <c r="H24" s="84"/>
      <c r="I24" s="84"/>
    </row>
    <row r="25" spans="1:37" x14ac:dyDescent="0.35">
      <c r="A25" s="84"/>
      <c r="B25" s="84"/>
      <c r="C25" s="84"/>
      <c r="D25" s="84"/>
      <c r="E25" s="84"/>
      <c r="F25" s="84"/>
      <c r="G25" s="84"/>
      <c r="H25" s="84"/>
      <c r="I25" s="84"/>
    </row>
    <row r="26" spans="1:37" x14ac:dyDescent="0.35">
      <c r="A26" s="84"/>
      <c r="B26" s="84"/>
      <c r="C26" s="84"/>
      <c r="D26" s="299" t="s">
        <v>245</v>
      </c>
      <c r="E26" s="300"/>
      <c r="F26" s="300"/>
      <c r="G26" s="300"/>
      <c r="H26" s="300"/>
      <c r="I26" s="300"/>
      <c r="J26" s="301"/>
      <c r="L26" s="102"/>
      <c r="M26" s="102"/>
      <c r="N26" s="260" t="s">
        <v>247</v>
      </c>
      <c r="O26" s="261"/>
      <c r="P26" s="261"/>
      <c r="Q26" s="261"/>
      <c r="R26" s="261"/>
      <c r="S26" s="262"/>
      <c r="U26" s="102"/>
      <c r="V26" s="102"/>
      <c r="W26" s="302" t="s">
        <v>248</v>
      </c>
      <c r="X26" s="303"/>
      <c r="Y26" s="303"/>
      <c r="Z26" s="303"/>
      <c r="AA26" s="290"/>
      <c r="AC26" s="102"/>
      <c r="AD26" s="102"/>
      <c r="AE26" s="302" t="s">
        <v>249</v>
      </c>
      <c r="AF26" s="303"/>
      <c r="AG26" s="290"/>
    </row>
    <row r="27" spans="1:37" x14ac:dyDescent="0.35">
      <c r="A27" s="84"/>
      <c r="B27" s="84"/>
      <c r="C27" s="207" t="s">
        <v>246</v>
      </c>
      <c r="D27" s="207">
        <v>70</v>
      </c>
      <c r="E27" s="208">
        <v>80</v>
      </c>
      <c r="F27" s="208">
        <v>90</v>
      </c>
      <c r="G27" s="208">
        <v>100</v>
      </c>
      <c r="H27" s="208">
        <v>110</v>
      </c>
      <c r="I27" s="208">
        <v>120</v>
      </c>
      <c r="J27" s="209">
        <v>130</v>
      </c>
      <c r="L27" s="102"/>
      <c r="M27" s="207" t="s">
        <v>246</v>
      </c>
      <c r="N27" s="25">
        <v>30</v>
      </c>
      <c r="O27" s="14">
        <v>40</v>
      </c>
      <c r="P27" s="14">
        <v>50</v>
      </c>
      <c r="Q27" s="14">
        <v>60</v>
      </c>
      <c r="R27" s="14">
        <v>70</v>
      </c>
      <c r="S27" s="17">
        <v>80</v>
      </c>
      <c r="U27" s="102"/>
      <c r="V27" s="207" t="s">
        <v>246</v>
      </c>
      <c r="W27" s="210">
        <v>20</v>
      </c>
      <c r="X27" s="211">
        <v>30</v>
      </c>
      <c r="Y27" s="211">
        <v>40</v>
      </c>
      <c r="Z27" s="211">
        <v>50</v>
      </c>
      <c r="AA27" s="209">
        <v>60</v>
      </c>
      <c r="AC27" s="102"/>
      <c r="AD27" s="207" t="s">
        <v>246</v>
      </c>
      <c r="AE27" s="210">
        <v>20</v>
      </c>
      <c r="AF27" s="211">
        <v>30</v>
      </c>
      <c r="AG27" s="209">
        <v>40</v>
      </c>
    </row>
    <row r="28" spans="1:37" x14ac:dyDescent="0.35">
      <c r="A28" s="84"/>
      <c r="B28" s="84"/>
      <c r="C28" s="29" t="s">
        <v>16</v>
      </c>
      <c r="D28" s="206">
        <v>100</v>
      </c>
      <c r="E28" s="146">
        <v>100</v>
      </c>
      <c r="F28" s="146">
        <v>96.296296296296291</v>
      </c>
      <c r="G28" s="146">
        <v>100</v>
      </c>
      <c r="H28" s="146">
        <v>96.428571428571431</v>
      </c>
      <c r="I28" s="146">
        <v>64.285714285714292</v>
      </c>
      <c r="J28" s="11">
        <v>25</v>
      </c>
      <c r="L28" s="102"/>
      <c r="M28" s="29" t="s">
        <v>16</v>
      </c>
      <c r="N28" s="28">
        <v>100</v>
      </c>
      <c r="O28" s="46">
        <v>100</v>
      </c>
      <c r="P28" s="46">
        <v>100</v>
      </c>
      <c r="Q28" s="46">
        <v>100</v>
      </c>
      <c r="R28" s="46">
        <v>100</v>
      </c>
      <c r="S28" s="27">
        <f>26/0.28</f>
        <v>92.857142857142847</v>
      </c>
      <c r="U28" s="102"/>
      <c r="V28" s="29" t="s">
        <v>16</v>
      </c>
      <c r="W28" s="28">
        <v>100</v>
      </c>
      <c r="X28" s="46">
        <v>100</v>
      </c>
      <c r="Y28" s="46">
        <f>6/0.28</f>
        <v>21.428571428571427</v>
      </c>
      <c r="Z28" s="46">
        <v>0</v>
      </c>
      <c r="AA28" s="27">
        <v>0</v>
      </c>
      <c r="AC28" s="102"/>
      <c r="AD28" s="29" t="s">
        <v>16</v>
      </c>
      <c r="AE28" s="28">
        <v>100</v>
      </c>
      <c r="AF28" s="46">
        <f>1/0.28</f>
        <v>3.5714285714285712</v>
      </c>
      <c r="AG28" s="27">
        <v>0</v>
      </c>
    </row>
    <row r="29" spans="1:37" x14ac:dyDescent="0.35">
      <c r="A29" s="84"/>
      <c r="B29" s="84"/>
      <c r="C29" s="29" t="s">
        <v>53</v>
      </c>
      <c r="D29" s="206">
        <v>82.142857142857139</v>
      </c>
      <c r="E29" s="146">
        <v>42.857142857142854</v>
      </c>
      <c r="F29" s="146">
        <v>3.5714285714285712</v>
      </c>
      <c r="G29" s="146">
        <v>0</v>
      </c>
      <c r="H29" s="146">
        <v>0</v>
      </c>
      <c r="I29" s="146">
        <v>0</v>
      </c>
      <c r="J29" s="11">
        <v>0</v>
      </c>
      <c r="L29" s="102"/>
      <c r="M29" s="29" t="s">
        <v>53</v>
      </c>
      <c r="N29" s="28">
        <v>100</v>
      </c>
      <c r="O29" s="46">
        <f>24/0.27</f>
        <v>88.888888888888886</v>
      </c>
      <c r="P29" s="46">
        <f>22/0.28</f>
        <v>78.571428571428569</v>
      </c>
      <c r="Q29" s="46">
        <f>18/0.28</f>
        <v>64.285714285714278</v>
      </c>
      <c r="R29" s="46">
        <f>10/0.27</f>
        <v>37.037037037037038</v>
      </c>
      <c r="S29" s="27">
        <v>0</v>
      </c>
      <c r="U29" s="102"/>
      <c r="V29" s="29" t="s">
        <v>53</v>
      </c>
      <c r="W29" s="28">
        <v>100</v>
      </c>
      <c r="X29" s="46">
        <f>12/0.28</f>
        <v>42.857142857142854</v>
      </c>
      <c r="Y29" s="46">
        <v>0</v>
      </c>
      <c r="Z29" s="46">
        <v>0</v>
      </c>
      <c r="AA29" s="27">
        <v>0</v>
      </c>
      <c r="AB29" s="102"/>
      <c r="AC29" s="102"/>
      <c r="AD29" s="29" t="s">
        <v>53</v>
      </c>
      <c r="AE29" s="28">
        <f>19/0.27</f>
        <v>70.370370370370367</v>
      </c>
      <c r="AF29" s="46">
        <v>0</v>
      </c>
      <c r="AG29" s="27">
        <v>0</v>
      </c>
      <c r="AH29" s="102"/>
      <c r="AI29" s="102"/>
      <c r="AJ29" s="102"/>
      <c r="AK29" s="102"/>
    </row>
    <row r="30" spans="1:37" x14ac:dyDescent="0.35">
      <c r="A30" s="84"/>
      <c r="B30" s="84"/>
      <c r="C30" s="29" t="s">
        <v>17</v>
      </c>
      <c r="D30" s="206">
        <v>96.428571428571431</v>
      </c>
      <c r="E30" s="146">
        <v>75</v>
      </c>
      <c r="F30" s="146">
        <v>40.74074074074074</v>
      </c>
      <c r="G30" s="146">
        <v>35.714285714285715</v>
      </c>
      <c r="H30" s="146">
        <v>3.5714285714285712</v>
      </c>
      <c r="I30" s="146">
        <v>0</v>
      </c>
      <c r="J30" s="11">
        <v>0</v>
      </c>
      <c r="L30" s="102"/>
      <c r="M30" s="29" t="s">
        <v>17</v>
      </c>
      <c r="N30" s="28">
        <v>100</v>
      </c>
      <c r="O30" s="46">
        <v>100</v>
      </c>
      <c r="P30" s="46">
        <f>23/0.27</f>
        <v>85.185185185185176</v>
      </c>
      <c r="Q30" s="46">
        <f>23/0.28</f>
        <v>82.142857142857139</v>
      </c>
      <c r="R30" s="46">
        <f>15/0.27</f>
        <v>55.55555555555555</v>
      </c>
      <c r="S30" s="27">
        <f>8/0.28</f>
        <v>28.571428571428569</v>
      </c>
      <c r="U30" s="102"/>
      <c r="V30" s="29" t="s">
        <v>17</v>
      </c>
      <c r="W30" s="28">
        <v>100</v>
      </c>
      <c r="X30" s="46">
        <f>18/0.28</f>
        <v>64.285714285714278</v>
      </c>
      <c r="Y30" s="46">
        <f>1/0.28</f>
        <v>3.5714285714285712</v>
      </c>
      <c r="Z30" s="46">
        <v>0</v>
      </c>
      <c r="AA30" s="27">
        <v>0</v>
      </c>
      <c r="AB30" s="102"/>
      <c r="AC30" s="102"/>
      <c r="AD30" s="29" t="s">
        <v>17</v>
      </c>
      <c r="AE30" s="28">
        <f>26/0.28</f>
        <v>92.857142857142847</v>
      </c>
      <c r="AF30" s="46">
        <f>1/0.28</f>
        <v>3.5714285714285712</v>
      </c>
      <c r="AG30" s="27">
        <v>0</v>
      </c>
      <c r="AH30" s="102"/>
      <c r="AI30" s="102"/>
      <c r="AJ30" s="102"/>
      <c r="AK30" s="102"/>
    </row>
    <row r="31" spans="1:37" x14ac:dyDescent="0.35">
      <c r="A31" s="84"/>
      <c r="B31" s="84"/>
      <c r="C31" s="29" t="s">
        <v>57</v>
      </c>
      <c r="D31" s="206">
        <v>32.142857142857146</v>
      </c>
      <c r="E31" s="146">
        <v>25</v>
      </c>
      <c r="F31" s="146">
        <v>0</v>
      </c>
      <c r="G31" s="146">
        <v>0</v>
      </c>
      <c r="H31" s="146">
        <v>0</v>
      </c>
      <c r="I31" s="146">
        <v>0</v>
      </c>
      <c r="J31" s="11">
        <v>0</v>
      </c>
      <c r="L31" s="102"/>
      <c r="M31" s="29" t="s">
        <v>57</v>
      </c>
      <c r="N31" s="28">
        <f>26/0.27</f>
        <v>96.296296296296291</v>
      </c>
      <c r="O31" s="46">
        <f>25/0.28</f>
        <v>89.285714285714278</v>
      </c>
      <c r="P31" s="46">
        <f>13/0.27</f>
        <v>48.148148148148145</v>
      </c>
      <c r="Q31" s="46">
        <v>0</v>
      </c>
      <c r="R31" s="46">
        <f>1/0.28</f>
        <v>3.5714285714285712</v>
      </c>
      <c r="S31" s="27">
        <v>0</v>
      </c>
      <c r="U31" s="102"/>
      <c r="V31" s="29" t="s">
        <v>57</v>
      </c>
      <c r="W31" s="28">
        <v>100</v>
      </c>
      <c r="X31" s="46">
        <f>10/0.28</f>
        <v>35.714285714285708</v>
      </c>
      <c r="Y31" s="46">
        <v>0</v>
      </c>
      <c r="Z31" s="46">
        <v>0</v>
      </c>
      <c r="AA31" s="27">
        <v>0</v>
      </c>
      <c r="AB31" s="102"/>
      <c r="AC31" s="102"/>
      <c r="AD31" s="29" t="s">
        <v>57</v>
      </c>
      <c r="AE31" s="28">
        <v>100</v>
      </c>
      <c r="AF31" s="46">
        <v>0</v>
      </c>
      <c r="AG31" s="27">
        <v>0</v>
      </c>
      <c r="AH31" s="102"/>
      <c r="AI31" s="102"/>
      <c r="AJ31" s="102"/>
      <c r="AK31" s="102"/>
    </row>
    <row r="32" spans="1:37" x14ac:dyDescent="0.35">
      <c r="A32" s="84"/>
      <c r="B32" s="84"/>
      <c r="C32" s="162" t="s">
        <v>243</v>
      </c>
      <c r="D32" s="162">
        <v>100</v>
      </c>
      <c r="E32" s="163">
        <v>100</v>
      </c>
      <c r="F32" s="163">
        <v>100</v>
      </c>
      <c r="G32" s="205">
        <v>100</v>
      </c>
      <c r="H32" s="163">
        <f>26/0.28</f>
        <v>92.857142857142847</v>
      </c>
      <c r="I32" s="163">
        <f>20/0.27</f>
        <v>74.074074074074076</v>
      </c>
      <c r="J32" s="17">
        <f>10/0.28</f>
        <v>35.714285714285708</v>
      </c>
      <c r="L32" s="102"/>
      <c r="M32" s="162" t="s">
        <v>243</v>
      </c>
      <c r="N32" s="25">
        <v>100</v>
      </c>
      <c r="O32" s="14">
        <v>100</v>
      </c>
      <c r="P32" s="14">
        <v>100</v>
      </c>
      <c r="Q32" s="14">
        <v>100</v>
      </c>
      <c r="R32" s="14">
        <v>100</v>
      </c>
      <c r="S32" s="17">
        <f>26/0.27</f>
        <v>96.296296296296291</v>
      </c>
      <c r="U32" s="102"/>
      <c r="V32" s="162" t="s">
        <v>243</v>
      </c>
      <c r="W32" s="25">
        <v>100</v>
      </c>
      <c r="X32" s="14">
        <v>100</v>
      </c>
      <c r="Y32" s="14">
        <f>19/0.26</f>
        <v>73.07692307692308</v>
      </c>
      <c r="Z32" s="14">
        <f>3/0.26</f>
        <v>11.538461538461538</v>
      </c>
      <c r="AA32" s="17">
        <f>1/0.27</f>
        <v>3.7037037037037033</v>
      </c>
      <c r="AB32" s="102"/>
      <c r="AC32" s="102"/>
      <c r="AD32" s="162" t="s">
        <v>243</v>
      </c>
      <c r="AE32" s="25">
        <v>100</v>
      </c>
      <c r="AF32" s="14">
        <f>6/0.28</f>
        <v>21.428571428571427</v>
      </c>
      <c r="AG32" s="17">
        <f>3/0.28</f>
        <v>10.714285714285714</v>
      </c>
      <c r="AH32" s="102"/>
      <c r="AI32" s="102"/>
      <c r="AJ32" s="102"/>
      <c r="AK32" s="102"/>
    </row>
    <row r="33" spans="1:37" x14ac:dyDescent="0.35">
      <c r="A33" s="84"/>
      <c r="B33" s="84"/>
      <c r="C33" s="84"/>
      <c r="D33" s="84"/>
      <c r="E33" s="84"/>
      <c r="F33" s="84"/>
      <c r="G33" s="84"/>
      <c r="H33" s="84"/>
      <c r="I33" s="84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</row>
    <row r="34" spans="1:37" x14ac:dyDescent="0.35">
      <c r="N34" s="146"/>
      <c r="O34" s="146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</row>
    <row r="35" spans="1:37" x14ac:dyDescent="0.35">
      <c r="A35" s="45" t="s">
        <v>171</v>
      </c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</row>
    <row r="36" spans="1:37" x14ac:dyDescent="0.35"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</row>
    <row r="37" spans="1:37" x14ac:dyDescent="0.35"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</row>
    <row r="38" spans="1:37" x14ac:dyDescent="0.35"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</row>
    <row r="39" spans="1:37" x14ac:dyDescent="0.35">
      <c r="C39" s="84"/>
      <c r="D39" s="84"/>
      <c r="E39" s="296" t="s">
        <v>88</v>
      </c>
      <c r="F39" s="297"/>
      <c r="G39" s="297"/>
      <c r="H39" s="168" t="s">
        <v>21</v>
      </c>
      <c r="I39" s="184" t="s">
        <v>20</v>
      </c>
      <c r="J39" s="84" t="s">
        <v>174</v>
      </c>
      <c r="K39" s="84" t="s">
        <v>175</v>
      </c>
      <c r="L39" s="84"/>
      <c r="M39" s="84"/>
      <c r="N39" s="84"/>
      <c r="O39" s="296" t="s">
        <v>90</v>
      </c>
      <c r="P39" s="297"/>
      <c r="Q39" s="297"/>
      <c r="R39" s="168" t="s">
        <v>21</v>
      </c>
      <c r="S39" s="184" t="s">
        <v>20</v>
      </c>
      <c r="T39" s="84" t="s">
        <v>174</v>
      </c>
      <c r="U39" s="84" t="s">
        <v>175</v>
      </c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</row>
    <row r="40" spans="1:37" x14ac:dyDescent="0.35">
      <c r="C40" s="304" t="s">
        <v>16</v>
      </c>
      <c r="D40" s="168" t="s">
        <v>172</v>
      </c>
      <c r="E40" s="159">
        <v>1.0490542437207758E-3</v>
      </c>
      <c r="F40" s="159">
        <v>3.602221633932241E-3</v>
      </c>
      <c r="G40" s="159">
        <v>1.4545206140666852E-3</v>
      </c>
      <c r="H40" s="168">
        <v>2.0352654972399008E-3</v>
      </c>
      <c r="I40" s="160">
        <v>1.1203018626271253E-3</v>
      </c>
      <c r="J40" s="84"/>
      <c r="K40" s="84"/>
      <c r="L40" s="84"/>
      <c r="M40" s="304" t="s">
        <v>16</v>
      </c>
      <c r="N40" s="168" t="s">
        <v>172</v>
      </c>
      <c r="O40" s="159">
        <v>1.8846930743591464E-2</v>
      </c>
      <c r="P40" s="159">
        <v>9.0553679040242998E-3</v>
      </c>
      <c r="Q40" s="159">
        <v>7.9002985913411202E-3</v>
      </c>
      <c r="R40" s="168">
        <v>1.1934199079652296E-2</v>
      </c>
      <c r="S40" s="160">
        <v>4.910732502895805E-3</v>
      </c>
      <c r="T40" s="84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</row>
    <row r="41" spans="1:37" x14ac:dyDescent="0.35">
      <c r="C41" s="264"/>
      <c r="D41" s="40" t="s">
        <v>126</v>
      </c>
      <c r="E41" s="47">
        <v>3.3163539075776446E-2</v>
      </c>
      <c r="F41" s="47">
        <v>7.6576204181133936E-2</v>
      </c>
      <c r="G41" s="47">
        <v>0.11893127694481609</v>
      </c>
      <c r="H41" s="40">
        <v>7.6223673400575495E-2</v>
      </c>
      <c r="I41" s="161">
        <v>3.5015419681967787E-2</v>
      </c>
      <c r="J41" s="84"/>
      <c r="K41" s="84"/>
      <c r="L41" s="84"/>
      <c r="M41" s="264"/>
      <c r="N41" s="40" t="s">
        <v>126</v>
      </c>
      <c r="O41" s="47">
        <v>38.786920267621923</v>
      </c>
      <c r="P41" s="47">
        <v>42.650809747521684</v>
      </c>
      <c r="Q41" s="47">
        <v>33.774469345536176</v>
      </c>
      <c r="R41" s="40">
        <v>38.404066453559928</v>
      </c>
      <c r="S41" s="161">
        <v>3.6338489709201758</v>
      </c>
      <c r="T41" s="84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</row>
    <row r="42" spans="1:37" x14ac:dyDescent="0.35">
      <c r="C42" s="264"/>
      <c r="D42" s="40" t="s">
        <v>127</v>
      </c>
      <c r="E42" s="47">
        <v>0.20164759977225163</v>
      </c>
      <c r="F42" s="47">
        <v>0.3009586958984431</v>
      </c>
      <c r="G42" s="47">
        <v>0.23687873640809831</v>
      </c>
      <c r="H42" s="40">
        <v>0.246495010692931</v>
      </c>
      <c r="I42" s="161">
        <v>4.110983663137302E-2</v>
      </c>
      <c r="J42" s="84"/>
      <c r="K42" s="84"/>
      <c r="L42" s="84"/>
      <c r="M42" s="264"/>
      <c r="N42" s="40" t="s">
        <v>127</v>
      </c>
      <c r="O42" s="47">
        <v>32.272318072205096</v>
      </c>
      <c r="P42" s="47">
        <v>43.927216346044588</v>
      </c>
      <c r="Q42" s="47">
        <v>36.657887144347207</v>
      </c>
      <c r="R42" s="40">
        <v>37.619140520865635</v>
      </c>
      <c r="S42" s="161">
        <v>4.806396396732711</v>
      </c>
      <c r="T42" s="84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</row>
    <row r="43" spans="1:37" x14ac:dyDescent="0.35">
      <c r="C43" s="265"/>
      <c r="D43" s="44" t="s">
        <v>128</v>
      </c>
      <c r="E43" s="47">
        <v>2.2813982134552826</v>
      </c>
      <c r="F43" s="47">
        <v>2.5514901324611561</v>
      </c>
      <c r="G43" s="47">
        <v>1.500705202786486</v>
      </c>
      <c r="H43" s="40">
        <v>2.1111978495676418</v>
      </c>
      <c r="I43" s="161">
        <v>0.4455433873436368</v>
      </c>
      <c r="J43" s="84"/>
      <c r="K43" s="84"/>
      <c r="L43" s="84"/>
      <c r="M43" s="265"/>
      <c r="N43" s="44" t="s">
        <v>128</v>
      </c>
      <c r="O43" s="47">
        <v>40.626577450949895</v>
      </c>
      <c r="P43" s="47">
        <v>38.083072263748058</v>
      </c>
      <c r="Q43" s="47">
        <v>33.775140509454097</v>
      </c>
      <c r="R43" s="40">
        <v>37.494930074717352</v>
      </c>
      <c r="S43" s="161">
        <v>2.8278355052008357</v>
      </c>
      <c r="T43" s="84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</row>
    <row r="44" spans="1:37" x14ac:dyDescent="0.35">
      <c r="C44" s="264" t="s">
        <v>173</v>
      </c>
      <c r="D44" s="40" t="s">
        <v>172</v>
      </c>
      <c r="E44" s="47">
        <v>1.8281958256730632E-3</v>
      </c>
      <c r="F44" s="47">
        <v>6.1086262203390584E-3</v>
      </c>
      <c r="G44" s="47">
        <v>6.6281122794787069E-3</v>
      </c>
      <c r="H44" s="40">
        <v>4.8549781084969426E-3</v>
      </c>
      <c r="I44" s="161">
        <v>2.1507401333994325E-3</v>
      </c>
      <c r="J44" s="84">
        <v>0.1986</v>
      </c>
      <c r="K44" s="84"/>
      <c r="L44" s="84"/>
      <c r="M44" s="264" t="s">
        <v>173</v>
      </c>
      <c r="N44" s="40" t="s">
        <v>172</v>
      </c>
      <c r="O44" s="47">
        <v>5.611854216978366E-2</v>
      </c>
      <c r="P44" s="47">
        <v>3.0086398246610274E-2</v>
      </c>
      <c r="Q44" s="47">
        <v>3.205317745914367E-2</v>
      </c>
      <c r="R44" s="40">
        <v>3.9419372625179201E-2</v>
      </c>
      <c r="S44" s="161">
        <v>1.183536375239611E-2</v>
      </c>
      <c r="T44" s="84">
        <v>9.3700000000000006E-2</v>
      </c>
      <c r="AF44" s="102"/>
      <c r="AG44" s="102"/>
      <c r="AH44" s="102"/>
      <c r="AI44" s="102"/>
      <c r="AJ44" s="102"/>
      <c r="AK44" s="102"/>
    </row>
    <row r="45" spans="1:37" x14ac:dyDescent="0.35">
      <c r="C45" s="264"/>
      <c r="D45" s="40" t="s">
        <v>126</v>
      </c>
      <c r="E45" s="47">
        <v>7.6723526717587124E-3</v>
      </c>
      <c r="F45" s="47">
        <v>1.8952369855706138E-2</v>
      </c>
      <c r="G45" s="47">
        <v>2.534951624779937E-2</v>
      </c>
      <c r="H45" s="40">
        <v>1.7324746258421408E-2</v>
      </c>
      <c r="I45" s="161">
        <v>7.3078677672014647E-3</v>
      </c>
      <c r="J45" s="84">
        <v>0.14530000000000001</v>
      </c>
      <c r="K45" s="84"/>
      <c r="L45" s="84"/>
      <c r="M45" s="264"/>
      <c r="N45" s="40" t="s">
        <v>126</v>
      </c>
      <c r="O45" s="47">
        <v>40.914579933168035</v>
      </c>
      <c r="P45" s="47">
        <v>64.055254539252687</v>
      </c>
      <c r="Q45" s="47">
        <v>41.904061117091992</v>
      </c>
      <c r="R45" s="40">
        <v>48.95796519650424</v>
      </c>
      <c r="S45" s="161">
        <v>10.683035691454412</v>
      </c>
      <c r="T45" s="84">
        <v>0.31690000000000002</v>
      </c>
      <c r="AF45" s="102"/>
      <c r="AG45" s="102"/>
      <c r="AH45" s="102"/>
      <c r="AI45" s="102"/>
      <c r="AJ45" s="102"/>
      <c r="AK45" s="102"/>
    </row>
    <row r="46" spans="1:37" x14ac:dyDescent="0.35">
      <c r="C46" s="264"/>
      <c r="D46" s="40" t="s">
        <v>127</v>
      </c>
      <c r="E46" s="47">
        <v>3.4827706894905601E-2</v>
      </c>
      <c r="F46" s="47">
        <v>7.4189983857933475E-2</v>
      </c>
      <c r="G46" s="47">
        <v>0.10361477292032202</v>
      </c>
      <c r="H46" s="40">
        <v>7.0877487891053692E-2</v>
      </c>
      <c r="I46" s="161">
        <v>2.8179715934742829E-2</v>
      </c>
      <c r="J46" s="103">
        <v>1.55E-2</v>
      </c>
      <c r="K46" s="84"/>
      <c r="L46" s="84"/>
      <c r="M46" s="264"/>
      <c r="N46" s="40" t="s">
        <v>127</v>
      </c>
      <c r="O46" s="47">
        <v>64.106331643026621</v>
      </c>
      <c r="P46" s="47">
        <v>40.847354135098506</v>
      </c>
      <c r="Q46" s="47">
        <v>54.728788456546376</v>
      </c>
      <c r="R46" s="40">
        <v>53.227491411557168</v>
      </c>
      <c r="S46" s="161">
        <v>9.5545949954823968</v>
      </c>
      <c r="T46" s="84">
        <v>0.17510000000000001</v>
      </c>
      <c r="AF46" s="102"/>
      <c r="AG46" s="102"/>
      <c r="AH46" s="102"/>
      <c r="AI46" s="102"/>
      <c r="AJ46" s="102"/>
      <c r="AK46" s="102"/>
    </row>
    <row r="47" spans="1:37" x14ac:dyDescent="0.35">
      <c r="C47" s="265"/>
      <c r="D47" s="44" t="s">
        <v>128</v>
      </c>
      <c r="E47" s="163">
        <v>0.41070735002975195</v>
      </c>
      <c r="F47" s="163">
        <v>0.2577632151531199</v>
      </c>
      <c r="G47" s="163">
        <v>0.32784904999144115</v>
      </c>
      <c r="H47" s="44">
        <v>0.33210653839143767</v>
      </c>
      <c r="I47" s="164">
        <v>6.2511714922870984E-2</v>
      </c>
      <c r="J47" s="103">
        <v>3.0499999999999999E-2</v>
      </c>
      <c r="K47" s="84"/>
      <c r="L47" s="84"/>
      <c r="M47" s="265"/>
      <c r="N47" s="44" t="s">
        <v>128</v>
      </c>
      <c r="O47" s="163">
        <v>27.616811561625553</v>
      </c>
      <c r="P47" s="163">
        <v>33.314394201343227</v>
      </c>
      <c r="Q47" s="163">
        <v>38.132821649365106</v>
      </c>
      <c r="R47" s="44">
        <v>33.021342470777959</v>
      </c>
      <c r="S47" s="164">
        <v>4.2981411896268868</v>
      </c>
      <c r="T47" s="84">
        <v>0.30649999999999999</v>
      </c>
      <c r="AF47" s="102"/>
      <c r="AG47" s="102"/>
      <c r="AH47" s="102"/>
      <c r="AI47" s="102"/>
      <c r="AJ47" s="102"/>
      <c r="AK47" s="102"/>
    </row>
    <row r="48" spans="1:37" x14ac:dyDescent="0.35">
      <c r="AF48" s="102"/>
      <c r="AG48" s="102"/>
      <c r="AH48" s="102"/>
      <c r="AI48" s="102"/>
      <c r="AJ48" s="102"/>
      <c r="AK48" s="102"/>
    </row>
    <row r="49" spans="25:37" x14ac:dyDescent="0.35">
      <c r="AF49" s="102"/>
      <c r="AG49" s="102"/>
      <c r="AH49" s="102"/>
      <c r="AI49" s="102"/>
      <c r="AJ49" s="102"/>
      <c r="AK49" s="102"/>
    </row>
    <row r="50" spans="25:37" x14ac:dyDescent="0.35">
      <c r="AF50" s="102"/>
      <c r="AG50" s="102"/>
      <c r="AH50" s="102"/>
      <c r="AI50" s="102"/>
      <c r="AJ50" s="102"/>
      <c r="AK50" s="102"/>
    </row>
    <row r="51" spans="25:37" x14ac:dyDescent="0.35"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</row>
    <row r="52" spans="25:37" x14ac:dyDescent="0.35"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</row>
    <row r="53" spans="25:37" x14ac:dyDescent="0.35">
      <c r="AD53" s="102"/>
      <c r="AE53" s="102"/>
      <c r="AF53" s="102"/>
      <c r="AG53" s="102"/>
      <c r="AH53" s="102"/>
      <c r="AI53" s="102"/>
      <c r="AJ53" s="102"/>
      <c r="AK53" s="102"/>
    </row>
    <row r="54" spans="25:37" x14ac:dyDescent="0.35">
      <c r="AD54" s="102"/>
      <c r="AE54" s="102"/>
      <c r="AF54" s="102"/>
      <c r="AG54" s="102"/>
      <c r="AH54" s="102"/>
      <c r="AI54" s="102"/>
      <c r="AJ54" s="102"/>
      <c r="AK54" s="102"/>
    </row>
    <row r="55" spans="25:37" x14ac:dyDescent="0.35">
      <c r="AD55" s="102"/>
      <c r="AE55" s="102"/>
      <c r="AF55" s="102"/>
      <c r="AG55" s="102"/>
      <c r="AH55" s="102"/>
      <c r="AI55" s="102"/>
      <c r="AJ55" s="102"/>
      <c r="AK55" s="102"/>
    </row>
    <row r="56" spans="25:37" x14ac:dyDescent="0.35">
      <c r="AD56" s="102"/>
      <c r="AE56" s="102"/>
      <c r="AF56" s="102"/>
      <c r="AG56" s="102"/>
      <c r="AH56" s="102"/>
      <c r="AI56" s="102"/>
      <c r="AJ56" s="102"/>
      <c r="AK56" s="102"/>
    </row>
    <row r="57" spans="25:37" x14ac:dyDescent="0.35">
      <c r="AD57" s="102"/>
      <c r="AE57" s="102"/>
      <c r="AF57" s="102"/>
      <c r="AG57" s="102"/>
      <c r="AH57" s="102"/>
      <c r="AI57" s="102"/>
      <c r="AJ57" s="102"/>
      <c r="AK57" s="102"/>
    </row>
    <row r="58" spans="25:37" x14ac:dyDescent="0.35">
      <c r="AD58" s="102"/>
      <c r="AE58" s="102"/>
      <c r="AF58" s="102"/>
      <c r="AG58" s="102"/>
      <c r="AH58" s="102"/>
      <c r="AI58" s="102"/>
      <c r="AJ58" s="102"/>
      <c r="AK58" s="102"/>
    </row>
    <row r="59" spans="25:37" x14ac:dyDescent="0.35">
      <c r="AD59" s="102"/>
      <c r="AE59" s="102"/>
      <c r="AF59" s="102"/>
      <c r="AG59" s="102"/>
      <c r="AH59" s="102"/>
      <c r="AI59" s="102"/>
      <c r="AJ59" s="102"/>
      <c r="AK59" s="102"/>
    </row>
  </sheetData>
  <mergeCells count="14">
    <mergeCell ref="C40:C43"/>
    <mergeCell ref="C44:C47"/>
    <mergeCell ref="M40:M43"/>
    <mergeCell ref="M44:M47"/>
    <mergeCell ref="E39:G39"/>
    <mergeCell ref="O39:Q39"/>
    <mergeCell ref="BB3:BV3"/>
    <mergeCell ref="AE3:AY3"/>
    <mergeCell ref="I3:AC3"/>
    <mergeCell ref="BY3:CS3"/>
    <mergeCell ref="D26:J26"/>
    <mergeCell ref="N26:S26"/>
    <mergeCell ref="W26:AA26"/>
    <mergeCell ref="AE26:AG2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6"/>
  <sheetViews>
    <sheetView zoomScale="55" zoomScaleNormal="55" workbookViewId="0">
      <selection activeCell="F78" sqref="F78"/>
    </sheetView>
  </sheetViews>
  <sheetFormatPr defaultRowHeight="14.5" x14ac:dyDescent="0.35"/>
  <cols>
    <col min="1" max="1" width="10.7265625" customWidth="1"/>
    <col min="6" max="6" width="11.1796875" customWidth="1"/>
  </cols>
  <sheetData>
    <row r="2" spans="1:2" x14ac:dyDescent="0.35">
      <c r="A2" t="s">
        <v>56</v>
      </c>
      <c r="B2" t="s">
        <v>60</v>
      </c>
    </row>
    <row r="3" spans="1:2" s="102" customFormat="1" x14ac:dyDescent="0.35"/>
    <row r="4" spans="1:2" s="102" customFormat="1" x14ac:dyDescent="0.35"/>
    <row r="5" spans="1:2" s="102" customFormat="1" x14ac:dyDescent="0.35"/>
    <row r="6" spans="1:2" s="102" customFormat="1" x14ac:dyDescent="0.35"/>
    <row r="7" spans="1:2" s="102" customFormat="1" x14ac:dyDescent="0.35"/>
    <row r="8" spans="1:2" s="102" customFormat="1" x14ac:dyDescent="0.35"/>
    <row r="9" spans="1:2" s="102" customFormat="1" x14ac:dyDescent="0.35"/>
    <row r="10" spans="1:2" s="102" customFormat="1" x14ac:dyDescent="0.35"/>
    <row r="11" spans="1:2" s="102" customFormat="1" x14ac:dyDescent="0.35"/>
    <row r="22" spans="1:7" x14ac:dyDescent="0.35">
      <c r="A22" t="s">
        <v>61</v>
      </c>
    </row>
    <row r="24" spans="1:7" x14ac:dyDescent="0.35">
      <c r="B24" t="s">
        <v>16</v>
      </c>
      <c r="C24" t="s">
        <v>53</v>
      </c>
      <c r="D24" t="s">
        <v>17</v>
      </c>
      <c r="E24" t="s">
        <v>57</v>
      </c>
      <c r="F24" t="s">
        <v>58</v>
      </c>
      <c r="G24" t="s">
        <v>59</v>
      </c>
    </row>
    <row r="25" spans="1:7" x14ac:dyDescent="0.35">
      <c r="A25" t="s">
        <v>65</v>
      </c>
      <c r="B25">
        <v>100</v>
      </c>
      <c r="C25">
        <v>100</v>
      </c>
      <c r="D25">
        <v>100</v>
      </c>
      <c r="E25">
        <v>100</v>
      </c>
      <c r="F25">
        <v>100</v>
      </c>
      <c r="G25">
        <v>100</v>
      </c>
    </row>
    <row r="26" spans="1:7" x14ac:dyDescent="0.35">
      <c r="A26" t="s">
        <v>139</v>
      </c>
      <c r="B26">
        <v>100</v>
      </c>
      <c r="C26">
        <v>100</v>
      </c>
      <c r="D26">
        <v>100</v>
      </c>
      <c r="E26">
        <v>100</v>
      </c>
      <c r="F26">
        <v>100</v>
      </c>
      <c r="G26">
        <f>5/0.26</f>
        <v>19.23076923076923</v>
      </c>
    </row>
    <row r="27" spans="1:7" x14ac:dyDescent="0.35">
      <c r="A27" s="45" t="s">
        <v>140</v>
      </c>
      <c r="B27">
        <f>24/0.26</f>
        <v>92.307692307692307</v>
      </c>
      <c r="C27">
        <v>100</v>
      </c>
      <c r="D27">
        <v>100</v>
      </c>
      <c r="E27">
        <v>100</v>
      </c>
      <c r="F27">
        <v>100</v>
      </c>
      <c r="G27">
        <f>6/0.28</f>
        <v>21.428571428571427</v>
      </c>
    </row>
    <row r="28" spans="1:7" x14ac:dyDescent="0.35">
      <c r="A28" s="45" t="s">
        <v>141</v>
      </c>
      <c r="B28">
        <f>3/0.27</f>
        <v>11.111111111111111</v>
      </c>
      <c r="C28">
        <f>5/0.28</f>
        <v>17.857142857142854</v>
      </c>
      <c r="D28">
        <f>10/0.28</f>
        <v>35.714285714285708</v>
      </c>
      <c r="E28">
        <f>6/0.27</f>
        <v>22.222222222222221</v>
      </c>
      <c r="F28">
        <f>16/0.26</f>
        <v>61.538461538461533</v>
      </c>
      <c r="G28">
        <v>0</v>
      </c>
    </row>
    <row r="29" spans="1:7" x14ac:dyDescent="0.35">
      <c r="A29" s="45" t="s">
        <v>142</v>
      </c>
      <c r="B29">
        <f>1/0.27</f>
        <v>3.7037037037037033</v>
      </c>
      <c r="C29">
        <f>8/0.27</f>
        <v>29.629629629629626</v>
      </c>
      <c r="D29">
        <f>8/0.28</f>
        <v>28.571428571428569</v>
      </c>
      <c r="E29">
        <f>6/0.28</f>
        <v>21.428571428571427</v>
      </c>
      <c r="F29">
        <f>7/0.28</f>
        <v>24.999999999999996</v>
      </c>
      <c r="G29">
        <v>0</v>
      </c>
    </row>
    <row r="30" spans="1:7" x14ac:dyDescent="0.35">
      <c r="A30" s="45" t="s">
        <v>143</v>
      </c>
      <c r="B30">
        <f>1/0.28</f>
        <v>3.5714285714285712</v>
      </c>
      <c r="C30">
        <f>3/0.28</f>
        <v>10.714285714285714</v>
      </c>
      <c r="D30">
        <f>4/0.28</f>
        <v>14.285714285714285</v>
      </c>
      <c r="E30">
        <v>0</v>
      </c>
      <c r="F30">
        <f>7/0.28</f>
        <v>24.999999999999996</v>
      </c>
      <c r="G30">
        <v>0</v>
      </c>
    </row>
    <row r="32" spans="1:7" x14ac:dyDescent="0.35">
      <c r="A32" t="s">
        <v>63</v>
      </c>
      <c r="B32" t="s">
        <v>64</v>
      </c>
    </row>
    <row r="54" spans="1:7" x14ac:dyDescent="0.35">
      <c r="A54" t="s">
        <v>62</v>
      </c>
    </row>
    <row r="56" spans="1:7" x14ac:dyDescent="0.35">
      <c r="B56" t="s">
        <v>16</v>
      </c>
      <c r="C56" t="s">
        <v>53</v>
      </c>
      <c r="D56" t="s">
        <v>17</v>
      </c>
      <c r="E56" t="s">
        <v>57</v>
      </c>
      <c r="F56" t="s">
        <v>58</v>
      </c>
      <c r="G56" t="s">
        <v>59</v>
      </c>
    </row>
    <row r="57" spans="1:7" x14ac:dyDescent="0.35">
      <c r="A57" s="45" t="s">
        <v>65</v>
      </c>
      <c r="B57">
        <v>100</v>
      </c>
      <c r="C57">
        <v>100</v>
      </c>
      <c r="D57">
        <v>100</v>
      </c>
      <c r="E57">
        <v>100</v>
      </c>
      <c r="F57">
        <v>100</v>
      </c>
      <c r="G57">
        <v>100</v>
      </c>
    </row>
    <row r="58" spans="1:7" x14ac:dyDescent="0.35">
      <c r="A58" s="45" t="s">
        <v>144</v>
      </c>
      <c r="B58">
        <v>100</v>
      </c>
      <c r="C58">
        <v>100</v>
      </c>
      <c r="D58">
        <v>100</v>
      </c>
      <c r="E58">
        <v>100</v>
      </c>
      <c r="F58">
        <f>27/0.28</f>
        <v>96.428571428571416</v>
      </c>
      <c r="G58">
        <f>6/0.28</f>
        <v>21.428571428571427</v>
      </c>
    </row>
    <row r="59" spans="1:7" x14ac:dyDescent="0.35">
      <c r="A59" s="45" t="s">
        <v>145</v>
      </c>
      <c r="B59">
        <f>27/0.28</f>
        <v>96.428571428571416</v>
      </c>
      <c r="C59">
        <f>27/0.28</f>
        <v>96.428571428571416</v>
      </c>
      <c r="D59">
        <v>100</v>
      </c>
      <c r="E59">
        <f>22/0.26</f>
        <v>84.615384615384613</v>
      </c>
      <c r="F59">
        <f>25/0.28</f>
        <v>89.285714285714278</v>
      </c>
      <c r="G59">
        <f>3/0.26</f>
        <v>11.538461538461538</v>
      </c>
    </row>
    <row r="60" spans="1:7" x14ac:dyDescent="0.35">
      <c r="A60" s="45" t="s">
        <v>146</v>
      </c>
      <c r="B60">
        <f>25/0.28</f>
        <v>89.285714285714278</v>
      </c>
      <c r="C60">
        <f>25/0.26</f>
        <v>96.153846153846146</v>
      </c>
      <c r="D60">
        <f>23/0.28</f>
        <v>82.142857142857139</v>
      </c>
      <c r="E60">
        <f>19/0.27</f>
        <v>70.370370370370367</v>
      </c>
      <c r="F60">
        <f>24/0.28</f>
        <v>85.714285714285708</v>
      </c>
      <c r="G60">
        <f>1/0.28</f>
        <v>3.5714285714285712</v>
      </c>
    </row>
    <row r="61" spans="1:7" x14ac:dyDescent="0.35">
      <c r="A61" s="45" t="s">
        <v>147</v>
      </c>
      <c r="B61">
        <f>24/0.27</f>
        <v>88.888888888888886</v>
      </c>
      <c r="C61">
        <f>23/0.28</f>
        <v>82.142857142857139</v>
      </c>
      <c r="D61">
        <f>24/0.28</f>
        <v>85.714285714285708</v>
      </c>
      <c r="E61">
        <f>20/0.28</f>
        <v>71.428571428571416</v>
      </c>
      <c r="F61">
        <f>23/0.28</f>
        <v>82.142857142857139</v>
      </c>
      <c r="G61">
        <f>1/0.27</f>
        <v>3.7037037037037033</v>
      </c>
    </row>
    <row r="62" spans="1:7" x14ac:dyDescent="0.35">
      <c r="A62" s="45" t="s">
        <v>148</v>
      </c>
      <c r="B62">
        <f>23/0.28</f>
        <v>82.142857142857139</v>
      </c>
      <c r="C62">
        <f>17/0.28</f>
        <v>60.714285714285708</v>
      </c>
      <c r="D62">
        <f>22/0.27</f>
        <v>81.481481481481481</v>
      </c>
      <c r="E62">
        <f>15/0.26</f>
        <v>57.692307692307693</v>
      </c>
      <c r="F62">
        <f>22/0.28</f>
        <v>78.571428571428569</v>
      </c>
      <c r="G62">
        <f>1/0.28</f>
        <v>3.5714285714285712</v>
      </c>
    </row>
    <row r="63" spans="1:7" x14ac:dyDescent="0.35">
      <c r="A63" s="45" t="s">
        <v>149</v>
      </c>
      <c r="B63">
        <f>7/0.28</f>
        <v>24.999999999999996</v>
      </c>
      <c r="C63">
        <f>6/0.28</f>
        <v>21.428571428571427</v>
      </c>
      <c r="D63">
        <f>14/0.27</f>
        <v>51.851851851851848</v>
      </c>
      <c r="E63">
        <f>10/0.28</f>
        <v>35.714285714285708</v>
      </c>
      <c r="F63">
        <f>7/0.27</f>
        <v>25.925925925925924</v>
      </c>
      <c r="G63">
        <v>0</v>
      </c>
    </row>
    <row r="64" spans="1:7" x14ac:dyDescent="0.35">
      <c r="A64" s="45" t="s">
        <v>150</v>
      </c>
      <c r="B64">
        <f>4/0.28</f>
        <v>14.285714285714285</v>
      </c>
      <c r="C64">
        <f>1/0.28</f>
        <v>3.5714285714285712</v>
      </c>
      <c r="D64">
        <f>14/0.28</f>
        <v>49.999999999999993</v>
      </c>
      <c r="E64">
        <f>1/0.28</f>
        <v>3.5714285714285712</v>
      </c>
      <c r="F64">
        <f>4/0.28</f>
        <v>14.285714285714285</v>
      </c>
      <c r="G64">
        <v>0</v>
      </c>
    </row>
    <row r="65" spans="1:7" x14ac:dyDescent="0.35">
      <c r="A65" s="45" t="s">
        <v>151</v>
      </c>
      <c r="B65">
        <f>1/0.28</f>
        <v>3.5714285714285712</v>
      </c>
      <c r="C65">
        <v>0</v>
      </c>
      <c r="D65">
        <f>2/0.28</f>
        <v>7.1428571428571423</v>
      </c>
      <c r="E65">
        <v>0</v>
      </c>
      <c r="F65">
        <f>5/0.28</f>
        <v>17.857142857142854</v>
      </c>
      <c r="G65">
        <v>0</v>
      </c>
    </row>
    <row r="66" spans="1:7" x14ac:dyDescent="0.35">
      <c r="A66" s="45" t="s">
        <v>152</v>
      </c>
      <c r="B66">
        <v>0</v>
      </c>
      <c r="C66">
        <f>2/0.28</f>
        <v>7.1428571428571423</v>
      </c>
      <c r="D66">
        <v>0</v>
      </c>
      <c r="E66">
        <v>0</v>
      </c>
      <c r="F66">
        <v>0</v>
      </c>
      <c r="G66">
        <v>0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3"/>
  <sheetViews>
    <sheetView topLeftCell="A11" zoomScale="55" zoomScaleNormal="55" workbookViewId="0">
      <selection activeCell="AC25" sqref="AC25"/>
    </sheetView>
  </sheetViews>
  <sheetFormatPr defaultRowHeight="14.5" x14ac:dyDescent="0.35"/>
  <cols>
    <col min="1" max="1" width="11.81640625" style="102" customWidth="1"/>
    <col min="8" max="9" width="9.1796875" style="102"/>
    <col min="15" max="16" width="9.1796875" style="102"/>
    <col min="22" max="22" width="9.1796875" style="102"/>
    <col min="27" max="27" width="12.26953125" bestFit="1" customWidth="1"/>
  </cols>
  <sheetData>
    <row r="1" spans="1:30" x14ac:dyDescent="0.35">
      <c r="B1" t="s">
        <v>176</v>
      </c>
    </row>
    <row r="3" spans="1:30" x14ac:dyDescent="0.35">
      <c r="B3" t="s">
        <v>177</v>
      </c>
    </row>
    <row r="5" spans="1:30" s="84" customFormat="1" x14ac:dyDescent="0.35">
      <c r="C5" s="158" t="s">
        <v>160</v>
      </c>
      <c r="D5" s="159"/>
      <c r="E5" s="159"/>
      <c r="F5" s="159"/>
      <c r="G5" s="168"/>
      <c r="H5" s="160"/>
      <c r="J5" s="158" t="s">
        <v>182</v>
      </c>
      <c r="K5" s="159"/>
      <c r="L5" s="159"/>
      <c r="M5" s="159"/>
      <c r="N5" s="168"/>
      <c r="O5" s="160"/>
      <c r="Q5" s="158" t="s">
        <v>207</v>
      </c>
      <c r="R5" s="159"/>
      <c r="S5" s="159"/>
      <c r="T5" s="159"/>
      <c r="U5" s="168"/>
      <c r="V5" s="160"/>
      <c r="X5" s="158" t="s">
        <v>197</v>
      </c>
      <c r="Y5" s="159"/>
      <c r="Z5" s="159"/>
      <c r="AA5" s="159"/>
      <c r="AB5" s="168"/>
      <c r="AC5" s="160"/>
    </row>
    <row r="6" spans="1:30" s="84" customFormat="1" x14ac:dyDescent="0.35">
      <c r="C6" s="166" t="s">
        <v>32</v>
      </c>
      <c r="D6" s="167" t="s">
        <v>33</v>
      </c>
      <c r="E6" s="167" t="s">
        <v>34</v>
      </c>
      <c r="F6" s="167" t="s">
        <v>21</v>
      </c>
      <c r="G6" s="40" t="s">
        <v>20</v>
      </c>
      <c r="H6" s="161" t="s">
        <v>206</v>
      </c>
      <c r="I6" s="167" t="s">
        <v>175</v>
      </c>
      <c r="J6" s="166" t="s">
        <v>32</v>
      </c>
      <c r="K6" s="167" t="s">
        <v>33</v>
      </c>
      <c r="L6" s="167" t="s">
        <v>34</v>
      </c>
      <c r="M6" s="167" t="s">
        <v>21</v>
      </c>
      <c r="N6" s="40" t="s">
        <v>20</v>
      </c>
      <c r="O6" s="161" t="s">
        <v>206</v>
      </c>
      <c r="P6" s="167" t="s">
        <v>175</v>
      </c>
      <c r="Q6" s="166" t="s">
        <v>32</v>
      </c>
      <c r="R6" s="167" t="s">
        <v>33</v>
      </c>
      <c r="S6" s="167" t="s">
        <v>34</v>
      </c>
      <c r="T6" s="167" t="s">
        <v>21</v>
      </c>
      <c r="U6" s="40" t="s">
        <v>20</v>
      </c>
      <c r="V6" s="161" t="s">
        <v>206</v>
      </c>
      <c r="W6" s="167" t="s">
        <v>175</v>
      </c>
      <c r="X6" s="166" t="s">
        <v>32</v>
      </c>
      <c r="Y6" s="167" t="s">
        <v>33</v>
      </c>
      <c r="Z6" s="167" t="s">
        <v>34</v>
      </c>
      <c r="AA6" s="167" t="s">
        <v>21</v>
      </c>
      <c r="AB6" s="40" t="s">
        <v>20</v>
      </c>
      <c r="AC6" s="161" t="s">
        <v>206</v>
      </c>
      <c r="AD6" s="167" t="s">
        <v>175</v>
      </c>
    </row>
    <row r="7" spans="1:30" s="84" customFormat="1" x14ac:dyDescent="0.35">
      <c r="A7" s="305" t="s">
        <v>16</v>
      </c>
      <c r="B7" s="94" t="s">
        <v>202</v>
      </c>
      <c r="C7" s="169">
        <v>1.1117094374173339E-3</v>
      </c>
      <c r="D7" s="170">
        <v>1.1418649988169524E-3</v>
      </c>
      <c r="E7" s="170">
        <v>1.412476864792939E-3</v>
      </c>
      <c r="F7" s="170">
        <v>1.2220171003424084E-3</v>
      </c>
      <c r="G7" s="186">
        <v>1.3523690540860814E-4</v>
      </c>
      <c r="H7" s="160"/>
      <c r="I7" s="6"/>
      <c r="J7" s="169">
        <v>0.12881574363838424</v>
      </c>
      <c r="K7" s="170">
        <v>0.16767665966563836</v>
      </c>
      <c r="L7" s="170">
        <v>0.10728613546015324</v>
      </c>
      <c r="M7" s="170">
        <v>0.13459284625472528</v>
      </c>
      <c r="N7" s="186">
        <v>2.4990465374259824E-2</v>
      </c>
      <c r="O7" s="160"/>
      <c r="P7" s="6"/>
      <c r="Q7" s="169">
        <v>6.2765144310668278E-2</v>
      </c>
      <c r="R7" s="170">
        <v>4.3940710290306294E-2</v>
      </c>
      <c r="S7" s="170">
        <v>8.8978273438148944E-2</v>
      </c>
      <c r="T7" s="170">
        <f>AVERAGE(Q7:S7)</f>
        <v>6.5228042679707832E-2</v>
      </c>
      <c r="U7" s="186">
        <f>_xlfn.STDEV.P(Q7:S7)</f>
        <v>1.8468801167665482E-2</v>
      </c>
      <c r="V7" s="160"/>
      <c r="X7" s="169">
        <v>5.8880130509094478E-3</v>
      </c>
      <c r="Y7" s="170">
        <v>2.5344802473321539E-3</v>
      </c>
      <c r="Z7" s="170">
        <v>4.2647197834790465E-3</v>
      </c>
      <c r="AA7" s="170">
        <f>AVERAGE(X7:Z7)</f>
        <v>4.2290710272402153E-3</v>
      </c>
      <c r="AB7" s="186">
        <f>_xlfn.STDEV.P(X7:Z7)</f>
        <v>1.3693060752398829E-3</v>
      </c>
      <c r="AC7" s="160"/>
    </row>
    <row r="8" spans="1:30" s="84" customFormat="1" x14ac:dyDescent="0.35">
      <c r="A8" s="306"/>
      <c r="B8" s="88" t="s">
        <v>203</v>
      </c>
      <c r="C8" s="29">
        <v>4.1478656144575523E-3</v>
      </c>
      <c r="D8" s="47">
        <v>2.6951350433383724E-3</v>
      </c>
      <c r="E8" s="47">
        <v>1.9639759830561349E-3</v>
      </c>
      <c r="F8" s="88">
        <v>2.93565888028402E-3</v>
      </c>
      <c r="G8" s="40">
        <v>9.0764613796344917E-4</v>
      </c>
      <c r="H8" s="161"/>
      <c r="J8" s="29">
        <v>0.43539561918604158</v>
      </c>
      <c r="K8" s="47">
        <v>1.141432886005628</v>
      </c>
      <c r="L8" s="47">
        <v>0.5899749591110901</v>
      </c>
      <c r="M8" s="88">
        <v>0.72226782143425317</v>
      </c>
      <c r="N8" s="40">
        <v>0.30303817867364446</v>
      </c>
      <c r="O8" s="161"/>
      <c r="Q8" s="29">
        <v>6.5072625584425517E-2</v>
      </c>
      <c r="R8" s="47">
        <v>4.427601738560899E-2</v>
      </c>
      <c r="S8" s="47">
        <v>6.1582374226012711E-2</v>
      </c>
      <c r="T8" s="88">
        <f t="shared" ref="T8:T16" si="0">AVERAGE(Q8:S8)</f>
        <v>5.6977005732015744E-2</v>
      </c>
      <c r="U8" s="40">
        <f t="shared" ref="U8:U16" si="1">_xlfn.STDEV.P(Q8:S8)</f>
        <v>9.0932866213815633E-3</v>
      </c>
      <c r="V8" s="161"/>
      <c r="X8" s="29">
        <v>2.0438874417036613E-2</v>
      </c>
      <c r="Y8" s="47">
        <v>8.0957380961054707E-3</v>
      </c>
      <c r="Z8" s="47">
        <v>2.0953474964897408E-2</v>
      </c>
      <c r="AA8" s="88">
        <f t="shared" ref="AA8:AA46" si="2">AVERAGE(X8:Z8)</f>
        <v>1.64960291593465E-2</v>
      </c>
      <c r="AB8" s="40">
        <f t="shared" ref="AB8:AB46" si="3">_xlfn.STDEV.P(X8:Z8)</f>
        <v>5.9436167940258864E-3</v>
      </c>
      <c r="AC8" s="161"/>
    </row>
    <row r="9" spans="1:30" s="84" customFormat="1" x14ac:dyDescent="0.35">
      <c r="A9" s="306"/>
      <c r="B9" s="88" t="s">
        <v>204</v>
      </c>
      <c r="C9" s="29">
        <v>3.4380952084062948E-3</v>
      </c>
      <c r="D9" s="47">
        <v>1.4288151826037535E-3</v>
      </c>
      <c r="E9" s="47">
        <v>1.0848649878396183E-3</v>
      </c>
      <c r="F9" s="88">
        <v>1.9839251262832223E-3</v>
      </c>
      <c r="G9" s="40">
        <v>1.0377968346216065E-3</v>
      </c>
      <c r="H9" s="161"/>
      <c r="J9" s="29">
        <v>0.4343904612335871</v>
      </c>
      <c r="K9" s="47">
        <v>1.4076849690477136</v>
      </c>
      <c r="L9" s="47">
        <v>0.47438679255424798</v>
      </c>
      <c r="M9" s="88">
        <v>0.77215407427851623</v>
      </c>
      <c r="N9" s="40">
        <v>0.44968475275047254</v>
      </c>
      <c r="O9" s="161"/>
      <c r="Q9" s="29">
        <v>6.3560235652997801E-2</v>
      </c>
      <c r="R9" s="47">
        <v>3.510123720746202E-2</v>
      </c>
      <c r="S9" s="47">
        <v>7.9807940288836796E-2</v>
      </c>
      <c r="T9" s="88">
        <f t="shared" si="0"/>
        <v>5.9489804383098865E-2</v>
      </c>
      <c r="U9" s="40">
        <f t="shared" si="1"/>
        <v>1.8476988086874972E-2</v>
      </c>
      <c r="V9" s="161"/>
      <c r="X9" s="29">
        <v>1.8807919573581178E-2</v>
      </c>
      <c r="Y9" s="47">
        <v>1.3786282622339054E-3</v>
      </c>
      <c r="Z9" s="47">
        <v>2.5033433674675754E-2</v>
      </c>
      <c r="AA9" s="88">
        <f t="shared" si="2"/>
        <v>1.5073327170163612E-2</v>
      </c>
      <c r="AB9" s="40">
        <f t="shared" si="3"/>
        <v>1.0011587955626559E-2</v>
      </c>
      <c r="AC9" s="161"/>
    </row>
    <row r="10" spans="1:30" s="84" customFormat="1" x14ac:dyDescent="0.35">
      <c r="A10" s="306"/>
      <c r="B10" s="88" t="s">
        <v>205</v>
      </c>
      <c r="C10" s="29">
        <v>2.8608251092895171E-3</v>
      </c>
      <c r="D10" s="47">
        <v>1.6192728518202297E-3</v>
      </c>
      <c r="E10" s="47">
        <v>2.4017422798350428E-3</v>
      </c>
      <c r="F10" s="88">
        <v>2.2939467469815966E-3</v>
      </c>
      <c r="G10" s="40">
        <v>5.1256083195664996E-4</v>
      </c>
      <c r="H10" s="161"/>
      <c r="J10" s="29">
        <v>0.45487475369619607</v>
      </c>
      <c r="K10" s="47">
        <v>1.1783984111398806</v>
      </c>
      <c r="L10" s="47">
        <v>0.40081688419765832</v>
      </c>
      <c r="M10" s="88">
        <v>0.67803001634457838</v>
      </c>
      <c r="N10" s="40">
        <v>0.35450149148365218</v>
      </c>
      <c r="O10" s="161"/>
      <c r="Q10" s="29">
        <v>2.3577624837358167E-2</v>
      </c>
      <c r="R10" s="47">
        <v>3.1111328675094529E-2</v>
      </c>
      <c r="S10" s="47">
        <v>6.3144528423938986E-2</v>
      </c>
      <c r="T10" s="88">
        <f t="shared" si="0"/>
        <v>3.9277827312130559E-2</v>
      </c>
      <c r="U10" s="40">
        <f t="shared" si="1"/>
        <v>1.7154275265930642E-2</v>
      </c>
      <c r="V10" s="161"/>
      <c r="X10" s="29">
        <v>5.4795598785218084E-3</v>
      </c>
      <c r="Y10" s="47">
        <v>2.9021840830382073E-3</v>
      </c>
      <c r="Z10" s="47">
        <v>8.0507189088226544E-3</v>
      </c>
      <c r="AA10" s="88">
        <f t="shared" si="2"/>
        <v>5.4774876234608902E-3</v>
      </c>
      <c r="AB10" s="40">
        <f t="shared" si="3"/>
        <v>2.1018810517818873E-3</v>
      </c>
      <c r="AC10" s="161"/>
    </row>
    <row r="11" spans="1:30" s="84" customFormat="1" x14ac:dyDescent="0.35">
      <c r="A11" s="306"/>
      <c r="B11" s="88" t="s">
        <v>126</v>
      </c>
      <c r="C11" s="29">
        <v>9.466227292664529</v>
      </c>
      <c r="D11" s="47">
        <v>6.957044637150279</v>
      </c>
      <c r="E11" s="47">
        <v>8.9189286490754238</v>
      </c>
      <c r="F11" s="88">
        <v>8.4474001929634124</v>
      </c>
      <c r="G11" s="40">
        <v>1.0772662046049375</v>
      </c>
      <c r="H11" s="161"/>
      <c r="J11" s="29">
        <v>163.61608487899662</v>
      </c>
      <c r="K11" s="47">
        <v>301.05177146001432</v>
      </c>
      <c r="L11" s="47">
        <v>120.60796404204223</v>
      </c>
      <c r="M11" s="88">
        <v>195.09194012701769</v>
      </c>
      <c r="N11" s="40">
        <v>76.954700989475384</v>
      </c>
      <c r="O11" s="161"/>
      <c r="Q11" s="29">
        <v>2.1563832945789128</v>
      </c>
      <c r="R11" s="47">
        <v>3.7714189345574751</v>
      </c>
      <c r="S11" s="47">
        <v>5.8212640663969815</v>
      </c>
      <c r="T11" s="88">
        <f t="shared" si="0"/>
        <v>3.9163554318444564</v>
      </c>
      <c r="U11" s="40">
        <f t="shared" si="1"/>
        <v>1.4996872360806475</v>
      </c>
      <c r="V11" s="161"/>
      <c r="X11" s="29">
        <v>106.84791846942225</v>
      </c>
      <c r="Y11" s="47">
        <v>60.638103214052194</v>
      </c>
      <c r="Z11" s="47">
        <v>134.36373550375259</v>
      </c>
      <c r="AA11" s="88">
        <f t="shared" si="2"/>
        <v>100.61658572907568</v>
      </c>
      <c r="AB11" s="40">
        <f t="shared" si="3"/>
        <v>30.419175365983779</v>
      </c>
      <c r="AC11" s="161"/>
    </row>
    <row r="12" spans="1:30" s="84" customFormat="1" x14ac:dyDescent="0.35">
      <c r="A12" s="306"/>
      <c r="B12" s="88" t="s">
        <v>127</v>
      </c>
      <c r="C12" s="29">
        <v>22.804474438910745</v>
      </c>
      <c r="D12" s="47">
        <v>11.329758062134504</v>
      </c>
      <c r="E12" s="47">
        <v>20.562075577884016</v>
      </c>
      <c r="F12" s="88">
        <v>18.232102692976422</v>
      </c>
      <c r="G12" s="40">
        <v>4.9658070317702103</v>
      </c>
      <c r="H12" s="161"/>
      <c r="J12" s="29">
        <v>124.66499429078924</v>
      </c>
      <c r="K12" s="47">
        <v>223.96844302949611</v>
      </c>
      <c r="L12" s="47">
        <v>198.53343336709483</v>
      </c>
      <c r="M12" s="88">
        <v>182.3889568957934</v>
      </c>
      <c r="N12" s="40">
        <v>42.117113095506667</v>
      </c>
      <c r="O12" s="161"/>
      <c r="Q12" s="29">
        <v>7.9562326692498999</v>
      </c>
      <c r="R12" s="47">
        <v>6.0158313268960564</v>
      </c>
      <c r="S12" s="47">
        <v>8.240102070561198</v>
      </c>
      <c r="T12" s="88">
        <f t="shared" si="0"/>
        <v>7.404055355569052</v>
      </c>
      <c r="U12" s="40">
        <f t="shared" si="1"/>
        <v>0.98843982267983244</v>
      </c>
      <c r="V12" s="161"/>
      <c r="X12" s="29">
        <v>85.081653445521525</v>
      </c>
      <c r="Y12" s="47">
        <v>57.066682563611131</v>
      </c>
      <c r="Z12" s="47">
        <v>70.848562022099884</v>
      </c>
      <c r="AA12" s="88">
        <f t="shared" si="2"/>
        <v>70.998966010410854</v>
      </c>
      <c r="AB12" s="40">
        <f t="shared" si="3"/>
        <v>11.437558434046636</v>
      </c>
      <c r="AC12" s="161"/>
    </row>
    <row r="13" spans="1:30" s="84" customFormat="1" x14ac:dyDescent="0.35">
      <c r="A13" s="306"/>
      <c r="B13" s="88" t="s">
        <v>128</v>
      </c>
      <c r="C13" s="29">
        <v>16.399338995891615</v>
      </c>
      <c r="D13" s="47">
        <v>14.484059444604361</v>
      </c>
      <c r="E13" s="47">
        <v>16.456789253685638</v>
      </c>
      <c r="F13" s="88">
        <v>15.780062564727203</v>
      </c>
      <c r="G13" s="40">
        <v>0.9167126771081765</v>
      </c>
      <c r="H13" s="161"/>
      <c r="J13" s="29">
        <v>73.311455740967531</v>
      </c>
      <c r="K13" s="47">
        <v>205.02901872267455</v>
      </c>
      <c r="L13" s="47">
        <v>79.408950832563917</v>
      </c>
      <c r="M13" s="88">
        <v>119.24980843206866</v>
      </c>
      <c r="N13" s="40">
        <v>60.706120230489688</v>
      </c>
      <c r="O13" s="161"/>
      <c r="Q13" s="29">
        <v>7.3928347918775428</v>
      </c>
      <c r="R13" s="47">
        <v>3.9914368105021736</v>
      </c>
      <c r="S13" s="47">
        <v>7.7582710058626176</v>
      </c>
      <c r="T13" s="88">
        <f t="shared" si="0"/>
        <v>6.3808475360807781</v>
      </c>
      <c r="U13" s="40">
        <f t="shared" si="1"/>
        <v>1.6961424111309138</v>
      </c>
      <c r="V13" s="161"/>
      <c r="X13" s="29">
        <v>80.657239777825751</v>
      </c>
      <c r="Y13" s="47">
        <v>55.737894216284893</v>
      </c>
      <c r="Z13" s="47">
        <v>81.383626648691333</v>
      </c>
      <c r="AA13" s="88">
        <f t="shared" si="2"/>
        <v>72.592920214267323</v>
      </c>
      <c r="AB13" s="40">
        <f t="shared" si="3"/>
        <v>11.921991878206731</v>
      </c>
      <c r="AC13" s="161"/>
    </row>
    <row r="14" spans="1:30" s="84" customFormat="1" x14ac:dyDescent="0.35">
      <c r="A14" s="306"/>
      <c r="B14" s="88" t="s">
        <v>129</v>
      </c>
      <c r="C14" s="29">
        <v>1.0991909766466406</v>
      </c>
      <c r="D14" s="47">
        <v>0.97826026701910429</v>
      </c>
      <c r="E14" s="47">
        <v>0.90637663283227077</v>
      </c>
      <c r="F14" s="88">
        <v>0.99460929216600524</v>
      </c>
      <c r="G14" s="40">
        <v>7.9560504282723932E-2</v>
      </c>
      <c r="H14" s="161"/>
      <c r="J14" s="29">
        <v>0.88889481895381961</v>
      </c>
      <c r="K14" s="47">
        <v>2.9015602310357167</v>
      </c>
      <c r="L14" s="47">
        <v>1.2393037136544256</v>
      </c>
      <c r="M14" s="88">
        <v>1.6765862545479873</v>
      </c>
      <c r="N14" s="40">
        <v>0.8779208509030284</v>
      </c>
      <c r="O14" s="161"/>
      <c r="Q14" s="29">
        <v>1.1264678338614018</v>
      </c>
      <c r="R14" s="47">
        <v>0.48428169515178227</v>
      </c>
      <c r="S14" s="47">
        <v>0.94593057222592936</v>
      </c>
      <c r="T14" s="88">
        <f t="shared" si="0"/>
        <v>0.85222670041303783</v>
      </c>
      <c r="U14" s="40">
        <f t="shared" si="1"/>
        <v>0.27041458402760971</v>
      </c>
      <c r="V14" s="161"/>
      <c r="X14" s="29">
        <v>12.22895194440345</v>
      </c>
      <c r="Y14" s="47">
        <v>6.0152288483831491</v>
      </c>
      <c r="Z14" s="47">
        <v>13.768822995909263</v>
      </c>
      <c r="AA14" s="88">
        <f t="shared" si="2"/>
        <v>10.671001262898621</v>
      </c>
      <c r="AB14" s="40">
        <f t="shared" si="3"/>
        <v>3.3516128749841059</v>
      </c>
      <c r="AC14" s="161"/>
    </row>
    <row r="15" spans="1:30" s="84" customFormat="1" x14ac:dyDescent="0.35">
      <c r="A15" s="306"/>
      <c r="B15" s="88" t="s">
        <v>200</v>
      </c>
      <c r="C15" s="29">
        <v>0.21919729589561143</v>
      </c>
      <c r="D15" s="47">
        <v>0.50714392273015008</v>
      </c>
      <c r="E15" s="47">
        <v>0.26012846911519144</v>
      </c>
      <c r="F15" s="88">
        <v>0.32882322924698432</v>
      </c>
      <c r="G15" s="40">
        <v>0.12719418888329945</v>
      </c>
      <c r="H15" s="161"/>
      <c r="J15" s="29">
        <v>0.5033724977786127</v>
      </c>
      <c r="K15" s="47">
        <v>2.0711494259899741</v>
      </c>
      <c r="L15" s="47">
        <v>0.56721420153576207</v>
      </c>
      <c r="M15" s="88">
        <v>1.0472453751014497</v>
      </c>
      <c r="N15" s="40">
        <v>0.72447846522129344</v>
      </c>
      <c r="O15" s="161"/>
      <c r="Q15" s="29">
        <v>0.73826740867723128</v>
      </c>
      <c r="R15" s="47">
        <v>0.486693097837751</v>
      </c>
      <c r="S15" s="47">
        <v>0.36085598226588234</v>
      </c>
      <c r="T15" s="88">
        <f t="shared" si="0"/>
        <v>0.52860549626028819</v>
      </c>
      <c r="U15" s="40">
        <f t="shared" si="1"/>
        <v>0.15690195038645313</v>
      </c>
      <c r="V15" s="161"/>
      <c r="X15" s="29">
        <v>1.2207617399110331</v>
      </c>
      <c r="Y15" s="47">
        <v>1.1746023002900272</v>
      </c>
      <c r="Z15" s="47">
        <v>1.3043520697655606</v>
      </c>
      <c r="AA15" s="88">
        <f t="shared" si="2"/>
        <v>1.233238703322207</v>
      </c>
      <c r="AB15" s="40">
        <f t="shared" si="3"/>
        <v>5.3699823908534026E-2</v>
      </c>
      <c r="AC15" s="161"/>
    </row>
    <row r="16" spans="1:30" s="84" customFormat="1" x14ac:dyDescent="0.35">
      <c r="A16" s="307"/>
      <c r="B16" s="91" t="s">
        <v>201</v>
      </c>
      <c r="C16" s="162">
        <v>9.99231430493107E-2</v>
      </c>
      <c r="D16" s="163">
        <v>0.23710412805053424</v>
      </c>
      <c r="E16" s="163">
        <v>0.15869544400354452</v>
      </c>
      <c r="F16" s="91">
        <v>0.16524090503446315</v>
      </c>
      <c r="G16" s="44">
        <v>5.6194827499553922E-2</v>
      </c>
      <c r="H16" s="164"/>
      <c r="J16" s="162">
        <v>0.36173004551750648</v>
      </c>
      <c r="K16" s="163">
        <v>1.9554111314394633</v>
      </c>
      <c r="L16" s="163">
        <v>0.50896660324754894</v>
      </c>
      <c r="M16" s="91">
        <v>0.9420359267348396</v>
      </c>
      <c r="N16" s="44">
        <v>0.71908118693957956</v>
      </c>
      <c r="O16" s="164"/>
      <c r="Q16" s="162">
        <v>0.45894487633816111</v>
      </c>
      <c r="R16" s="163">
        <v>0.23216119124318901</v>
      </c>
      <c r="S16" s="163">
        <v>0.33045128245501798</v>
      </c>
      <c r="T16" s="91">
        <f t="shared" si="0"/>
        <v>0.34051911667878931</v>
      </c>
      <c r="U16" s="44">
        <f t="shared" si="1"/>
        <v>9.2857349092687724E-2</v>
      </c>
      <c r="V16" s="164"/>
      <c r="X16" s="162">
        <v>0.38546453626297333</v>
      </c>
      <c r="Y16" s="163">
        <v>0.53610279506419511</v>
      </c>
      <c r="Z16" s="163">
        <v>0.37113089265726235</v>
      </c>
      <c r="AA16" s="91">
        <f t="shared" si="2"/>
        <v>0.43089940799481025</v>
      </c>
      <c r="AB16" s="44">
        <f t="shared" si="3"/>
        <v>7.461982677951419E-2</v>
      </c>
      <c r="AC16" s="164"/>
    </row>
    <row r="17" spans="1:29" s="84" customFormat="1" x14ac:dyDescent="0.35">
      <c r="A17" s="308" t="s">
        <v>17</v>
      </c>
      <c r="B17" s="86" t="s">
        <v>202</v>
      </c>
      <c r="C17" s="166">
        <v>2.2889947516862171E-3</v>
      </c>
      <c r="D17" s="167">
        <v>2.8638479310641853E-4</v>
      </c>
      <c r="E17" s="167">
        <v>6.0992786465447228E-3</v>
      </c>
      <c r="F17" s="167">
        <v>2.8915527304457858E-3</v>
      </c>
      <c r="G17" s="187">
        <v>2.4110496782052313E-3</v>
      </c>
      <c r="H17" s="133">
        <f>ROUND(_xlfn.T.TEST(C7:E7,C17:E17,2,2),4)</f>
        <v>0.3836</v>
      </c>
      <c r="I17" s="6"/>
      <c r="J17" s="166">
        <v>0.20961471197757967</v>
      </c>
      <c r="K17" s="167">
        <v>0.3455133140795737</v>
      </c>
      <c r="L17" s="167">
        <v>0.19054507160853515</v>
      </c>
      <c r="M17" s="167">
        <v>0.24855769922189619</v>
      </c>
      <c r="N17" s="187">
        <v>6.8998580832139278E-2</v>
      </c>
      <c r="O17" s="133">
        <f>ROUND(_xlfn.T.TEST(J7:L7,J17:L17,2,2),4)</f>
        <v>9.2999999999999999E-2</v>
      </c>
      <c r="P17" s="6"/>
      <c r="Q17" s="166">
        <v>5.7586159716682052E-2</v>
      </c>
      <c r="R17" s="167">
        <v>4.9730602618805957E-2</v>
      </c>
      <c r="S17" s="167">
        <v>9.1599442309959755E-2</v>
      </c>
      <c r="T17" s="167">
        <f t="shared" ref="T17:T46" si="4">AVERAGE(Q17:S17)</f>
        <v>6.6305401548482593E-2</v>
      </c>
      <c r="U17" s="187">
        <f t="shared" ref="U17:U46" si="5">_xlfn.STDEV.P(Q17:S17)</f>
        <v>1.8170834100501982E-2</v>
      </c>
      <c r="V17" s="133">
        <f>ROUND(_xlfn.T.TEST(Q7:S7,Q17:S17,2,2),4)</f>
        <v>0.95589999999999997</v>
      </c>
      <c r="X17" s="166">
        <v>1.8012340337582592E-2</v>
      </c>
      <c r="Y17" s="167">
        <v>3.7729243148988171E-3</v>
      </c>
      <c r="Z17" s="167">
        <v>1.6027205022406555E-2</v>
      </c>
      <c r="AA17" s="167">
        <f t="shared" si="2"/>
        <v>1.2604156558295989E-2</v>
      </c>
      <c r="AB17" s="187">
        <f t="shared" si="3"/>
        <v>6.2969933437846941E-3</v>
      </c>
      <c r="AC17" s="133">
        <f>ROUND(_xlfn.T.TEST(X7:Z7,X17:Z17,2,2),4)</f>
        <v>0.1399</v>
      </c>
    </row>
    <row r="18" spans="1:29" s="84" customFormat="1" x14ac:dyDescent="0.35">
      <c r="A18" s="308"/>
      <c r="B18" s="86" t="s">
        <v>203</v>
      </c>
      <c r="C18" s="29">
        <v>4.5945264493732069E-3</v>
      </c>
      <c r="D18" s="47">
        <v>9.957212904963559E-4</v>
      </c>
      <c r="E18" s="47">
        <v>3.0689532485060015E-3</v>
      </c>
      <c r="F18" s="88">
        <v>2.8864003294585216E-3</v>
      </c>
      <c r="G18" s="40">
        <v>1.4748658287178139E-3</v>
      </c>
      <c r="H18" s="133">
        <f t="shared" ref="H18:H26" si="6">ROUND(_xlfn.T.TEST(C8:E8,C18:E18,2,2),4)</f>
        <v>0.9698</v>
      </c>
      <c r="J18" s="29">
        <v>0.50635037137677263</v>
      </c>
      <c r="K18" s="47">
        <v>0.96053483703813336</v>
      </c>
      <c r="L18" s="47">
        <v>0.33926514506664579</v>
      </c>
      <c r="M18" s="88">
        <v>0.60205011782718387</v>
      </c>
      <c r="N18" s="40">
        <v>0.26250439824072991</v>
      </c>
      <c r="O18" s="133">
        <f t="shared" ref="O18:O26" si="7">ROUND(_xlfn.T.TEST(J8:L8,J18:L18,2,2),4)</f>
        <v>0.69330000000000003</v>
      </c>
      <c r="Q18" s="29">
        <v>4.1655692833681868E-2</v>
      </c>
      <c r="R18" s="47">
        <v>2.666575374012671E-2</v>
      </c>
      <c r="S18" s="47">
        <v>4.9001921216028477E-2</v>
      </c>
      <c r="T18" s="88">
        <f t="shared" si="4"/>
        <v>3.9107789263279021E-2</v>
      </c>
      <c r="U18" s="40">
        <f t="shared" si="5"/>
        <v>9.2949790686849363E-3</v>
      </c>
      <c r="V18" s="133">
        <f t="shared" ref="V18:V26" si="8">ROUND(_xlfn.T.TEST(Q8:S8,Q18:S18,2,2),4)</f>
        <v>0.1239</v>
      </c>
      <c r="X18" s="29">
        <v>2.9454274421066472E-2</v>
      </c>
      <c r="Y18" s="47">
        <v>2.502617287418091E-3</v>
      </c>
      <c r="Z18" s="47">
        <v>3.1467360939272347E-2</v>
      </c>
      <c r="AA18" s="88">
        <f t="shared" si="2"/>
        <v>2.1141417549252306E-2</v>
      </c>
      <c r="AB18" s="40">
        <f t="shared" si="3"/>
        <v>1.3205220829476469E-2</v>
      </c>
      <c r="AC18" s="133">
        <f t="shared" ref="AC18:AC26" si="9">ROUND(_xlfn.T.TEST(X8:Z8,X18:Z18,2,2),4)</f>
        <v>0.67359999999999998</v>
      </c>
    </row>
    <row r="19" spans="1:29" s="84" customFormat="1" x14ac:dyDescent="0.35">
      <c r="A19" s="308"/>
      <c r="B19" s="86" t="s">
        <v>204</v>
      </c>
      <c r="C19" s="29">
        <v>1.4855027284809081E-3</v>
      </c>
      <c r="D19" s="47">
        <v>1.3355890870460501E-3</v>
      </c>
      <c r="E19" s="47">
        <v>1.114315527532854E-3</v>
      </c>
      <c r="F19" s="88">
        <v>1.3118024476866039E-3</v>
      </c>
      <c r="G19" s="40">
        <v>1.5246712803295234E-4</v>
      </c>
      <c r="H19" s="133">
        <f t="shared" si="6"/>
        <v>0.41610000000000003</v>
      </c>
      <c r="J19" s="29">
        <v>0.49262204540069909</v>
      </c>
      <c r="K19" s="47">
        <v>1.420187650624871</v>
      </c>
      <c r="L19" s="47">
        <v>0.42141432566920445</v>
      </c>
      <c r="M19" s="88">
        <v>0.77807467389825824</v>
      </c>
      <c r="N19" s="40">
        <v>0.4549721170928121</v>
      </c>
      <c r="O19" s="133">
        <f t="shared" si="7"/>
        <v>0.99019999999999997</v>
      </c>
      <c r="Q19" s="29">
        <v>7.1837487011222959E-2</v>
      </c>
      <c r="R19" s="47">
        <v>3.2158744203724519E-2</v>
      </c>
      <c r="S19" s="47">
        <v>6.0319931396551514E-2</v>
      </c>
      <c r="T19" s="88">
        <f t="shared" si="4"/>
        <v>5.4772054203832993E-2</v>
      </c>
      <c r="U19" s="40">
        <f t="shared" si="5"/>
        <v>1.6667030603460201E-2</v>
      </c>
      <c r="V19" s="133">
        <f t="shared" si="8"/>
        <v>0.80189999999999995</v>
      </c>
      <c r="X19" s="29">
        <v>2.5065058017375297E-3</v>
      </c>
      <c r="Y19" s="47">
        <v>1.7041505642156488E-3</v>
      </c>
      <c r="Z19" s="47">
        <v>1.4598137193700552E-3</v>
      </c>
      <c r="AA19" s="88">
        <f t="shared" si="2"/>
        <v>1.8901566951077444E-3</v>
      </c>
      <c r="AB19" s="40">
        <f t="shared" si="3"/>
        <v>4.4709416559957896E-4</v>
      </c>
      <c r="AC19" s="133">
        <f t="shared" si="9"/>
        <v>0.1363</v>
      </c>
    </row>
    <row r="20" spans="1:29" s="84" customFormat="1" x14ac:dyDescent="0.35">
      <c r="A20" s="308"/>
      <c r="B20" s="86" t="s">
        <v>205</v>
      </c>
      <c r="C20" s="29">
        <v>1.1862895360843756E-3</v>
      </c>
      <c r="D20" s="47">
        <v>1.1164092876009963E-3</v>
      </c>
      <c r="E20" s="47">
        <v>3.4705443815919112E-3</v>
      </c>
      <c r="F20" s="88">
        <v>1.9244144017590943E-3</v>
      </c>
      <c r="G20" s="40">
        <v>1.093651147360801E-3</v>
      </c>
      <c r="H20" s="133">
        <f t="shared" si="6"/>
        <v>0.68759999999999999</v>
      </c>
      <c r="J20" s="29">
        <v>0.53580882800684326</v>
      </c>
      <c r="K20" s="47">
        <v>1.2518295174149123</v>
      </c>
      <c r="L20" s="47">
        <v>0.51456956344153504</v>
      </c>
      <c r="M20" s="88">
        <v>0.76740263628776351</v>
      </c>
      <c r="N20" s="40">
        <v>0.34265125998965906</v>
      </c>
      <c r="O20" s="133">
        <f t="shared" si="7"/>
        <v>0.81030000000000002</v>
      </c>
      <c r="Q20" s="29">
        <v>5.9819145008808472E-2</v>
      </c>
      <c r="R20" s="47">
        <v>3.1940172313509207E-2</v>
      </c>
      <c r="S20" s="47">
        <v>7.9928245954437524E-2</v>
      </c>
      <c r="T20" s="88">
        <f t="shared" si="4"/>
        <v>5.7229187758918408E-2</v>
      </c>
      <c r="U20" s="40">
        <f t="shared" si="5"/>
        <v>1.9676461603634992E-2</v>
      </c>
      <c r="V20" s="133">
        <f t="shared" si="8"/>
        <v>0.38590000000000002</v>
      </c>
      <c r="X20" s="29">
        <v>1.9292428783533988E-3</v>
      </c>
      <c r="Y20" s="47">
        <v>7.0411440383728798E-4</v>
      </c>
      <c r="Z20" s="47">
        <v>1.5430494372331582E-3</v>
      </c>
      <c r="AA20" s="88">
        <f t="shared" si="2"/>
        <v>1.3921355731412817E-3</v>
      </c>
      <c r="AB20" s="40">
        <f t="shared" si="3"/>
        <v>5.1141385103710228E-4</v>
      </c>
      <c r="AC20" s="133">
        <f t="shared" si="9"/>
        <v>5.5800000000000002E-2</v>
      </c>
    </row>
    <row r="21" spans="1:29" s="84" customFormat="1" x14ac:dyDescent="0.35">
      <c r="A21" s="308"/>
      <c r="B21" s="86" t="s">
        <v>126</v>
      </c>
      <c r="C21" s="29">
        <v>7.7843897050567437</v>
      </c>
      <c r="D21" s="47">
        <v>4.9460241546176436</v>
      </c>
      <c r="E21" s="47">
        <v>8.6555601590440912</v>
      </c>
      <c r="F21" s="88">
        <v>7.1286580062394931</v>
      </c>
      <c r="G21" s="40">
        <v>1.5838039414985152</v>
      </c>
      <c r="H21" s="133">
        <f t="shared" si="6"/>
        <v>0.38540000000000002</v>
      </c>
      <c r="J21" s="29">
        <v>125.67838931004538</v>
      </c>
      <c r="K21" s="47">
        <v>260.61432740649121</v>
      </c>
      <c r="L21" s="47">
        <v>189.20423445287932</v>
      </c>
      <c r="M21" s="88">
        <v>191.83231705647196</v>
      </c>
      <c r="N21" s="40">
        <v>55.118701975043237</v>
      </c>
      <c r="O21" s="133">
        <f t="shared" si="7"/>
        <v>0.96350000000000002</v>
      </c>
      <c r="Q21" s="29">
        <v>6.4670046394170457</v>
      </c>
      <c r="R21" s="47">
        <v>5.2273195282760083</v>
      </c>
      <c r="S21" s="47">
        <v>5.6242966761655566</v>
      </c>
      <c r="T21" s="88">
        <f t="shared" si="4"/>
        <v>5.7728736146195372</v>
      </c>
      <c r="U21" s="40">
        <f t="shared" si="5"/>
        <v>0.51688884922289946</v>
      </c>
      <c r="V21" s="133">
        <f t="shared" si="8"/>
        <v>0.17319999999999999</v>
      </c>
      <c r="X21" s="29">
        <v>96.438449372242488</v>
      </c>
      <c r="Y21" s="47">
        <v>46.47733440070251</v>
      </c>
      <c r="Z21" s="47">
        <v>80.2631942112167</v>
      </c>
      <c r="AA21" s="88">
        <f t="shared" si="2"/>
        <v>74.392992661387225</v>
      </c>
      <c r="AB21" s="40">
        <f t="shared" si="3"/>
        <v>20.814621495102497</v>
      </c>
      <c r="AC21" s="133">
        <f t="shared" si="9"/>
        <v>0.37130000000000002</v>
      </c>
    </row>
    <row r="22" spans="1:29" s="84" customFormat="1" x14ac:dyDescent="0.35">
      <c r="A22" s="308"/>
      <c r="B22" s="86" t="s">
        <v>127</v>
      </c>
      <c r="C22" s="29">
        <v>17.467600041579683</v>
      </c>
      <c r="D22" s="47">
        <v>7.2609695878111324</v>
      </c>
      <c r="E22" s="47">
        <v>8.9962477446310469</v>
      </c>
      <c r="F22" s="88">
        <v>11.24160579134062</v>
      </c>
      <c r="G22" s="40">
        <v>4.459076950325894</v>
      </c>
      <c r="H22" s="133">
        <f t="shared" si="6"/>
        <v>0.2127</v>
      </c>
      <c r="J22" s="29">
        <v>162.46487617025522</v>
      </c>
      <c r="K22" s="47">
        <v>350.71104956527398</v>
      </c>
      <c r="L22" s="47">
        <v>126.9939142954773</v>
      </c>
      <c r="M22" s="88">
        <v>213.38994667700217</v>
      </c>
      <c r="N22" s="40">
        <v>98.174542721688553</v>
      </c>
      <c r="O22" s="133">
        <f t="shared" si="7"/>
        <v>0.70250000000000001</v>
      </c>
      <c r="Q22" s="29">
        <v>7.6330507829025374</v>
      </c>
      <c r="R22" s="47">
        <v>3.8963828145364565</v>
      </c>
      <c r="S22" s="47">
        <v>8.6041057655478692</v>
      </c>
      <c r="T22" s="88">
        <f t="shared" si="4"/>
        <v>6.7111797876622878</v>
      </c>
      <c r="U22" s="40">
        <f t="shared" si="5"/>
        <v>2.0294578002952477</v>
      </c>
      <c r="V22" s="133">
        <f t="shared" si="8"/>
        <v>0.68659999999999999</v>
      </c>
      <c r="X22" s="29">
        <v>123.82130886134308</v>
      </c>
      <c r="Y22" s="47">
        <v>56.517591749132883</v>
      </c>
      <c r="Z22" s="47">
        <v>105.66350292253082</v>
      </c>
      <c r="AA22" s="88">
        <f t="shared" si="2"/>
        <v>95.334134511002276</v>
      </c>
      <c r="AB22" s="40">
        <f t="shared" si="3"/>
        <v>28.430845609606397</v>
      </c>
      <c r="AC22" s="133">
        <f t="shared" si="9"/>
        <v>0.32429999999999998</v>
      </c>
    </row>
    <row r="23" spans="1:29" s="84" customFormat="1" x14ac:dyDescent="0.35">
      <c r="A23" s="308"/>
      <c r="B23" s="86" t="s">
        <v>128</v>
      </c>
      <c r="C23" s="29">
        <v>10.177026760529637</v>
      </c>
      <c r="D23" s="47">
        <v>8.0989670669878908</v>
      </c>
      <c r="E23" s="47">
        <v>8.0145056694576446</v>
      </c>
      <c r="F23" s="88">
        <v>8.7634998323250581</v>
      </c>
      <c r="G23" s="40">
        <v>1.0001090655482838</v>
      </c>
      <c r="H23" s="172">
        <f t="shared" si="6"/>
        <v>1.9E-3</v>
      </c>
      <c r="J23" s="29">
        <v>116.03704313418599</v>
      </c>
      <c r="K23" s="47">
        <v>251.80310906875164</v>
      </c>
      <c r="L23" s="47">
        <v>68.761880220322681</v>
      </c>
      <c r="M23" s="88">
        <v>145.53401080775345</v>
      </c>
      <c r="N23" s="40">
        <v>77.582541812091321</v>
      </c>
      <c r="O23" s="133">
        <f t="shared" si="7"/>
        <v>0.72509999999999997</v>
      </c>
      <c r="Q23" s="29">
        <v>4.6578739151853217</v>
      </c>
      <c r="R23" s="47">
        <v>2.4229218912694894</v>
      </c>
      <c r="S23" s="47">
        <v>8.4264707578589739</v>
      </c>
      <c r="T23" s="88">
        <f t="shared" si="4"/>
        <v>5.1690888547712612</v>
      </c>
      <c r="U23" s="40">
        <f t="shared" si="5"/>
        <v>2.4774523586706123</v>
      </c>
      <c r="V23" s="133">
        <f t="shared" si="8"/>
        <v>0.59870000000000001</v>
      </c>
      <c r="X23" s="29">
        <v>107.60523169480139</v>
      </c>
      <c r="Y23" s="47">
        <v>48.348818099593267</v>
      </c>
      <c r="Z23" s="47">
        <v>73.347031166080328</v>
      </c>
      <c r="AA23" s="88">
        <f t="shared" si="2"/>
        <v>76.433693653491659</v>
      </c>
      <c r="AB23" s="40">
        <f t="shared" si="3"/>
        <v>24.289589704576283</v>
      </c>
      <c r="AC23" s="133">
        <f t="shared" si="9"/>
        <v>0.85070000000000001</v>
      </c>
    </row>
    <row r="24" spans="1:29" s="84" customFormat="1" x14ac:dyDescent="0.35">
      <c r="A24" s="308"/>
      <c r="B24" s="86" t="s">
        <v>129</v>
      </c>
      <c r="C24" s="29">
        <v>0.58962582207727754</v>
      </c>
      <c r="D24" s="47">
        <v>0.51549457144630095</v>
      </c>
      <c r="E24" s="47" t="s">
        <v>42</v>
      </c>
      <c r="F24" s="88">
        <f>AVERAGE(C24:D24)</f>
        <v>0.55256019676178925</v>
      </c>
      <c r="G24" s="40">
        <f>_xlfn.STDEV.P(C24:D24)</f>
        <v>3.7065625315488293E-2</v>
      </c>
      <c r="H24" s="172">
        <f>ROUND(_xlfn.T.TEST(C14:E14,C24:D24,2,2),4)</f>
        <v>1.0800000000000001E-2</v>
      </c>
      <c r="J24" s="29">
        <v>1.6226015551940349</v>
      </c>
      <c r="K24" s="47">
        <v>2.256086732924738</v>
      </c>
      <c r="L24" s="47" t="s">
        <v>42</v>
      </c>
      <c r="M24" s="88">
        <f>AVERAGE(J24:K24)</f>
        <v>1.9393441440593864</v>
      </c>
      <c r="N24" s="40">
        <f>_xlfn.STDEV.P(J24:K24)</f>
        <v>0.31674258886535267</v>
      </c>
      <c r="O24" s="133">
        <f>ROUND(_xlfn.T.TEST(J14:L14,J24:K24,2,2),4)</f>
        <v>0.77370000000000005</v>
      </c>
      <c r="Q24" s="29">
        <v>0.41602783886300598</v>
      </c>
      <c r="R24" s="47">
        <v>0.199931427552032</v>
      </c>
      <c r="S24" s="84" t="s">
        <v>42</v>
      </c>
      <c r="T24" s="88">
        <f>AVERAGE(Q24:R24)</f>
        <v>0.30797963320751898</v>
      </c>
      <c r="U24" s="40">
        <f>_xlfn.STDEV.P(Q24:R24)</f>
        <v>0.10804820565548706</v>
      </c>
      <c r="V24" s="172">
        <f>ROUND(_xlfn.T.TEST(Q14:S14,Q24:R24,2,2),4)</f>
        <v>0.127</v>
      </c>
      <c r="X24" s="29">
        <v>3.2465734936884636</v>
      </c>
      <c r="Y24" s="47">
        <v>2.1734697250521178</v>
      </c>
      <c r="Z24" s="84" t="s">
        <v>42</v>
      </c>
      <c r="AA24" s="88">
        <f>AVERAGE(X24:Y24)</f>
        <v>2.7100216093702905</v>
      </c>
      <c r="AB24" s="40">
        <f>_xlfn.STDEV.P(X24:Y24)</f>
        <v>0.53655188431817458</v>
      </c>
      <c r="AC24" s="172">
        <f>ROUND(_xlfn.T.TEST(X14:Z14,X24:Y24,2,2),4)</f>
        <v>8.1799999999999998E-2</v>
      </c>
    </row>
    <row r="25" spans="1:29" s="84" customFormat="1" x14ac:dyDescent="0.35">
      <c r="A25" s="308"/>
      <c r="B25" s="86" t="s">
        <v>200</v>
      </c>
      <c r="C25" s="29">
        <v>8.6173066452029226E-2</v>
      </c>
      <c r="D25" s="47">
        <v>0.13413857807765772</v>
      </c>
      <c r="E25" s="47">
        <v>0.17343220133812962</v>
      </c>
      <c r="F25" s="88">
        <v>0.1312479486226055</v>
      </c>
      <c r="G25" s="40">
        <v>3.5681983869103873E-2</v>
      </c>
      <c r="H25" s="133">
        <f t="shared" si="6"/>
        <v>0.1019</v>
      </c>
      <c r="J25" s="29">
        <v>0.55259005232741665</v>
      </c>
      <c r="K25" s="47">
        <v>2.057867022193721</v>
      </c>
      <c r="L25" s="47">
        <v>1.0421720959652216</v>
      </c>
      <c r="M25" s="88">
        <v>1.2175430568287864</v>
      </c>
      <c r="N25" s="40">
        <v>0.62691356099445783</v>
      </c>
      <c r="O25" s="133">
        <f t="shared" si="7"/>
        <v>0.81389999999999996</v>
      </c>
      <c r="Q25" s="29">
        <v>0.17456009808407399</v>
      </c>
      <c r="R25" s="47">
        <v>0.19189346173304</v>
      </c>
      <c r="S25" s="47">
        <v>0.229511551628376</v>
      </c>
      <c r="T25" s="88">
        <f t="shared" si="4"/>
        <v>0.19865503714849667</v>
      </c>
      <c r="U25" s="40">
        <f t="shared" si="5"/>
        <v>2.2937665359724604E-2</v>
      </c>
      <c r="V25" s="172">
        <f t="shared" si="8"/>
        <v>4.2299999999999997E-2</v>
      </c>
      <c r="X25" s="29">
        <v>0.27900194249783933</v>
      </c>
      <c r="Y25" s="47">
        <v>0.20128532585178302</v>
      </c>
      <c r="Z25" s="47">
        <v>0.26182353070515668</v>
      </c>
      <c r="AA25" s="88">
        <f t="shared" si="2"/>
        <v>0.24737026635159301</v>
      </c>
      <c r="AB25" s="40">
        <f t="shared" si="3"/>
        <v>3.3333074301490288E-2</v>
      </c>
      <c r="AC25" s="172">
        <f t="shared" si="9"/>
        <v>0</v>
      </c>
    </row>
    <row r="26" spans="1:29" s="84" customFormat="1" x14ac:dyDescent="0.35">
      <c r="A26" s="308"/>
      <c r="B26" s="86" t="s">
        <v>201</v>
      </c>
      <c r="C26" s="29">
        <v>3.1252661017401054E-2</v>
      </c>
      <c r="D26" s="47">
        <v>5.8842715438858738E-2</v>
      </c>
      <c r="E26" s="47">
        <v>6.0015474050676254E-2</v>
      </c>
      <c r="F26" s="88">
        <v>5.0036950168978682E-2</v>
      </c>
      <c r="G26" s="40">
        <v>1.3291124353942767E-2</v>
      </c>
      <c r="H26" s="172">
        <f t="shared" si="6"/>
        <v>4.7800000000000002E-2</v>
      </c>
      <c r="J26" s="29">
        <v>0.48976624739264091</v>
      </c>
      <c r="K26" s="47">
        <v>1.3293267891692899</v>
      </c>
      <c r="L26" s="47">
        <v>0.59963302819149689</v>
      </c>
      <c r="M26" s="88">
        <v>0.806242021584476</v>
      </c>
      <c r="N26" s="40">
        <v>0.37258639529664356</v>
      </c>
      <c r="O26" s="133">
        <f t="shared" si="7"/>
        <v>0.82420000000000004</v>
      </c>
      <c r="Q26" s="29">
        <v>0.137222691064351</v>
      </c>
      <c r="R26" s="47">
        <v>9.7871657640609289E-2</v>
      </c>
      <c r="S26" s="47">
        <v>0.147652801739171</v>
      </c>
      <c r="T26" s="88">
        <f t="shared" si="4"/>
        <v>0.1275823834813771</v>
      </c>
      <c r="U26" s="40">
        <f t="shared" si="5"/>
        <v>2.1435830201809291E-2</v>
      </c>
      <c r="V26" s="172">
        <f t="shared" si="8"/>
        <v>3.4200000000000001E-2</v>
      </c>
      <c r="X26" s="29">
        <v>7.5243387296584766E-2</v>
      </c>
      <c r="Y26" s="47">
        <v>8.2406978655516536E-2</v>
      </c>
      <c r="Z26" s="47">
        <v>6.7140790500830286E-2</v>
      </c>
      <c r="AA26" s="88">
        <f t="shared" si="2"/>
        <v>7.4930385484310524E-2</v>
      </c>
      <c r="AB26" s="40">
        <f t="shared" si="3"/>
        <v>6.236323852742945E-3</v>
      </c>
      <c r="AC26" s="172">
        <f t="shared" si="9"/>
        <v>2.5000000000000001E-3</v>
      </c>
    </row>
    <row r="27" spans="1:29" s="84" customFormat="1" x14ac:dyDescent="0.35">
      <c r="A27" s="309" t="s">
        <v>229</v>
      </c>
      <c r="B27" s="94" t="s">
        <v>202</v>
      </c>
      <c r="C27" s="169">
        <v>3.9780191537959232E-3</v>
      </c>
      <c r="D27" s="170">
        <v>2.0206139229920986E-3</v>
      </c>
      <c r="E27" s="170">
        <v>3.4707747105420122E-3</v>
      </c>
      <c r="F27" s="170">
        <v>3.1564692624433447E-3</v>
      </c>
      <c r="G27" s="186">
        <v>8.2943745812967377E-4</v>
      </c>
      <c r="H27" s="130">
        <f>ROUND(_xlfn.T.TEST(C7:E7,C27:E27,2,2),4)</f>
        <v>3.1199999999999999E-2</v>
      </c>
      <c r="I27" s="6"/>
      <c r="J27" s="169">
        <v>0.805472284164923</v>
      </c>
      <c r="K27" s="170">
        <v>0.473059386005309</v>
      </c>
      <c r="L27" s="170">
        <v>0.30538002436521466</v>
      </c>
      <c r="M27" s="170">
        <v>0.52797056484514893</v>
      </c>
      <c r="N27" s="186">
        <v>0.20782122966479366</v>
      </c>
      <c r="O27" s="130">
        <f>ROUND(_xlfn.T.TEST(J7:L7,J27:L27,2,2),4)</f>
        <v>5.6500000000000002E-2</v>
      </c>
      <c r="P27" s="6"/>
      <c r="Q27" s="169">
        <v>7.4815196202251147E-2</v>
      </c>
      <c r="R27" s="170">
        <v>5.2735151205259991E-2</v>
      </c>
      <c r="S27" s="159">
        <v>0.1110222459525491</v>
      </c>
      <c r="T27" s="170">
        <f t="shared" si="4"/>
        <v>7.9524197786686748E-2</v>
      </c>
      <c r="U27" s="186">
        <f t="shared" si="5"/>
        <v>2.402744785256403E-2</v>
      </c>
      <c r="V27" s="130">
        <f>ROUND(_xlfn.T.TEST(Q7:S7,Q27:S27,2,2),4)</f>
        <v>0.54120000000000001</v>
      </c>
      <c r="X27" s="169">
        <v>2.9408214180625645E-2</v>
      </c>
      <c r="Y27" s="170">
        <v>3.2481736867071724E-2</v>
      </c>
      <c r="Z27" s="170">
        <v>2.7204705103003893E-2</v>
      </c>
      <c r="AA27" s="170">
        <f t="shared" si="2"/>
        <v>2.9698218716900423E-2</v>
      </c>
      <c r="AB27" s="186">
        <f t="shared" si="3"/>
        <v>2.1640768675565683E-3</v>
      </c>
      <c r="AC27" s="185">
        <f>ROUND(_xlfn.T.TEST(X7:Z7,X27:Z27,2,2),4)</f>
        <v>1E-4</v>
      </c>
    </row>
    <row r="28" spans="1:29" s="84" customFormat="1" x14ac:dyDescent="0.35">
      <c r="A28" s="310"/>
      <c r="B28" s="88" t="s">
        <v>203</v>
      </c>
      <c r="C28" s="29">
        <v>1.6791928846759824E-3</v>
      </c>
      <c r="D28" s="47">
        <v>1.9160123660112022E-3</v>
      </c>
      <c r="E28" s="47">
        <v>3.3878549106157799E-3</v>
      </c>
      <c r="F28" s="88">
        <v>2.3276867204343214E-3</v>
      </c>
      <c r="G28" s="40">
        <v>7.5586079418961903E-4</v>
      </c>
      <c r="H28" s="133">
        <f t="shared" ref="H28:H36" si="10">ROUND(_xlfn.T.TEST(C8:E8,C28:E28,2,2),4)</f>
        <v>0.50700000000000001</v>
      </c>
      <c r="J28" s="29">
        <v>0.78066793778942722</v>
      </c>
      <c r="K28" s="47">
        <v>2.0692265599585213</v>
      </c>
      <c r="L28" s="47">
        <v>0.71402767501907904</v>
      </c>
      <c r="M28" s="88">
        <v>1.1879740575890092</v>
      </c>
      <c r="N28" s="40">
        <v>0.62373322868831282</v>
      </c>
      <c r="O28" s="133">
        <f t="shared" ref="O28:O36" si="11">ROUND(_xlfn.T.TEST(J8:L8,J28:L28,2,2),4)</f>
        <v>0.39600000000000002</v>
      </c>
      <c r="Q28" s="29">
        <v>0.11023856849257833</v>
      </c>
      <c r="R28" s="47">
        <v>5.6250024935870002E-2</v>
      </c>
      <c r="S28" s="47">
        <v>0.11539724967617648</v>
      </c>
      <c r="T28" s="88">
        <f t="shared" si="4"/>
        <v>9.3961947701541607E-2</v>
      </c>
      <c r="U28" s="40">
        <f t="shared" si="5"/>
        <v>2.6749390484040139E-2</v>
      </c>
      <c r="V28" s="133">
        <f t="shared" ref="V28:V36" si="12">ROUND(_xlfn.T.TEST(Q8:S8,Q28:S28,2,2),4)</f>
        <v>0.13780000000000001</v>
      </c>
      <c r="X28" s="29">
        <v>4.5043939019083724E-3</v>
      </c>
      <c r="Y28" s="47">
        <v>3.0234294633555935E-2</v>
      </c>
      <c r="Z28" s="47">
        <v>3.7126542098078184E-3</v>
      </c>
      <c r="AA28" s="88">
        <f t="shared" si="2"/>
        <v>1.2817114248424043E-2</v>
      </c>
      <c r="AB28" s="40">
        <f t="shared" si="3"/>
        <v>1.2320047141716604E-2</v>
      </c>
      <c r="AC28" s="133">
        <f t="shared" ref="AC28:AC36" si="13">ROUND(_xlfn.T.TEST(X8:Z8,X28:Z28,2,2),4)</f>
        <v>0.72299999999999998</v>
      </c>
    </row>
    <row r="29" spans="1:29" s="84" customFormat="1" x14ac:dyDescent="0.35">
      <c r="A29" s="310"/>
      <c r="B29" s="88" t="s">
        <v>204</v>
      </c>
      <c r="C29" s="29">
        <v>4.3003792977504051E-3</v>
      </c>
      <c r="D29" s="47">
        <v>2.5298265822677386E-3</v>
      </c>
      <c r="E29" s="47">
        <v>3.8024109551167361E-3</v>
      </c>
      <c r="F29" s="88">
        <v>3.544205611711627E-3</v>
      </c>
      <c r="G29" s="40">
        <v>7.4552743258178133E-4</v>
      </c>
      <c r="H29" s="133">
        <f t="shared" si="10"/>
        <v>0.1593</v>
      </c>
      <c r="J29" s="29">
        <v>0.57292963848396072</v>
      </c>
      <c r="K29" s="47">
        <v>2.5623153403933858</v>
      </c>
      <c r="L29" s="47">
        <v>0.61039018762210473</v>
      </c>
      <c r="M29" s="88">
        <v>1.248545055499817</v>
      </c>
      <c r="N29" s="40">
        <v>0.92910175054096555</v>
      </c>
      <c r="O29" s="133">
        <f t="shared" si="11"/>
        <v>0.54959999999999998</v>
      </c>
      <c r="Q29" s="29">
        <v>0.10086354839228799</v>
      </c>
      <c r="R29" s="47">
        <v>6.6119159995219931E-2</v>
      </c>
      <c r="S29" s="47">
        <v>0.14034371102681534</v>
      </c>
      <c r="T29" s="88">
        <f t="shared" si="4"/>
        <v>0.10244213980477442</v>
      </c>
      <c r="U29" s="40">
        <f t="shared" si="5"/>
        <v>3.0322598361575782E-2</v>
      </c>
      <c r="V29" s="133">
        <f t="shared" si="12"/>
        <v>0.1623</v>
      </c>
      <c r="X29" s="29">
        <v>1.3868810124016426E-2</v>
      </c>
      <c r="Y29" s="47">
        <v>1.3313912575664721E-2</v>
      </c>
      <c r="Z29" s="47">
        <v>1.3199862088359765E-2</v>
      </c>
      <c r="AA29" s="88">
        <f t="shared" si="2"/>
        <v>1.3460861596013637E-2</v>
      </c>
      <c r="AB29" s="40">
        <f t="shared" si="3"/>
        <v>2.9219671403394882E-4</v>
      </c>
      <c r="AC29" s="133">
        <f t="shared" si="13"/>
        <v>0.83109999999999995</v>
      </c>
    </row>
    <row r="30" spans="1:29" s="84" customFormat="1" x14ac:dyDescent="0.35">
      <c r="A30" s="310"/>
      <c r="B30" s="88" t="s">
        <v>205</v>
      </c>
      <c r="C30" s="29">
        <v>5.2116844649997751E-3</v>
      </c>
      <c r="D30" s="47">
        <v>3.0457917067341716E-3</v>
      </c>
      <c r="E30" s="47">
        <v>5.5589787309397003E-3</v>
      </c>
      <c r="F30" s="88">
        <v>4.6054849675578819E-3</v>
      </c>
      <c r="G30" s="40">
        <v>1.1119459302450705E-3</v>
      </c>
      <c r="H30" s="133">
        <f t="shared" si="10"/>
        <v>5.5800000000000002E-2</v>
      </c>
      <c r="J30" s="29">
        <v>0.78139063953838905</v>
      </c>
      <c r="K30" s="47">
        <v>1.3766642373517943</v>
      </c>
      <c r="L30" s="47">
        <v>0.56608539776100997</v>
      </c>
      <c r="M30" s="88">
        <v>0.90804675821706449</v>
      </c>
      <c r="N30" s="40">
        <v>0.34282244490615016</v>
      </c>
      <c r="O30" s="133">
        <f t="shared" si="11"/>
        <v>0.54549999999999998</v>
      </c>
      <c r="Q30" s="29">
        <v>7.6829520965903592E-2</v>
      </c>
      <c r="R30" s="47">
        <v>3.6796898806717437E-2</v>
      </c>
      <c r="S30" s="47">
        <v>0.14346033810946027</v>
      </c>
      <c r="T30" s="88">
        <f t="shared" si="4"/>
        <v>8.5695585960693765E-2</v>
      </c>
      <c r="U30" s="40">
        <f t="shared" si="5"/>
        <v>4.3994148492281393E-2</v>
      </c>
      <c r="V30" s="133">
        <f t="shared" si="12"/>
        <v>0.23680000000000001</v>
      </c>
      <c r="X30" s="29">
        <v>2.8945870916597855E-2</v>
      </c>
      <c r="Y30" s="47">
        <v>3.9872438738923037E-3</v>
      </c>
      <c r="Z30" s="47">
        <v>3.0606884299591523E-2</v>
      </c>
      <c r="AA30" s="88">
        <f t="shared" si="2"/>
        <v>2.1179999696693892E-2</v>
      </c>
      <c r="AB30" s="40">
        <f t="shared" si="3"/>
        <v>1.2176011414566474E-2</v>
      </c>
      <c r="AC30" s="133">
        <f t="shared" si="13"/>
        <v>0.1467</v>
      </c>
    </row>
    <row r="31" spans="1:29" s="84" customFormat="1" x14ac:dyDescent="0.35">
      <c r="A31" s="310"/>
      <c r="B31" s="88" t="s">
        <v>126</v>
      </c>
      <c r="C31" s="29">
        <v>7.2631057877326386</v>
      </c>
      <c r="D31" s="47">
        <v>5.4134479544992837</v>
      </c>
      <c r="E31" s="47">
        <v>6.7467598564058315</v>
      </c>
      <c r="F31" s="88">
        <v>6.4744378662125852</v>
      </c>
      <c r="G31" s="40">
        <v>0.77928513171473779</v>
      </c>
      <c r="H31" s="133">
        <f t="shared" si="10"/>
        <v>0.1038</v>
      </c>
      <c r="J31" s="29">
        <v>131.18043172177696</v>
      </c>
      <c r="K31" s="47">
        <v>297.71716337607194</v>
      </c>
      <c r="L31" s="47">
        <v>116.52150249992282</v>
      </c>
      <c r="M31" s="88">
        <v>181.80636586592391</v>
      </c>
      <c r="N31" s="40">
        <v>82.179501848339015</v>
      </c>
      <c r="O31" s="133">
        <f t="shared" si="11"/>
        <v>0.87560000000000004</v>
      </c>
      <c r="Q31" s="29">
        <v>4.8670252375076322</v>
      </c>
      <c r="R31" s="47">
        <v>1.9751141867623241</v>
      </c>
      <c r="S31" s="47">
        <v>7.0830775805405608</v>
      </c>
      <c r="T31" s="88">
        <f t="shared" si="4"/>
        <v>4.6417390016035052</v>
      </c>
      <c r="U31" s="40">
        <f t="shared" si="5"/>
        <v>2.0913931439928604</v>
      </c>
      <c r="V31" s="133">
        <f t="shared" si="12"/>
        <v>0.71050000000000002</v>
      </c>
      <c r="X31" s="29">
        <v>95.085769018547225</v>
      </c>
      <c r="Y31" s="47">
        <v>38.671412059956417</v>
      </c>
      <c r="Z31" s="47">
        <v>99.273264757358874</v>
      </c>
      <c r="AA31" s="88">
        <f t="shared" si="2"/>
        <v>77.676815278620836</v>
      </c>
      <c r="AB31" s="40">
        <f t="shared" si="3"/>
        <v>27.633915036039689</v>
      </c>
      <c r="AC31" s="133">
        <f t="shared" si="13"/>
        <v>0.47399999999999998</v>
      </c>
    </row>
    <row r="32" spans="1:29" s="84" customFormat="1" x14ac:dyDescent="0.35">
      <c r="A32" s="310"/>
      <c r="B32" s="88" t="s">
        <v>127</v>
      </c>
      <c r="C32" s="29">
        <v>21.261349264499941</v>
      </c>
      <c r="D32" s="47">
        <v>6.1262471578304094</v>
      </c>
      <c r="E32" s="47">
        <v>11.124457401635794</v>
      </c>
      <c r="F32" s="88">
        <v>12.837351274655381</v>
      </c>
      <c r="G32" s="40">
        <v>6.2964716580001729</v>
      </c>
      <c r="H32" s="133">
        <f t="shared" si="10"/>
        <v>0.39529999999999998</v>
      </c>
      <c r="J32" s="29">
        <v>174.10263372697156</v>
      </c>
      <c r="K32" s="47">
        <v>242.11343290728792</v>
      </c>
      <c r="L32" s="47">
        <v>171.40535466495535</v>
      </c>
      <c r="M32" s="88">
        <v>195.87380709973829</v>
      </c>
      <c r="N32" s="40">
        <v>32.714890337594547</v>
      </c>
      <c r="O32" s="133">
        <f t="shared" si="11"/>
        <v>0.73870000000000002</v>
      </c>
      <c r="Q32" s="29">
        <v>4.1061575443687088</v>
      </c>
      <c r="R32" s="47">
        <v>4.210819021941024</v>
      </c>
      <c r="S32" s="47">
        <v>7.5570752653641291</v>
      </c>
      <c r="T32" s="88">
        <f t="shared" si="4"/>
        <v>5.2913506105579549</v>
      </c>
      <c r="U32" s="40">
        <f t="shared" si="5"/>
        <v>1.6026789374397106</v>
      </c>
      <c r="V32" s="133">
        <f t="shared" si="12"/>
        <v>0.18779999999999999</v>
      </c>
      <c r="X32" s="29">
        <v>141.17740344543492</v>
      </c>
      <c r="Y32" s="47">
        <v>57.404012817732962</v>
      </c>
      <c r="Z32" s="47">
        <v>155.41694520256615</v>
      </c>
      <c r="AA32" s="88">
        <f t="shared" si="2"/>
        <v>117.99945382191135</v>
      </c>
      <c r="AB32" s="40">
        <f t="shared" si="3"/>
        <v>43.240002622813805</v>
      </c>
      <c r="AC32" s="133">
        <f t="shared" si="13"/>
        <v>0.2114</v>
      </c>
    </row>
    <row r="33" spans="1:29" s="84" customFormat="1" x14ac:dyDescent="0.35">
      <c r="A33" s="310"/>
      <c r="B33" s="88" t="s">
        <v>128</v>
      </c>
      <c r="C33" s="29">
        <v>15.154705304823779</v>
      </c>
      <c r="D33" s="47">
        <v>8.7152889487518621</v>
      </c>
      <c r="E33" s="47">
        <v>15.39650322798696</v>
      </c>
      <c r="F33" s="88">
        <v>13.0888324938542</v>
      </c>
      <c r="G33" s="40">
        <v>3.0941373503871494</v>
      </c>
      <c r="H33" s="133">
        <f t="shared" si="10"/>
        <v>0.30359999999999998</v>
      </c>
      <c r="J33" s="29">
        <v>93.946967898771163</v>
      </c>
      <c r="K33" s="47">
        <v>208.07934870967503</v>
      </c>
      <c r="L33" s="47">
        <v>102.17715933544355</v>
      </c>
      <c r="M33" s="88">
        <v>134.7344919812966</v>
      </c>
      <c r="N33" s="40">
        <v>51.971370446627233</v>
      </c>
      <c r="O33" s="133">
        <f t="shared" si="11"/>
        <v>0.79759999999999998</v>
      </c>
      <c r="Q33" s="29">
        <v>8.0544511686255671</v>
      </c>
      <c r="R33" s="47">
        <v>5.9665811083223632</v>
      </c>
      <c r="S33" s="47">
        <v>9.5011140042067552</v>
      </c>
      <c r="T33" s="88">
        <f t="shared" si="4"/>
        <v>7.8407154270515624</v>
      </c>
      <c r="U33" s="40">
        <f t="shared" si="5"/>
        <v>1.4508601870251245</v>
      </c>
      <c r="V33" s="133">
        <f t="shared" si="12"/>
        <v>0.4073</v>
      </c>
      <c r="X33" s="29">
        <v>154.39646364473245</v>
      </c>
      <c r="Y33" s="47">
        <v>102.23067189839371</v>
      </c>
      <c r="Z33" s="47">
        <v>160.15592185519984</v>
      </c>
      <c r="AA33" s="88">
        <f t="shared" si="2"/>
        <v>138.927685799442</v>
      </c>
      <c r="AB33" s="40">
        <f t="shared" si="3"/>
        <v>26.055018219910899</v>
      </c>
      <c r="AC33" s="172">
        <f t="shared" si="13"/>
        <v>3.0700000000000002E-2</v>
      </c>
    </row>
    <row r="34" spans="1:29" s="84" customFormat="1" x14ac:dyDescent="0.35">
      <c r="A34" s="310"/>
      <c r="B34" s="88" t="s">
        <v>129</v>
      </c>
      <c r="C34" s="29">
        <v>1.2380335359298027</v>
      </c>
      <c r="D34" s="47">
        <v>1.1491488575795163</v>
      </c>
      <c r="E34" s="47">
        <v>1.7574145783518915</v>
      </c>
      <c r="F34" s="88">
        <v>1.3815323239537367</v>
      </c>
      <c r="G34" s="40">
        <v>0.26825451023227748</v>
      </c>
      <c r="H34" s="133">
        <f t="shared" si="10"/>
        <v>0.1222</v>
      </c>
      <c r="J34" s="29">
        <v>1.0096230144465139</v>
      </c>
      <c r="K34" s="47">
        <v>3.1256593927033136</v>
      </c>
      <c r="L34" s="47">
        <v>1.5786058556672902</v>
      </c>
      <c r="M34" s="88">
        <v>1.9046294209390393</v>
      </c>
      <c r="N34" s="40">
        <v>0.89409955163874821</v>
      </c>
      <c r="O34" s="133">
        <f t="shared" si="11"/>
        <v>0.80959999999999999</v>
      </c>
      <c r="Q34" s="29">
        <v>1.1721381819559944</v>
      </c>
      <c r="R34" s="47">
        <v>0.63854102737812279</v>
      </c>
      <c r="S34" s="47">
        <v>1.1436280839216801</v>
      </c>
      <c r="T34" s="88">
        <f t="shared" si="4"/>
        <v>0.98476909775193244</v>
      </c>
      <c r="U34" s="40">
        <f t="shared" si="5"/>
        <v>0.24509673458801254</v>
      </c>
      <c r="V34" s="133">
        <f t="shared" si="12"/>
        <v>0.63460000000000005</v>
      </c>
      <c r="X34" s="29">
        <v>19.718704450854204</v>
      </c>
      <c r="Y34" s="47">
        <v>11.955037697749175</v>
      </c>
      <c r="Z34" s="47">
        <v>18.464300028216897</v>
      </c>
      <c r="AA34" s="88">
        <f t="shared" si="2"/>
        <v>16.712680725606759</v>
      </c>
      <c r="AB34" s="40">
        <f t="shared" si="3"/>
        <v>3.4029162002880557</v>
      </c>
      <c r="AC34" s="133">
        <f t="shared" si="13"/>
        <v>0.14810000000000001</v>
      </c>
    </row>
    <row r="35" spans="1:29" s="84" customFormat="1" x14ac:dyDescent="0.35">
      <c r="A35" s="310"/>
      <c r="B35" s="88" t="s">
        <v>200</v>
      </c>
      <c r="C35" s="29">
        <v>0.3502725889710257</v>
      </c>
      <c r="D35" s="47">
        <v>0.55053050573341733</v>
      </c>
      <c r="E35" s="47">
        <v>0.32157246778458182</v>
      </c>
      <c r="F35" s="88">
        <v>0.40745852082967488</v>
      </c>
      <c r="G35" s="40">
        <v>0.10184340557035507</v>
      </c>
      <c r="H35" s="133">
        <f t="shared" si="10"/>
        <v>0.53239999999999998</v>
      </c>
      <c r="J35" s="29">
        <v>0.39030453184964969</v>
      </c>
      <c r="K35" s="47">
        <v>3.1358648197409713</v>
      </c>
      <c r="L35" s="47">
        <v>0.58382236372434371</v>
      </c>
      <c r="M35" s="88">
        <v>1.3699972384383214</v>
      </c>
      <c r="N35" s="40">
        <v>1.2511537405757731</v>
      </c>
      <c r="O35" s="133">
        <f t="shared" si="11"/>
        <v>0.76800000000000002</v>
      </c>
      <c r="Q35" s="29">
        <v>0.71684946723252807</v>
      </c>
      <c r="R35" s="47">
        <v>0.21970633767574763</v>
      </c>
      <c r="S35" s="47">
        <v>0.49482451904036967</v>
      </c>
      <c r="T35" s="88">
        <f t="shared" si="4"/>
        <v>0.47712677464954845</v>
      </c>
      <c r="U35" s="40">
        <f t="shared" si="5"/>
        <v>0.20334327369216415</v>
      </c>
      <c r="V35" s="133">
        <f t="shared" si="12"/>
        <v>0.79090000000000005</v>
      </c>
      <c r="X35" s="29">
        <v>1.3974909741541739</v>
      </c>
      <c r="Y35" s="47">
        <v>1.4400112809467414</v>
      </c>
      <c r="Z35" s="47">
        <v>1.2283031493691718</v>
      </c>
      <c r="AA35" s="88">
        <f t="shared" si="2"/>
        <v>1.3552684681566955</v>
      </c>
      <c r="AB35" s="40">
        <f t="shared" si="3"/>
        <v>9.1440830608456619E-2</v>
      </c>
      <c r="AC35" s="133">
        <f t="shared" si="13"/>
        <v>0.17899999999999999</v>
      </c>
    </row>
    <row r="36" spans="1:29" s="84" customFormat="1" x14ac:dyDescent="0.35">
      <c r="A36" s="311"/>
      <c r="B36" s="91" t="s">
        <v>201</v>
      </c>
      <c r="C36" s="162">
        <v>0.1427083367349832</v>
      </c>
      <c r="D36" s="163">
        <v>0.24857041391611698</v>
      </c>
      <c r="E36" s="163">
        <v>0.17161567776866551</v>
      </c>
      <c r="F36" s="91">
        <v>0.1876314761399219</v>
      </c>
      <c r="G36" s="44">
        <v>4.4677169370030884E-2</v>
      </c>
      <c r="H36" s="136">
        <f t="shared" si="10"/>
        <v>0.68200000000000005</v>
      </c>
      <c r="J36" s="162">
        <v>0.36299267009056141</v>
      </c>
      <c r="K36" s="163">
        <v>1.9906480462141349</v>
      </c>
      <c r="L36" s="163">
        <v>0.39019343806325696</v>
      </c>
      <c r="M36" s="91">
        <v>0.91461138478931769</v>
      </c>
      <c r="N36" s="44">
        <v>0.76095385010843553</v>
      </c>
      <c r="O36" s="136">
        <f t="shared" si="11"/>
        <v>0.97219999999999995</v>
      </c>
      <c r="Q36" s="162">
        <v>0.37200798736608909</v>
      </c>
      <c r="R36" s="163">
        <v>0.16085672027209277</v>
      </c>
      <c r="S36" s="163">
        <v>0.29943762072696239</v>
      </c>
      <c r="T36" s="91">
        <f t="shared" si="4"/>
        <v>0.27743410945504809</v>
      </c>
      <c r="U36" s="44">
        <f t="shared" si="5"/>
        <v>8.7595016144641422E-2</v>
      </c>
      <c r="V36" s="136">
        <f t="shared" si="12"/>
        <v>0.52310000000000001</v>
      </c>
      <c r="X36" s="162">
        <v>0.48891957112627821</v>
      </c>
      <c r="Y36" s="163">
        <v>0.40501026294030473</v>
      </c>
      <c r="Z36" s="163">
        <v>0.53961411825221473</v>
      </c>
      <c r="AA36" s="91">
        <f t="shared" si="2"/>
        <v>0.47784798410626589</v>
      </c>
      <c r="AB36" s="44">
        <f t="shared" si="3"/>
        <v>5.5506663237030851E-2</v>
      </c>
      <c r="AC36" s="136">
        <f t="shared" si="13"/>
        <v>0.51470000000000005</v>
      </c>
    </row>
    <row r="37" spans="1:29" s="84" customFormat="1" x14ac:dyDescent="0.35">
      <c r="A37" s="309" t="s">
        <v>230</v>
      </c>
      <c r="B37" s="93" t="s">
        <v>202</v>
      </c>
      <c r="C37" s="166">
        <v>3.4539323748730547E-3</v>
      </c>
      <c r="D37" s="167">
        <v>9.3068191158794005E-4</v>
      </c>
      <c r="E37" s="167">
        <v>7.263737873331279E-3</v>
      </c>
      <c r="F37" s="167">
        <v>3.8827840532640913E-3</v>
      </c>
      <c r="G37" s="187">
        <v>2.6031819983995631E-3</v>
      </c>
      <c r="H37" s="133">
        <f>ROUND(_xlfn.T.TEST(C7:E7,C37:E37,2,2),4)</f>
        <v>0.22239999999999999</v>
      </c>
      <c r="I37" s="6"/>
      <c r="J37" s="166">
        <v>0.1853405522743159</v>
      </c>
      <c r="K37" s="167">
        <v>0.36616023783145474</v>
      </c>
      <c r="L37" s="167">
        <v>0.19482632128532137</v>
      </c>
      <c r="M37" s="167">
        <v>0.24877570379703071</v>
      </c>
      <c r="N37" s="187">
        <v>8.3093688393650653E-2</v>
      </c>
      <c r="O37" s="133">
        <f>ROUND(_xlfn.T.TEST(J7:L7,J37:L37,2,2),4)</f>
        <v>0.13619999999999999</v>
      </c>
      <c r="P37" s="6"/>
      <c r="Q37" s="166">
        <v>8.4637241590801326E-2</v>
      </c>
      <c r="R37" s="167">
        <v>5.4575856214217087E-2</v>
      </c>
      <c r="S37" s="47">
        <v>0.13316378068746573</v>
      </c>
      <c r="T37" s="167">
        <f t="shared" si="4"/>
        <v>9.0792292830828056E-2</v>
      </c>
      <c r="U37" s="187">
        <f t="shared" si="5"/>
        <v>3.2377244684899449E-2</v>
      </c>
      <c r="V37" s="133">
        <f>ROUND(_xlfn.T.TEST(Q7:S7,Q37:S37,2,2),4)</f>
        <v>0.38700000000000001</v>
      </c>
      <c r="X37" s="166">
        <v>2.4296068929601167E-2</v>
      </c>
      <c r="Y37" s="167">
        <v>4.4445715747655941E-3</v>
      </c>
      <c r="Z37" s="167">
        <v>1.96408339769036E-2</v>
      </c>
      <c r="AA37" s="167">
        <f t="shared" si="2"/>
        <v>1.6127158160423455E-2</v>
      </c>
      <c r="AB37" s="187">
        <f t="shared" si="3"/>
        <v>8.4766316075333033E-3</v>
      </c>
      <c r="AC37" s="133">
        <f>ROUND(_xlfn.T.TEST(X7:Z7,X37:Z37,2,2),4)</f>
        <v>0.1216</v>
      </c>
    </row>
    <row r="38" spans="1:29" s="84" customFormat="1" x14ac:dyDescent="0.35">
      <c r="A38" s="310"/>
      <c r="B38" s="87" t="s">
        <v>203</v>
      </c>
      <c r="C38" s="29">
        <v>1.8097753806558311E-3</v>
      </c>
      <c r="D38" s="47">
        <v>2.2105096711629469E-4</v>
      </c>
      <c r="E38" s="47">
        <v>6.2558211921574756E-3</v>
      </c>
      <c r="F38" s="88">
        <v>2.7622158466432006E-3</v>
      </c>
      <c r="G38" s="40">
        <v>2.5540777915846096E-3</v>
      </c>
      <c r="H38" s="133">
        <f t="shared" ref="H38:H46" si="14">ROUND(_xlfn.T.TEST(C8:E8,C38:E38,2,2),4)</f>
        <v>0.93220000000000003</v>
      </c>
      <c r="J38" s="29">
        <v>0.32932620387908867</v>
      </c>
      <c r="K38" s="47">
        <v>1.7949589048380645</v>
      </c>
      <c r="L38" s="47">
        <v>0.35227147853385105</v>
      </c>
      <c r="M38" s="88">
        <v>0.82551886241700145</v>
      </c>
      <c r="N38" s="40">
        <v>0.68556162781292451</v>
      </c>
      <c r="O38" s="133">
        <f t="shared" ref="O38:O46" si="15">ROUND(_xlfn.T.TEST(J8:L8,J38:L38,2,2),4)</f>
        <v>0.85499999999999998</v>
      </c>
      <c r="Q38" s="29">
        <v>7.989554240208134E-2</v>
      </c>
      <c r="R38" s="47">
        <v>2.6285274493640615E-2</v>
      </c>
      <c r="S38" s="47">
        <v>0.12374527454701084</v>
      </c>
      <c r="T38" s="88">
        <f t="shared" si="4"/>
        <v>7.6642030480910936E-2</v>
      </c>
      <c r="U38" s="40">
        <f t="shared" si="5"/>
        <v>3.9854333996581677E-2</v>
      </c>
      <c r="V38" s="133">
        <f t="shared" ref="V38:V46" si="16">ROUND(_xlfn.T.TEST(Q8:S8,Q38:S38,2,2),4)</f>
        <v>0.53359999999999996</v>
      </c>
      <c r="X38" s="29">
        <v>8.7862362644961205E-3</v>
      </c>
      <c r="Y38" s="47">
        <v>1.0860561347535811E-3</v>
      </c>
      <c r="Z38" s="47">
        <v>1.0213822243766423E-2</v>
      </c>
      <c r="AA38" s="88">
        <f t="shared" si="2"/>
        <v>6.6953715476720417E-3</v>
      </c>
      <c r="AB38" s="40">
        <f t="shared" si="3"/>
        <v>4.0089745141998374E-3</v>
      </c>
      <c r="AC38" s="133">
        <f t="shared" ref="AC38:AC46" si="17">ROUND(_xlfn.T.TEST(X8:Z8,X38:Z38,2,2),4)</f>
        <v>0.12529999999999999</v>
      </c>
    </row>
    <row r="39" spans="1:29" s="84" customFormat="1" x14ac:dyDescent="0.35">
      <c r="A39" s="310"/>
      <c r="B39" s="87" t="s">
        <v>204</v>
      </c>
      <c r="C39" s="29">
        <v>3.6738710422160835E-3</v>
      </c>
      <c r="D39" s="47">
        <v>2.1382768511443656E-3</v>
      </c>
      <c r="E39" s="47">
        <v>3.5714749037814761E-3</v>
      </c>
      <c r="F39" s="88">
        <v>3.1278742657139748E-3</v>
      </c>
      <c r="G39" s="40">
        <v>7.009985851073316E-4</v>
      </c>
      <c r="H39" s="133">
        <f t="shared" si="14"/>
        <v>0.26600000000000001</v>
      </c>
      <c r="J39" s="29">
        <v>0.33390022954365617</v>
      </c>
      <c r="K39" s="47">
        <v>1.2748545817556767</v>
      </c>
      <c r="L39" s="47">
        <v>0.30042634493843495</v>
      </c>
      <c r="M39" s="88">
        <v>0.63639371874592265</v>
      </c>
      <c r="N39" s="40">
        <v>0.45166678752815914</v>
      </c>
      <c r="O39" s="133">
        <f t="shared" si="15"/>
        <v>0.7782</v>
      </c>
      <c r="Q39" s="29">
        <v>6.0151690570224042E-2</v>
      </c>
      <c r="R39" s="47">
        <v>2.6150494809292029E-2</v>
      </c>
      <c r="S39" s="47">
        <v>0.11453432291998057</v>
      </c>
      <c r="T39" s="88">
        <f t="shared" si="4"/>
        <v>6.6945502766498882E-2</v>
      </c>
      <c r="U39" s="40">
        <f t="shared" si="5"/>
        <v>3.6400935711357975E-2</v>
      </c>
      <c r="V39" s="133">
        <f t="shared" si="16"/>
        <v>0.80889999999999995</v>
      </c>
      <c r="X39" s="29">
        <v>1.0128281476712577E-2</v>
      </c>
      <c r="Y39" s="47">
        <v>3.5927962572830374E-3</v>
      </c>
      <c r="Z39" s="47">
        <v>1.2146350083660145E-2</v>
      </c>
      <c r="AA39" s="88">
        <f t="shared" si="2"/>
        <v>8.6224759392185876E-3</v>
      </c>
      <c r="AB39" s="40">
        <f t="shared" si="3"/>
        <v>3.6506993396465178E-3</v>
      </c>
      <c r="AC39" s="133">
        <f t="shared" si="17"/>
        <v>0.44019999999999998</v>
      </c>
    </row>
    <row r="40" spans="1:29" s="84" customFormat="1" x14ac:dyDescent="0.35">
      <c r="A40" s="310"/>
      <c r="B40" s="87" t="s">
        <v>205</v>
      </c>
      <c r="C40" s="29">
        <v>3.4687114608682357E-3</v>
      </c>
      <c r="D40" s="47">
        <v>2.6772137013347671E-3</v>
      </c>
      <c r="E40" s="47">
        <v>4.5287340575540791E-3</v>
      </c>
      <c r="F40" s="88">
        <v>3.5582197399190271E-3</v>
      </c>
      <c r="G40" s="40">
        <v>7.5852519465411641E-4</v>
      </c>
      <c r="H40" s="133">
        <f t="shared" si="14"/>
        <v>0.1225</v>
      </c>
      <c r="J40" s="29">
        <v>0.37735357640277661</v>
      </c>
      <c r="K40" s="47">
        <v>1.0030446055646431</v>
      </c>
      <c r="L40" s="47">
        <v>0.38382677402999404</v>
      </c>
      <c r="M40" s="88">
        <v>0.58807498533247127</v>
      </c>
      <c r="N40" s="40">
        <v>0.29343973243649757</v>
      </c>
      <c r="O40" s="133">
        <f t="shared" si="15"/>
        <v>0.79590000000000005</v>
      </c>
      <c r="Q40" s="29">
        <v>6.3669042351106347E-2</v>
      </c>
      <c r="R40" s="47">
        <v>3.1277917271311899E-2</v>
      </c>
      <c r="S40" s="47">
        <v>0.10407282044161363</v>
      </c>
      <c r="T40" s="88">
        <f t="shared" si="4"/>
        <v>6.6339926688010628E-2</v>
      </c>
      <c r="U40" s="40">
        <f t="shared" si="5"/>
        <v>2.9778344472107483E-2</v>
      </c>
      <c r="V40" s="133">
        <f t="shared" si="16"/>
        <v>0.32779999999999998</v>
      </c>
      <c r="X40" s="29">
        <v>5.9257361164595452E-3</v>
      </c>
      <c r="Y40" s="47">
        <v>5.7530310126121384E-3</v>
      </c>
      <c r="Z40" s="47">
        <v>7.3230820043748441E-3</v>
      </c>
      <c r="AA40" s="88">
        <f t="shared" si="2"/>
        <v>6.3339497111488422E-3</v>
      </c>
      <c r="AB40" s="40">
        <f t="shared" si="3"/>
        <v>7.0296694249001135E-4</v>
      </c>
      <c r="AC40" s="133">
        <f t="shared" si="17"/>
        <v>0.61380000000000001</v>
      </c>
    </row>
    <row r="41" spans="1:29" s="84" customFormat="1" x14ac:dyDescent="0.35">
      <c r="A41" s="310"/>
      <c r="B41" s="87" t="s">
        <v>126</v>
      </c>
      <c r="C41" s="29">
        <v>8.9146474764381534</v>
      </c>
      <c r="D41" s="47">
        <v>5.9871120274466945</v>
      </c>
      <c r="E41" s="47">
        <v>6.6531303083752746</v>
      </c>
      <c r="F41" s="88">
        <v>7.1849632707533742</v>
      </c>
      <c r="G41" s="40">
        <v>1.2529300795014626</v>
      </c>
      <c r="H41" s="133">
        <f t="shared" si="14"/>
        <v>0.3407</v>
      </c>
      <c r="J41" s="29">
        <v>111.7167383107827</v>
      </c>
      <c r="K41" s="47">
        <v>391.75129056239513</v>
      </c>
      <c r="L41" s="47">
        <v>232.49855899222339</v>
      </c>
      <c r="M41" s="88">
        <v>245.32219595513376</v>
      </c>
      <c r="N41" s="40">
        <v>114.68266902604958</v>
      </c>
      <c r="O41" s="133">
        <f t="shared" si="15"/>
        <v>0.6341</v>
      </c>
      <c r="Q41" s="29">
        <v>7.0526433366876118</v>
      </c>
      <c r="R41" s="47">
        <v>5.3817599585831806</v>
      </c>
      <c r="S41" s="47">
        <v>5.8717988847396585</v>
      </c>
      <c r="T41" s="88">
        <f t="shared" si="4"/>
        <v>6.1020673933368172</v>
      </c>
      <c r="U41" s="40">
        <f t="shared" si="5"/>
        <v>0.70129903528860338</v>
      </c>
      <c r="V41" s="133">
        <f t="shared" si="16"/>
        <v>0.1353</v>
      </c>
      <c r="X41" s="29">
        <v>111.45250808674007</v>
      </c>
      <c r="Y41" s="47">
        <v>95.3921648989391</v>
      </c>
      <c r="Z41" s="47">
        <v>108.88539660170933</v>
      </c>
      <c r="AA41" s="88">
        <f t="shared" si="2"/>
        <v>105.24335652912949</v>
      </c>
      <c r="AB41" s="40">
        <f t="shared" si="3"/>
        <v>7.0442410400361428</v>
      </c>
      <c r="AC41" s="133">
        <f t="shared" si="17"/>
        <v>0.84430000000000005</v>
      </c>
    </row>
    <row r="42" spans="1:29" s="84" customFormat="1" x14ac:dyDescent="0.35">
      <c r="A42" s="310"/>
      <c r="B42" s="87" t="s">
        <v>127</v>
      </c>
      <c r="C42" s="29">
        <v>16.524663409113661</v>
      </c>
      <c r="D42" s="47">
        <v>5.2968026938905446</v>
      </c>
      <c r="E42" s="47">
        <v>15.449090194903002</v>
      </c>
      <c r="F42" s="88">
        <v>12.423518765969069</v>
      </c>
      <c r="G42" s="40">
        <v>5.0584434966893816</v>
      </c>
      <c r="H42" s="133">
        <f t="shared" si="14"/>
        <v>0.311</v>
      </c>
      <c r="J42" s="29">
        <v>93.327767855216777</v>
      </c>
      <c r="K42" s="47">
        <v>305.41690665133621</v>
      </c>
      <c r="L42" s="47">
        <v>153.64082090850988</v>
      </c>
      <c r="M42" s="88">
        <v>184.12849847168764</v>
      </c>
      <c r="N42" s="40">
        <v>89.228450474861106</v>
      </c>
      <c r="O42" s="133">
        <f t="shared" si="15"/>
        <v>0.98129999999999995</v>
      </c>
      <c r="Q42" s="29">
        <v>6.0598630634950448</v>
      </c>
      <c r="R42" s="47">
        <v>5.5926601135638103</v>
      </c>
      <c r="S42" s="47">
        <v>7.3818823961912559</v>
      </c>
      <c r="T42" s="88">
        <f t="shared" si="4"/>
        <v>6.3448018577500376</v>
      </c>
      <c r="U42" s="40">
        <f t="shared" si="5"/>
        <v>0.75772540387498344</v>
      </c>
      <c r="V42" s="133">
        <f t="shared" si="16"/>
        <v>0.2954</v>
      </c>
      <c r="X42" s="29">
        <v>99.19594064813117</v>
      </c>
      <c r="Y42" s="47">
        <v>83.107368716832795</v>
      </c>
      <c r="Z42" s="47">
        <v>126.52979460517081</v>
      </c>
      <c r="AA42" s="88">
        <f t="shared" si="2"/>
        <v>102.94436799004494</v>
      </c>
      <c r="AB42" s="40">
        <f t="shared" si="3"/>
        <v>17.924188464386209</v>
      </c>
      <c r="AC42" s="133">
        <f t="shared" si="17"/>
        <v>0.1008</v>
      </c>
    </row>
    <row r="43" spans="1:29" s="84" customFormat="1" x14ac:dyDescent="0.35">
      <c r="A43" s="310"/>
      <c r="B43" s="87" t="s">
        <v>128</v>
      </c>
      <c r="C43" s="29">
        <v>16.967951275993027</v>
      </c>
      <c r="D43" s="47">
        <v>11.330538340897462</v>
      </c>
      <c r="E43" s="47">
        <v>17.235176258006675</v>
      </c>
      <c r="F43" s="88">
        <v>15.177888624965723</v>
      </c>
      <c r="G43" s="40">
        <v>2.7226739863588998</v>
      </c>
      <c r="H43" s="133">
        <f t="shared" si="14"/>
        <v>0.78169999999999995</v>
      </c>
      <c r="J43" s="29">
        <v>55.064351445746276</v>
      </c>
      <c r="K43" s="47">
        <v>222.35783680321279</v>
      </c>
      <c r="L43" s="47">
        <v>65.961326027118147</v>
      </c>
      <c r="M43" s="88">
        <v>114.46117142535907</v>
      </c>
      <c r="N43" s="40">
        <v>76.424052991634198</v>
      </c>
      <c r="O43" s="133">
        <f t="shared" si="15"/>
        <v>0.94799999999999995</v>
      </c>
      <c r="Q43" s="29">
        <v>7.2820480284684876</v>
      </c>
      <c r="R43" s="47">
        <v>3.2306253171759249</v>
      </c>
      <c r="S43" s="47">
        <v>8.8585186290781817</v>
      </c>
      <c r="T43" s="88">
        <f t="shared" si="4"/>
        <v>6.4570639915741976</v>
      </c>
      <c r="U43" s="40">
        <f t="shared" si="5"/>
        <v>2.3704774172286274</v>
      </c>
      <c r="V43" s="133">
        <f t="shared" si="16"/>
        <v>0.97230000000000005</v>
      </c>
      <c r="X43" s="29">
        <v>137.99105833731377</v>
      </c>
      <c r="Y43" s="47">
        <v>86.791491519934354</v>
      </c>
      <c r="Z43" s="47">
        <v>121.93766374962426</v>
      </c>
      <c r="AA43" s="88">
        <f t="shared" si="2"/>
        <v>115.57340453562414</v>
      </c>
      <c r="AB43" s="40">
        <f t="shared" si="3"/>
        <v>21.381093783668895</v>
      </c>
      <c r="AC43" s="133">
        <f t="shared" si="17"/>
        <v>6.8000000000000005E-2</v>
      </c>
    </row>
    <row r="44" spans="1:29" s="84" customFormat="1" x14ac:dyDescent="0.35">
      <c r="A44" s="310"/>
      <c r="B44" s="87" t="s">
        <v>129</v>
      </c>
      <c r="C44" s="29">
        <v>1.2251745047374274</v>
      </c>
      <c r="D44" s="47">
        <v>2.5221016344749057</v>
      </c>
      <c r="E44" s="47">
        <v>3.7165515355174574</v>
      </c>
      <c r="F44" s="88">
        <v>2.4879425582432635</v>
      </c>
      <c r="G44" s="40">
        <v>1.0173871794098612</v>
      </c>
      <c r="H44" s="133">
        <f t="shared" si="14"/>
        <v>0.10730000000000001</v>
      </c>
      <c r="J44" s="29">
        <v>0.95315831507597293</v>
      </c>
      <c r="K44" s="47">
        <v>4.1152614044106102</v>
      </c>
      <c r="L44" s="47">
        <v>2.2158560459324366</v>
      </c>
      <c r="M44" s="88">
        <v>2.4280919218063399</v>
      </c>
      <c r="N44" s="40">
        <v>1.2996171326332706</v>
      </c>
      <c r="O44" s="133">
        <f t="shared" si="15"/>
        <v>0.53520000000000001</v>
      </c>
      <c r="Q44" s="29">
        <v>1.849388634740796</v>
      </c>
      <c r="R44" s="47">
        <v>1.0273205911823584</v>
      </c>
      <c r="S44" s="47">
        <v>1.5887715381203169</v>
      </c>
      <c r="T44" s="88">
        <f t="shared" si="4"/>
        <v>1.4884935880144905</v>
      </c>
      <c r="U44" s="40">
        <f t="shared" si="5"/>
        <v>0.34301673187379517</v>
      </c>
      <c r="V44" s="133">
        <f t="shared" si="16"/>
        <v>0.1084</v>
      </c>
      <c r="X44" s="29">
        <v>28.636730585238791</v>
      </c>
      <c r="Y44" s="47">
        <v>28.841091337917856</v>
      </c>
      <c r="Z44" s="47">
        <v>29.514118194750047</v>
      </c>
      <c r="AA44" s="88">
        <f t="shared" si="2"/>
        <v>28.997313372635563</v>
      </c>
      <c r="AB44" s="40">
        <f t="shared" si="3"/>
        <v>0.3748388519790648</v>
      </c>
      <c r="AC44" s="172">
        <f t="shared" si="17"/>
        <v>1.5E-3</v>
      </c>
    </row>
    <row r="45" spans="1:29" s="84" customFormat="1" x14ac:dyDescent="0.35">
      <c r="A45" s="310"/>
      <c r="B45" s="87" t="s">
        <v>200</v>
      </c>
      <c r="C45" s="29">
        <v>0.49946008952486359</v>
      </c>
      <c r="D45" s="47">
        <v>0.96215072858339268</v>
      </c>
      <c r="E45" s="47">
        <v>0.7949504066680767</v>
      </c>
      <c r="F45" s="88">
        <v>0.75218707492544434</v>
      </c>
      <c r="G45" s="40">
        <v>0.19129764552374967</v>
      </c>
      <c r="H45" s="133">
        <f t="shared" si="14"/>
        <v>5.9700000000000003E-2</v>
      </c>
      <c r="J45" s="29">
        <v>0.53237449237536294</v>
      </c>
      <c r="K45" s="47">
        <v>3.7704570136182718</v>
      </c>
      <c r="L45" s="47">
        <v>1.0386245111172823</v>
      </c>
      <c r="M45" s="88">
        <v>1.7804853390369724</v>
      </c>
      <c r="N45" s="40">
        <v>1.4222195610139279</v>
      </c>
      <c r="O45" s="133">
        <f t="shared" si="15"/>
        <v>0.55130000000000001</v>
      </c>
      <c r="Q45" s="29">
        <v>1.3958650728509909</v>
      </c>
      <c r="R45" s="47">
        <v>0.6046612083636328</v>
      </c>
      <c r="S45" s="47">
        <v>0.87045328368664932</v>
      </c>
      <c r="T45" s="88">
        <f t="shared" si="4"/>
        <v>0.95699318830042435</v>
      </c>
      <c r="U45" s="40">
        <f t="shared" si="5"/>
        <v>0.32875295193894299</v>
      </c>
      <c r="V45" s="133">
        <f t="shared" si="16"/>
        <v>0.1716</v>
      </c>
      <c r="X45" s="29">
        <v>4.8596206397076438</v>
      </c>
      <c r="Y45" s="47">
        <v>4.4875586954710256</v>
      </c>
      <c r="Z45" s="47">
        <v>5.8428273784402904</v>
      </c>
      <c r="AA45" s="88">
        <f t="shared" si="2"/>
        <v>5.0633355712063199</v>
      </c>
      <c r="AB45" s="40">
        <f t="shared" si="3"/>
        <v>0.57173019904260558</v>
      </c>
      <c r="AC45" s="172">
        <f t="shared" si="17"/>
        <v>6.9999999999999999E-4</v>
      </c>
    </row>
    <row r="46" spans="1:29" s="84" customFormat="1" x14ac:dyDescent="0.35">
      <c r="A46" s="311"/>
      <c r="B46" s="90" t="s">
        <v>201</v>
      </c>
      <c r="C46" s="162">
        <v>0.1799714734338306</v>
      </c>
      <c r="D46" s="163">
        <v>0.45551889421742181</v>
      </c>
      <c r="E46" s="163">
        <v>0.48374195256284197</v>
      </c>
      <c r="F46" s="91">
        <v>0.37307744007136479</v>
      </c>
      <c r="G46" s="44">
        <v>0.13703179927509429</v>
      </c>
      <c r="H46" s="136">
        <f t="shared" si="14"/>
        <v>0.1182</v>
      </c>
      <c r="J46" s="162">
        <v>0.36888547443942299</v>
      </c>
      <c r="K46" s="163">
        <v>2.3196397784436655</v>
      </c>
      <c r="L46" s="163">
        <v>0.68384780631935405</v>
      </c>
      <c r="M46" s="91">
        <v>1.1241243530674809</v>
      </c>
      <c r="N46" s="44">
        <v>0.85508017825235172</v>
      </c>
      <c r="O46" s="136">
        <f t="shared" si="15"/>
        <v>0.82899999999999996</v>
      </c>
      <c r="Q46" s="162">
        <v>0.54735617342379994</v>
      </c>
      <c r="R46" s="163">
        <v>0.18743707519168828</v>
      </c>
      <c r="S46" s="163">
        <v>0.5058216364937449</v>
      </c>
      <c r="T46" s="91">
        <f t="shared" si="4"/>
        <v>0.41353829503641104</v>
      </c>
      <c r="U46" s="44">
        <f t="shared" si="5"/>
        <v>0.16077437741744843</v>
      </c>
      <c r="V46" s="136">
        <f t="shared" si="16"/>
        <v>0.60770000000000002</v>
      </c>
      <c r="X46" s="162">
        <v>1.0788251105774638</v>
      </c>
      <c r="Y46" s="163">
        <v>1.4442591245610987</v>
      </c>
      <c r="Z46" s="163">
        <v>1.0767375682475249</v>
      </c>
      <c r="AA46" s="91">
        <f t="shared" si="2"/>
        <v>1.1999406011286959</v>
      </c>
      <c r="AB46" s="44">
        <f t="shared" si="3"/>
        <v>0.17276138674944386</v>
      </c>
      <c r="AC46" s="173">
        <f t="shared" si="17"/>
        <v>4.4999999999999997E-3</v>
      </c>
    </row>
    <row r="49" spans="1:30" x14ac:dyDescent="0.35">
      <c r="B49" t="s">
        <v>231</v>
      </c>
    </row>
    <row r="52" spans="1:30" s="31" customFormat="1" x14ac:dyDescent="0.35">
      <c r="C52" s="263" t="s">
        <v>261</v>
      </c>
      <c r="D52" s="303"/>
      <c r="E52" s="290"/>
      <c r="F52" s="105"/>
      <c r="G52" s="95"/>
      <c r="H52" s="95"/>
      <c r="I52" s="86"/>
      <c r="J52" s="263" t="s">
        <v>260</v>
      </c>
      <c r="K52" s="303"/>
      <c r="L52" s="290"/>
      <c r="M52" s="105"/>
      <c r="N52" s="95"/>
      <c r="O52" s="95"/>
      <c r="P52" s="86"/>
      <c r="Q52" s="263" t="s">
        <v>258</v>
      </c>
      <c r="R52" s="303"/>
      <c r="S52" s="290"/>
      <c r="T52" s="105"/>
      <c r="U52" s="95"/>
      <c r="V52" s="95"/>
      <c r="W52" s="86"/>
      <c r="X52" s="263" t="s">
        <v>259</v>
      </c>
      <c r="Y52" s="303"/>
      <c r="Z52" s="290"/>
      <c r="AA52" s="105"/>
      <c r="AB52" s="95"/>
      <c r="AC52" s="95"/>
    </row>
    <row r="53" spans="1:30" s="31" customFormat="1" x14ac:dyDescent="0.35">
      <c r="C53" s="90" t="s">
        <v>32</v>
      </c>
      <c r="D53" s="91" t="s">
        <v>33</v>
      </c>
      <c r="E53" s="91" t="s">
        <v>34</v>
      </c>
      <c r="F53" s="106" t="s">
        <v>118</v>
      </c>
      <c r="G53" s="92" t="s">
        <v>20</v>
      </c>
      <c r="H53" s="89" t="s">
        <v>206</v>
      </c>
      <c r="I53" s="88" t="s">
        <v>175</v>
      </c>
      <c r="J53" s="90" t="s">
        <v>32</v>
      </c>
      <c r="K53" s="91" t="s">
        <v>33</v>
      </c>
      <c r="L53" s="91" t="s">
        <v>34</v>
      </c>
      <c r="M53" s="106" t="s">
        <v>118</v>
      </c>
      <c r="N53" s="92" t="s">
        <v>20</v>
      </c>
      <c r="O53" s="89" t="s">
        <v>206</v>
      </c>
      <c r="P53" s="88" t="s">
        <v>175</v>
      </c>
      <c r="Q53" s="90" t="s">
        <v>32</v>
      </c>
      <c r="R53" s="91" t="s">
        <v>33</v>
      </c>
      <c r="S53" s="91" t="s">
        <v>34</v>
      </c>
      <c r="T53" s="106" t="s">
        <v>118</v>
      </c>
      <c r="U53" s="92" t="s">
        <v>20</v>
      </c>
      <c r="V53" s="89" t="s">
        <v>206</v>
      </c>
      <c r="W53" s="88" t="s">
        <v>175</v>
      </c>
      <c r="X53" s="90" t="s">
        <v>32</v>
      </c>
      <c r="Y53" s="91" t="s">
        <v>33</v>
      </c>
      <c r="Z53" s="91" t="s">
        <v>34</v>
      </c>
      <c r="AA53" s="106" t="s">
        <v>118</v>
      </c>
      <c r="AB53" s="92" t="s">
        <v>20</v>
      </c>
      <c r="AC53" s="89" t="s">
        <v>206</v>
      </c>
      <c r="AD53" s="88" t="s">
        <v>175</v>
      </c>
    </row>
    <row r="54" spans="1:30" s="31" customFormat="1" x14ac:dyDescent="0.35">
      <c r="A54" s="258" t="s">
        <v>16</v>
      </c>
      <c r="B54" s="121" t="s">
        <v>202</v>
      </c>
      <c r="C54" s="87">
        <v>1.5291934432178698E-5</v>
      </c>
      <c r="D54" s="88">
        <v>1.0312457938971201E-6</v>
      </c>
      <c r="E54" s="88">
        <v>5.8042205445023682E-5</v>
      </c>
      <c r="F54" s="38">
        <v>2.4788461890366501E-5</v>
      </c>
      <c r="G54" s="89">
        <v>2.422396066444243E-5</v>
      </c>
      <c r="H54" s="95"/>
      <c r="I54" s="86"/>
      <c r="J54" s="87">
        <v>2.4731232529083031E-3</v>
      </c>
      <c r="K54" s="88">
        <v>3.1326776163451788E-3</v>
      </c>
      <c r="L54" s="88">
        <v>6.6497546276276963E-3</v>
      </c>
      <c r="M54" s="38">
        <v>4.0851851656270597E-3</v>
      </c>
      <c r="N54" s="89">
        <v>1.833305827124293E-3</v>
      </c>
      <c r="O54" s="95"/>
      <c r="P54" s="86"/>
      <c r="Q54" s="87">
        <v>6.1580694367755471E-4</v>
      </c>
      <c r="R54" s="88">
        <v>1.7775096343108667E-3</v>
      </c>
      <c r="S54" s="88">
        <v>3.103557366563862E-3</v>
      </c>
      <c r="T54" s="38">
        <v>1.8322913148507609E-3</v>
      </c>
      <c r="U54" s="89">
        <v>1.0163583082210168E-3</v>
      </c>
      <c r="V54" s="95"/>
      <c r="W54" s="86"/>
      <c r="X54" s="87">
        <v>5.3468826539955785E-5</v>
      </c>
      <c r="Y54" s="88">
        <v>1.510412731013614E-3</v>
      </c>
      <c r="Z54" s="88">
        <v>6.1893473130775659E-5</v>
      </c>
      <c r="AA54" s="38">
        <f>AVERAGE(X54:Z54)</f>
        <v>5.4192501022811508E-4</v>
      </c>
      <c r="AB54" s="89">
        <f>_xlfn.STDEV.P(X54:Z54)</f>
        <v>6.8483287141304916E-4</v>
      </c>
      <c r="AC54" s="95"/>
    </row>
    <row r="55" spans="1:30" s="31" customFormat="1" x14ac:dyDescent="0.35">
      <c r="A55" s="254"/>
      <c r="B55" s="122" t="s">
        <v>203</v>
      </c>
      <c r="C55" s="87">
        <v>8.5518750455115073E-5</v>
      </c>
      <c r="D55" s="88">
        <v>3.3706666367217589E-5</v>
      </c>
      <c r="E55" s="88">
        <v>8.5835150504212026E-6</v>
      </c>
      <c r="F55" s="38">
        <v>4.2602977290917954E-5</v>
      </c>
      <c r="G55" s="89">
        <v>3.2032440564031106E-5</v>
      </c>
      <c r="H55" s="89"/>
      <c r="I55" s="86"/>
      <c r="J55" s="87">
        <v>8.0083086209511278E-3</v>
      </c>
      <c r="K55" s="88">
        <v>4.7616153778866415E-3</v>
      </c>
      <c r="L55" s="88">
        <v>1.4484392856377681E-2</v>
      </c>
      <c r="M55" s="38">
        <v>9.0847722850718165E-3</v>
      </c>
      <c r="N55" s="89">
        <v>4.0416317652809709E-3</v>
      </c>
      <c r="O55" s="89"/>
      <c r="P55" s="86"/>
      <c r="Q55" s="87">
        <v>5.9013360515158592E-4</v>
      </c>
      <c r="R55" s="88">
        <v>1.2484508523712256E-4</v>
      </c>
      <c r="S55" s="88">
        <v>2.9348612424513073E-3</v>
      </c>
      <c r="T55" s="38">
        <v>1.2166133109466719E-3</v>
      </c>
      <c r="U55" s="89">
        <v>1.229743961774433E-3</v>
      </c>
      <c r="V55" s="89"/>
      <c r="W55" s="86"/>
      <c r="X55" s="87">
        <v>9.8465603985431764E-6</v>
      </c>
      <c r="Y55" s="88">
        <v>7.7650486826967279E-5</v>
      </c>
      <c r="Z55" s="88">
        <v>1.7464145177831075E-5</v>
      </c>
      <c r="AA55" s="38">
        <f t="shared" ref="AA55:AA93" si="18">AVERAGE(X55:Z55)</f>
        <v>3.4987064134447179E-5</v>
      </c>
      <c r="AB55" s="89">
        <f t="shared" ref="AB55:AB93" si="19">_xlfn.STDEV.P(X55:Z55)</f>
        <v>3.0327464190596713E-5</v>
      </c>
      <c r="AC55" s="89"/>
    </row>
    <row r="56" spans="1:30" s="31" customFormat="1" x14ac:dyDescent="0.35">
      <c r="A56" s="254"/>
      <c r="B56" s="122" t="s">
        <v>204</v>
      </c>
      <c r="C56" s="87">
        <v>1.501701625633749E-5</v>
      </c>
      <c r="D56" s="88">
        <v>6.8988219444799759E-5</v>
      </c>
      <c r="E56" s="88">
        <v>1.2069660488884008E-4</v>
      </c>
      <c r="F56" s="38">
        <v>6.8233946863325778E-5</v>
      </c>
      <c r="G56" s="89">
        <v>4.3146807983357741E-5</v>
      </c>
      <c r="H56" s="89"/>
      <c r="I56" s="86"/>
      <c r="J56" s="87">
        <v>7.6837479274308963E-3</v>
      </c>
      <c r="K56" s="88">
        <v>2.8379234743242444E-3</v>
      </c>
      <c r="L56" s="88">
        <v>1.3790698420392626E-2</v>
      </c>
      <c r="M56" s="38">
        <v>8.104123274049255E-3</v>
      </c>
      <c r="N56" s="89">
        <v>4.4813209606721395E-3</v>
      </c>
      <c r="O56" s="89"/>
      <c r="P56" s="86"/>
      <c r="Q56" s="87">
        <v>3.3075030057077805E-4</v>
      </c>
      <c r="R56" s="88">
        <v>3.8943094522683725E-4</v>
      </c>
      <c r="S56" s="88">
        <v>1.5430407540786486E-3</v>
      </c>
      <c r="T56" s="38">
        <v>7.5440733329208795E-4</v>
      </c>
      <c r="U56" s="89">
        <v>5.5816237709137826E-4</v>
      </c>
      <c r="V56" s="89"/>
      <c r="W56" s="86"/>
      <c r="X56" s="87">
        <v>8.8618010255650629E-5</v>
      </c>
      <c r="Y56" s="88">
        <v>1.0319327892635307E-4</v>
      </c>
      <c r="Z56" s="88">
        <v>1.1512264311952964E-5</v>
      </c>
      <c r="AA56" s="38">
        <f t="shared" si="18"/>
        <v>6.77745178313189E-5</v>
      </c>
      <c r="AB56" s="89">
        <f t="shared" si="19"/>
        <v>4.0225949274184055E-5</v>
      </c>
      <c r="AC56" s="89"/>
    </row>
    <row r="57" spans="1:30" s="31" customFormat="1" x14ac:dyDescent="0.35">
      <c r="A57" s="254"/>
      <c r="B57" s="122" t="s">
        <v>205</v>
      </c>
      <c r="C57" s="87">
        <v>6.0495095633303982E-4</v>
      </c>
      <c r="D57" s="88">
        <v>1.2773132994776875E-5</v>
      </c>
      <c r="E57" s="88">
        <v>5.5535125262135321E-6</v>
      </c>
      <c r="F57" s="38">
        <v>2.0775920061801009E-4</v>
      </c>
      <c r="G57" s="89">
        <v>2.8087244891102965E-4</v>
      </c>
      <c r="H57" s="89"/>
      <c r="I57" s="86"/>
      <c r="J57" s="87">
        <v>1.1102534357899615E-2</v>
      </c>
      <c r="K57" s="88">
        <v>2.4311379671690032E-3</v>
      </c>
      <c r="L57" s="88">
        <v>1.8872980079759794E-2</v>
      </c>
      <c r="M57" s="38">
        <v>1.0802217468276138E-2</v>
      </c>
      <c r="N57" s="89">
        <v>6.7157122079238331E-3</v>
      </c>
      <c r="O57" s="89"/>
      <c r="P57" s="86"/>
      <c r="Q57" s="87">
        <v>2.9291623341092969E-4</v>
      </c>
      <c r="R57" s="88">
        <v>1.5546631109552501E-4</v>
      </c>
      <c r="S57" s="88">
        <v>2.1393645679200243E-3</v>
      </c>
      <c r="T57" s="38">
        <v>8.6258237080882644E-4</v>
      </c>
      <c r="U57" s="89">
        <v>9.0456350594497639E-4</v>
      </c>
      <c r="V57" s="89"/>
      <c r="W57" s="86"/>
      <c r="X57" s="87">
        <v>4.4895222323410156E-6</v>
      </c>
      <c r="Y57" s="88">
        <v>3.08385665763962E-6</v>
      </c>
      <c r="Z57" s="88">
        <v>2.8740029402514466E-5</v>
      </c>
      <c r="AA57" s="38">
        <f t="shared" si="18"/>
        <v>1.21044694308317E-5</v>
      </c>
      <c r="AB57" s="89">
        <f t="shared" si="19"/>
        <v>1.1777106764271253E-5</v>
      </c>
      <c r="AC57" s="89"/>
    </row>
    <row r="58" spans="1:30" s="31" customFormat="1" x14ac:dyDescent="0.35">
      <c r="A58" s="254"/>
      <c r="B58" s="122" t="s">
        <v>126</v>
      </c>
      <c r="C58" s="87">
        <v>0.17992274793137972</v>
      </c>
      <c r="D58" s="88">
        <v>7.0556835777550134E-2</v>
      </c>
      <c r="E58" s="88">
        <v>7.5841530474776597E-2</v>
      </c>
      <c r="F58" s="38">
        <v>0.10877370472790215</v>
      </c>
      <c r="G58" s="89">
        <v>5.0356209554787174E-2</v>
      </c>
      <c r="H58" s="89"/>
      <c r="I58" s="86"/>
      <c r="J58" s="87">
        <v>0.66021656060751532</v>
      </c>
      <c r="K58" s="88">
        <v>8.5391591643489514E-2</v>
      </c>
      <c r="L58" s="88">
        <v>0.55555411784183228</v>
      </c>
      <c r="M58" s="38">
        <v>0.4337207566976124</v>
      </c>
      <c r="N58" s="89">
        <v>0.24998461572917735</v>
      </c>
      <c r="O58" s="89"/>
      <c r="P58" s="86"/>
      <c r="Q58" s="87">
        <v>5.8868808404124097E-2</v>
      </c>
      <c r="R58" s="88">
        <v>3.5704939917358548E-4</v>
      </c>
      <c r="S58" s="88">
        <v>0.18693266783118992</v>
      </c>
      <c r="T58" s="38">
        <v>8.205284187816253E-2</v>
      </c>
      <c r="U58" s="89">
        <v>7.7913370287845299E-2</v>
      </c>
      <c r="V58" s="89"/>
      <c r="W58" s="86"/>
      <c r="X58" s="87">
        <v>1.3183713974332394</v>
      </c>
      <c r="Y58" s="88">
        <v>1.5988964269951047</v>
      </c>
      <c r="Z58" s="88">
        <v>0.67190349410139183</v>
      </c>
      <c r="AA58" s="38">
        <f t="shared" si="18"/>
        <v>1.1963904395099119</v>
      </c>
      <c r="AB58" s="89">
        <f t="shared" si="19"/>
        <v>0.38814815898111349</v>
      </c>
      <c r="AC58" s="89"/>
    </row>
    <row r="59" spans="1:30" s="31" customFormat="1" x14ac:dyDescent="0.35">
      <c r="A59" s="254"/>
      <c r="B59" s="122" t="s">
        <v>127</v>
      </c>
      <c r="C59" s="87">
        <v>0.77998414441253427</v>
      </c>
      <c r="D59" s="88">
        <v>0.65742024796082887</v>
      </c>
      <c r="E59" s="88">
        <v>0.54337613338187063</v>
      </c>
      <c r="F59" s="38">
        <v>0.66026017525174463</v>
      </c>
      <c r="G59" s="89">
        <v>9.6615687515830398E-2</v>
      </c>
      <c r="H59" s="89"/>
      <c r="I59" s="86"/>
      <c r="J59" s="87">
        <v>3.320507846091584</v>
      </c>
      <c r="K59" s="88">
        <v>1.0948293609532778</v>
      </c>
      <c r="L59" s="88">
        <v>4.4831141280448854</v>
      </c>
      <c r="M59" s="38">
        <v>2.9661504450299159</v>
      </c>
      <c r="N59" s="89">
        <v>1.4057726917942412</v>
      </c>
      <c r="O59" s="89"/>
      <c r="P59" s="86"/>
      <c r="Q59" s="87">
        <v>0.22714845733249781</v>
      </c>
      <c r="R59" s="88">
        <v>5.6770126369132473E-4</v>
      </c>
      <c r="S59" s="88">
        <v>0.89637392799630866</v>
      </c>
      <c r="T59" s="38">
        <v>0.37469669553083262</v>
      </c>
      <c r="U59" s="89">
        <v>0.38030256455424782</v>
      </c>
      <c r="V59" s="89"/>
      <c r="W59" s="86"/>
      <c r="X59" s="87">
        <v>3.0918711831581311</v>
      </c>
      <c r="Y59" s="88">
        <v>3.539188628382945</v>
      </c>
      <c r="Z59" s="88">
        <v>1.8851378706280233</v>
      </c>
      <c r="AA59" s="38">
        <f t="shared" si="18"/>
        <v>2.8387325607230331</v>
      </c>
      <c r="AB59" s="89">
        <f t="shared" si="19"/>
        <v>0.69858444917020701</v>
      </c>
      <c r="AC59" s="89"/>
    </row>
    <row r="60" spans="1:30" s="31" customFormat="1" x14ac:dyDescent="0.35">
      <c r="A60" s="254"/>
      <c r="B60" s="122" t="s">
        <v>128</v>
      </c>
      <c r="C60" s="87">
        <v>0.23170602241899976</v>
      </c>
      <c r="D60" s="88">
        <v>0.2529202511018816</v>
      </c>
      <c r="E60" s="88">
        <v>0.29991604849010089</v>
      </c>
      <c r="F60" s="38">
        <v>0.26151410733699409</v>
      </c>
      <c r="G60" s="89">
        <v>2.8501961194479172E-2</v>
      </c>
      <c r="H60" s="89"/>
      <c r="I60" s="86"/>
      <c r="J60" s="87">
        <v>0.68856355158242588</v>
      </c>
      <c r="K60" s="88">
        <v>0.36146048480666598</v>
      </c>
      <c r="L60" s="88">
        <v>1.4678814439488488</v>
      </c>
      <c r="M60" s="38">
        <v>0.83930182677931364</v>
      </c>
      <c r="N60" s="89">
        <v>0.4641001008505789</v>
      </c>
      <c r="O60" s="89"/>
      <c r="P60" s="86"/>
      <c r="Q60" s="87">
        <v>7.5899691265479879E-2</v>
      </c>
      <c r="R60" s="88">
        <v>3.5173032045016116E-2</v>
      </c>
      <c r="S60" s="88">
        <v>0.35286426503631557</v>
      </c>
      <c r="T60" s="38">
        <v>0.15464566278227052</v>
      </c>
      <c r="U60" s="89">
        <v>0.1411444317061438</v>
      </c>
      <c r="V60" s="89"/>
      <c r="W60" s="86"/>
      <c r="X60" s="87">
        <v>2.0229766062960457</v>
      </c>
      <c r="Y60" s="88">
        <v>2.2526098333234619</v>
      </c>
      <c r="Z60" s="88">
        <v>1.5592599641955109</v>
      </c>
      <c r="AA60" s="38">
        <f t="shared" si="18"/>
        <v>1.9449488012716729</v>
      </c>
      <c r="AB60" s="89">
        <f t="shared" si="19"/>
        <v>0.28838604222191361</v>
      </c>
      <c r="AC60" s="89"/>
    </row>
    <row r="61" spans="1:30" s="31" customFormat="1" x14ac:dyDescent="0.35">
      <c r="A61" s="254"/>
      <c r="B61" s="122" t="s">
        <v>129</v>
      </c>
      <c r="C61" s="87">
        <v>1.0897732302273392E-2</v>
      </c>
      <c r="D61" s="88">
        <v>7.0442224312452784E-3</v>
      </c>
      <c r="E61" s="88">
        <v>7.6216147517090826E-3</v>
      </c>
      <c r="F61" s="38">
        <v>8.5211898284092511E-3</v>
      </c>
      <c r="G61" s="89">
        <v>1.6969209509172516E-3</v>
      </c>
      <c r="H61" s="89"/>
      <c r="I61" s="86"/>
      <c r="J61" s="87">
        <v>1.6380274539846026E-2</v>
      </c>
      <c r="K61" s="88">
        <v>7.8641595822602217E-3</v>
      </c>
      <c r="L61" s="88">
        <v>4.185785114754665E-2</v>
      </c>
      <c r="M61" s="38">
        <v>2.2034095089884298E-2</v>
      </c>
      <c r="N61" s="89">
        <v>1.4442230475656745E-2</v>
      </c>
      <c r="O61" s="89"/>
      <c r="P61" s="86"/>
      <c r="Q61" s="87">
        <v>3.8021501468653365E-3</v>
      </c>
      <c r="R61" s="88">
        <v>0.80619934047425945</v>
      </c>
      <c r="S61" s="88">
        <v>1.1686580766766605E-2</v>
      </c>
      <c r="T61" s="38">
        <v>0.27389602379596384</v>
      </c>
      <c r="U61" s="89">
        <v>0.3764090476875615</v>
      </c>
      <c r="V61" s="89"/>
      <c r="W61" s="86"/>
      <c r="X61" s="87">
        <v>3.0850953777916541E-2</v>
      </c>
      <c r="Y61" s="88">
        <v>2.4442740465119499E-2</v>
      </c>
      <c r="Z61" s="88">
        <v>2.6299304952744056E-2</v>
      </c>
      <c r="AA61" s="38">
        <f t="shared" si="18"/>
        <v>2.7197666398593365E-2</v>
      </c>
      <c r="AB61" s="89">
        <f t="shared" si="19"/>
        <v>2.6921601526306779E-3</v>
      </c>
      <c r="AC61" s="89"/>
    </row>
    <row r="62" spans="1:30" s="31" customFormat="1" x14ac:dyDescent="0.35">
      <c r="A62" s="254"/>
      <c r="B62" s="122" t="s">
        <v>200</v>
      </c>
      <c r="C62" s="87">
        <v>3.6978674337191648E-3</v>
      </c>
      <c r="D62" s="88">
        <v>2.6136216284947948E-3</v>
      </c>
      <c r="E62" s="88">
        <v>4.5501128932357452E-3</v>
      </c>
      <c r="F62" s="38">
        <v>3.6205339851499013E-3</v>
      </c>
      <c r="G62" s="89">
        <v>7.9245818030783703E-4</v>
      </c>
      <c r="H62" s="89"/>
      <c r="I62" s="86"/>
      <c r="J62" s="87">
        <v>8.23706808436739E-3</v>
      </c>
      <c r="K62" s="88">
        <v>1.4711841146976365E-3</v>
      </c>
      <c r="L62" s="88">
        <v>2.1750313728949412E-2</v>
      </c>
      <c r="M62" s="38">
        <v>1.0486188642671479E-2</v>
      </c>
      <c r="N62" s="89">
        <v>8.4302899096945043E-3</v>
      </c>
      <c r="O62" s="89"/>
      <c r="P62" s="86"/>
      <c r="Q62" s="87">
        <v>1.6635207436059962E-3</v>
      </c>
      <c r="R62" s="88">
        <v>0.32710648283116334</v>
      </c>
      <c r="S62" s="88">
        <v>9.5066212587991156E-3</v>
      </c>
      <c r="T62" s="38">
        <v>0.11275887494452282</v>
      </c>
      <c r="U62" s="89">
        <v>0.1516004646243245</v>
      </c>
      <c r="V62" s="89"/>
      <c r="W62" s="86"/>
      <c r="X62" s="87">
        <v>1.2920148052124032E-3</v>
      </c>
      <c r="Y62" s="88">
        <v>5.4198758064689717E-4</v>
      </c>
      <c r="Z62" s="88">
        <v>7.6753066020298667E-4</v>
      </c>
      <c r="AA62" s="38">
        <f t="shared" si="18"/>
        <v>8.6717768202076247E-4</v>
      </c>
      <c r="AB62" s="89">
        <f t="shared" si="19"/>
        <v>3.1419988978909931E-4</v>
      </c>
      <c r="AC62" s="89"/>
    </row>
    <row r="63" spans="1:30" s="31" customFormat="1" x14ac:dyDescent="0.35">
      <c r="A63" s="255"/>
      <c r="B63" s="123" t="s">
        <v>201</v>
      </c>
      <c r="C63" s="87">
        <v>1.3789881658786312E-3</v>
      </c>
      <c r="D63" s="88">
        <v>2.5438056927855438E-5</v>
      </c>
      <c r="E63" s="88">
        <v>5.8022536311192255E-4</v>
      </c>
      <c r="F63" s="38">
        <v>6.6155052863946977E-4</v>
      </c>
      <c r="G63" s="89">
        <v>5.5556866438585633E-4</v>
      </c>
      <c r="H63" s="92"/>
      <c r="I63" s="86"/>
      <c r="J63" s="87">
        <v>9.7700983449889329E-3</v>
      </c>
      <c r="K63" s="88">
        <v>5.6980206883494469E-4</v>
      </c>
      <c r="L63" s="88">
        <v>1.3916348332231107E-2</v>
      </c>
      <c r="M63" s="38">
        <v>8.0854162486849943E-3</v>
      </c>
      <c r="N63" s="89">
        <v>5.5774061841474178E-3</v>
      </c>
      <c r="O63" s="92"/>
      <c r="P63" s="86"/>
      <c r="Q63" s="87">
        <v>1.4059042004827271E-3</v>
      </c>
      <c r="R63" s="88">
        <v>1.0457244899007748E-2</v>
      </c>
      <c r="S63" s="88">
        <v>4.1878187451420135E-3</v>
      </c>
      <c r="T63" s="38">
        <v>5.3503226148774964E-3</v>
      </c>
      <c r="U63" s="89">
        <v>3.7855209721213926E-3</v>
      </c>
      <c r="V63" s="92"/>
      <c r="W63" s="86"/>
      <c r="X63" s="87">
        <v>3.791921267126891E-4</v>
      </c>
      <c r="Y63" s="88">
        <v>7.1730263348265235E-6</v>
      </c>
      <c r="Z63" s="88">
        <v>2.2869308579326334E-4</v>
      </c>
      <c r="AA63" s="38">
        <f t="shared" si="18"/>
        <v>2.0501941294692632E-4</v>
      </c>
      <c r="AB63" s="89">
        <f t="shared" si="19"/>
        <v>1.5279590930609605E-4</v>
      </c>
      <c r="AC63" s="92"/>
    </row>
    <row r="64" spans="1:30" s="31" customFormat="1" x14ac:dyDescent="0.35">
      <c r="A64" s="251" t="s">
        <v>53</v>
      </c>
      <c r="B64" s="31" t="s">
        <v>202</v>
      </c>
      <c r="C64" s="87">
        <v>1.3731405061868578E-5</v>
      </c>
      <c r="D64" s="88">
        <v>7.9866079973793158E-7</v>
      </c>
      <c r="E64" s="88">
        <v>2.2098640775880852E-4</v>
      </c>
      <c r="F64" s="38">
        <v>7.8505491206805016E-5</v>
      </c>
      <c r="G64" s="89">
        <v>1.0088747082653248E-4</v>
      </c>
      <c r="H64" s="133">
        <f>ROUND(_xlfn.T.TEST(C54:E54,C64:E64,2,2),4)</f>
        <v>0.50460000000000005</v>
      </c>
      <c r="I64" s="86"/>
      <c r="J64" s="87">
        <v>2.8314810479630522E-3</v>
      </c>
      <c r="K64" s="88">
        <v>8.5077723329326496E-4</v>
      </c>
      <c r="L64" s="88">
        <v>1.0632898233992086E-2</v>
      </c>
      <c r="M64" s="38">
        <v>4.7717188384161346E-3</v>
      </c>
      <c r="N64" s="89">
        <v>4.2226267362630195E-3</v>
      </c>
      <c r="O64" s="133">
        <f>ROUND(_xlfn.T.TEST(J54:L54,J64:L64,2,2),4)</f>
        <v>0.84330000000000005</v>
      </c>
      <c r="P64" s="86"/>
      <c r="Q64" s="87">
        <v>3.1187373708483989E-4</v>
      </c>
      <c r="R64" s="88">
        <v>1.2786302435115555E-3</v>
      </c>
      <c r="S64" s="88">
        <v>1.6880593639551911E-3</v>
      </c>
      <c r="T64" s="38">
        <v>1.0928544481838621E-3</v>
      </c>
      <c r="U64" s="89">
        <v>5.7697845395841439E-4</v>
      </c>
      <c r="V64" s="133">
        <f>ROUND(_xlfn.T.TEST(Q54:S54,Q64:S64,2,2),4)</f>
        <v>0.42149999999999999</v>
      </c>
      <c r="W64" s="86"/>
      <c r="X64" s="87">
        <v>2.528809008500029E-5</v>
      </c>
      <c r="Y64" s="88">
        <v>7.649818706350703E-5</v>
      </c>
      <c r="Z64" s="88">
        <v>1.8931882528576199E-4</v>
      </c>
      <c r="AA64" s="38">
        <f t="shared" si="18"/>
        <v>9.7035034144756448E-5</v>
      </c>
      <c r="AB64" s="89">
        <f t="shared" si="19"/>
        <v>6.8521734209687409E-5</v>
      </c>
      <c r="AC64" s="133">
        <f>ROUND(_xlfn.T.TEST(X54:Z54,X64:Z64,2,2),4)</f>
        <v>0.41239999999999999</v>
      </c>
    </row>
    <row r="65" spans="1:29" s="31" customFormat="1" x14ac:dyDescent="0.35">
      <c r="A65" s="251"/>
      <c r="B65" s="31" t="s">
        <v>203</v>
      </c>
      <c r="C65" s="87">
        <v>1.7731621240830399E-5</v>
      </c>
      <c r="D65" s="88">
        <v>7.8645164430173108E-5</v>
      </c>
      <c r="E65" s="88">
        <v>8.3714630500866867E-5</v>
      </c>
      <c r="F65" s="38">
        <v>6.0030472057290121E-5</v>
      </c>
      <c r="G65" s="89">
        <v>2.9981321483609481E-5</v>
      </c>
      <c r="H65" s="133">
        <f t="shared" ref="H65:H73" si="20">ROUND(_xlfn.T.TEST(C55:E55,C65:E65,2,2),4)</f>
        <v>0.60429999999999995</v>
      </c>
      <c r="I65" s="86"/>
      <c r="J65" s="87">
        <v>1.3198767321116361E-2</v>
      </c>
      <c r="K65" s="88">
        <v>7.3870204497839432E-4</v>
      </c>
      <c r="L65" s="88">
        <v>2.0287804450593496E-2</v>
      </c>
      <c r="M65" s="38">
        <v>1.1408424605562751E-2</v>
      </c>
      <c r="N65" s="89">
        <v>8.0806702071737607E-3</v>
      </c>
      <c r="O65" s="133">
        <f t="shared" ref="O65:O73" si="21">ROUND(_xlfn.T.TEST(J55:L55,J65:L65,2,2),4)</f>
        <v>0.73450000000000004</v>
      </c>
      <c r="P65" s="86"/>
      <c r="Q65" s="87">
        <v>3.2552333715048405E-4</v>
      </c>
      <c r="R65" s="88">
        <v>1.1417961533447553E-3</v>
      </c>
      <c r="S65" s="88">
        <v>1.7680875312407471E-3</v>
      </c>
      <c r="T65" s="38">
        <v>1.0784690072453288E-3</v>
      </c>
      <c r="U65" s="89">
        <v>5.90624307600382E-4</v>
      </c>
      <c r="V65" s="133">
        <f t="shared" ref="V65:V73" si="22">ROUND(_xlfn.T.TEST(Q55:S55,Q65:S65,2,2),4)</f>
        <v>0.8931</v>
      </c>
      <c r="W65" s="86"/>
      <c r="X65" s="87">
        <v>3.1508428104592986E-6</v>
      </c>
      <c r="Y65" s="88" t="s">
        <v>42</v>
      </c>
      <c r="Z65" s="88">
        <v>2.7104316232155571E-5</v>
      </c>
      <c r="AA65" s="38">
        <f>AVERAGE(X65:Z65)</f>
        <v>1.5127579521307435E-5</v>
      </c>
      <c r="AB65" s="89">
        <f t="shared" si="19"/>
        <v>1.1976736710848137E-5</v>
      </c>
      <c r="AC65" s="133">
        <f t="shared" ref="AC65:AC73" si="23">ROUND(_xlfn.T.TEST(X55:Z55,X65:Z65,2,2),4)</f>
        <v>0.54379999999999995</v>
      </c>
    </row>
    <row r="66" spans="1:29" s="31" customFormat="1" x14ac:dyDescent="0.35">
      <c r="A66" s="251"/>
      <c r="B66" s="31" t="s">
        <v>204</v>
      </c>
      <c r="C66" s="87">
        <v>7.9331046707734295E-5</v>
      </c>
      <c r="D66" s="88">
        <v>1.0849410832835549E-6</v>
      </c>
      <c r="E66" s="88">
        <v>5.4420015788664657E-6</v>
      </c>
      <c r="F66" s="38">
        <v>2.8619329789961441E-5</v>
      </c>
      <c r="G66" s="89">
        <v>3.5902689487017444E-5</v>
      </c>
      <c r="H66" s="133">
        <f t="shared" si="20"/>
        <v>0.37469999999999998</v>
      </c>
      <c r="I66" s="86"/>
      <c r="J66" s="87">
        <v>1.1453951475633354E-2</v>
      </c>
      <c r="K66" s="88">
        <v>2.1655003703357168E-3</v>
      </c>
      <c r="L66" s="88">
        <v>1.6932197318573042E-2</v>
      </c>
      <c r="M66" s="38">
        <v>1.0183883054847371E-2</v>
      </c>
      <c r="N66" s="89">
        <v>6.0950056076199931E-3</v>
      </c>
      <c r="O66" s="133">
        <f t="shared" si="21"/>
        <v>0.71719999999999995</v>
      </c>
      <c r="P66" s="86"/>
      <c r="Q66" s="87">
        <v>3.411737666340303E-4</v>
      </c>
      <c r="R66" s="88">
        <v>4.4360440145178891E-2</v>
      </c>
      <c r="S66" s="88">
        <v>3.5862398690140428E-3</v>
      </c>
      <c r="T66" s="38">
        <v>1.6095951260275656E-2</v>
      </c>
      <c r="U66" s="89">
        <v>2.0029871233498864E-2</v>
      </c>
      <c r="V66" s="133">
        <f t="shared" si="22"/>
        <v>0.33979999999999999</v>
      </c>
      <c r="W66" s="86"/>
      <c r="X66" s="87">
        <v>5.0267758462067483E-5</v>
      </c>
      <c r="Y66" s="88">
        <v>9.6532662109364306E-4</v>
      </c>
      <c r="Z66" s="88">
        <v>1.2991064415249242E-4</v>
      </c>
      <c r="AA66" s="38">
        <f t="shared" si="18"/>
        <v>3.8183500790273431E-4</v>
      </c>
      <c r="AB66" s="89">
        <f t="shared" si="19"/>
        <v>4.1387002332324204E-4</v>
      </c>
      <c r="AC66" s="133">
        <f t="shared" si="23"/>
        <v>0.34560000000000002</v>
      </c>
    </row>
    <row r="67" spans="1:29" s="31" customFormat="1" x14ac:dyDescent="0.35">
      <c r="A67" s="251"/>
      <c r="B67" s="31" t="s">
        <v>205</v>
      </c>
      <c r="C67" s="87">
        <v>5.6094494032615664E-4</v>
      </c>
      <c r="D67" s="88">
        <v>5.202126553653135E-6</v>
      </c>
      <c r="E67" s="88">
        <v>1.5068450488398135E-6</v>
      </c>
      <c r="F67" s="38">
        <v>1.892179706428832E-4</v>
      </c>
      <c r="G67" s="89">
        <v>2.6285499014828425E-4</v>
      </c>
      <c r="H67" s="133">
        <f t="shared" si="20"/>
        <v>0.94889999999999997</v>
      </c>
      <c r="I67" s="86"/>
      <c r="J67" s="87">
        <v>1.0723964757471711E-2</v>
      </c>
      <c r="K67" s="88">
        <v>5.2105720705455819E-4</v>
      </c>
      <c r="L67" s="88">
        <v>1.8624185079178904E-2</v>
      </c>
      <c r="M67" s="38">
        <v>9.9564023479017244E-3</v>
      </c>
      <c r="N67" s="89">
        <v>7.410473386950841E-3</v>
      </c>
      <c r="O67" s="133">
        <f t="shared" si="21"/>
        <v>0.91059999999999997</v>
      </c>
      <c r="P67" s="86"/>
      <c r="Q67" s="87">
        <v>3.2862766521725255E-4</v>
      </c>
      <c r="R67" s="88">
        <v>1.27321123682884E-3</v>
      </c>
      <c r="S67" s="88">
        <v>1.7804828088261798E-3</v>
      </c>
      <c r="T67" s="38">
        <v>1.1274405702907575E-3</v>
      </c>
      <c r="U67" s="89">
        <v>6.0161319518061459E-4</v>
      </c>
      <c r="V67" s="133">
        <f t="shared" si="22"/>
        <v>0.74760000000000004</v>
      </c>
      <c r="W67" s="86"/>
      <c r="X67" s="87">
        <v>4.6901218026200369E-5</v>
      </c>
      <c r="Y67" s="88">
        <v>1.4980364207240989E-3</v>
      </c>
      <c r="Z67" s="88">
        <v>1.9550080045053191E-5</v>
      </c>
      <c r="AA67" s="38">
        <f t="shared" si="18"/>
        <v>5.214959062651175E-4</v>
      </c>
      <c r="AB67" s="89">
        <f t="shared" si="19"/>
        <v>6.9060869454516964E-4</v>
      </c>
      <c r="AC67" s="133">
        <f t="shared" si="23"/>
        <v>0.35580000000000001</v>
      </c>
    </row>
    <row r="68" spans="1:29" s="31" customFormat="1" x14ac:dyDescent="0.35">
      <c r="A68" s="251"/>
      <c r="B68" s="31" t="s">
        <v>126</v>
      </c>
      <c r="C68" s="87">
        <v>2.7170674270700482E-2</v>
      </c>
      <c r="D68" s="88">
        <v>9.5874975384454691E-3</v>
      </c>
      <c r="E68" s="88">
        <v>2.0662480562973481E-2</v>
      </c>
      <c r="F68" s="38">
        <v>1.9140217457373144E-2</v>
      </c>
      <c r="G68" s="89">
        <v>7.2585576951821719E-3</v>
      </c>
      <c r="H68" s="133">
        <f t="shared" si="20"/>
        <v>6.7400000000000002E-2</v>
      </c>
      <c r="I68" s="86"/>
      <c r="J68" s="87">
        <v>0.61334708533694104</v>
      </c>
      <c r="K68" s="88">
        <v>7.0987213199420807E-2</v>
      </c>
      <c r="L68" s="88">
        <v>1.1680055222257122</v>
      </c>
      <c r="M68" s="38">
        <v>0.61744660692069131</v>
      </c>
      <c r="N68" s="89">
        <v>0.44786523057919825</v>
      </c>
      <c r="O68" s="133">
        <f t="shared" si="21"/>
        <v>0.6391</v>
      </c>
      <c r="P68" s="86"/>
      <c r="Q68" s="87">
        <v>2.326857798238521E-2</v>
      </c>
      <c r="R68" s="88">
        <v>7.4231397774859539E-4</v>
      </c>
      <c r="S68" s="88">
        <v>0.11518387850187672</v>
      </c>
      <c r="T68" s="38">
        <v>4.6398256820670176E-2</v>
      </c>
      <c r="U68" s="89">
        <v>4.9500535047978363E-2</v>
      </c>
      <c r="V68" s="133">
        <f t="shared" si="22"/>
        <v>0.6139</v>
      </c>
      <c r="W68" s="86"/>
      <c r="X68" s="87">
        <v>0.654967432434157</v>
      </c>
      <c r="Y68" s="88">
        <v>1.0310862295651586</v>
      </c>
      <c r="Z68" s="88">
        <v>0.63879536568578821</v>
      </c>
      <c r="AA68" s="38">
        <f t="shared" si="18"/>
        <v>0.77494967589503461</v>
      </c>
      <c r="AB68" s="89">
        <f t="shared" si="19"/>
        <v>0.18123618941450312</v>
      </c>
      <c r="AC68" s="133">
        <f t="shared" si="23"/>
        <v>0.23649999999999999</v>
      </c>
    </row>
    <row r="69" spans="1:29" s="31" customFormat="1" x14ac:dyDescent="0.35">
      <c r="A69" s="251"/>
      <c r="B69" s="31" t="s">
        <v>127</v>
      </c>
      <c r="C69" s="87">
        <v>0.15221833894860959</v>
      </c>
      <c r="D69" s="88">
        <v>0.1114707592657368</v>
      </c>
      <c r="E69" s="88">
        <v>0.15104304232368682</v>
      </c>
      <c r="F69" s="38">
        <v>0.13824404684601108</v>
      </c>
      <c r="G69" s="89">
        <v>1.8937652554830011E-2</v>
      </c>
      <c r="H69" s="172">
        <f t="shared" si="20"/>
        <v>1.6999999999999999E-3</v>
      </c>
      <c r="I69" s="86"/>
      <c r="J69" s="87">
        <v>6.0458563812565052</v>
      </c>
      <c r="K69" s="88">
        <v>0.91948152793102744</v>
      </c>
      <c r="L69" s="88">
        <v>8.9603404324486764</v>
      </c>
      <c r="M69" s="38">
        <v>5.3085594472120698</v>
      </c>
      <c r="N69" s="89">
        <v>3.3238088650726882</v>
      </c>
      <c r="O69" s="133">
        <f t="shared" si="21"/>
        <v>0.41060000000000002</v>
      </c>
      <c r="P69" s="86"/>
      <c r="Q69" s="87">
        <v>0.3233109114461063</v>
      </c>
      <c r="R69" s="88">
        <v>2.5928139241564462E-4</v>
      </c>
      <c r="S69" s="88">
        <v>1.3609795428157188</v>
      </c>
      <c r="T69" s="38">
        <v>0.56151657855141357</v>
      </c>
      <c r="U69" s="89">
        <v>0.58048621134516132</v>
      </c>
      <c r="V69" s="133">
        <f t="shared" si="22"/>
        <v>0.7228</v>
      </c>
      <c r="W69" s="86"/>
      <c r="X69" s="87">
        <v>1.9680366778059311</v>
      </c>
      <c r="Y69" s="88">
        <v>2.0579055008279181</v>
      </c>
      <c r="Z69" s="88">
        <v>1.6509404180967995</v>
      </c>
      <c r="AA69" s="38">
        <f t="shared" si="18"/>
        <v>1.8922941989102162</v>
      </c>
      <c r="AB69" s="89">
        <f t="shared" si="19"/>
        <v>0.17456199848485049</v>
      </c>
      <c r="AC69" s="133">
        <f t="shared" si="23"/>
        <v>0.1366</v>
      </c>
    </row>
    <row r="70" spans="1:29" s="31" customFormat="1" x14ac:dyDescent="0.35">
      <c r="A70" s="251"/>
      <c r="B70" s="31" t="s">
        <v>128</v>
      </c>
      <c r="C70" s="87">
        <v>2.1754200095708432E-2</v>
      </c>
      <c r="D70" s="88">
        <v>1.7972944782294061E-2</v>
      </c>
      <c r="E70" s="88">
        <v>3.9841875828188329E-2</v>
      </c>
      <c r="F70" s="38">
        <v>2.6523006902063606E-2</v>
      </c>
      <c r="G70" s="89">
        <v>9.5435379547200785E-3</v>
      </c>
      <c r="H70" s="172">
        <f t="shared" si="20"/>
        <v>4.0000000000000002E-4</v>
      </c>
      <c r="I70" s="86"/>
      <c r="J70" s="87">
        <v>0.39777435355560209</v>
      </c>
      <c r="K70" s="88">
        <v>0.40959661875924658</v>
      </c>
      <c r="L70" s="88">
        <v>1.8879469329799961</v>
      </c>
      <c r="M70" s="38">
        <v>0.89843930176494824</v>
      </c>
      <c r="N70" s="89">
        <v>0.69970420210412143</v>
      </c>
      <c r="O70" s="133">
        <f t="shared" si="21"/>
        <v>0.9254</v>
      </c>
      <c r="P70" s="86"/>
      <c r="Q70" s="87">
        <v>7.4910988017529531E-2</v>
      </c>
      <c r="R70" s="88">
        <v>3.8883434184328845E-2</v>
      </c>
      <c r="S70" s="88">
        <v>0.60494999344429601</v>
      </c>
      <c r="T70" s="38">
        <v>0.23958147188205148</v>
      </c>
      <c r="U70" s="89">
        <v>0.2587728908653768</v>
      </c>
      <c r="V70" s="133">
        <f t="shared" si="22"/>
        <v>0.70450000000000002</v>
      </c>
      <c r="W70" s="86"/>
      <c r="X70" s="87">
        <v>0.63526163939141889</v>
      </c>
      <c r="Y70" s="88">
        <v>1.4943398736708604</v>
      </c>
      <c r="Z70" s="88">
        <v>0.61041185789783559</v>
      </c>
      <c r="AA70" s="38">
        <f t="shared" si="18"/>
        <v>0.91333779032003826</v>
      </c>
      <c r="AB70" s="89">
        <f t="shared" si="19"/>
        <v>0.41095575070281104</v>
      </c>
      <c r="AC70" s="172">
        <f t="shared" si="23"/>
        <v>4.3900000000000002E-2</v>
      </c>
    </row>
    <row r="71" spans="1:29" s="31" customFormat="1" x14ac:dyDescent="0.35">
      <c r="A71" s="251"/>
      <c r="B71" s="31" t="s">
        <v>129</v>
      </c>
      <c r="C71" s="87">
        <v>1.5750498973474876E-3</v>
      </c>
      <c r="D71" s="88">
        <v>8.841194208106571E-4</v>
      </c>
      <c r="E71" s="88">
        <v>4.1186177449374791E-4</v>
      </c>
      <c r="F71" s="38">
        <v>9.570103642172976E-4</v>
      </c>
      <c r="G71" s="89">
        <v>4.7765850389166396E-4</v>
      </c>
      <c r="H71" s="172">
        <f t="shared" si="20"/>
        <v>3.7000000000000002E-3</v>
      </c>
      <c r="I71" s="86"/>
      <c r="J71" s="87">
        <v>1.8830344980421906E-2</v>
      </c>
      <c r="K71" s="88">
        <v>1.3101040545682502E-2</v>
      </c>
      <c r="L71" s="88">
        <v>3.540265297959546E-2</v>
      </c>
      <c r="M71" s="38">
        <v>2.2444679501899958E-2</v>
      </c>
      <c r="N71" s="89">
        <v>9.4564982882310872E-3</v>
      </c>
      <c r="O71" s="133">
        <f t="shared" si="21"/>
        <v>0.9748</v>
      </c>
      <c r="P71" s="86"/>
      <c r="Q71" s="87">
        <v>1.7940865699311061E-3</v>
      </c>
      <c r="R71" s="88">
        <v>0.64194955392770392</v>
      </c>
      <c r="S71" s="88">
        <v>1.2779081345252236E-2</v>
      </c>
      <c r="T71" s="38">
        <v>0.21884090728096239</v>
      </c>
      <c r="U71" s="89">
        <v>0.29921660234461289</v>
      </c>
      <c r="V71" s="133">
        <f t="shared" si="22"/>
        <v>0.87919999999999998</v>
      </c>
      <c r="W71" s="86"/>
      <c r="X71" s="87">
        <v>3.2540022833749075E-3</v>
      </c>
      <c r="Y71" s="88">
        <v>3.1269956423082188E-3</v>
      </c>
      <c r="Z71" s="88">
        <v>2.7019656919870772E-3</v>
      </c>
      <c r="AA71" s="38">
        <f t="shared" si="18"/>
        <v>3.0276545392234015E-3</v>
      </c>
      <c r="AB71" s="89">
        <f t="shared" si="19"/>
        <v>2.3606156065647345E-4</v>
      </c>
      <c r="AC71" s="172">
        <f t="shared" si="23"/>
        <v>2.0000000000000001E-4</v>
      </c>
    </row>
    <row r="72" spans="1:29" s="31" customFormat="1" x14ac:dyDescent="0.35">
      <c r="A72" s="251"/>
      <c r="B72" s="31" t="s">
        <v>200</v>
      </c>
      <c r="C72" s="87">
        <v>6.1347097463078983E-5</v>
      </c>
      <c r="D72" s="88">
        <v>1.5127730075586892E-3</v>
      </c>
      <c r="E72" s="88">
        <v>2.5805452050798808E-4</v>
      </c>
      <c r="F72" s="38">
        <v>6.1072487517658538E-4</v>
      </c>
      <c r="G72" s="89">
        <v>6.4287975932298736E-4</v>
      </c>
      <c r="H72" s="172">
        <f t="shared" si="20"/>
        <v>1.4E-2</v>
      </c>
      <c r="I72" s="86"/>
      <c r="J72" s="87">
        <v>2.3180527567510833E-2</v>
      </c>
      <c r="K72" s="88">
        <v>1.6822213027981113E-3</v>
      </c>
      <c r="L72" s="88">
        <v>1.9517273643804661E-2</v>
      </c>
      <c r="M72" s="38">
        <v>1.4793340838037869E-2</v>
      </c>
      <c r="N72" s="89">
        <v>9.3908092987380083E-3</v>
      </c>
      <c r="O72" s="133">
        <f t="shared" si="21"/>
        <v>0.65459999999999996</v>
      </c>
      <c r="P72" s="86"/>
      <c r="Q72" s="87">
        <v>1.2361623553166388E-3</v>
      </c>
      <c r="R72" s="88">
        <v>0.17372221211790917</v>
      </c>
      <c r="S72" s="88">
        <v>4.0208917859801269E-3</v>
      </c>
      <c r="T72" s="38">
        <v>5.9659755419735318E-2</v>
      </c>
      <c r="U72" s="89">
        <v>8.0662348509150952E-2</v>
      </c>
      <c r="V72" s="133">
        <f t="shared" si="22"/>
        <v>0.6845</v>
      </c>
      <c r="W72" s="86"/>
      <c r="X72" s="87">
        <v>5.1137408340850925E-4</v>
      </c>
      <c r="Y72" s="88">
        <v>1.2397770851615828E-4</v>
      </c>
      <c r="Z72" s="88">
        <v>4.6524308027041629E-4</v>
      </c>
      <c r="AA72" s="38">
        <f t="shared" si="18"/>
        <v>3.6686495739836128E-4</v>
      </c>
      <c r="AB72" s="89">
        <f t="shared" si="19"/>
        <v>1.7277669425167582E-4</v>
      </c>
      <c r="AC72" s="133">
        <f t="shared" si="23"/>
        <v>0.1197</v>
      </c>
    </row>
    <row r="73" spans="1:29" s="31" customFormat="1" x14ac:dyDescent="0.35">
      <c r="A73" s="251"/>
      <c r="B73" s="31" t="s">
        <v>201</v>
      </c>
      <c r="C73" s="87">
        <v>4.646986322223889E-4</v>
      </c>
      <c r="D73" s="88">
        <v>2.0907837848500463E-6</v>
      </c>
      <c r="E73" s="88">
        <v>1.3085729121179121E-4</v>
      </c>
      <c r="F73" s="38">
        <v>1.9921556907301005E-4</v>
      </c>
      <c r="G73" s="89">
        <v>1.9494639600518553E-4</v>
      </c>
      <c r="H73" s="133">
        <f t="shared" si="20"/>
        <v>0.32900000000000001</v>
      </c>
      <c r="I73" s="86"/>
      <c r="J73" s="87">
        <v>7.8060648860511948E-3</v>
      </c>
      <c r="K73" s="88">
        <v>1.0426589465433176E-3</v>
      </c>
      <c r="L73" s="88">
        <v>1.2388532727326776E-2</v>
      </c>
      <c r="M73" s="38">
        <v>7.0790855199737617E-3</v>
      </c>
      <c r="N73" s="89">
        <v>4.6603710303933354E-3</v>
      </c>
      <c r="O73" s="133">
        <f t="shared" si="21"/>
        <v>0.85429999999999995</v>
      </c>
      <c r="P73" s="86"/>
      <c r="Q73" s="87">
        <v>3.8369519950211874E-4</v>
      </c>
      <c r="R73" s="88">
        <v>4.3570837743192011E-3</v>
      </c>
      <c r="S73" s="88">
        <v>2.574561042349027E-3</v>
      </c>
      <c r="T73" s="38">
        <v>2.4384466720567821E-3</v>
      </c>
      <c r="U73" s="89">
        <v>1.6249819553812018E-3</v>
      </c>
      <c r="V73" s="133">
        <f t="shared" si="22"/>
        <v>0.37409999999999999</v>
      </c>
      <c r="W73" s="86"/>
      <c r="X73" s="87">
        <v>7.2220357631099183E-5</v>
      </c>
      <c r="Y73" s="88">
        <v>8.4483392904071214E-5</v>
      </c>
      <c r="Z73" s="88">
        <v>5.1260164577774465E-4</v>
      </c>
      <c r="AA73" s="38">
        <f t="shared" si="18"/>
        <v>2.2310179877097167E-4</v>
      </c>
      <c r="AB73" s="89">
        <f t="shared" si="19"/>
        <v>2.0476851413443303E-4</v>
      </c>
      <c r="AC73" s="133">
        <f t="shared" si="23"/>
        <v>0.92510000000000003</v>
      </c>
    </row>
    <row r="74" spans="1:29" s="31" customFormat="1" x14ac:dyDescent="0.35">
      <c r="A74" s="259" t="s">
        <v>17</v>
      </c>
      <c r="B74" s="121" t="s">
        <v>202</v>
      </c>
      <c r="C74" s="93">
        <v>4.81642484687963E-5</v>
      </c>
      <c r="D74" s="120" t="s">
        <v>42</v>
      </c>
      <c r="E74" s="94">
        <v>4.4825973084709034E-5</v>
      </c>
      <c r="F74" s="105">
        <v>4.6495110776752667E-5</v>
      </c>
      <c r="G74" s="95">
        <v>1.669137692043633E-6</v>
      </c>
      <c r="H74" s="130">
        <f>ROUND(_xlfn.T.TEST(C54:E54,C74:E74,2,2),4)</f>
        <v>0.39929999999999999</v>
      </c>
      <c r="I74" s="86"/>
      <c r="J74" s="93">
        <v>3.5587605702887912E-3</v>
      </c>
      <c r="K74" s="94">
        <v>5.2455312556637795E-2</v>
      </c>
      <c r="L74" s="94">
        <v>8.4433879858021154E-3</v>
      </c>
      <c r="M74" s="105">
        <v>2.1485820370909566E-2</v>
      </c>
      <c r="N74" s="95">
        <v>2.1989345615979688E-2</v>
      </c>
      <c r="O74" s="130">
        <f>ROUND(_xlfn.T.TEST(J54:L54,J74:L74,2,2),4)</f>
        <v>0.32719999999999999</v>
      </c>
      <c r="P74" s="86"/>
      <c r="Q74" s="93">
        <v>2.5109904621011789E-4</v>
      </c>
      <c r="R74" s="94">
        <v>2.2914634541642055E-3</v>
      </c>
      <c r="S74" s="94">
        <v>1.4393853167248213E-3</v>
      </c>
      <c r="T74" s="105">
        <v>1.3273159390330483E-3</v>
      </c>
      <c r="U74" s="95">
        <v>8.3673627401295505E-4</v>
      </c>
      <c r="V74" s="130">
        <f>ROUND(_xlfn.T.TEST(Q54:S54,Q74:S74,2,2),4)</f>
        <v>0.61629999999999996</v>
      </c>
      <c r="W74" s="86"/>
      <c r="X74" s="93">
        <v>3.7289854575886138E-5</v>
      </c>
      <c r="Y74" s="94">
        <v>5.2880144627742998E-5</v>
      </c>
      <c r="Z74" s="94">
        <v>2.1974599581532734E-4</v>
      </c>
      <c r="AA74" s="105">
        <f t="shared" si="18"/>
        <v>1.0330533167298549E-4</v>
      </c>
      <c r="AB74" s="95">
        <f t="shared" si="19"/>
        <v>8.2581618154031896E-5</v>
      </c>
      <c r="AC74" s="130">
        <f>ROUND(_xlfn.T.TEST(X54:Z54,X74:Z74,2,2),4)</f>
        <v>0.4194</v>
      </c>
    </row>
    <row r="75" spans="1:29" s="31" customFormat="1" x14ac:dyDescent="0.35">
      <c r="A75" s="251"/>
      <c r="B75" s="122" t="s">
        <v>203</v>
      </c>
      <c r="C75" s="87">
        <v>1.6056271206229216E-4</v>
      </c>
      <c r="D75" s="88">
        <v>1.2819219868761426E-6</v>
      </c>
      <c r="E75" s="88">
        <v>1.432582376200104E-6</v>
      </c>
      <c r="F75" s="38">
        <v>5.4425738808456133E-5</v>
      </c>
      <c r="G75" s="89">
        <v>7.505019872615197E-5</v>
      </c>
      <c r="H75" s="133">
        <f t="shared" ref="H75:H83" si="24">ROUND(_xlfn.T.TEST(C55:E55,C75:E75,2,2),4)</f>
        <v>0.84770000000000001</v>
      </c>
      <c r="I75" s="86"/>
      <c r="J75" s="87">
        <v>6.4820990518822006E-3</v>
      </c>
      <c r="K75" s="88">
        <v>2.5284769234627112E-3</v>
      </c>
      <c r="L75" s="88">
        <v>1.176746637451395E-2</v>
      </c>
      <c r="M75" s="38">
        <v>6.9260141166196205E-3</v>
      </c>
      <c r="N75" s="89">
        <v>3.7848405477364246E-3</v>
      </c>
      <c r="O75" s="133">
        <f t="shared" ref="O75:O83" si="25">ROUND(_xlfn.T.TEST(J55:L55,J75:L75,2,2),4)</f>
        <v>0.61070000000000002</v>
      </c>
      <c r="P75" s="86"/>
      <c r="Q75" s="87">
        <v>5.1841357871438068E-4</v>
      </c>
      <c r="R75" s="88">
        <v>1.1829243895278036E-3</v>
      </c>
      <c r="S75" s="88">
        <v>2.2610110256568623E-3</v>
      </c>
      <c r="T75" s="38">
        <v>1.3207829979663488E-3</v>
      </c>
      <c r="U75" s="89">
        <v>7.1805998471022499E-4</v>
      </c>
      <c r="V75" s="133">
        <f t="shared" ref="V75:V83" si="26">ROUND(_xlfn.T.TEST(Q55:S55,Q75:S75,2,2),4)</f>
        <v>0.92259999999999998</v>
      </c>
      <c r="W75" s="86"/>
      <c r="X75" s="87">
        <v>1.6207290881408942E-5</v>
      </c>
      <c r="Y75" s="88">
        <v>3.0702083911662278E-5</v>
      </c>
      <c r="Z75" s="88">
        <v>3.2964286410025672E-5</v>
      </c>
      <c r="AA75" s="38">
        <f t="shared" si="18"/>
        <v>2.6624553734365629E-5</v>
      </c>
      <c r="AB75" s="89">
        <f t="shared" si="19"/>
        <v>7.4237867267585166E-6</v>
      </c>
      <c r="AC75" s="133">
        <f t="shared" ref="AC75:AC83" si="27">ROUND(_xlfn.T.TEST(X55:Z55,X75:Z75,2,2),4)</f>
        <v>0.72409999999999997</v>
      </c>
    </row>
    <row r="76" spans="1:29" s="31" customFormat="1" x14ac:dyDescent="0.35">
      <c r="A76" s="251"/>
      <c r="B76" s="122" t="s">
        <v>204</v>
      </c>
      <c r="C76" s="87">
        <v>2.0537253115537802E-7</v>
      </c>
      <c r="D76" s="88">
        <v>6.8707565044153861E-7</v>
      </c>
      <c r="E76" s="88">
        <v>7.2712760265379631E-7</v>
      </c>
      <c r="F76" s="38">
        <v>5.3985859475023757E-7</v>
      </c>
      <c r="G76" s="89">
        <v>2.370818912997386E-7</v>
      </c>
      <c r="H76" s="133">
        <f t="shared" si="24"/>
        <v>9.0700000000000003E-2</v>
      </c>
      <c r="I76" s="86"/>
      <c r="J76" s="87">
        <v>9.4947127024088071E-3</v>
      </c>
      <c r="K76" s="88">
        <v>1.9070392014362725E-3</v>
      </c>
      <c r="L76" s="88">
        <v>1.2809759367165363E-2</v>
      </c>
      <c r="M76" s="38">
        <v>8.0705037570034804E-3</v>
      </c>
      <c r="N76" s="89">
        <v>4.5635224036686371E-3</v>
      </c>
      <c r="O76" s="133">
        <f t="shared" si="25"/>
        <v>0.99439999999999995</v>
      </c>
      <c r="P76" s="86"/>
      <c r="Q76" s="87">
        <v>3.5152640377720482E-4</v>
      </c>
      <c r="R76" s="88">
        <v>9.3141043191244898E-4</v>
      </c>
      <c r="S76" s="88">
        <v>1.3916552648617674E-3</v>
      </c>
      <c r="T76" s="38">
        <v>8.9153070018380706E-4</v>
      </c>
      <c r="U76" s="89">
        <v>4.2556613796003445E-4</v>
      </c>
      <c r="V76" s="133">
        <f t="shared" si="26"/>
        <v>0.79600000000000004</v>
      </c>
      <c r="W76" s="86"/>
      <c r="X76" s="87">
        <v>9.0036178064998459E-5</v>
      </c>
      <c r="Y76" s="88">
        <v>4.2261352020100102E-5</v>
      </c>
      <c r="Z76" s="88">
        <v>6.0164339092214E-5</v>
      </c>
      <c r="AA76" s="38">
        <f>AVERAGE(X76:Z76)</f>
        <v>6.4153956392437516E-5</v>
      </c>
      <c r="AB76" s="89">
        <f t="shared" si="19"/>
        <v>1.9706957917729748E-5</v>
      </c>
      <c r="AC76" s="133">
        <f t="shared" si="27"/>
        <v>0.91449999999999998</v>
      </c>
    </row>
    <row r="77" spans="1:29" s="31" customFormat="1" x14ac:dyDescent="0.35">
      <c r="A77" s="251"/>
      <c r="B77" s="122" t="s">
        <v>205</v>
      </c>
      <c r="C77" s="87">
        <v>7.4659376847936284E-5</v>
      </c>
      <c r="D77" s="88">
        <v>9.079213473335206E-6</v>
      </c>
      <c r="E77" s="88">
        <v>8.1970720773771898E-6</v>
      </c>
      <c r="F77" s="38">
        <v>3.0645220799549565E-5</v>
      </c>
      <c r="G77" s="89">
        <v>3.1124791756726861E-5</v>
      </c>
      <c r="H77" s="133">
        <f t="shared" si="24"/>
        <v>0.42549999999999999</v>
      </c>
      <c r="I77" s="86"/>
      <c r="J77" s="87">
        <v>7.4539157771682909E-3</v>
      </c>
      <c r="K77" s="88">
        <v>1.4149038481201862E-3</v>
      </c>
      <c r="L77" s="88">
        <v>1.5371136192439823E-2</v>
      </c>
      <c r="M77" s="38">
        <v>8.0799852725761002E-3</v>
      </c>
      <c r="N77" s="89">
        <v>5.7147806940697505E-3</v>
      </c>
      <c r="O77" s="133">
        <f t="shared" si="25"/>
        <v>0.68489999999999995</v>
      </c>
      <c r="P77" s="86"/>
      <c r="Q77" s="87">
        <v>1.8052215317972118E-4</v>
      </c>
      <c r="R77" s="88">
        <v>8.0820140717109972E-4</v>
      </c>
      <c r="S77" s="88">
        <v>2.6301876817099246E-3</v>
      </c>
      <c r="T77" s="38">
        <v>1.2063037473535817E-3</v>
      </c>
      <c r="U77" s="89">
        <v>1.0389351617116976E-3</v>
      </c>
      <c r="V77" s="133">
        <f t="shared" si="26"/>
        <v>0.74199999999999999</v>
      </c>
      <c r="W77" s="86"/>
      <c r="X77" s="87">
        <v>5.942668589154355E-5</v>
      </c>
      <c r="Y77" s="88">
        <v>4.3816289801764748E-5</v>
      </c>
      <c r="Z77" s="88">
        <v>1.6153837258384837E-4</v>
      </c>
      <c r="AA77" s="38">
        <f t="shared" si="18"/>
        <v>8.8260449425718875E-5</v>
      </c>
      <c r="AB77" s="89">
        <f t="shared" si="19"/>
        <v>5.2205757238683249E-5</v>
      </c>
      <c r="AC77" s="133">
        <f t="shared" si="27"/>
        <v>0.1145</v>
      </c>
    </row>
    <row r="78" spans="1:29" s="31" customFormat="1" x14ac:dyDescent="0.35">
      <c r="A78" s="251"/>
      <c r="B78" s="122" t="s">
        <v>126</v>
      </c>
      <c r="C78" s="87">
        <v>7.9299532847087198E-2</v>
      </c>
      <c r="D78" s="88">
        <v>2.6982485867174527E-2</v>
      </c>
      <c r="E78" s="88">
        <v>6.6434229418226257E-2</v>
      </c>
      <c r="F78" s="38">
        <v>5.757208271082933E-2</v>
      </c>
      <c r="G78" s="89">
        <v>2.2258655011360821E-2</v>
      </c>
      <c r="H78" s="133">
        <f t="shared" si="24"/>
        <v>0.25879999999999997</v>
      </c>
      <c r="I78" s="86"/>
      <c r="J78" s="87">
        <v>0.43744453544958867</v>
      </c>
      <c r="K78" s="88">
        <v>8.1067119607840854E-2</v>
      </c>
      <c r="L78" s="88">
        <v>0.81472006475391867</v>
      </c>
      <c r="M78" s="38">
        <v>0.44441057327044947</v>
      </c>
      <c r="N78" s="89">
        <v>0.29955306179102853</v>
      </c>
      <c r="O78" s="133">
        <f t="shared" si="25"/>
        <v>0.97089999999999999</v>
      </c>
      <c r="P78" s="86"/>
      <c r="Q78" s="87">
        <v>5.3967114489622242E-2</v>
      </c>
      <c r="R78" s="88">
        <v>1.2674449134064288E-3</v>
      </c>
      <c r="S78" s="88">
        <v>0.26424940865167534</v>
      </c>
      <c r="T78" s="38">
        <v>0.10649465601823467</v>
      </c>
      <c r="U78" s="89">
        <v>0.11360526770999406</v>
      </c>
      <c r="V78" s="133">
        <f t="shared" si="26"/>
        <v>0.81420000000000003</v>
      </c>
      <c r="W78" s="86"/>
      <c r="X78" s="87">
        <v>0.55195364456692875</v>
      </c>
      <c r="Y78" s="88">
        <v>0.83852547383501863</v>
      </c>
      <c r="Z78" s="88">
        <v>0.66901029972621673</v>
      </c>
      <c r="AA78" s="38">
        <f t="shared" si="18"/>
        <v>0.68649647270938807</v>
      </c>
      <c r="AB78" s="89">
        <f t="shared" si="19"/>
        <v>0.11764403375355885</v>
      </c>
      <c r="AC78" s="133">
        <f t="shared" si="27"/>
        <v>0.15</v>
      </c>
    </row>
    <row r="79" spans="1:29" s="31" customFormat="1" x14ac:dyDescent="0.35">
      <c r="A79" s="251"/>
      <c r="B79" s="122" t="s">
        <v>127</v>
      </c>
      <c r="C79" s="87">
        <v>0.91037193683242268</v>
      </c>
      <c r="D79" s="88">
        <v>0.62278751141809741</v>
      </c>
      <c r="E79" s="88">
        <v>0.50219160601461488</v>
      </c>
      <c r="F79" s="38">
        <v>0.67845035142171162</v>
      </c>
      <c r="G79" s="89">
        <v>0.17122414049929763</v>
      </c>
      <c r="H79" s="133">
        <f t="shared" si="24"/>
        <v>0.9022</v>
      </c>
      <c r="I79" s="86"/>
      <c r="J79" s="87">
        <v>3.2740604219505673</v>
      </c>
      <c r="K79" s="88">
        <v>1.3687210120367928</v>
      </c>
      <c r="L79" s="88">
        <v>3.9652441133512539</v>
      </c>
      <c r="M79" s="38">
        <v>2.869341849112871</v>
      </c>
      <c r="N79" s="89">
        <v>1.0979771996159589</v>
      </c>
      <c r="O79" s="133">
        <f t="shared" si="25"/>
        <v>0.9425</v>
      </c>
      <c r="P79" s="86"/>
      <c r="Q79" s="87">
        <v>0.32877243474970169</v>
      </c>
      <c r="R79" s="88">
        <v>2.6083134053265128E-4</v>
      </c>
      <c r="S79" s="88">
        <v>1.0408640539835068</v>
      </c>
      <c r="T79" s="38">
        <v>0.45663244002458042</v>
      </c>
      <c r="U79" s="89">
        <v>0.4343385027490308</v>
      </c>
      <c r="V79" s="133">
        <f t="shared" si="26"/>
        <v>0.85070000000000001</v>
      </c>
      <c r="W79" s="86"/>
      <c r="X79" s="87">
        <v>1.3392857234363122</v>
      </c>
      <c r="Y79" s="88">
        <v>3.4940541301410981</v>
      </c>
      <c r="Z79" s="88">
        <v>1.7707598218947289</v>
      </c>
      <c r="AA79" s="38">
        <f t="shared" si="18"/>
        <v>2.2013665584907129</v>
      </c>
      <c r="AB79" s="89">
        <f t="shared" si="19"/>
        <v>0.93088608069038248</v>
      </c>
      <c r="AC79" s="133">
        <f t="shared" si="27"/>
        <v>0.4819</v>
      </c>
    </row>
    <row r="80" spans="1:29" s="31" customFormat="1" x14ac:dyDescent="0.35">
      <c r="A80" s="251"/>
      <c r="B80" s="122" t="s">
        <v>128</v>
      </c>
      <c r="C80" s="87">
        <v>0.14345531234528133</v>
      </c>
      <c r="D80" s="88">
        <v>6.5102005690738277E-2</v>
      </c>
      <c r="E80" s="88">
        <v>0.13740763572009318</v>
      </c>
      <c r="F80" s="38">
        <v>0.1153216512520376</v>
      </c>
      <c r="G80" s="89">
        <v>3.5596378077622955E-2</v>
      </c>
      <c r="H80" s="172">
        <f t="shared" si="24"/>
        <v>1.0500000000000001E-2</v>
      </c>
      <c r="I80" s="86"/>
      <c r="J80" s="87">
        <v>0.41669551104063274</v>
      </c>
      <c r="K80" s="88">
        <v>0.12978337603958404</v>
      </c>
      <c r="L80" s="88">
        <v>1.1402542526230433</v>
      </c>
      <c r="M80" s="38">
        <v>0.56224437990108667</v>
      </c>
      <c r="N80" s="89">
        <v>0.42516757717850068</v>
      </c>
      <c r="O80" s="133">
        <f t="shared" si="25"/>
        <v>0.56730000000000003</v>
      </c>
      <c r="P80" s="86"/>
      <c r="Q80" s="87">
        <v>6.3125295424125108E-2</v>
      </c>
      <c r="R80" s="88">
        <v>3.6442710650318628E-2</v>
      </c>
      <c r="S80" s="88">
        <v>0.31498186223648</v>
      </c>
      <c r="T80" s="38">
        <v>0.13818328943697458</v>
      </c>
      <c r="U80" s="89">
        <v>0.12548915382217796</v>
      </c>
      <c r="V80" s="133">
        <f t="shared" si="26"/>
        <v>0.90780000000000005</v>
      </c>
      <c r="W80" s="86"/>
      <c r="X80" s="87">
        <v>0.61307347337606422</v>
      </c>
      <c r="Y80" s="88">
        <v>1.4032987014740137</v>
      </c>
      <c r="Z80" s="88">
        <v>0.85702529180412768</v>
      </c>
      <c r="AA80" s="38">
        <f t="shared" si="18"/>
        <v>0.95779915555140194</v>
      </c>
      <c r="AB80" s="89">
        <f t="shared" si="19"/>
        <v>0.33038412642612353</v>
      </c>
      <c r="AC80" s="172">
        <f t="shared" si="27"/>
        <v>3.3399999999999999E-2</v>
      </c>
    </row>
    <row r="81" spans="1:29" s="31" customFormat="1" x14ac:dyDescent="0.35">
      <c r="A81" s="251"/>
      <c r="B81" s="122" t="s">
        <v>129</v>
      </c>
      <c r="C81" s="87">
        <v>1.0741381680353832E-2</v>
      </c>
      <c r="D81" s="88">
        <v>3.1451205668041205E-3</v>
      </c>
      <c r="E81" s="88">
        <v>3.7477479738289229E-3</v>
      </c>
      <c r="F81" s="38">
        <v>5.8780834069956248E-3</v>
      </c>
      <c r="G81" s="89">
        <v>3.4476603196623109E-3</v>
      </c>
      <c r="H81" s="133">
        <f t="shared" si="24"/>
        <v>0.38579999999999998</v>
      </c>
      <c r="I81" s="86"/>
      <c r="J81" s="87">
        <v>2.0879064092179548E-2</v>
      </c>
      <c r="K81" s="88">
        <v>4.9328072922143499E-3</v>
      </c>
      <c r="L81" s="88">
        <v>2.1547095781434492E-2</v>
      </c>
      <c r="M81" s="38">
        <v>1.5786322388609466E-2</v>
      </c>
      <c r="N81" s="89">
        <v>7.6794383060750674E-3</v>
      </c>
      <c r="O81" s="133">
        <f t="shared" si="25"/>
        <v>0.61770000000000003</v>
      </c>
      <c r="P81" s="86"/>
      <c r="Q81" s="87">
        <v>3.1965757977267389E-3</v>
      </c>
      <c r="R81" s="88">
        <v>0.24935371338680645</v>
      </c>
      <c r="S81" s="88">
        <v>9.7161367040621439E-3</v>
      </c>
      <c r="T81" s="38">
        <v>8.7422141962865116E-2</v>
      </c>
      <c r="U81" s="89">
        <v>0.11453384226644721</v>
      </c>
      <c r="V81" s="133">
        <f t="shared" si="26"/>
        <v>0.53939999999999999</v>
      </c>
      <c r="W81" s="86"/>
      <c r="X81" s="87">
        <v>6.0739539655910238E-3</v>
      </c>
      <c r="Y81" s="88">
        <v>4.8868535968147461E-3</v>
      </c>
      <c r="Z81" s="88">
        <v>4.8541474921487771E-3</v>
      </c>
      <c r="AA81" s="38">
        <f t="shared" si="18"/>
        <v>5.2716516848515154E-3</v>
      </c>
      <c r="AB81" s="89">
        <f t="shared" si="19"/>
        <v>5.6747048944150256E-4</v>
      </c>
      <c r="AC81" s="172">
        <f t="shared" si="27"/>
        <v>4.0000000000000002E-4</v>
      </c>
    </row>
    <row r="82" spans="1:29" s="31" customFormat="1" x14ac:dyDescent="0.35">
      <c r="A82" s="251"/>
      <c r="B82" s="122" t="s">
        <v>200</v>
      </c>
      <c r="C82" s="87">
        <v>1.1327744550516435E-3</v>
      </c>
      <c r="D82" s="88">
        <v>1.2921432071593027E-3</v>
      </c>
      <c r="E82" s="88">
        <v>1.2553649830660662E-3</v>
      </c>
      <c r="F82" s="38">
        <v>1.2267608817590041E-3</v>
      </c>
      <c r="G82" s="89">
        <v>6.8133426675294657E-5</v>
      </c>
      <c r="H82" s="172">
        <f t="shared" si="24"/>
        <v>1.3100000000000001E-2</v>
      </c>
      <c r="I82" s="86"/>
      <c r="J82" s="87">
        <v>1.0299847851214615E-2</v>
      </c>
      <c r="K82" s="88">
        <v>2.2541717549182734E-3</v>
      </c>
      <c r="L82" s="88">
        <v>1.3817857127846203E-2</v>
      </c>
      <c r="M82" s="38">
        <v>8.79062557799303E-3</v>
      </c>
      <c r="N82" s="89">
        <v>4.8399737432833203E-3</v>
      </c>
      <c r="O82" s="133">
        <f t="shared" si="25"/>
        <v>0.81730000000000003</v>
      </c>
      <c r="P82" s="86"/>
      <c r="Q82" s="87">
        <v>1.1706049804532531E-3</v>
      </c>
      <c r="R82" s="88">
        <v>0.1321809883288384</v>
      </c>
      <c r="S82" s="88">
        <v>6.1495610506151861E-3</v>
      </c>
      <c r="T82" s="38">
        <v>4.6500384786635617E-2</v>
      </c>
      <c r="U82" s="89">
        <v>6.0619424105942871E-2</v>
      </c>
      <c r="V82" s="133">
        <f t="shared" si="26"/>
        <v>0.5968</v>
      </c>
      <c r="W82" s="86"/>
      <c r="X82" s="87">
        <v>3.6277388690723352E-4</v>
      </c>
      <c r="Y82" s="88">
        <v>1.3328991169559536E-3</v>
      </c>
      <c r="Z82" s="88">
        <v>4.0718323931786135E-4</v>
      </c>
      <c r="AA82" s="38">
        <f t="shared" si="18"/>
        <v>7.0095208106034943E-4</v>
      </c>
      <c r="AB82" s="89">
        <f t="shared" si="19"/>
        <v>4.4722167492069879E-4</v>
      </c>
      <c r="AC82" s="133">
        <f t="shared" si="27"/>
        <v>0.68930000000000002</v>
      </c>
    </row>
    <row r="83" spans="1:29" s="31" customFormat="1" x14ac:dyDescent="0.35">
      <c r="A83" s="252"/>
      <c r="B83" s="123" t="s">
        <v>201</v>
      </c>
      <c r="C83" s="90">
        <v>7.3552589806385852E-4</v>
      </c>
      <c r="D83" s="91">
        <v>1.3761918531389429E-4</v>
      </c>
      <c r="E83" s="91">
        <v>3.4773831432130298E-4</v>
      </c>
      <c r="F83" s="106">
        <v>4.0696113256635195E-4</v>
      </c>
      <c r="G83" s="92">
        <v>2.4766054178859638E-4</v>
      </c>
      <c r="H83" s="136">
        <f t="shared" si="24"/>
        <v>0.5857</v>
      </c>
      <c r="I83" s="86"/>
      <c r="J83" s="90">
        <v>6.7337735049404742E-3</v>
      </c>
      <c r="K83" s="91">
        <v>1.1714606877587439E-3</v>
      </c>
      <c r="L83" s="91">
        <v>1.0167109652770099E-2</v>
      </c>
      <c r="M83" s="106">
        <v>6.0241146151564394E-3</v>
      </c>
      <c r="N83" s="92">
        <v>3.706583051842995E-3</v>
      </c>
      <c r="O83" s="136">
        <f t="shared" si="25"/>
        <v>0.68579999999999997</v>
      </c>
      <c r="P83" s="86"/>
      <c r="Q83" s="90">
        <v>8.5685342038188108E-4</v>
      </c>
      <c r="R83" s="91">
        <v>4.3421753352927634E-3</v>
      </c>
      <c r="S83" s="91">
        <v>2.7789716581825726E-3</v>
      </c>
      <c r="T83" s="106">
        <v>2.659333471285739E-3</v>
      </c>
      <c r="U83" s="92">
        <v>1.4253893466844971E-3</v>
      </c>
      <c r="V83" s="136">
        <f t="shared" si="26"/>
        <v>0.40010000000000001</v>
      </c>
      <c r="W83" s="86"/>
      <c r="X83" s="90">
        <v>2.1616963086526215E-4</v>
      </c>
      <c r="Y83" s="91">
        <v>1.3417895109927929E-4</v>
      </c>
      <c r="Z83" s="91">
        <v>1.4221969313134913E-4</v>
      </c>
      <c r="AA83" s="106">
        <f t="shared" si="18"/>
        <v>1.6418942503196353E-4</v>
      </c>
      <c r="AB83" s="92">
        <f t="shared" si="19"/>
        <v>3.6901849384194311E-5</v>
      </c>
      <c r="AC83" s="136">
        <f t="shared" si="27"/>
        <v>0.73199999999999998</v>
      </c>
    </row>
    <row r="84" spans="1:29" s="31" customFormat="1" x14ac:dyDescent="0.35">
      <c r="A84" s="251" t="s">
        <v>57</v>
      </c>
      <c r="B84" s="188" t="s">
        <v>202</v>
      </c>
      <c r="C84" s="87">
        <v>8.0782522148896759E-6</v>
      </c>
      <c r="D84" s="88">
        <v>1.2320794379548565E-4</v>
      </c>
      <c r="E84" s="88">
        <v>5.8923636273594681E-6</v>
      </c>
      <c r="F84" s="38">
        <v>4.5726186545911594E-5</v>
      </c>
      <c r="G84" s="89">
        <v>5.4795143076071478E-5</v>
      </c>
      <c r="H84" s="133">
        <f>ROUND(_xlfn.T.TEST(C54:E54,C84:E84,2,2),4)</f>
        <v>0.64700000000000002</v>
      </c>
      <c r="I84" s="86"/>
      <c r="J84" s="87">
        <v>4.5949891327069651E-3</v>
      </c>
      <c r="K84" s="88">
        <v>1.3234903113559177E-3</v>
      </c>
      <c r="L84" s="88">
        <v>6.6227521027541281E-3</v>
      </c>
      <c r="M84" s="38">
        <v>4.1804105156056709E-3</v>
      </c>
      <c r="N84" s="89">
        <v>2.1831858152344635E-3</v>
      </c>
      <c r="O84" s="133">
        <f>ROUND(_xlfn.T.TEST(J54:L54,J84:L84,2,2),4)</f>
        <v>0.96460000000000001</v>
      </c>
      <c r="P84" s="86"/>
      <c r="Q84" s="87">
        <v>7.2685258662070172E-4</v>
      </c>
      <c r="R84" s="88">
        <v>1.515425641124147E-3</v>
      </c>
      <c r="S84" s="88">
        <v>1.2237158137457314E-3</v>
      </c>
      <c r="T84" s="38">
        <v>1.1553313471635268E-3</v>
      </c>
      <c r="U84" s="89">
        <v>3.2554486841245391E-4</v>
      </c>
      <c r="V84" s="133">
        <f>ROUND(_xlfn.T.TEST(Q54:S54,Q84:S84,2,2),4)</f>
        <v>0.4204</v>
      </c>
      <c r="W84" s="86"/>
      <c r="X84" s="87">
        <v>2.1396494451648862E-4</v>
      </c>
      <c r="Y84" s="88">
        <v>8.7740436997189218E-5</v>
      </c>
      <c r="Z84" s="88">
        <v>1.7753936085423516E-4</v>
      </c>
      <c r="AA84" s="38">
        <f t="shared" si="18"/>
        <v>1.59748247455971E-4</v>
      </c>
      <c r="AB84" s="89">
        <f t="shared" si="19"/>
        <v>5.3044317079116898E-5</v>
      </c>
      <c r="AC84" s="133">
        <f>ROUND(_xlfn.T.TEST(X54:Z54,X84:Z84,2,2),4)</f>
        <v>0.47539999999999999</v>
      </c>
    </row>
    <row r="85" spans="1:29" s="31" customFormat="1" x14ac:dyDescent="0.35">
      <c r="A85" s="251"/>
      <c r="B85" s="189" t="s">
        <v>203</v>
      </c>
      <c r="C85" s="87">
        <v>1.0256699315516842E-4</v>
      </c>
      <c r="D85" s="88">
        <v>3.283507430120903E-6</v>
      </c>
      <c r="E85" s="88">
        <v>1.7138740414451175E-6</v>
      </c>
      <c r="F85" s="38">
        <v>3.5854791542244814E-5</v>
      </c>
      <c r="G85" s="89">
        <v>4.7177002308866815E-5</v>
      </c>
      <c r="H85" s="133">
        <f t="shared" ref="H85:H93" si="28">ROUND(_xlfn.T.TEST(C55:E55,C85:E85,2,2),4)</f>
        <v>0.87519999999999998</v>
      </c>
      <c r="I85" s="86"/>
      <c r="J85" s="87">
        <v>7.3274418361090055E-3</v>
      </c>
      <c r="K85" s="88">
        <v>1.3036173202181976E-3</v>
      </c>
      <c r="L85" s="88">
        <v>1.5164196093487403E-2</v>
      </c>
      <c r="M85" s="38">
        <v>7.9317517499382026E-3</v>
      </c>
      <c r="N85" s="89">
        <v>5.674669085004835E-3</v>
      </c>
      <c r="O85" s="133">
        <f t="shared" ref="O85:O93" si="29">ROUND(_xlfn.T.TEST(J55:L55,J85:L85,2,2),4)</f>
        <v>0.82640000000000002</v>
      </c>
      <c r="P85" s="86"/>
      <c r="Q85" s="87">
        <v>4.0283481404802763E-4</v>
      </c>
      <c r="R85" s="88">
        <v>1.2188851740935274E-3</v>
      </c>
      <c r="S85" s="88">
        <v>2.5912271173460341E-3</v>
      </c>
      <c r="T85" s="38">
        <v>1.4043157018291963E-3</v>
      </c>
      <c r="U85" s="89">
        <v>9.0297788040303434E-4</v>
      </c>
      <c r="V85" s="133">
        <f t="shared" ref="V85:V93" si="30">ROUND(_xlfn.T.TEST(Q55:S55,Q85:S85,2,2),4)</f>
        <v>0.87029999999999996</v>
      </c>
      <c r="W85" s="86"/>
      <c r="X85" s="87">
        <v>4.7729920888643237E-5</v>
      </c>
      <c r="Y85" s="88">
        <v>1.0375782072676208E-5</v>
      </c>
      <c r="Z85" s="88">
        <v>2.2173535364732318E-4</v>
      </c>
      <c r="AA85" s="38">
        <f t="shared" si="18"/>
        <v>9.3280352202880889E-5</v>
      </c>
      <c r="AB85" s="89">
        <f t="shared" si="19"/>
        <v>9.2102654571730959E-5</v>
      </c>
      <c r="AC85" s="133">
        <f t="shared" ref="AC85:AC93" si="31">ROUND(_xlfn.T.TEST(X55:Z55,X85:Z85,2,2),4)</f>
        <v>0.44309999999999999</v>
      </c>
    </row>
    <row r="86" spans="1:29" s="31" customFormat="1" x14ac:dyDescent="0.35">
      <c r="A86" s="251"/>
      <c r="B86" s="189" t="s">
        <v>204</v>
      </c>
      <c r="C86" s="87">
        <v>1.3297989667236212E-4</v>
      </c>
      <c r="D86" s="88">
        <v>2.158203566912556E-6</v>
      </c>
      <c r="E86" s="88">
        <v>5.3153449849554297E-7</v>
      </c>
      <c r="F86" s="38">
        <v>4.5223211579256743E-5</v>
      </c>
      <c r="G86" s="89">
        <v>6.2056900486367537E-5</v>
      </c>
      <c r="H86" s="133">
        <f t="shared" si="28"/>
        <v>0.68899999999999995</v>
      </c>
      <c r="I86" s="86"/>
      <c r="J86" s="87">
        <v>4.1277865748223508E-3</v>
      </c>
      <c r="K86" s="88">
        <v>1.2354291699700796E-3</v>
      </c>
      <c r="L86" s="88">
        <v>1.0621976193005757E-2</v>
      </c>
      <c r="M86" s="38">
        <v>5.3283973125993964E-3</v>
      </c>
      <c r="N86" s="89">
        <v>3.9249556992543774E-3</v>
      </c>
      <c r="O86" s="133">
        <f t="shared" si="29"/>
        <v>0.54590000000000005</v>
      </c>
      <c r="P86" s="86"/>
      <c r="Q86" s="87">
        <v>4.7726973434025961E-4</v>
      </c>
      <c r="R86" s="88">
        <v>2.5792934879366462E-3</v>
      </c>
      <c r="S86" s="88">
        <v>6.1679347221858826E-4</v>
      </c>
      <c r="T86" s="38">
        <v>1.2244522314984981E-3</v>
      </c>
      <c r="U86" s="89">
        <v>9.5970927575943893E-4</v>
      </c>
      <c r="V86" s="133">
        <f t="shared" si="30"/>
        <v>0.58160000000000001</v>
      </c>
      <c r="W86" s="86"/>
      <c r="X86" s="87">
        <v>2.0709941338519758E-5</v>
      </c>
      <c r="Y86" s="88">
        <v>2.6928102405700514E-5</v>
      </c>
      <c r="Z86" s="88">
        <v>2.5804223466817698E-5</v>
      </c>
      <c r="AA86" s="38">
        <f t="shared" si="18"/>
        <v>2.4480755737012656E-5</v>
      </c>
      <c r="AB86" s="89">
        <f t="shared" si="19"/>
        <v>2.7055568605159161E-6</v>
      </c>
      <c r="AC86" s="133">
        <f t="shared" si="31"/>
        <v>0.20349999999999999</v>
      </c>
    </row>
    <row r="87" spans="1:29" s="31" customFormat="1" x14ac:dyDescent="0.35">
      <c r="A87" s="251"/>
      <c r="B87" s="189" t="s">
        <v>205</v>
      </c>
      <c r="C87" s="87">
        <v>1.0209442165495938E-4</v>
      </c>
      <c r="D87" s="88">
        <v>4.6784151647873591E-5</v>
      </c>
      <c r="E87" s="88">
        <v>7.538104603145705E-5</v>
      </c>
      <c r="F87" s="38">
        <v>7.4753206444763337E-5</v>
      </c>
      <c r="G87" s="89">
        <v>2.2584686979959795E-5</v>
      </c>
      <c r="H87" s="133">
        <f t="shared" si="28"/>
        <v>0.54100000000000004</v>
      </c>
      <c r="I87" s="86"/>
      <c r="J87" s="87">
        <v>7.5122565753797908E-3</v>
      </c>
      <c r="K87" s="88">
        <v>7.5982805942636947E-4</v>
      </c>
      <c r="L87" s="88">
        <v>1.0760299929268616E-2</v>
      </c>
      <c r="M87" s="38">
        <v>6.3441281880249256E-3</v>
      </c>
      <c r="N87" s="89">
        <v>4.1653933269168181E-3</v>
      </c>
      <c r="O87" s="133">
        <f t="shared" si="29"/>
        <v>0.46970000000000001</v>
      </c>
      <c r="P87" s="86"/>
      <c r="Q87" s="87">
        <v>2.2943458509914853E-4</v>
      </c>
      <c r="R87" s="88">
        <v>2.9468584434309466E-3</v>
      </c>
      <c r="S87" s="88">
        <v>9.4266646823903911E-4</v>
      </c>
      <c r="T87" s="38">
        <v>1.3729864989230449E-3</v>
      </c>
      <c r="U87" s="89">
        <v>1.1503563514736442E-3</v>
      </c>
      <c r="V87" s="133">
        <f t="shared" si="30"/>
        <v>0.64770000000000005</v>
      </c>
      <c r="W87" s="86"/>
      <c r="X87" s="87">
        <v>4.7352030341761293E-5</v>
      </c>
      <c r="Y87" s="88">
        <v>6.6924491106271994E-5</v>
      </c>
      <c r="Z87" s="88">
        <v>3.9583574644460738E-6</v>
      </c>
      <c r="AA87" s="38">
        <f t="shared" si="18"/>
        <v>3.9411626304159785E-5</v>
      </c>
      <c r="AB87" s="89">
        <f t="shared" si="19"/>
        <v>2.6311860553247835E-5</v>
      </c>
      <c r="AC87" s="133">
        <f t="shared" si="31"/>
        <v>0.25140000000000001</v>
      </c>
    </row>
    <row r="88" spans="1:29" s="31" customFormat="1" x14ac:dyDescent="0.35">
      <c r="A88" s="251"/>
      <c r="B88" s="189" t="s">
        <v>126</v>
      </c>
      <c r="C88" s="87">
        <v>1.7009856845975186E-2</v>
      </c>
      <c r="D88" s="88">
        <v>1.0271670616516021E-2</v>
      </c>
      <c r="E88" s="88">
        <v>7.8749365909395984E-3</v>
      </c>
      <c r="F88" s="38">
        <v>1.1718821351143599E-2</v>
      </c>
      <c r="G88" s="89">
        <v>3.8671588152039802E-3</v>
      </c>
      <c r="H88" s="133">
        <f t="shared" si="28"/>
        <v>5.3100000000000001E-2</v>
      </c>
      <c r="I88" s="86"/>
      <c r="J88" s="87">
        <v>0.31247752494663789</v>
      </c>
      <c r="K88" s="88">
        <v>8.1282038791397004E-2</v>
      </c>
      <c r="L88" s="88">
        <v>0.3493622397468012</v>
      </c>
      <c r="M88" s="38">
        <v>0.2477072678282787</v>
      </c>
      <c r="N88" s="89">
        <v>0.11863989826770255</v>
      </c>
      <c r="O88" s="133">
        <f t="shared" si="29"/>
        <v>0.39560000000000001</v>
      </c>
      <c r="P88" s="86"/>
      <c r="Q88" s="87">
        <v>1.9157601770204515E-2</v>
      </c>
      <c r="R88" s="88">
        <v>3.1758413959397103E-3</v>
      </c>
      <c r="S88" s="88">
        <v>2.3335782748170761E-2</v>
      </c>
      <c r="T88" s="38">
        <v>1.5223075304771662E-2</v>
      </c>
      <c r="U88" s="89">
        <v>8.687776190784478E-3</v>
      </c>
      <c r="V88" s="133">
        <f t="shared" si="30"/>
        <v>0.2944</v>
      </c>
      <c r="W88" s="86"/>
      <c r="X88" s="87">
        <v>0.40882812493936233</v>
      </c>
      <c r="Y88" s="88">
        <v>0.80821189196427623</v>
      </c>
      <c r="Z88" s="88">
        <v>0.38968397435693941</v>
      </c>
      <c r="AA88" s="38">
        <f t="shared" si="18"/>
        <v>0.53557466375352603</v>
      </c>
      <c r="AB88" s="89">
        <f t="shared" si="19"/>
        <v>0.19294199176645671</v>
      </c>
      <c r="AC88" s="133">
        <f t="shared" si="31"/>
        <v>9.7299999999999998E-2</v>
      </c>
    </row>
    <row r="89" spans="1:29" s="31" customFormat="1" x14ac:dyDescent="0.35">
      <c r="A89" s="251"/>
      <c r="B89" s="189" t="s">
        <v>127</v>
      </c>
      <c r="C89" s="87">
        <v>7.0135702656031293E-2</v>
      </c>
      <c r="D89" s="88">
        <v>3.4638927175822253E-2</v>
      </c>
      <c r="E89" s="88">
        <v>2.8022469624812866E-2</v>
      </c>
      <c r="F89" s="38">
        <v>4.4265699818888803E-2</v>
      </c>
      <c r="G89" s="89">
        <v>1.8491208050068875E-2</v>
      </c>
      <c r="H89" s="172">
        <f t="shared" si="28"/>
        <v>8.9999999999999998E-4</v>
      </c>
      <c r="I89" s="86"/>
      <c r="J89" s="87">
        <v>2.5318273252157155</v>
      </c>
      <c r="K89" s="88">
        <v>0.53534771047410357</v>
      </c>
      <c r="L89" s="88">
        <v>3.4716792185245064</v>
      </c>
      <c r="M89" s="38">
        <v>2.1796180847381081</v>
      </c>
      <c r="N89" s="89">
        <v>1.2243499480951099</v>
      </c>
      <c r="O89" s="133">
        <f t="shared" si="29"/>
        <v>0.58289999999999997</v>
      </c>
      <c r="P89" s="86"/>
      <c r="Q89" s="87">
        <v>0.25335243335091656</v>
      </c>
      <c r="R89" s="88">
        <v>1.283049014652297E-3</v>
      </c>
      <c r="S89" s="88">
        <v>0.31449793958096811</v>
      </c>
      <c r="T89" s="38">
        <v>0.18971114064884564</v>
      </c>
      <c r="U89" s="89">
        <v>0.135557005279969</v>
      </c>
      <c r="V89" s="133">
        <f t="shared" si="30"/>
        <v>0.55230000000000001</v>
      </c>
      <c r="W89" s="86"/>
      <c r="X89" s="87">
        <v>0.768032341661261</v>
      </c>
      <c r="Y89" s="88">
        <v>0.99270080406845362</v>
      </c>
      <c r="Z89" s="88">
        <v>0.8179940250022435</v>
      </c>
      <c r="AA89" s="38">
        <f t="shared" si="18"/>
        <v>0.85957572357731937</v>
      </c>
      <c r="AB89" s="89">
        <f t="shared" si="19"/>
        <v>9.631807633182364E-2</v>
      </c>
      <c r="AC89" s="172">
        <f t="shared" si="31"/>
        <v>1.66E-2</v>
      </c>
    </row>
    <row r="90" spans="1:29" s="31" customFormat="1" x14ac:dyDescent="0.35">
      <c r="A90" s="251"/>
      <c r="B90" s="189" t="s">
        <v>128</v>
      </c>
      <c r="C90" s="87">
        <v>8.0492390949914745E-3</v>
      </c>
      <c r="D90" s="88">
        <v>1.1337403780781149E-2</v>
      </c>
      <c r="E90" s="88">
        <v>2.7776995057306086E-2</v>
      </c>
      <c r="F90" s="38">
        <v>1.5721212644359567E-2</v>
      </c>
      <c r="G90" s="89">
        <v>8.6297711032391269E-3</v>
      </c>
      <c r="H90" s="172">
        <f t="shared" si="28"/>
        <v>2.9999999999999997E-4</v>
      </c>
      <c r="I90" s="86"/>
      <c r="J90" s="87">
        <v>0.55488647114436462</v>
      </c>
      <c r="K90" s="88">
        <v>0.16185403827987399</v>
      </c>
      <c r="L90" s="88">
        <v>1.4943427233762858</v>
      </c>
      <c r="M90" s="38">
        <v>0.73702774426684148</v>
      </c>
      <c r="N90" s="89">
        <v>0.55902480953203892</v>
      </c>
      <c r="O90" s="133">
        <f t="shared" si="29"/>
        <v>0.85189999999999999</v>
      </c>
      <c r="P90" s="86"/>
      <c r="Q90" s="87">
        <v>3.7905316574398613E-2</v>
      </c>
      <c r="R90" s="88">
        <v>0.14832097745905248</v>
      </c>
      <c r="S90" s="88">
        <v>0.19795027828658304</v>
      </c>
      <c r="T90" s="38">
        <v>0.12805885744001136</v>
      </c>
      <c r="U90" s="89">
        <v>6.6890520370294457E-2</v>
      </c>
      <c r="V90" s="133">
        <f t="shared" si="30"/>
        <v>0.8216</v>
      </c>
      <c r="W90" s="86"/>
      <c r="X90" s="87">
        <v>0.33280363492278453</v>
      </c>
      <c r="Y90" s="88">
        <v>0.84966605012808172</v>
      </c>
      <c r="Z90" s="88">
        <v>0.55906977422069104</v>
      </c>
      <c r="AA90" s="38">
        <f t="shared" si="18"/>
        <v>0.5805131530905191</v>
      </c>
      <c r="AB90" s="89">
        <f t="shared" si="19"/>
        <v>0.21155228342891108</v>
      </c>
      <c r="AC90" s="172">
        <f t="shared" si="31"/>
        <v>5.7000000000000002E-3</v>
      </c>
    </row>
    <row r="91" spans="1:29" s="31" customFormat="1" x14ac:dyDescent="0.35">
      <c r="A91" s="251"/>
      <c r="B91" s="189" t="s">
        <v>129</v>
      </c>
      <c r="C91" s="87">
        <v>1.9647953428611139E-4</v>
      </c>
      <c r="D91" s="88">
        <v>9.0710448532501983E-5</v>
      </c>
      <c r="E91" s="88">
        <v>2.8101162371679757E-4</v>
      </c>
      <c r="F91" s="38">
        <v>1.8940053551180365E-4</v>
      </c>
      <c r="G91" s="89">
        <v>7.7851219159222668E-5</v>
      </c>
      <c r="H91" s="172">
        <f t="shared" si="28"/>
        <v>2.3E-3</v>
      </c>
      <c r="I91" s="86"/>
      <c r="J91" s="87">
        <v>1.4824931136425325E-2</v>
      </c>
      <c r="K91" s="88">
        <v>2.2121803944966062E-3</v>
      </c>
      <c r="L91" s="88">
        <v>2.1851519209440767E-2</v>
      </c>
      <c r="M91" s="38">
        <v>1.2962876913454232E-2</v>
      </c>
      <c r="N91" s="89">
        <v>8.1251191465728251E-3</v>
      </c>
      <c r="O91" s="133">
        <f t="shared" si="29"/>
        <v>0.48199999999999998</v>
      </c>
      <c r="P91" s="86"/>
      <c r="Q91" s="87">
        <v>1.098656523883571E-3</v>
      </c>
      <c r="R91" s="88">
        <v>0.29927792587264979</v>
      </c>
      <c r="S91" s="88">
        <v>2.0963336321396979E-3</v>
      </c>
      <c r="T91" s="38">
        <v>0.10082430534289101</v>
      </c>
      <c r="U91" s="89">
        <v>0.14032849191790481</v>
      </c>
      <c r="V91" s="133">
        <f t="shared" si="30"/>
        <v>0.57520000000000004</v>
      </c>
      <c r="W91" s="86"/>
      <c r="X91" s="87">
        <v>8.2171116672536445E-4</v>
      </c>
      <c r="Y91" s="88">
        <v>1.3052195136794172E-3</v>
      </c>
      <c r="Z91" s="88">
        <v>1.3652296106261132E-3</v>
      </c>
      <c r="AA91" s="38">
        <f t="shared" si="18"/>
        <v>1.1640534303436316E-3</v>
      </c>
      <c r="AB91" s="89">
        <f t="shared" si="19"/>
        <v>2.4330909289536402E-4</v>
      </c>
      <c r="AC91" s="172">
        <f t="shared" si="31"/>
        <v>2.0000000000000001E-4</v>
      </c>
    </row>
    <row r="92" spans="1:29" s="31" customFormat="1" x14ac:dyDescent="0.35">
      <c r="A92" s="251"/>
      <c r="B92" s="189" t="s">
        <v>200</v>
      </c>
      <c r="C92" s="87">
        <v>3.3044769461890161E-4</v>
      </c>
      <c r="D92" s="88">
        <v>1.7625713847718521E-4</v>
      </c>
      <c r="E92" s="88">
        <v>7.2417671936038109E-5</v>
      </c>
      <c r="F92" s="38">
        <v>1.9304083501070835E-4</v>
      </c>
      <c r="G92" s="89">
        <v>1.060067372180555E-4</v>
      </c>
      <c r="H92" s="172">
        <f t="shared" si="28"/>
        <v>3.7000000000000002E-3</v>
      </c>
      <c r="I92" s="86"/>
      <c r="J92" s="87">
        <v>1.3771732434012527E-2</v>
      </c>
      <c r="K92" s="88">
        <v>2.3414897889792166E-3</v>
      </c>
      <c r="L92" s="88">
        <v>1.3434521934227025E-2</v>
      </c>
      <c r="M92" s="38">
        <v>9.8492480524062561E-3</v>
      </c>
      <c r="N92" s="89">
        <v>5.310571427937184E-3</v>
      </c>
      <c r="O92" s="133">
        <f t="shared" si="29"/>
        <v>0.93230000000000002</v>
      </c>
      <c r="P92" s="86"/>
      <c r="Q92" s="87">
        <v>6.9814637157403615E-4</v>
      </c>
      <c r="R92" s="88">
        <v>0.15160236988433501</v>
      </c>
      <c r="S92" s="88">
        <v>1.2870576079580568E-3</v>
      </c>
      <c r="T92" s="38">
        <v>5.1195857954622365E-2</v>
      </c>
      <c r="U92" s="89">
        <v>7.0998532531922703E-2</v>
      </c>
      <c r="V92" s="133">
        <f t="shared" si="30"/>
        <v>0.63049999999999995</v>
      </c>
      <c r="W92" s="86"/>
      <c r="X92" s="87">
        <v>3.9314318858704565E-4</v>
      </c>
      <c r="Y92" s="88">
        <v>5.3977264901746498E-4</v>
      </c>
      <c r="Z92" s="88">
        <v>2.646095060300511E-4</v>
      </c>
      <c r="AA92" s="38">
        <f t="shared" si="18"/>
        <v>3.9917511454485389E-4</v>
      </c>
      <c r="AB92" s="89">
        <f t="shared" si="19"/>
        <v>1.1241582602922169E-4</v>
      </c>
      <c r="AC92" s="133">
        <f t="shared" si="31"/>
        <v>0.1183</v>
      </c>
    </row>
    <row r="93" spans="1:29" s="31" customFormat="1" x14ac:dyDescent="0.35">
      <c r="A93" s="252"/>
      <c r="B93" s="190" t="s">
        <v>201</v>
      </c>
      <c r="C93" s="90">
        <v>5.0430492525913283E-6</v>
      </c>
      <c r="D93" s="91">
        <v>8.7663986790106548E-7</v>
      </c>
      <c r="E93" s="91">
        <v>1.1601836673810999E-4</v>
      </c>
      <c r="F93" s="106">
        <v>4.0646018619534127E-5</v>
      </c>
      <c r="G93" s="92">
        <v>5.3323433794602592E-5</v>
      </c>
      <c r="H93" s="136">
        <f t="shared" si="28"/>
        <v>0.1908</v>
      </c>
      <c r="I93" s="86"/>
      <c r="J93" s="90">
        <v>1.0096794662211637E-2</v>
      </c>
      <c r="K93" s="91">
        <v>1.748964543213788E-3</v>
      </c>
      <c r="L93" s="91">
        <v>1.2616152041490561E-2</v>
      </c>
      <c r="M93" s="106">
        <v>8.1539704156386623E-3</v>
      </c>
      <c r="N93" s="92">
        <v>4.6443417596382548E-3</v>
      </c>
      <c r="O93" s="136">
        <f t="shared" si="29"/>
        <v>0.99</v>
      </c>
      <c r="P93" s="86"/>
      <c r="Q93" s="90">
        <v>3.4145535375697023E-4</v>
      </c>
      <c r="R93" s="91">
        <v>3.6699682638105281E-3</v>
      </c>
      <c r="S93" s="91">
        <v>8.7759880671128224E-4</v>
      </c>
      <c r="T93" s="106">
        <v>1.62967414142626E-3</v>
      </c>
      <c r="U93" s="92">
        <v>1.4592149784303629E-3</v>
      </c>
      <c r="V93" s="136">
        <f t="shared" si="30"/>
        <v>0.26440000000000002</v>
      </c>
      <c r="W93" s="86"/>
      <c r="X93" s="90">
        <v>7.9919705210353945E-5</v>
      </c>
      <c r="Y93" s="91">
        <v>1.1141933573325394E-4</v>
      </c>
      <c r="Z93" s="91">
        <v>2.1167053898399585E-4</v>
      </c>
      <c r="AA93" s="106">
        <f t="shared" si="18"/>
        <v>1.3433652664253458E-4</v>
      </c>
      <c r="AB93" s="92">
        <f t="shared" si="19"/>
        <v>5.6175135539915205E-5</v>
      </c>
      <c r="AC93" s="136">
        <f t="shared" si="31"/>
        <v>0.57240000000000002</v>
      </c>
    </row>
  </sheetData>
  <mergeCells count="12">
    <mergeCell ref="A84:A93"/>
    <mergeCell ref="A7:A16"/>
    <mergeCell ref="A17:A26"/>
    <mergeCell ref="A27:A36"/>
    <mergeCell ref="A37:A46"/>
    <mergeCell ref="A54:A63"/>
    <mergeCell ref="A64:A73"/>
    <mergeCell ref="X52:Z52"/>
    <mergeCell ref="Q52:S52"/>
    <mergeCell ref="J52:L52"/>
    <mergeCell ref="C52:E52"/>
    <mergeCell ref="A74:A8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8"/>
  <sheetViews>
    <sheetView topLeftCell="AE7" workbookViewId="0">
      <selection activeCell="AI24" sqref="AI24"/>
    </sheetView>
  </sheetViews>
  <sheetFormatPr defaultRowHeight="14.5" x14ac:dyDescent="0.35"/>
  <cols>
    <col min="4" max="7" width="9" bestFit="1" customWidth="1"/>
    <col min="8" max="8" width="12" bestFit="1" customWidth="1"/>
    <col min="11" max="15" width="9" bestFit="1" customWidth="1"/>
    <col min="17" max="21" width="9" bestFit="1" customWidth="1"/>
    <col min="24" max="28" width="9" bestFit="1" customWidth="1"/>
    <col min="30" max="33" width="9" bestFit="1" customWidth="1"/>
    <col min="34" max="34" width="12" bestFit="1" customWidth="1"/>
    <col min="36" max="40" width="9" bestFit="1" customWidth="1"/>
    <col min="42" max="46" width="9" bestFit="1" customWidth="1"/>
    <col min="48" max="52" width="9" bestFit="1" customWidth="1"/>
  </cols>
  <sheetData>
    <row r="1" spans="1:64" x14ac:dyDescent="0.35">
      <c r="A1" t="s">
        <v>232</v>
      </c>
    </row>
    <row r="3" spans="1:64" x14ac:dyDescent="0.35">
      <c r="A3" s="102" t="s">
        <v>115</v>
      </c>
    </row>
    <row r="4" spans="1:64" s="102" customFormat="1" x14ac:dyDescent="0.35"/>
    <row r="5" spans="1:64" x14ac:dyDescent="0.35">
      <c r="A5" s="102"/>
    </row>
    <row r="6" spans="1:64" x14ac:dyDescent="0.35">
      <c r="A6" s="102"/>
      <c r="D6" s="302" t="s">
        <v>250</v>
      </c>
      <c r="E6" s="303"/>
      <c r="F6" s="290"/>
      <c r="K6" s="302" t="s">
        <v>251</v>
      </c>
      <c r="L6" s="303"/>
      <c r="M6" s="290"/>
      <c r="N6" s="46"/>
      <c r="O6" s="46"/>
      <c r="R6" s="302" t="s">
        <v>252</v>
      </c>
      <c r="S6" s="303"/>
      <c r="T6" s="290"/>
      <c r="U6" s="46"/>
      <c r="V6" s="46"/>
      <c r="Y6" s="302" t="s">
        <v>255</v>
      </c>
      <c r="Z6" s="303"/>
      <c r="AA6" s="290"/>
      <c r="AF6" s="302" t="s">
        <v>256</v>
      </c>
      <c r="AG6" s="303"/>
      <c r="AH6" s="290"/>
      <c r="AM6" s="302" t="s">
        <v>257</v>
      </c>
      <c r="AN6" s="303"/>
      <c r="AO6" s="290"/>
      <c r="AP6" s="102"/>
      <c r="AQ6" s="102"/>
      <c r="AT6" s="84"/>
      <c r="AU6" s="296" t="s">
        <v>253</v>
      </c>
      <c r="AV6" s="312"/>
      <c r="AW6" s="84"/>
      <c r="AX6" s="84"/>
      <c r="AY6" s="102"/>
      <c r="AZ6" s="84" t="s">
        <v>133</v>
      </c>
      <c r="BA6" s="296" t="s">
        <v>265</v>
      </c>
      <c r="BB6" s="312"/>
      <c r="BC6" s="84"/>
      <c r="BD6" s="84"/>
      <c r="BE6" s="102"/>
      <c r="BF6" s="102"/>
      <c r="BG6" s="296" t="s">
        <v>254</v>
      </c>
      <c r="BH6" s="312"/>
      <c r="BI6" s="84"/>
      <c r="BJ6" s="84"/>
    </row>
    <row r="7" spans="1:64" x14ac:dyDescent="0.35">
      <c r="A7" s="102"/>
      <c r="D7" s="28" t="s">
        <v>187</v>
      </c>
      <c r="E7" s="46" t="s">
        <v>188</v>
      </c>
      <c r="F7" s="27" t="s">
        <v>189</v>
      </c>
      <c r="G7" s="48" t="s">
        <v>118</v>
      </c>
      <c r="H7" s="209" t="s">
        <v>119</v>
      </c>
      <c r="K7" s="25" t="s">
        <v>187</v>
      </c>
      <c r="L7" s="14" t="s">
        <v>188</v>
      </c>
      <c r="M7" s="17" t="s">
        <v>189</v>
      </c>
      <c r="N7" s="48" t="s">
        <v>118</v>
      </c>
      <c r="O7" s="48" t="s">
        <v>119</v>
      </c>
      <c r="P7" s="213" t="s">
        <v>263</v>
      </c>
      <c r="Q7" t="s">
        <v>175</v>
      </c>
      <c r="R7" s="25" t="s">
        <v>187</v>
      </c>
      <c r="S7" s="14" t="s">
        <v>188</v>
      </c>
      <c r="T7" s="17" t="s">
        <v>189</v>
      </c>
      <c r="U7" s="48" t="s">
        <v>118</v>
      </c>
      <c r="V7" s="48" t="s">
        <v>119</v>
      </c>
      <c r="W7" s="213" t="s">
        <v>263</v>
      </c>
      <c r="Y7" s="28" t="s">
        <v>187</v>
      </c>
      <c r="Z7" s="46" t="s">
        <v>188</v>
      </c>
      <c r="AA7" s="46" t="s">
        <v>189</v>
      </c>
      <c r="AB7" s="96" t="s">
        <v>118</v>
      </c>
      <c r="AC7" s="96" t="s">
        <v>119</v>
      </c>
      <c r="AF7" s="28" t="s">
        <v>187</v>
      </c>
      <c r="AG7" s="46" t="s">
        <v>188</v>
      </c>
      <c r="AH7" s="46" t="s">
        <v>189</v>
      </c>
      <c r="AI7" s="96" t="s">
        <v>118</v>
      </c>
      <c r="AJ7" s="19" t="s">
        <v>119</v>
      </c>
      <c r="AK7" s="213" t="s">
        <v>263</v>
      </c>
      <c r="AL7" s="47" t="s">
        <v>175</v>
      </c>
      <c r="AM7" s="28" t="s">
        <v>187</v>
      </c>
      <c r="AN7" s="46" t="s">
        <v>188</v>
      </c>
      <c r="AO7" s="46" t="s">
        <v>189</v>
      </c>
      <c r="AP7" s="36" t="s">
        <v>118</v>
      </c>
      <c r="AQ7" s="96" t="s">
        <v>119</v>
      </c>
      <c r="AR7" s="213" t="s">
        <v>263</v>
      </c>
      <c r="AS7" s="47" t="s">
        <v>175</v>
      </c>
      <c r="AT7" s="84"/>
      <c r="AU7" s="29" t="s">
        <v>188</v>
      </c>
      <c r="AV7" s="161" t="s">
        <v>189</v>
      </c>
      <c r="AW7" s="158" t="s">
        <v>118</v>
      </c>
      <c r="AX7" s="168" t="s">
        <v>119</v>
      </c>
      <c r="AY7" s="102"/>
      <c r="AZ7" s="84"/>
      <c r="BA7" s="29" t="s">
        <v>188</v>
      </c>
      <c r="BB7" s="161" t="s">
        <v>189</v>
      </c>
      <c r="BC7" s="158" t="s">
        <v>118</v>
      </c>
      <c r="BD7" s="168" t="s">
        <v>119</v>
      </c>
      <c r="BE7" s="216" t="s">
        <v>263</v>
      </c>
      <c r="BF7" s="47" t="s">
        <v>175</v>
      </c>
      <c r="BG7" s="29" t="s">
        <v>188</v>
      </c>
      <c r="BH7" s="161" t="s">
        <v>189</v>
      </c>
      <c r="BI7" s="158" t="s">
        <v>118</v>
      </c>
      <c r="BJ7" s="168" t="s">
        <v>119</v>
      </c>
      <c r="BK7" s="213" t="s">
        <v>263</v>
      </c>
      <c r="BL7" s="47" t="s">
        <v>175</v>
      </c>
    </row>
    <row r="8" spans="1:64" ht="15" customHeight="1" x14ac:dyDescent="0.35">
      <c r="A8" s="102"/>
      <c r="B8" s="280" t="s">
        <v>264</v>
      </c>
      <c r="C8" s="158" t="s">
        <v>203</v>
      </c>
      <c r="D8" s="36">
        <v>6.9368722392718074E-4</v>
      </c>
      <c r="E8" s="37">
        <v>6.4359339026874671E-4</v>
      </c>
      <c r="F8" s="19">
        <v>8.0027944174393937E-4</v>
      </c>
      <c r="G8" s="98">
        <v>7.1252001864662224E-4</v>
      </c>
      <c r="H8" s="27">
        <v>3.7723070746428285E-5</v>
      </c>
      <c r="K8" s="28">
        <v>1.1007057908674095E-3</v>
      </c>
      <c r="L8" s="46">
        <v>1.75882185410921E-3</v>
      </c>
      <c r="M8" s="27">
        <v>1.6869141384824279E-3</v>
      </c>
      <c r="N8" s="27">
        <v>1.5154805944863493E-3</v>
      </c>
      <c r="O8" s="98">
        <v>1.7017721689757087E-4</v>
      </c>
      <c r="P8" s="138">
        <f>ROUND(_xlfn.T.TEST(D8:F8,K8:M8,2,2),4)</f>
        <v>1.9800000000000002E-2</v>
      </c>
      <c r="R8" s="28">
        <v>1.9285202239815891E-3</v>
      </c>
      <c r="S8" s="46">
        <v>1.2939595657348168E-3</v>
      </c>
      <c r="T8" s="27">
        <v>1.5104765704440388E-3</v>
      </c>
      <c r="U8" s="98">
        <v>1.5776521200534816E-3</v>
      </c>
      <c r="V8" s="98">
        <v>1.5206082342831862E-4</v>
      </c>
      <c r="W8" s="215">
        <f>ROUND(_xlfn.T.TEST(D8:F8,R8:T8,2,2),4)</f>
        <v>1.0800000000000001E-2</v>
      </c>
      <c r="Y8" s="36">
        <v>1.8632081335132322E-3</v>
      </c>
      <c r="Z8" s="37">
        <v>1.3231359549985956E-3</v>
      </c>
      <c r="AA8" s="37">
        <v>1.0647558202131317E-3</v>
      </c>
      <c r="AB8" s="96">
        <v>1.4170333029083198E-3</v>
      </c>
      <c r="AC8" s="96">
        <v>1.9206136641531491E-4</v>
      </c>
      <c r="AF8" s="36">
        <v>6.6094568864713142E-4</v>
      </c>
      <c r="AG8" s="37">
        <v>3.5370317927146283E-4</v>
      </c>
      <c r="AH8" s="37">
        <v>5.0699928882990092E-4</v>
      </c>
      <c r="AI8" s="96">
        <v>5.0721605224949835E-4</v>
      </c>
      <c r="AJ8" s="19">
        <v>7.2417808018085825E-5</v>
      </c>
      <c r="AK8" s="138">
        <f>ROUND(_xlfn.T.TEST(Y8:AA8,AF8:AH8,2,2),4)</f>
        <v>2.24E-2</v>
      </c>
      <c r="AM8" s="36">
        <v>5.8452475855572128E-4</v>
      </c>
      <c r="AN8" s="37">
        <v>9.0689735250897062E-4</v>
      </c>
      <c r="AO8" s="19">
        <v>3.5841908271001978E-4</v>
      </c>
      <c r="AP8" s="36">
        <v>6.1661373125823724E-4</v>
      </c>
      <c r="AQ8" s="96">
        <v>1.2993962678211566E-4</v>
      </c>
      <c r="AR8" s="215">
        <f>ROUND(_xlfn.T.TEST(Y8:AA8,AM8:AO8,2,2),4)</f>
        <v>4.7899999999999998E-2</v>
      </c>
      <c r="AS8" s="84"/>
      <c r="AT8" s="84"/>
      <c r="AU8" s="158">
        <v>5.4178156864863423E-4</v>
      </c>
      <c r="AV8" s="160">
        <v>7.4264452956193877E-4</v>
      </c>
      <c r="AW8" s="158">
        <f>AVERAGE(AT8:AV8)</f>
        <v>6.4221304910528645E-4</v>
      </c>
      <c r="AX8" s="137">
        <f>_xlfn.STDEV.P(AT8:AV8)/SQRT(COUNT(AT8:AV8))</f>
        <v>7.1015780875503036E-5</v>
      </c>
      <c r="AY8" s="102"/>
      <c r="AZ8" s="84"/>
      <c r="BA8" s="158">
        <v>6.9505497446777911E-3</v>
      </c>
      <c r="BB8" s="159">
        <v>1.5032340429907505E-3</v>
      </c>
      <c r="BC8" s="168">
        <f t="shared" ref="BC8:BC13" si="0">AVERAGE(BA8:BB8)</f>
        <v>4.2268918938342705E-3</v>
      </c>
      <c r="BD8" s="130">
        <f t="shared" ref="BD8:BD13" si="1">_xlfn.STDEV.P(BA8:BB8)/SQRT(COUNT(BA8:BB8))</f>
        <v>1.9259169359634317E-3</v>
      </c>
      <c r="BE8" s="138">
        <f>ROUND(_xlfn.T.TEST(AU8:AV8,BA8:BB8,2,2),4)</f>
        <v>0.31900000000000001</v>
      </c>
      <c r="BF8" s="102"/>
      <c r="BG8" s="158">
        <v>6.4463012212724775E-4</v>
      </c>
      <c r="BH8" s="159">
        <v>8.3371242747571305E-4</v>
      </c>
      <c r="BI8" s="168">
        <f t="shared" ref="BI8:BI19" si="2">AVERAGE(AS8:BH8)</f>
        <v>3.0643871826841865E-2</v>
      </c>
      <c r="BJ8" s="130">
        <f t="shared" ref="BJ8:BJ19" si="3">_xlfn.STDEV.P(AS8:BH8)/SQRT(COUNT(AS8:BH8))</f>
        <v>2.7499962898989497E-2</v>
      </c>
      <c r="BK8" s="137">
        <f>ROUND(_xlfn.T.TEST(AU8:AV8,BG8:BH8,2,2),4)</f>
        <v>0.55489999999999995</v>
      </c>
    </row>
    <row r="9" spans="1:64" x14ac:dyDescent="0.35">
      <c r="A9" s="102"/>
      <c r="B9" s="281"/>
      <c r="C9" s="29" t="s">
        <v>204</v>
      </c>
      <c r="D9" s="28">
        <v>2.3387606707166195E-3</v>
      </c>
      <c r="E9" s="46">
        <v>1.5231058939305156E-3</v>
      </c>
      <c r="F9" s="27">
        <v>8.2376846694710805E-4</v>
      </c>
      <c r="G9" s="98">
        <v>1.5618783438647477E-3</v>
      </c>
      <c r="H9" s="27">
        <v>3.5743774019665993E-4</v>
      </c>
      <c r="K9" s="28">
        <v>3.9151315387542657E-3</v>
      </c>
      <c r="L9" s="46">
        <v>1.7702994021282954E-3</v>
      </c>
      <c r="M9" s="27">
        <v>4.8111423116121944E-3</v>
      </c>
      <c r="N9" s="27">
        <v>3.4988577508315855E-3</v>
      </c>
      <c r="O9" s="98">
        <v>7.3660547255988151E-4</v>
      </c>
      <c r="P9" s="138">
        <f t="shared" ref="P9:P13" si="4">ROUND(_xlfn.T.TEST(D9:F9,K9:M9,2,2),4)</f>
        <v>0.12559999999999999</v>
      </c>
      <c r="R9" s="28">
        <v>3.7033564453514242E-3</v>
      </c>
      <c r="S9" s="46">
        <v>1.4774681756936654E-3</v>
      </c>
      <c r="T9" s="27">
        <v>1.8905446999841868E-3</v>
      </c>
      <c r="U9" s="98">
        <v>2.3571231070097587E-3</v>
      </c>
      <c r="V9" s="98">
        <v>5.5815493760482217E-4</v>
      </c>
      <c r="W9" s="138">
        <f t="shared" ref="W9:W19" si="5">ROUND(_xlfn.T.TEST(D9:F9,R9:T9,2,2),4)</f>
        <v>0.38269999999999998</v>
      </c>
      <c r="Y9" s="28">
        <v>2.7323538121142195E-3</v>
      </c>
      <c r="Z9" s="46">
        <v>8.5455028402248612E-4</v>
      </c>
      <c r="AA9" s="46">
        <v>1.1366138330902815E-3</v>
      </c>
      <c r="AB9" s="98">
        <v>1.5745059764089957E-3</v>
      </c>
      <c r="AC9" s="98">
        <v>4.773418689678251E-4</v>
      </c>
      <c r="AF9" s="28">
        <v>8.9242692295487787E-4</v>
      </c>
      <c r="AG9" s="46">
        <v>6.9319404468679046E-4</v>
      </c>
      <c r="AH9" s="46">
        <v>8.2275368646567029E-4</v>
      </c>
      <c r="AI9" s="98">
        <v>8.0279155136911287E-4</v>
      </c>
      <c r="AJ9" s="27">
        <v>4.7661538358061936E-5</v>
      </c>
      <c r="AK9" s="138">
        <f t="shared" ref="AK9:AK13" si="6">ROUND(_xlfn.T.TEST(Y9:AA9,AF9:AH9,2,2),4)</f>
        <v>0.25929999999999997</v>
      </c>
      <c r="AM9" s="28">
        <v>3.9827249666217539E-4</v>
      </c>
      <c r="AN9" s="46">
        <v>5.9707859098994287E-4</v>
      </c>
      <c r="AO9" s="27">
        <v>2.065993316250589E-3</v>
      </c>
      <c r="AP9" s="28">
        <v>1.0204481346342356E-3</v>
      </c>
      <c r="AQ9" s="98">
        <v>4.2940644069235464E-4</v>
      </c>
      <c r="AR9" s="138">
        <f t="shared" ref="AR9:AR19" si="7">ROUND(_xlfn.T.TEST(Y9:AA9,AM9:AO9,2,2),4)</f>
        <v>0.51990000000000003</v>
      </c>
      <c r="AS9" s="84"/>
      <c r="AT9" s="84"/>
      <c r="AU9" s="29">
        <v>6.4288812754697037E-4</v>
      </c>
      <c r="AV9" s="161">
        <v>8.8448887668527744E-4</v>
      </c>
      <c r="AW9" s="29">
        <f t="shared" ref="AW9:AW19" si="8">AVERAGE(AT9:AV9)</f>
        <v>7.6368850211612385E-4</v>
      </c>
      <c r="AX9" s="138">
        <f t="shared" ref="AX9:AX19" si="9">_xlfn.STDEV.P(AT9:AV9)/SQRT(COUNT(AT9:AV9))</f>
        <v>8.5418764027723427E-5</v>
      </c>
      <c r="AY9" s="102"/>
      <c r="AZ9" s="84"/>
      <c r="BA9" s="29">
        <v>1.7040466364393967E-3</v>
      </c>
      <c r="BB9" s="47">
        <v>5.7138879996477534E-3</v>
      </c>
      <c r="BC9" s="40">
        <f t="shared" si="0"/>
        <v>3.7089673180435751E-3</v>
      </c>
      <c r="BD9" s="133">
        <f t="shared" si="1"/>
        <v>1.4176930097034694E-3</v>
      </c>
      <c r="BE9" s="138">
        <f t="shared" ref="BE9:BE19" si="10">ROUND(_xlfn.T.TEST(AU9:AV9,BA9:BB9,2,2),4)</f>
        <v>0.2802</v>
      </c>
      <c r="BF9" s="102"/>
      <c r="BG9" s="29">
        <v>4.0426042073054419E-4</v>
      </c>
      <c r="BH9" s="47">
        <v>1.1893178716769245E-3</v>
      </c>
      <c r="BI9" s="40">
        <f t="shared" si="2"/>
        <v>2.6974059775147066E-2</v>
      </c>
      <c r="BJ9" s="133">
        <f t="shared" si="3"/>
        <v>2.4148836653953922E-2</v>
      </c>
      <c r="BK9" s="138">
        <f t="shared" ref="BK9:BK19" si="11">ROUND(_xlfn.T.TEST(AU9:AV9,BG9:BH9,2,2),4)</f>
        <v>0.94310000000000005</v>
      </c>
    </row>
    <row r="10" spans="1:64" x14ac:dyDescent="0.35">
      <c r="A10" s="102"/>
      <c r="B10" s="281"/>
      <c r="C10" s="29" t="s">
        <v>266</v>
      </c>
      <c r="D10" s="28">
        <v>1.2114882079405362E-3</v>
      </c>
      <c r="E10" s="46">
        <v>8.1528680112461654E-4</v>
      </c>
      <c r="F10" s="27">
        <v>1.3480774931347549E-3</v>
      </c>
      <c r="G10" s="98">
        <v>1.1249508340666358E-3</v>
      </c>
      <c r="H10" s="27">
        <v>1.3045477562989146E-4</v>
      </c>
      <c r="K10" s="28">
        <v>8.6619823660171302E-3</v>
      </c>
      <c r="L10" s="46">
        <v>1.9245105293183046E-2</v>
      </c>
      <c r="M10" s="27">
        <v>3.9605013660782777E-2</v>
      </c>
      <c r="N10" s="27">
        <v>2.2504033773327648E-2</v>
      </c>
      <c r="O10" s="98">
        <v>7.4136998943582638E-3</v>
      </c>
      <c r="P10" s="138">
        <f t="shared" si="4"/>
        <v>7.8200000000000006E-2</v>
      </c>
      <c r="R10" s="28">
        <v>1.1532453862265429E-2</v>
      </c>
      <c r="S10" s="46">
        <v>1.4920714055643764E-2</v>
      </c>
      <c r="T10" s="27">
        <v>3.0262456111359682E-2</v>
      </c>
      <c r="U10" s="98">
        <v>1.8905208009756289E-2</v>
      </c>
      <c r="V10" s="98">
        <v>4.7048530527421866E-3</v>
      </c>
      <c r="W10" s="215">
        <f t="shared" si="5"/>
        <v>3.6799999999999999E-2</v>
      </c>
      <c r="Y10" s="28">
        <v>1.4116464496358079E-3</v>
      </c>
      <c r="Z10" s="46">
        <v>1.5567106168713183E-3</v>
      </c>
      <c r="AA10" s="46">
        <v>1.2770361447166029E-3</v>
      </c>
      <c r="AB10" s="98">
        <v>1.4151310704079098E-3</v>
      </c>
      <c r="AC10" s="98">
        <v>6.5935253646114757E-5</v>
      </c>
      <c r="AF10" s="28">
        <v>1.0011099539906998E-2</v>
      </c>
      <c r="AG10" s="46">
        <v>7.3244105444678076E-3</v>
      </c>
      <c r="AH10" s="46">
        <v>1.0657999735527522E-2</v>
      </c>
      <c r="AI10" s="98">
        <v>9.3311699399674427E-3</v>
      </c>
      <c r="AJ10" s="27">
        <v>8.333243225303518E-4</v>
      </c>
      <c r="AK10" s="215">
        <f t="shared" si="6"/>
        <v>1.5E-3</v>
      </c>
      <c r="AM10" s="28">
        <v>5.5827956946611018E-3</v>
      </c>
      <c r="AN10" s="46">
        <v>1.0004088500872411E-2</v>
      </c>
      <c r="AO10" s="27">
        <v>1.6300392725752885E-2</v>
      </c>
      <c r="AP10" s="28">
        <v>1.0629092307095467E-2</v>
      </c>
      <c r="AQ10" s="98">
        <v>2.5390152880622316E-3</v>
      </c>
      <c r="AR10" s="215">
        <f t="shared" si="7"/>
        <v>4.1500000000000002E-2</v>
      </c>
      <c r="AS10" s="84"/>
      <c r="AT10" s="84"/>
      <c r="AU10" s="29">
        <v>4.3652968568362875E-4</v>
      </c>
      <c r="AV10" s="161">
        <v>1.024712399496016E-3</v>
      </c>
      <c r="AW10" s="29">
        <f t="shared" si="8"/>
        <v>7.3062104258982239E-4</v>
      </c>
      <c r="AX10" s="138">
        <f t="shared" si="9"/>
        <v>2.079539927567227E-4</v>
      </c>
      <c r="AY10" s="102"/>
      <c r="AZ10" s="84"/>
      <c r="BA10" s="29">
        <v>2.4130932949059419E-2</v>
      </c>
      <c r="BB10" s="47">
        <v>1.1419521044896762E-2</v>
      </c>
      <c r="BC10" s="40">
        <f t="shared" si="0"/>
        <v>1.7775226996978089E-2</v>
      </c>
      <c r="BD10" s="133">
        <f t="shared" si="1"/>
        <v>4.4941627779444115E-3</v>
      </c>
      <c r="BE10" s="138">
        <f t="shared" si="10"/>
        <v>0.1157</v>
      </c>
      <c r="BF10" s="102"/>
      <c r="BG10" s="29">
        <v>4.0739201315150783E-3</v>
      </c>
      <c r="BH10" s="47">
        <v>4.5275731465481712E-3</v>
      </c>
      <c r="BI10" s="40">
        <f t="shared" si="2"/>
        <v>1.6774650378860737E-2</v>
      </c>
      <c r="BJ10" s="133">
        <f t="shared" si="3"/>
        <v>9.6974858804423861E-3</v>
      </c>
      <c r="BK10" s="215">
        <f t="shared" si="11"/>
        <v>1.06E-2</v>
      </c>
    </row>
    <row r="11" spans="1:64" x14ac:dyDescent="0.35">
      <c r="A11" s="102"/>
      <c r="B11" s="281"/>
      <c r="C11" s="29" t="s">
        <v>127</v>
      </c>
      <c r="D11" s="28">
        <v>4.0816881225346179E-3</v>
      </c>
      <c r="E11" s="46">
        <v>2.0570449696342371E-3</v>
      </c>
      <c r="F11" s="27">
        <v>1.90964876964627E-3</v>
      </c>
      <c r="G11" s="98">
        <v>2.6827939539383751E-3</v>
      </c>
      <c r="H11" s="27">
        <v>5.7215189924474368E-4</v>
      </c>
      <c r="K11" s="28">
        <v>4.0702548662703314E-2</v>
      </c>
      <c r="L11" s="46">
        <v>0.13230162329772302</v>
      </c>
      <c r="M11" s="27">
        <v>5.2611904967432961E-2</v>
      </c>
      <c r="N11" s="27">
        <v>7.5205358975953096E-2</v>
      </c>
      <c r="O11" s="98">
        <v>2.3477865422205254E-2</v>
      </c>
      <c r="P11" s="138">
        <f t="shared" si="4"/>
        <v>6.5299999999999997E-2</v>
      </c>
      <c r="R11" s="28">
        <v>2.7209735897439885E-2</v>
      </c>
      <c r="S11" s="46">
        <v>6.5634819995695273E-2</v>
      </c>
      <c r="T11" s="27">
        <v>3.9825603855297598E-2</v>
      </c>
      <c r="U11" s="98">
        <v>4.4223386582810921E-2</v>
      </c>
      <c r="V11" s="98">
        <v>9.2331184292476914E-3</v>
      </c>
      <c r="W11" s="215">
        <f t="shared" si="5"/>
        <v>2.1499999999999998E-2</v>
      </c>
      <c r="Y11" s="28">
        <v>2.8854411250741688E-3</v>
      </c>
      <c r="Z11" s="46">
        <v>4.6133591748946804E-3</v>
      </c>
      <c r="AA11" s="46">
        <v>2.6207910974906635E-3</v>
      </c>
      <c r="AB11" s="98">
        <v>3.3731971324865041E-3</v>
      </c>
      <c r="AC11" s="98">
        <v>5.1012227898972131E-4</v>
      </c>
      <c r="AF11" s="28">
        <v>6.6628486330960066E-2</v>
      </c>
      <c r="AG11" s="46">
        <v>7.4035796088418274E-2</v>
      </c>
      <c r="AH11" s="46">
        <v>2.8383702841839737E-2</v>
      </c>
      <c r="AI11" s="98">
        <v>5.6349328420406027E-2</v>
      </c>
      <c r="AJ11" s="27">
        <v>1.1549643765176427E-2</v>
      </c>
      <c r="AK11" s="215">
        <f t="shared" si="6"/>
        <v>2.01E-2</v>
      </c>
      <c r="AM11" s="28">
        <v>4.3511283387570966E-2</v>
      </c>
      <c r="AN11" s="46">
        <v>6.2674223231061796E-2</v>
      </c>
      <c r="AO11" s="27">
        <v>3.4643855616498583E-2</v>
      </c>
      <c r="AP11" s="28">
        <v>4.6943120745043782E-2</v>
      </c>
      <c r="AQ11" s="98">
        <v>6.7537398345574708E-3</v>
      </c>
      <c r="AR11" s="215">
        <f t="shared" si="7"/>
        <v>6.3E-3</v>
      </c>
      <c r="AS11" s="84"/>
      <c r="AT11" s="84"/>
      <c r="AU11" s="29">
        <v>2.5662732331869272E-3</v>
      </c>
      <c r="AV11" s="161">
        <v>2.7103846189586618E-3</v>
      </c>
      <c r="AW11" s="29">
        <f t="shared" si="8"/>
        <v>2.6383289260727945E-3</v>
      </c>
      <c r="AX11" s="138">
        <f t="shared" si="9"/>
        <v>5.0951069062692028E-5</v>
      </c>
      <c r="AY11" s="102"/>
      <c r="AZ11" s="84"/>
      <c r="BA11" s="29">
        <v>3.5657864498723518E-2</v>
      </c>
      <c r="BB11" s="47">
        <v>5.9132050360748589E-2</v>
      </c>
      <c r="BC11" s="40">
        <f t="shared" si="0"/>
        <v>4.7394957429736054E-2</v>
      </c>
      <c r="BD11" s="133">
        <f t="shared" si="1"/>
        <v>8.2993780029356531E-3</v>
      </c>
      <c r="BE11" s="138">
        <f t="shared" si="10"/>
        <v>6.2399999999999997E-2</v>
      </c>
      <c r="BF11" s="102"/>
      <c r="BG11" s="29">
        <v>2.4169764279147254E-2</v>
      </c>
      <c r="BH11" s="47">
        <v>1.2035231526136175E-2</v>
      </c>
      <c r="BI11" s="40">
        <f t="shared" si="2"/>
        <v>2.3368653085882572E-2</v>
      </c>
      <c r="BJ11" s="133">
        <f t="shared" si="3"/>
        <v>6.8754507288864763E-3</v>
      </c>
      <c r="BK11" s="138">
        <f t="shared" si="11"/>
        <v>0.12559999999999999</v>
      </c>
    </row>
    <row r="12" spans="1:64" x14ac:dyDescent="0.35">
      <c r="A12" s="102"/>
      <c r="B12" s="281"/>
      <c r="C12" s="29" t="s">
        <v>128</v>
      </c>
      <c r="D12" s="28">
        <v>1.6413270612255762E-3</v>
      </c>
      <c r="E12" s="46">
        <v>9.8531803151180879E-4</v>
      </c>
      <c r="F12" s="27">
        <v>1.9240683253355926E-3</v>
      </c>
      <c r="G12" s="98">
        <v>1.5169044726909926E-3</v>
      </c>
      <c r="H12" s="27">
        <v>2.2702117568475355E-4</v>
      </c>
      <c r="K12" s="28">
        <v>8.9813967232028023E-3</v>
      </c>
      <c r="L12" s="46">
        <v>7.4664680387561133E-2</v>
      </c>
      <c r="M12" s="27">
        <v>4.1001147447192743E-2</v>
      </c>
      <c r="N12" s="27">
        <v>4.1549074852652225E-2</v>
      </c>
      <c r="O12" s="98">
        <v>1.5483314363564848E-2</v>
      </c>
      <c r="P12" s="138">
        <f t="shared" si="4"/>
        <v>0.1024</v>
      </c>
      <c r="R12" s="28">
        <v>1.310102353433768E-2</v>
      </c>
      <c r="S12" s="46">
        <v>3.0594889512375947E-2</v>
      </c>
      <c r="T12" s="27">
        <v>2.6591935942266668E-2</v>
      </c>
      <c r="U12" s="98">
        <v>2.3429282996326767E-2</v>
      </c>
      <c r="V12" s="98">
        <v>4.3207668289767945E-3</v>
      </c>
      <c r="W12" s="215">
        <f t="shared" si="5"/>
        <v>1.44E-2</v>
      </c>
      <c r="Y12" s="28">
        <v>2.4772409258674798E-3</v>
      </c>
      <c r="Z12" s="46">
        <v>1.7555481261643557E-3</v>
      </c>
      <c r="AA12" s="46">
        <v>1.6614520955965564E-3</v>
      </c>
      <c r="AB12" s="98">
        <v>1.964747049209464E-3</v>
      </c>
      <c r="AC12" s="98">
        <v>2.1039697713878624E-4</v>
      </c>
      <c r="AF12" s="28">
        <v>1.6207969595276168E-2</v>
      </c>
      <c r="AG12" s="46">
        <v>3.4204986057828866E-2</v>
      </c>
      <c r="AH12" s="46">
        <v>9.1698944181210756E-3</v>
      </c>
      <c r="AI12" s="98">
        <v>1.9860950023742038E-2</v>
      </c>
      <c r="AJ12" s="27">
        <v>6.086362768247781E-3</v>
      </c>
      <c r="AK12" s="138">
        <f t="shared" si="6"/>
        <v>7.4399999999999994E-2</v>
      </c>
      <c r="AM12" s="28">
        <v>2.1258788511165392E-2</v>
      </c>
      <c r="AN12" s="46">
        <v>3.8909415964110357E-2</v>
      </c>
      <c r="AO12" s="27">
        <v>1.7212566102120654E-2</v>
      </c>
      <c r="AP12" s="28">
        <v>2.5793590192465469E-2</v>
      </c>
      <c r="AQ12" s="98">
        <v>5.4387834260567263E-3</v>
      </c>
      <c r="AR12" s="215">
        <f t="shared" si="7"/>
        <v>2.3300000000000001E-2</v>
      </c>
      <c r="AS12" s="84"/>
      <c r="AT12" s="84"/>
      <c r="AU12" s="29">
        <v>1.0947137587737534E-3</v>
      </c>
      <c r="AV12" s="161">
        <v>1.6394392063038166E-3</v>
      </c>
      <c r="AW12" s="29">
        <f t="shared" si="8"/>
        <v>1.367076482538785E-3</v>
      </c>
      <c r="AX12" s="138">
        <f t="shared" si="9"/>
        <v>1.9258952891669227E-4</v>
      </c>
      <c r="AY12" s="102"/>
      <c r="AZ12" s="84"/>
      <c r="BA12" s="29">
        <v>2.2709143507925755E-2</v>
      </c>
      <c r="BB12" s="47">
        <v>1.0000905313328626E-2</v>
      </c>
      <c r="BC12" s="40">
        <f t="shared" si="0"/>
        <v>1.6355024410627191E-2</v>
      </c>
      <c r="BD12" s="133">
        <f t="shared" si="1"/>
        <v>4.4930407021667547E-3</v>
      </c>
      <c r="BE12" s="138">
        <f t="shared" si="10"/>
        <v>0.14249999999999999</v>
      </c>
      <c r="BF12" s="102"/>
      <c r="BG12" s="29">
        <v>1.2746838087187962E-2</v>
      </c>
      <c r="BH12" s="47">
        <v>4.5962454862098828E-3</v>
      </c>
      <c r="BI12" s="40">
        <f t="shared" si="2"/>
        <v>1.9790456043998109E-2</v>
      </c>
      <c r="BJ12" s="133">
        <f t="shared" si="3"/>
        <v>1.1884695134485998E-2</v>
      </c>
      <c r="BK12" s="138">
        <f t="shared" si="11"/>
        <v>0.21560000000000001</v>
      </c>
    </row>
    <row r="13" spans="1:64" x14ac:dyDescent="0.35">
      <c r="A13" s="102"/>
      <c r="B13" s="282"/>
      <c r="C13" s="29" t="s">
        <v>129</v>
      </c>
      <c r="D13" s="28">
        <v>2.7477978996789786E-3</v>
      </c>
      <c r="E13" s="46">
        <v>2.3423561493533794E-3</v>
      </c>
      <c r="F13" s="27">
        <v>1.7443873494462445E-3</v>
      </c>
      <c r="G13" s="98">
        <v>2.278180466159534E-3</v>
      </c>
      <c r="H13" s="27">
        <v>2.3795287666755324E-4</v>
      </c>
      <c r="K13" s="25">
        <v>1.2501097543521578E-2</v>
      </c>
      <c r="L13" s="14">
        <v>2.4168851098360044E-2</v>
      </c>
      <c r="M13" s="17">
        <v>1.6376436604901432E-2</v>
      </c>
      <c r="N13" s="27">
        <v>1.7682128415594352E-2</v>
      </c>
      <c r="O13" s="98">
        <v>2.8012989678399113E-3</v>
      </c>
      <c r="P13" s="214">
        <f t="shared" si="4"/>
        <v>1.0999999999999999E-2</v>
      </c>
      <c r="R13" s="28">
        <v>1.5807661690855689E-2</v>
      </c>
      <c r="S13" s="46">
        <v>2.3779329862121779E-2</v>
      </c>
      <c r="T13" s="27">
        <v>1.4146328304490948E-2</v>
      </c>
      <c r="U13" s="98">
        <v>1.7911106619156139E-2</v>
      </c>
      <c r="V13" s="98">
        <v>2.4274833871556116E-3</v>
      </c>
      <c r="W13" s="215">
        <f t="shared" si="5"/>
        <v>6.4000000000000003E-3</v>
      </c>
      <c r="Y13" s="25">
        <v>6.674017259507164E-3</v>
      </c>
      <c r="Z13" s="14">
        <v>2.6187728725486155E-3</v>
      </c>
      <c r="AA13" s="14">
        <v>1.9085559605663174E-3</v>
      </c>
      <c r="AB13" s="124">
        <v>3.7337820308740322E-3</v>
      </c>
      <c r="AC13" s="124">
        <v>1.2119625420768225E-3</v>
      </c>
      <c r="AF13" s="25">
        <v>9.2547494150337587E-3</v>
      </c>
      <c r="AG13" s="14">
        <v>3.9952243747359379E-3</v>
      </c>
      <c r="AH13" s="14">
        <v>3.7833099322655151E-3</v>
      </c>
      <c r="AI13" s="124">
        <v>5.6777612406784042E-3</v>
      </c>
      <c r="AJ13" s="17">
        <v>1.4611532912463681E-3</v>
      </c>
      <c r="AK13" s="139">
        <f t="shared" si="6"/>
        <v>0.4501</v>
      </c>
      <c r="AM13" s="28">
        <v>1.0503968692452681E-2</v>
      </c>
      <c r="AN13" s="46">
        <v>6.9730874190877092E-3</v>
      </c>
      <c r="AO13" s="27">
        <v>1.9625379251691053E-3</v>
      </c>
      <c r="AP13" s="28">
        <v>6.4798646789031647E-3</v>
      </c>
      <c r="AQ13" s="98">
        <v>2.0232790432942165E-3</v>
      </c>
      <c r="AR13" s="138">
        <f t="shared" si="7"/>
        <v>0.39560000000000001</v>
      </c>
      <c r="AS13" s="84"/>
      <c r="AT13" s="84"/>
      <c r="AU13" s="162">
        <v>2.105672076320095E-3</v>
      </c>
      <c r="AV13" s="164">
        <v>1.829449874012046E-3</v>
      </c>
      <c r="AW13" s="162">
        <f t="shared" si="8"/>
        <v>1.9675609751660704E-3</v>
      </c>
      <c r="AX13" s="139">
        <f t="shared" si="9"/>
        <v>9.7659296183151933E-5</v>
      </c>
      <c r="AY13" s="102"/>
      <c r="AZ13" s="84"/>
      <c r="BA13" s="162">
        <v>1.4036150561676064E-2</v>
      </c>
      <c r="BB13" s="163">
        <v>1.7384544112711252E-2</v>
      </c>
      <c r="BC13" s="44">
        <f t="shared" si="0"/>
        <v>1.5710347337193658E-2</v>
      </c>
      <c r="BD13" s="136">
        <f t="shared" si="1"/>
        <v>1.1838358930091426E-3</v>
      </c>
      <c r="BE13" s="215">
        <f t="shared" si="10"/>
        <v>1.46E-2</v>
      </c>
      <c r="BF13" s="102"/>
      <c r="BG13" s="162">
        <v>8.619432248022002E-3</v>
      </c>
      <c r="BH13" s="163">
        <v>2.8386119790562818E-3</v>
      </c>
      <c r="BI13" s="44">
        <f t="shared" si="2"/>
        <v>7.30666039575907E-3</v>
      </c>
      <c r="BJ13" s="136">
        <f t="shared" si="3"/>
        <v>1.9653320444851887E-3</v>
      </c>
      <c r="BK13" s="138">
        <f t="shared" si="11"/>
        <v>0.32329999999999998</v>
      </c>
    </row>
    <row r="14" spans="1:64" ht="15" customHeight="1" x14ac:dyDescent="0.35">
      <c r="A14" s="102"/>
      <c r="B14" s="280" t="s">
        <v>224</v>
      </c>
      <c r="C14" s="158" t="s">
        <v>203</v>
      </c>
      <c r="D14" s="36">
        <v>2.7471890184763829E-3</v>
      </c>
      <c r="E14" s="37">
        <v>1.5028023021318489E-4</v>
      </c>
      <c r="F14" s="19">
        <v>2.6964884844423977E-4</v>
      </c>
      <c r="G14" s="96">
        <v>1.0557060323779358E-3</v>
      </c>
      <c r="H14" s="19">
        <v>6.9111797287679507E-4</v>
      </c>
      <c r="K14" s="36">
        <v>1.970727080041109E-3</v>
      </c>
      <c r="L14" s="37">
        <v>5.3864542860710372E-4</v>
      </c>
      <c r="M14" s="19">
        <v>7.9996789792921943E-4</v>
      </c>
      <c r="N14" s="96">
        <v>1.1031134688591442E-3</v>
      </c>
      <c r="O14" s="96">
        <v>3.5951739008296772E-4</v>
      </c>
      <c r="P14" s="133">
        <f>ROUND(_xlfn.T.TEST(D14:F14,K14:M14,2,2),4)</f>
        <v>0.96279999999999999</v>
      </c>
      <c r="R14" s="36">
        <v>3.3737443843597664E-3</v>
      </c>
      <c r="S14" s="37">
        <v>5.511306504691365E-4</v>
      </c>
      <c r="T14" s="19">
        <v>1.0656003738904634E-3</v>
      </c>
      <c r="U14" s="96">
        <v>1.6634918029064555E-3</v>
      </c>
      <c r="V14" s="96">
        <v>7.0865956304923391E-4</v>
      </c>
      <c r="W14" s="137">
        <f t="shared" si="5"/>
        <v>0.64249999999999996</v>
      </c>
      <c r="Y14" s="28">
        <v>2.4828573734103883E-3</v>
      </c>
      <c r="Z14" s="46">
        <v>7.1481583241730007E-4</v>
      </c>
      <c r="AA14" s="46">
        <v>5.2266947380711411E-4</v>
      </c>
      <c r="AB14" s="98">
        <v>1.2401142265449341E-3</v>
      </c>
      <c r="AC14" s="98">
        <v>5.0936517190902056E-4</v>
      </c>
      <c r="AF14" s="36">
        <v>1.4710342621699309E-3</v>
      </c>
      <c r="AG14" s="37">
        <v>7.7254418164422192E-4</v>
      </c>
      <c r="AH14" s="19">
        <v>1.3372690434111114E-4</v>
      </c>
      <c r="AI14" s="98">
        <v>7.9243511605175466E-4</v>
      </c>
      <c r="AJ14" s="27">
        <v>3.1531095032592767E-4</v>
      </c>
      <c r="AK14" s="133">
        <f>ROUND(_xlfn.T.TEST(Y14:AA14,AF14:AH14,2,2),4)</f>
        <v>0.57469999999999999</v>
      </c>
      <c r="AM14" s="36">
        <v>7.7417154546959249E-4</v>
      </c>
      <c r="AN14" s="37">
        <v>1.0998198945937046E-3</v>
      </c>
      <c r="AO14" s="19">
        <v>1.623664086255899E-4</v>
      </c>
      <c r="AP14" s="36">
        <v>6.7878594956296244E-4</v>
      </c>
      <c r="AQ14" s="96">
        <v>2.2436506388685669E-4</v>
      </c>
      <c r="AR14" s="137">
        <f t="shared" si="7"/>
        <v>0.45650000000000002</v>
      </c>
      <c r="AS14" s="84"/>
      <c r="AT14" s="84"/>
      <c r="AU14" s="29">
        <v>5.4343197173660094E-4</v>
      </c>
      <c r="AV14" s="161">
        <v>4.0346495353556916E-4</v>
      </c>
      <c r="AW14" s="29">
        <f t="shared" si="8"/>
        <v>4.7344846263608505E-4</v>
      </c>
      <c r="AX14" s="138">
        <f t="shared" si="9"/>
        <v>4.9485813856205245E-5</v>
      </c>
      <c r="AY14" s="102"/>
      <c r="AZ14" s="84"/>
      <c r="BA14" s="158">
        <v>6.8660136529754244E-3</v>
      </c>
      <c r="BB14" s="159">
        <v>1.343814249498654E-3</v>
      </c>
      <c r="BC14" s="168">
        <f t="shared" ref="BC14:BC19" si="12">AVERAGE(AZ14:BB14)</f>
        <v>4.1049139512370388E-3</v>
      </c>
      <c r="BD14" s="130">
        <f t="shared" ref="BD14:BD19" si="13">_xlfn.STDEV.P(AZ14:BB14)/SQRT(COUNT(AZ14:BB14))</f>
        <v>1.9523923226313666E-3</v>
      </c>
      <c r="BE14" s="137">
        <f t="shared" si="10"/>
        <v>0.31909999999999999</v>
      </c>
      <c r="BF14" s="102"/>
      <c r="BG14" s="29">
        <v>1.6004662560767239E-4</v>
      </c>
      <c r="BH14" s="47">
        <v>2.4228410669887031E-4</v>
      </c>
      <c r="BI14" s="40">
        <f t="shared" si="2"/>
        <v>3.0476299646401219E-2</v>
      </c>
      <c r="BJ14" s="133">
        <f t="shared" si="3"/>
        <v>2.7525845993127001E-2</v>
      </c>
      <c r="BK14" s="137">
        <f t="shared" si="11"/>
        <v>7.85E-2</v>
      </c>
    </row>
    <row r="15" spans="1:64" x14ac:dyDescent="0.35">
      <c r="A15" s="102"/>
      <c r="B15" s="281"/>
      <c r="C15" s="29" t="s">
        <v>204</v>
      </c>
      <c r="D15" s="28">
        <v>2.0529028303671757E-3</v>
      </c>
      <c r="E15" s="46">
        <v>4.7489423610220453E-4</v>
      </c>
      <c r="F15" s="27">
        <v>4.8104457041921476E-4</v>
      </c>
      <c r="G15" s="98">
        <v>1.0029472122961983E-3</v>
      </c>
      <c r="H15" s="27">
        <v>4.2864503745125858E-4</v>
      </c>
      <c r="K15" s="28">
        <v>2.8897994736117347E-3</v>
      </c>
      <c r="L15" s="46">
        <v>4.2529828468767925E-4</v>
      </c>
      <c r="M15" s="27">
        <v>1.7220492178123049E-4</v>
      </c>
      <c r="N15" s="98">
        <v>1.1624342266935482E-3</v>
      </c>
      <c r="O15" s="98">
        <v>7.0771260406441653E-4</v>
      </c>
      <c r="P15" s="133">
        <f t="shared" ref="P15:P19" si="14">ROUND(_xlfn.T.TEST(D15:F15,K15:M15,2,2),4)</f>
        <v>0.88260000000000005</v>
      </c>
      <c r="R15" s="28">
        <v>1.6833484290620976E-3</v>
      </c>
      <c r="S15" s="46">
        <v>7.275340063754187E-4</v>
      </c>
      <c r="T15" s="27">
        <v>1.3414868377495004E-3</v>
      </c>
      <c r="U15" s="98">
        <v>1.2507897577290056E-3</v>
      </c>
      <c r="V15" s="98">
        <v>2.2831010728449066E-4</v>
      </c>
      <c r="W15" s="138">
        <f t="shared" si="5"/>
        <v>0.69830000000000003</v>
      </c>
      <c r="Y15" s="28">
        <v>2.9861973187733713E-3</v>
      </c>
      <c r="Z15" s="46">
        <v>1.0160001467430292E-3</v>
      </c>
      <c r="AA15" s="46">
        <v>4.2767682971188453E-4</v>
      </c>
      <c r="AB15" s="98">
        <v>1.4766247650760949E-3</v>
      </c>
      <c r="AC15" s="98">
        <v>6.3168875115267537E-4</v>
      </c>
      <c r="AF15" s="28">
        <v>2.2357897745643915E-3</v>
      </c>
      <c r="AG15" s="46">
        <v>7.0612808162975535E-4</v>
      </c>
      <c r="AH15" s="27">
        <v>4.1824964556416765E-4</v>
      </c>
      <c r="AI15" s="98">
        <v>1.1200558339194381E-3</v>
      </c>
      <c r="AJ15" s="27">
        <v>4.6052269052994539E-4</v>
      </c>
      <c r="AK15" s="133">
        <f t="shared" ref="AK15:AK19" si="15">ROUND(_xlfn.T.TEST(Y15:AA15,AF15:AH15,2,2),4)</f>
        <v>0.72850000000000004</v>
      </c>
      <c r="AM15" s="28">
        <v>9.6843808119049905E-4</v>
      </c>
      <c r="AN15" s="46">
        <v>1.6569671341927752E-4</v>
      </c>
      <c r="AO15" s="27">
        <v>4.5312610141048584E-4</v>
      </c>
      <c r="AP15" s="28">
        <v>5.290869653400875E-4</v>
      </c>
      <c r="AQ15" s="98">
        <v>1.9173243249643584E-4</v>
      </c>
      <c r="AR15" s="138">
        <f t="shared" si="7"/>
        <v>0.30630000000000002</v>
      </c>
      <c r="AS15" s="84"/>
      <c r="AT15" s="84"/>
      <c r="AU15" s="29">
        <v>7.1555494989708859E-4</v>
      </c>
      <c r="AV15" s="161">
        <v>5.8308517004743209E-4</v>
      </c>
      <c r="AW15" s="29">
        <f t="shared" si="8"/>
        <v>6.4932005997226034E-4</v>
      </c>
      <c r="AX15" s="138">
        <f t="shared" si="9"/>
        <v>4.6835139816990588E-5</v>
      </c>
      <c r="AY15" s="102"/>
      <c r="AZ15" s="84"/>
      <c r="BA15" s="29">
        <v>1.8815089735100185E-3</v>
      </c>
      <c r="BB15" s="47">
        <v>8.3972912479083608E-4</v>
      </c>
      <c r="BC15" s="40">
        <f t="shared" si="12"/>
        <v>1.3606190491504272E-3</v>
      </c>
      <c r="BD15" s="133">
        <f t="shared" si="13"/>
        <v>3.6832479776641473E-4</v>
      </c>
      <c r="BE15" s="138">
        <f t="shared" si="10"/>
        <v>0.30830000000000002</v>
      </c>
      <c r="BF15" s="102"/>
      <c r="BG15" s="29">
        <v>8.2054661224397743E-4</v>
      </c>
      <c r="BH15" s="47">
        <v>4.6482616408112146E-4</v>
      </c>
      <c r="BI15" s="40">
        <f t="shared" si="2"/>
        <v>2.8730031821934232E-2</v>
      </c>
      <c r="BJ15" s="133">
        <f t="shared" si="3"/>
        <v>2.6656325956340175E-2</v>
      </c>
      <c r="BK15" s="138">
        <f t="shared" si="11"/>
        <v>0.97529999999999994</v>
      </c>
    </row>
    <row r="16" spans="1:64" x14ac:dyDescent="0.35">
      <c r="A16" s="102"/>
      <c r="B16" s="281"/>
      <c r="C16" s="29" t="s">
        <v>266</v>
      </c>
      <c r="D16" s="28">
        <v>4.6472099683565471E-3</v>
      </c>
      <c r="E16" s="46">
        <v>6.0031313419081254E-4</v>
      </c>
      <c r="F16" s="27">
        <v>9.056057581521632E-4</v>
      </c>
      <c r="G16" s="98">
        <v>2.0510429535665078E-3</v>
      </c>
      <c r="H16" s="27">
        <v>1.0623206539431774E-3</v>
      </c>
      <c r="K16" s="28">
        <v>6.6068594302684828E-3</v>
      </c>
      <c r="L16" s="46">
        <v>2.4647828953649406E-3</v>
      </c>
      <c r="M16" s="27">
        <v>2.5201541255160608E-3</v>
      </c>
      <c r="N16" s="98">
        <v>3.8639321503831617E-3</v>
      </c>
      <c r="O16" s="98">
        <v>1.1198714251929331E-3</v>
      </c>
      <c r="P16" s="133">
        <f t="shared" si="14"/>
        <v>0.39190000000000003</v>
      </c>
      <c r="R16" s="28">
        <v>5.4965938048268034E-3</v>
      </c>
      <c r="S16" s="46">
        <v>3.8622658803462548E-3</v>
      </c>
      <c r="T16" s="27">
        <v>3.4730694267889853E-3</v>
      </c>
      <c r="U16" s="98">
        <v>4.2773097039873476E-3</v>
      </c>
      <c r="V16" s="98">
        <v>5.0615297616987492E-4</v>
      </c>
      <c r="W16" s="138">
        <f t="shared" si="5"/>
        <v>0.1973</v>
      </c>
      <c r="Y16" s="28">
        <v>7.695332388084411E-3</v>
      </c>
      <c r="Z16" s="46">
        <v>2.3037529634122884E-3</v>
      </c>
      <c r="AA16" s="46">
        <v>6.6176978980789778E-4</v>
      </c>
      <c r="AB16" s="98">
        <v>3.5536183804348656E-3</v>
      </c>
      <c r="AC16" s="98">
        <v>1.7345747718722384E-3</v>
      </c>
      <c r="AF16" s="28">
        <v>2.5997464101547773E-3</v>
      </c>
      <c r="AG16" s="46">
        <v>9.1200837612304218E-6</v>
      </c>
      <c r="AH16" s="27">
        <v>1.1100330712540184E-3</v>
      </c>
      <c r="AI16" s="98">
        <v>1.2396331883900086E-3</v>
      </c>
      <c r="AJ16" s="27">
        <v>6.1290443944696227E-4</v>
      </c>
      <c r="AK16" s="133">
        <f t="shared" si="15"/>
        <v>0.36249999999999999</v>
      </c>
      <c r="AM16" s="28">
        <v>3.3662446139065831E-3</v>
      </c>
      <c r="AN16" s="46">
        <v>3.726306965576397E-3</v>
      </c>
      <c r="AO16" s="27">
        <v>1.7167589203303877E-3</v>
      </c>
      <c r="AP16" s="28">
        <v>2.9364368332711224E-3</v>
      </c>
      <c r="AQ16" s="98">
        <v>5.0511206298076942E-4</v>
      </c>
      <c r="AR16" s="138">
        <f t="shared" si="7"/>
        <v>0.79410000000000003</v>
      </c>
      <c r="AS16" s="84"/>
      <c r="AT16" s="84"/>
      <c r="AU16" s="29">
        <v>3.2334546355170462E-4</v>
      </c>
      <c r="AV16" s="161">
        <v>2.1350745399262825E-4</v>
      </c>
      <c r="AW16" s="29">
        <f t="shared" si="8"/>
        <v>2.6842645877216641E-4</v>
      </c>
      <c r="AX16" s="138">
        <f t="shared" si="9"/>
        <v>3.8833600695627861E-5</v>
      </c>
      <c r="AY16" s="102"/>
      <c r="AZ16" s="84"/>
      <c r="BA16" s="29">
        <v>5.4483980046388623E-3</v>
      </c>
      <c r="BB16" s="47">
        <v>3.971589703494682E-3</v>
      </c>
      <c r="BC16" s="40">
        <f t="shared" si="12"/>
        <v>4.7099938540667722E-3</v>
      </c>
      <c r="BD16" s="133">
        <f t="shared" si="13"/>
        <v>5.2213058212581737E-4</v>
      </c>
      <c r="BE16" s="215">
        <f t="shared" si="10"/>
        <v>2.6700000000000002E-2</v>
      </c>
      <c r="BF16" s="102"/>
      <c r="BG16" s="29">
        <v>1.3680514409476995E-3</v>
      </c>
      <c r="BH16" s="47">
        <v>1.1238549302223025E-3</v>
      </c>
      <c r="BI16" s="40">
        <f t="shared" si="2"/>
        <v>4.062557408409842E-3</v>
      </c>
      <c r="BJ16" s="133">
        <f t="shared" si="3"/>
        <v>2.2316569865142451E-3</v>
      </c>
      <c r="BK16" s="215">
        <f t="shared" si="11"/>
        <v>1.8200000000000001E-2</v>
      </c>
    </row>
    <row r="17" spans="1:63" x14ac:dyDescent="0.35">
      <c r="A17" s="102"/>
      <c r="B17" s="281"/>
      <c r="C17" s="29" t="s">
        <v>127</v>
      </c>
      <c r="D17" s="28">
        <v>3.6048713616427743E-3</v>
      </c>
      <c r="E17" s="46">
        <v>6.1695478589751196E-4</v>
      </c>
      <c r="F17" s="27">
        <v>7.5208979549016934E-4</v>
      </c>
      <c r="G17" s="98">
        <v>1.6579719810101519E-3</v>
      </c>
      <c r="H17" s="27">
        <v>7.9545630041786826E-4</v>
      </c>
      <c r="K17" s="28">
        <v>7.7519565211322588E-3</v>
      </c>
      <c r="L17" s="46">
        <v>5.550889713733056E-3</v>
      </c>
      <c r="M17" s="27">
        <v>6.430895029175078E-3</v>
      </c>
      <c r="N17" s="98">
        <v>6.5779137546801312E-3</v>
      </c>
      <c r="O17" s="98">
        <v>5.2225678058371032E-4</v>
      </c>
      <c r="P17" s="172">
        <f t="shared" si="14"/>
        <v>1.35E-2</v>
      </c>
      <c r="R17" s="28">
        <v>1.3940479925636998E-2</v>
      </c>
      <c r="S17" s="46">
        <v>7.3576301274556099E-3</v>
      </c>
      <c r="T17" s="27">
        <v>7.9818949941435052E-3</v>
      </c>
      <c r="U17" s="98">
        <v>9.7600016824120391E-3</v>
      </c>
      <c r="V17" s="98">
        <v>1.7130042104445337E-3</v>
      </c>
      <c r="W17" s="215">
        <f t="shared" si="5"/>
        <v>2.4799999999999999E-2</v>
      </c>
      <c r="Y17" s="28">
        <v>6.4755963565080168E-3</v>
      </c>
      <c r="Z17" s="46">
        <v>1.5006232268458041E-4</v>
      </c>
      <c r="AA17" s="46">
        <v>8.3055739751045565E-4</v>
      </c>
      <c r="AB17" s="98">
        <v>2.4854053589010178E-3</v>
      </c>
      <c r="AC17" s="98">
        <v>1.636866011943659E-3</v>
      </c>
      <c r="AF17" s="28">
        <v>1.4731225455926896E-2</v>
      </c>
      <c r="AG17" s="46">
        <v>2.1727314240775022E-2</v>
      </c>
      <c r="AH17" s="27">
        <v>4.1464494787059559E-3</v>
      </c>
      <c r="AI17" s="98">
        <v>1.3534996391802624E-2</v>
      </c>
      <c r="AJ17" s="27">
        <v>4.1725271965276315E-3</v>
      </c>
      <c r="AK17" s="133">
        <f t="shared" si="15"/>
        <v>0.1144</v>
      </c>
      <c r="AM17" s="28">
        <v>1.7522061057284748E-2</v>
      </c>
      <c r="AN17" s="46">
        <v>9.7345437745057686E-3</v>
      </c>
      <c r="AO17" s="27">
        <v>9.6428337613790448E-3</v>
      </c>
      <c r="AP17" s="28">
        <v>1.2299812864389853E-2</v>
      </c>
      <c r="AQ17" s="98">
        <v>2.132083478810361E-3</v>
      </c>
      <c r="AR17" s="215">
        <f t="shared" si="7"/>
        <v>4.07E-2</v>
      </c>
      <c r="AS17" s="84"/>
      <c r="AT17" s="84"/>
      <c r="AU17" s="29">
        <v>6.6867654320051549E-4</v>
      </c>
      <c r="AV17" s="161">
        <v>1.7691510222228352E-4</v>
      </c>
      <c r="AW17" s="29">
        <f t="shared" si="8"/>
        <v>4.227958227113995E-4</v>
      </c>
      <c r="AX17" s="138">
        <f t="shared" si="9"/>
        <v>1.7386392482088799E-4</v>
      </c>
      <c r="AY17" s="102"/>
      <c r="AZ17" s="84"/>
      <c r="BA17" s="29">
        <v>1.4312043615519668E-2</v>
      </c>
      <c r="BB17" s="47">
        <v>9.3228142512610506E-3</v>
      </c>
      <c r="BC17" s="40">
        <f t="shared" si="12"/>
        <v>1.1817428933390359E-2</v>
      </c>
      <c r="BD17" s="133">
        <f t="shared" si="13"/>
        <v>1.7639589581811578E-3</v>
      </c>
      <c r="BE17" s="215">
        <f t="shared" si="10"/>
        <v>4.5100000000000001E-2</v>
      </c>
      <c r="BF17" s="102"/>
      <c r="BG17" s="29">
        <v>2.3853886429043131E-3</v>
      </c>
      <c r="BH17" s="47">
        <v>1.5384317854079687E-3</v>
      </c>
      <c r="BI17" s="40">
        <f t="shared" si="2"/>
        <v>7.9711197799654174E-3</v>
      </c>
      <c r="BJ17" s="133">
        <f t="shared" si="3"/>
        <v>3.8336705793057205E-3</v>
      </c>
      <c r="BK17" s="138">
        <f t="shared" si="11"/>
        <v>8.8099999999999998E-2</v>
      </c>
    </row>
    <row r="18" spans="1:63" x14ac:dyDescent="0.35">
      <c r="A18" s="102"/>
      <c r="B18" s="281"/>
      <c r="C18" s="29" t="s">
        <v>128</v>
      </c>
      <c r="D18" s="28">
        <v>3.5540062096997747E-3</v>
      </c>
      <c r="E18" s="46">
        <v>3.6057833808398124E-4</v>
      </c>
      <c r="F18" s="27">
        <v>9.8448607126277576E-4</v>
      </c>
      <c r="G18" s="98">
        <v>1.6330235396821774E-3</v>
      </c>
      <c r="H18" s="27">
        <v>7.9790643126748009E-4</v>
      </c>
      <c r="K18" s="28">
        <v>3.3934383411289099E-2</v>
      </c>
      <c r="L18" s="46">
        <v>7.7569886708485011E-3</v>
      </c>
      <c r="M18" s="27">
        <v>3.3628787248025871E-2</v>
      </c>
      <c r="N18" s="98">
        <v>2.5106719776721159E-2</v>
      </c>
      <c r="O18" s="98">
        <v>7.0833643032783998E-3</v>
      </c>
      <c r="P18" s="133">
        <f t="shared" si="14"/>
        <v>5.4699999999999999E-2</v>
      </c>
      <c r="R18" s="28">
        <v>4.2541560108995867E-2</v>
      </c>
      <c r="S18" s="46">
        <v>1.5604916776008842E-2</v>
      </c>
      <c r="T18" s="27">
        <v>1.9189125793427315E-2</v>
      </c>
      <c r="U18" s="98">
        <v>2.5778534226144009E-2</v>
      </c>
      <c r="V18" s="98">
        <v>6.8954238630817436E-3</v>
      </c>
      <c r="W18" s="215">
        <f t="shared" si="5"/>
        <v>4.6899999999999997E-2</v>
      </c>
      <c r="Y18" s="28">
        <v>8.6740383460340454E-3</v>
      </c>
      <c r="Z18" s="46">
        <v>5.5354974379352587E-4</v>
      </c>
      <c r="AA18" s="46">
        <v>2.6624395795637481E-3</v>
      </c>
      <c r="AB18" s="98">
        <v>3.9633425564637734E-3</v>
      </c>
      <c r="AC18" s="98">
        <v>1.9863335963114476E-3</v>
      </c>
      <c r="AF18" s="28">
        <v>7.9390483149017199E-2</v>
      </c>
      <c r="AG18" s="46">
        <v>3.6651876818242439E-2</v>
      </c>
      <c r="AH18" s="27">
        <v>4.5687651546557045E-2</v>
      </c>
      <c r="AI18" s="98">
        <v>5.3910003837938897E-2</v>
      </c>
      <c r="AJ18" s="27">
        <v>1.0618144069646167E-2</v>
      </c>
      <c r="AK18" s="172">
        <f t="shared" si="15"/>
        <v>1.95E-2</v>
      </c>
      <c r="AM18" s="28">
        <v>0.10337459198857152</v>
      </c>
      <c r="AN18" s="46">
        <v>1.9515451955494489E-2</v>
      </c>
      <c r="AO18" s="27">
        <v>4.7865727018212983E-2</v>
      </c>
      <c r="AP18" s="28">
        <v>5.6918590320759667E-2</v>
      </c>
      <c r="AQ18" s="98">
        <v>2.0108343167577387E-2</v>
      </c>
      <c r="AR18" s="138">
        <f t="shared" si="7"/>
        <v>9.9099999999999994E-2</v>
      </c>
      <c r="AS18" s="84"/>
      <c r="AT18" s="84"/>
      <c r="AU18" s="29">
        <v>6.478518486707441E-4</v>
      </c>
      <c r="AV18" s="161">
        <v>7.9915790103842735E-4</v>
      </c>
      <c r="AW18" s="29">
        <f t="shared" si="8"/>
        <v>7.2350487485458572E-4</v>
      </c>
      <c r="AX18" s="138">
        <f t="shared" si="9"/>
        <v>5.3494767831877845E-5</v>
      </c>
      <c r="AY18" s="102"/>
      <c r="AZ18" s="84"/>
      <c r="BA18" s="29">
        <v>1.1301817087008883E-2</v>
      </c>
      <c r="BB18" s="47">
        <v>2.1330724824015389E-2</v>
      </c>
      <c r="BC18" s="40">
        <f t="shared" si="12"/>
        <v>1.6316270955512135E-2</v>
      </c>
      <c r="BD18" s="133">
        <f t="shared" si="13"/>
        <v>3.5457543343657659E-3</v>
      </c>
      <c r="BE18" s="138">
        <f t="shared" si="10"/>
        <v>8.9700000000000002E-2</v>
      </c>
      <c r="BF18" s="102"/>
      <c r="BG18" s="29">
        <v>2.9096329871481489E-3</v>
      </c>
      <c r="BH18" s="47">
        <v>1.1962155169652379E-2</v>
      </c>
      <c r="BI18" s="40">
        <f t="shared" si="2"/>
        <v>1.4480942250008939E-2</v>
      </c>
      <c r="BJ18" s="133">
        <f t="shared" si="3"/>
        <v>7.471202673790785E-3</v>
      </c>
      <c r="BK18" s="138">
        <f t="shared" si="11"/>
        <v>0.27639999999999998</v>
      </c>
    </row>
    <row r="19" spans="1:63" x14ac:dyDescent="0.35">
      <c r="A19" s="102"/>
      <c r="B19" s="282"/>
      <c r="C19" s="162" t="s">
        <v>129</v>
      </c>
      <c r="D19" s="25">
        <v>4.0126824405912051E-3</v>
      </c>
      <c r="E19" s="14">
        <v>2.511018405035783E-4</v>
      </c>
      <c r="F19" s="17">
        <v>1.5433321527994143E-3</v>
      </c>
      <c r="G19" s="124">
        <v>1.9357054779647325E-3</v>
      </c>
      <c r="H19" s="17">
        <v>9.0096735327028295E-4</v>
      </c>
      <c r="K19" s="25">
        <v>1.7967131379118977E-2</v>
      </c>
      <c r="L19" s="14">
        <v>5.6077051503960196E-3</v>
      </c>
      <c r="M19" s="17">
        <v>5.1011257146796399E-3</v>
      </c>
      <c r="N19" s="124">
        <v>9.5586540813982126E-3</v>
      </c>
      <c r="O19" s="124">
        <v>3.4348224450597093E-3</v>
      </c>
      <c r="P19" s="136">
        <f t="shared" si="14"/>
        <v>0.1545</v>
      </c>
      <c r="R19" s="25">
        <v>3.4852495629668516E-2</v>
      </c>
      <c r="S19" s="14">
        <v>4.7710027242158651E-3</v>
      </c>
      <c r="T19" s="17">
        <v>5.364973311194514E-3</v>
      </c>
      <c r="U19" s="124">
        <v>1.4996157221692966E-2</v>
      </c>
      <c r="V19" s="124">
        <v>8.1075250572618957E-3</v>
      </c>
      <c r="W19" s="139">
        <f t="shared" si="5"/>
        <v>0.26119999999999999</v>
      </c>
      <c r="Y19" s="25">
        <v>4.7455948134490613E-3</v>
      </c>
      <c r="Z19" s="14">
        <v>2.2913648741777738E-5</v>
      </c>
      <c r="AA19" s="14">
        <v>8.4875823476406737E-4</v>
      </c>
      <c r="AB19" s="124">
        <v>1.8724222323183021E-3</v>
      </c>
      <c r="AC19" s="124">
        <v>1.1890094225200677E-3</v>
      </c>
      <c r="AF19" s="25">
        <v>9.5397158141343179E-3</v>
      </c>
      <c r="AG19" s="14">
        <v>1.263849744764494E-3</v>
      </c>
      <c r="AH19" s="17">
        <v>3.8349137572186016E-4</v>
      </c>
      <c r="AI19" s="124">
        <v>3.7290189782068907E-3</v>
      </c>
      <c r="AJ19" s="17">
        <v>2.3812651167804157E-3</v>
      </c>
      <c r="AK19" s="136">
        <f t="shared" si="15"/>
        <v>0.59940000000000004</v>
      </c>
      <c r="AM19" s="25">
        <v>1.2598675673071656E-2</v>
      </c>
      <c r="AN19" s="14">
        <v>1.9537683584176604E-3</v>
      </c>
      <c r="AO19" s="17">
        <v>3.3347303257637187E-3</v>
      </c>
      <c r="AP19" s="25">
        <v>5.962391452417678E-3</v>
      </c>
      <c r="AQ19" s="124">
        <v>2.728734553345187E-3</v>
      </c>
      <c r="AR19" s="139">
        <f t="shared" si="7"/>
        <v>0.32469999999999999</v>
      </c>
      <c r="AS19" s="84"/>
      <c r="AT19" s="84"/>
      <c r="AU19" s="162">
        <v>4.223199229337754E-4</v>
      </c>
      <c r="AV19" s="164">
        <v>4.2615629897356684E-4</v>
      </c>
      <c r="AW19" s="162">
        <f t="shared" si="8"/>
        <v>4.2423811095367112E-4</v>
      </c>
      <c r="AX19" s="139">
        <f t="shared" si="9"/>
        <v>1.3563637564590585E-6</v>
      </c>
      <c r="AY19" s="102"/>
      <c r="AZ19" s="84"/>
      <c r="BA19" s="162">
        <v>9.8630755995436012E-3</v>
      </c>
      <c r="BB19" s="163">
        <v>5.9423144921803414E-3</v>
      </c>
      <c r="BC19" s="44">
        <f t="shared" si="12"/>
        <v>7.9026950458619717E-3</v>
      </c>
      <c r="BD19" s="136">
        <f t="shared" si="13"/>
        <v>1.3861983832145191E-3</v>
      </c>
      <c r="BE19" s="139">
        <f t="shared" si="10"/>
        <v>6.2399999999999997E-2</v>
      </c>
      <c r="BF19" s="102"/>
      <c r="BG19" s="162">
        <v>1.1993444656403006E-3</v>
      </c>
      <c r="BH19" s="163">
        <v>2.1302052527539719E-3</v>
      </c>
      <c r="BI19" s="44">
        <f t="shared" si="2"/>
        <v>8.3725367214374704E-3</v>
      </c>
      <c r="BJ19" s="136">
        <f t="shared" si="3"/>
        <v>5.2429792164591154E-3</v>
      </c>
      <c r="BK19" s="139">
        <f t="shared" si="11"/>
        <v>0.1166</v>
      </c>
    </row>
    <row r="20" spans="1:63" x14ac:dyDescent="0.35">
      <c r="A20" s="102"/>
    </row>
    <row r="21" spans="1:63" x14ac:dyDescent="0.35">
      <c r="A21" s="102" t="s">
        <v>116</v>
      </c>
    </row>
    <row r="23" spans="1:63" s="104" customFormat="1" x14ac:dyDescent="0.35">
      <c r="C23" s="104" t="s">
        <v>175</v>
      </c>
      <c r="D23" s="313" t="s">
        <v>250</v>
      </c>
      <c r="E23" s="314"/>
      <c r="F23" s="315"/>
      <c r="K23" s="313" t="s">
        <v>251</v>
      </c>
      <c r="L23" s="314"/>
      <c r="M23" s="315"/>
      <c r="Q23" s="313" t="s">
        <v>252</v>
      </c>
      <c r="R23" s="314"/>
      <c r="S23" s="315"/>
      <c r="X23" s="313" t="s">
        <v>253</v>
      </c>
      <c r="Y23" s="314"/>
      <c r="Z23" s="315"/>
      <c r="AD23" s="313" t="s">
        <v>254</v>
      </c>
      <c r="AE23" s="314"/>
      <c r="AF23" s="315"/>
      <c r="AJ23" s="313" t="s">
        <v>255</v>
      </c>
      <c r="AK23" s="314"/>
      <c r="AL23" s="315"/>
      <c r="AP23" s="313" t="s">
        <v>256</v>
      </c>
      <c r="AQ23" s="314"/>
      <c r="AR23" s="315"/>
      <c r="AV23" s="313" t="s">
        <v>257</v>
      </c>
      <c r="AW23" s="314"/>
      <c r="AX23" s="315"/>
    </row>
    <row r="24" spans="1:63" s="104" customFormat="1" x14ac:dyDescent="0.35">
      <c r="D24" s="212" t="s">
        <v>32</v>
      </c>
      <c r="E24" s="154" t="s">
        <v>33</v>
      </c>
      <c r="F24" s="157" t="s">
        <v>34</v>
      </c>
      <c r="G24" s="212" t="s">
        <v>118</v>
      </c>
      <c r="H24" s="157" t="s">
        <v>119</v>
      </c>
      <c r="I24" s="111" t="s">
        <v>196</v>
      </c>
      <c r="J24" s="104" t="s">
        <v>175</v>
      </c>
      <c r="K24" s="212" t="s">
        <v>32</v>
      </c>
      <c r="L24" s="154" t="s">
        <v>33</v>
      </c>
      <c r="M24" s="157" t="s">
        <v>34</v>
      </c>
      <c r="N24" s="212" t="s">
        <v>118</v>
      </c>
      <c r="O24" s="157" t="s">
        <v>119</v>
      </c>
      <c r="P24" s="111" t="s">
        <v>196</v>
      </c>
      <c r="Q24" s="212" t="s">
        <v>32</v>
      </c>
      <c r="R24" s="154" t="s">
        <v>33</v>
      </c>
      <c r="S24" s="157" t="s">
        <v>34</v>
      </c>
      <c r="T24" s="212" t="s">
        <v>118</v>
      </c>
      <c r="U24" s="157" t="s">
        <v>119</v>
      </c>
      <c r="V24" s="111" t="s">
        <v>196</v>
      </c>
      <c r="X24" s="212" t="s">
        <v>32</v>
      </c>
      <c r="Y24" s="154" t="s">
        <v>33</v>
      </c>
      <c r="Z24" s="157" t="s">
        <v>34</v>
      </c>
      <c r="AA24" s="212" t="s">
        <v>118</v>
      </c>
      <c r="AB24" s="157" t="s">
        <v>119</v>
      </c>
      <c r="AC24" s="111" t="s">
        <v>196</v>
      </c>
      <c r="AD24" s="212" t="s">
        <v>32</v>
      </c>
      <c r="AE24" s="154" t="s">
        <v>33</v>
      </c>
      <c r="AF24" s="157" t="s">
        <v>34</v>
      </c>
      <c r="AG24" s="212" t="s">
        <v>118</v>
      </c>
      <c r="AH24" s="157" t="s">
        <v>119</v>
      </c>
      <c r="AI24" s="111" t="s">
        <v>196</v>
      </c>
      <c r="AJ24" s="212" t="s">
        <v>32</v>
      </c>
      <c r="AK24" s="154" t="s">
        <v>33</v>
      </c>
      <c r="AL24" s="157" t="s">
        <v>34</v>
      </c>
      <c r="AM24" s="212" t="s">
        <v>118</v>
      </c>
      <c r="AN24" s="157" t="s">
        <v>119</v>
      </c>
      <c r="AO24" s="111" t="s">
        <v>196</v>
      </c>
      <c r="AP24" s="212" t="s">
        <v>32</v>
      </c>
      <c r="AQ24" s="154" t="s">
        <v>33</v>
      </c>
      <c r="AR24" s="157" t="s">
        <v>34</v>
      </c>
      <c r="AS24" s="212" t="s">
        <v>118</v>
      </c>
      <c r="AT24" s="157" t="s">
        <v>119</v>
      </c>
      <c r="AU24" s="111" t="s">
        <v>196</v>
      </c>
      <c r="AV24" s="212" t="s">
        <v>32</v>
      </c>
      <c r="AW24" s="154" t="s">
        <v>33</v>
      </c>
      <c r="AX24" s="157" t="s">
        <v>34</v>
      </c>
      <c r="AY24" s="212" t="s">
        <v>118</v>
      </c>
      <c r="AZ24" s="157" t="s">
        <v>119</v>
      </c>
      <c r="BA24" s="111" t="s">
        <v>196</v>
      </c>
      <c r="BB24" s="104" t="s">
        <v>175</v>
      </c>
    </row>
    <row r="25" spans="1:63" s="104" customFormat="1" x14ac:dyDescent="0.35">
      <c r="B25" s="316" t="s">
        <v>125</v>
      </c>
      <c r="C25" s="158" t="s">
        <v>203</v>
      </c>
      <c r="D25" s="131">
        <v>1.0299381701496786E-3</v>
      </c>
      <c r="E25" s="132">
        <v>5.0462079836314057E-4</v>
      </c>
      <c r="F25" s="133">
        <v>1.0779543867212936E-2</v>
      </c>
      <c r="G25" s="131">
        <v>4.1047009452419179E-3</v>
      </c>
      <c r="H25" s="133">
        <v>4.7246965059507704E-3</v>
      </c>
      <c r="I25" s="84"/>
      <c r="K25" s="131">
        <v>1.9906002382879769E-3</v>
      </c>
      <c r="L25" s="132">
        <v>3.6450503236681501E-4</v>
      </c>
      <c r="M25" s="133">
        <v>1.1208265931231606E-2</v>
      </c>
      <c r="N25" s="131">
        <v>4.5211237339621325E-3</v>
      </c>
      <c r="O25" s="133">
        <v>4.7748961230974401E-3</v>
      </c>
      <c r="P25" s="84"/>
      <c r="Q25" s="131">
        <v>2.0902031266049731E-3</v>
      </c>
      <c r="R25" s="132">
        <v>8.4492101137821141E-4</v>
      </c>
      <c r="S25" s="133">
        <v>8.3731954419564106E-3</v>
      </c>
      <c r="T25" s="131">
        <v>3.769439859979865E-3</v>
      </c>
      <c r="U25" s="133">
        <v>3.2948045951731401E-3</v>
      </c>
      <c r="V25" s="84"/>
      <c r="X25" s="131">
        <v>9.9132443126112818E-4</v>
      </c>
      <c r="Y25" s="132">
        <v>4.6262039608675835E-4</v>
      </c>
      <c r="Z25" s="133">
        <v>1.222457971836677E-3</v>
      </c>
      <c r="AA25" s="131">
        <v>8.9213426639485457E-4</v>
      </c>
      <c r="AB25" s="133">
        <v>3.1803280961249607E-4</v>
      </c>
      <c r="AC25" s="84"/>
      <c r="AD25" s="131">
        <v>3.9201393043825127E-4</v>
      </c>
      <c r="AE25" s="132">
        <v>2.8372253919293816E-4</v>
      </c>
      <c r="AF25" s="133">
        <v>1.7543114794762503E-4</v>
      </c>
      <c r="AG25" s="131">
        <v>2.8372253919293816E-4</v>
      </c>
      <c r="AH25" s="133">
        <v>8.8419550695704853E-5</v>
      </c>
      <c r="AI25" s="84"/>
      <c r="AJ25" s="131">
        <v>7.9679168946025227E-4</v>
      </c>
      <c r="AK25" s="132">
        <v>7.5951273111849978E-4</v>
      </c>
      <c r="AL25" s="133">
        <v>8.2854007668166363E-3</v>
      </c>
      <c r="AM25" s="131">
        <v>3.2805683957984628E-3</v>
      </c>
      <c r="AN25" s="133">
        <v>3.5389836325021629E-3</v>
      </c>
      <c r="AO25" s="84"/>
      <c r="AP25" s="131">
        <v>4.0822452815019979E-4</v>
      </c>
      <c r="AQ25" s="132">
        <v>9.1953527640747153E-4</v>
      </c>
      <c r="AR25" s="133">
        <v>8.3530910323807751E-3</v>
      </c>
      <c r="AS25" s="131">
        <v>3.2269502789794824E-3</v>
      </c>
      <c r="AT25" s="133">
        <v>3.6307344471040591E-3</v>
      </c>
      <c r="AU25" s="84"/>
      <c r="AV25" s="131">
        <v>1.245263915440046E-3</v>
      </c>
      <c r="AW25" s="132">
        <v>5.0662031265120305E-4</v>
      </c>
      <c r="AX25" s="133">
        <v>1.1072013934007433E-2</v>
      </c>
      <c r="AY25" s="131">
        <v>4.2746327206995604E-3</v>
      </c>
      <c r="AZ25" s="133">
        <v>4.8159244257815013E-3</v>
      </c>
      <c r="BA25" s="84"/>
    </row>
    <row r="26" spans="1:63" s="104" customFormat="1" x14ac:dyDescent="0.35">
      <c r="B26" s="284"/>
      <c r="C26" s="29" t="s">
        <v>204</v>
      </c>
      <c r="D26" s="131">
        <v>1.8031090998119068E-3</v>
      </c>
      <c r="E26" s="132">
        <v>1.8887556203300366E-4</v>
      </c>
      <c r="F26" s="133">
        <v>1.0508986837649771E-3</v>
      </c>
      <c r="G26" s="131">
        <v>1.0142944485366293E-3</v>
      </c>
      <c r="H26" s="133">
        <v>6.5951617677912819E-4</v>
      </c>
      <c r="I26" s="84"/>
      <c r="K26" s="131">
        <v>1.771821930016827E-3</v>
      </c>
      <c r="L26" s="132">
        <v>3.6911644026306045E-4</v>
      </c>
      <c r="M26" s="133">
        <v>1.3931867235753368E-3</v>
      </c>
      <c r="N26" s="131">
        <v>1.1780416979517417E-3</v>
      </c>
      <c r="O26" s="133">
        <v>5.9251509645143034E-4</v>
      </c>
      <c r="P26" s="84"/>
      <c r="Q26" s="131">
        <v>2.3840964033469596E-3</v>
      </c>
      <c r="R26" s="132">
        <v>7.2158843463458104E-4</v>
      </c>
      <c r="S26" s="133">
        <v>1.9813417402793428E-3</v>
      </c>
      <c r="T26" s="131">
        <v>1.6956755260869611E-3</v>
      </c>
      <c r="U26" s="133">
        <v>7.0813702815029401E-4</v>
      </c>
      <c r="V26" s="84"/>
      <c r="X26" s="131">
        <v>1.2862131630905875E-3</v>
      </c>
      <c r="Y26" s="132">
        <v>6.7080332401466057E-4</v>
      </c>
      <c r="Z26" s="133">
        <v>1.5004161518749289E-3</v>
      </c>
      <c r="AA26" s="131">
        <v>1.1524775463267257E-3</v>
      </c>
      <c r="AB26" s="133">
        <v>3.5164212151085817E-4</v>
      </c>
      <c r="AC26" s="84"/>
      <c r="AD26" s="131">
        <v>6.3152386048180803E-4</v>
      </c>
      <c r="AE26" s="132">
        <v>7.3662970675496785E-4</v>
      </c>
      <c r="AF26" s="133">
        <v>2.2189580558468393E-3</v>
      </c>
      <c r="AG26" s="131">
        <v>1.195703874361205E-3</v>
      </c>
      <c r="AH26" s="133">
        <v>7.2482119619304538E-4</v>
      </c>
      <c r="AI26" s="84"/>
      <c r="AJ26" s="131">
        <v>1.4010810097259165E-3</v>
      </c>
      <c r="AK26" s="132">
        <v>9.4997105330930866E-4</v>
      </c>
      <c r="AL26" s="133">
        <v>1.3848204900853082E-3</v>
      </c>
      <c r="AM26" s="131">
        <v>1.2452908510401778E-3</v>
      </c>
      <c r="AN26" s="133">
        <v>2.0892811893662811E-4</v>
      </c>
      <c r="AO26" s="84"/>
      <c r="AP26" s="131">
        <v>1.102436025233296E-3</v>
      </c>
      <c r="AQ26" s="132">
        <v>5.2721069152653023E-4</v>
      </c>
      <c r="AR26" s="133">
        <v>1.0514524857718702E-3</v>
      </c>
      <c r="AS26" s="131">
        <v>8.9369973417723211E-4</v>
      </c>
      <c r="AT26" s="133">
        <v>2.5998140204160075E-4</v>
      </c>
      <c r="AU26" s="84"/>
      <c r="AV26" s="131">
        <v>1.5982039583763276E-3</v>
      </c>
      <c r="AW26" s="132">
        <v>7.7323391763037589E-4</v>
      </c>
      <c r="AX26" s="133">
        <v>1.0454411942711595E-3</v>
      </c>
      <c r="AY26" s="131">
        <v>1.138959690092621E-3</v>
      </c>
      <c r="AZ26" s="133">
        <v>3.4322312842389264E-4</v>
      </c>
      <c r="BA26" s="84"/>
    </row>
    <row r="27" spans="1:63" s="104" customFormat="1" x14ac:dyDescent="0.35">
      <c r="B27" s="284"/>
      <c r="C27" s="138" t="s">
        <v>126</v>
      </c>
      <c r="D27" s="131">
        <v>9.2562743305533957E-4</v>
      </c>
      <c r="E27" s="132">
        <v>6.3378322916939718E-4</v>
      </c>
      <c r="F27" s="133">
        <v>4.4159562612711351E-4</v>
      </c>
      <c r="G27" s="131">
        <v>6.6700209611728338E-4</v>
      </c>
      <c r="H27" s="133">
        <v>1.9899634397064838E-4</v>
      </c>
      <c r="I27" s="84"/>
      <c r="K27" s="131">
        <v>2.5795251086604075E-3</v>
      </c>
      <c r="L27" s="132">
        <v>6.8149149924407208E-4</v>
      </c>
      <c r="M27" s="133">
        <v>2.5254710260895273E-3</v>
      </c>
      <c r="N27" s="131">
        <v>1.9288292113313354E-3</v>
      </c>
      <c r="O27" s="133">
        <v>8.8227697350169352E-4</v>
      </c>
      <c r="P27" s="84"/>
      <c r="Q27" s="131">
        <v>3.3169691728458794E-3</v>
      </c>
      <c r="R27" s="132">
        <v>1.3590721565542054E-3</v>
      </c>
      <c r="S27" s="133">
        <v>2.3854291274992396E-3</v>
      </c>
      <c r="T27" s="131">
        <v>2.3538234856331081E-3</v>
      </c>
      <c r="U27" s="133">
        <v>7.9962048041525621E-4</v>
      </c>
      <c r="V27" s="84"/>
      <c r="X27" s="131">
        <v>1.1017469781664732E-3</v>
      </c>
      <c r="Y27" s="132">
        <v>5.5578700822425285E-4</v>
      </c>
      <c r="Z27" s="133">
        <v>9.6066028516968507E-4</v>
      </c>
      <c r="AA27" s="131">
        <v>8.727314238534704E-4</v>
      </c>
      <c r="AB27" s="133">
        <v>2.3139675261925078E-4</v>
      </c>
      <c r="AC27" s="84"/>
      <c r="AD27" s="131">
        <v>1.2021721420926144E-3</v>
      </c>
      <c r="AE27" s="132">
        <v>8.2416768115757023E-4</v>
      </c>
      <c r="AF27" s="133">
        <v>3.0976921219821279E-3</v>
      </c>
      <c r="AG27" s="131">
        <v>1.7080106484107706E-3</v>
      </c>
      <c r="AH27" s="133">
        <v>9.9469686893789971E-4</v>
      </c>
      <c r="AI27" s="84"/>
      <c r="AJ27" s="131">
        <v>1.4078018923781939E-3</v>
      </c>
      <c r="AK27" s="132">
        <v>6.0595756286385509E-4</v>
      </c>
      <c r="AL27" s="133">
        <v>1.3291105414371476E-3</v>
      </c>
      <c r="AM27" s="131">
        <v>1.1142899988930656E-3</v>
      </c>
      <c r="AN27" s="133">
        <v>3.6087807850461554E-4</v>
      </c>
      <c r="AO27" s="84"/>
      <c r="AP27" s="131">
        <v>2.4429740286040414E-4</v>
      </c>
      <c r="AQ27" s="132">
        <v>3.3193595797939877E-4</v>
      </c>
      <c r="AR27" s="133">
        <v>2.1068028382872747E-3</v>
      </c>
      <c r="AS27" s="131">
        <v>8.9434539970902581E-4</v>
      </c>
      <c r="AT27" s="133">
        <v>8.5808309984469939E-4</v>
      </c>
      <c r="AU27" s="84"/>
      <c r="AV27" s="131">
        <v>1.634698024278261E-3</v>
      </c>
      <c r="AW27" s="132">
        <v>2.9452286234837719E-4</v>
      </c>
      <c r="AX27" s="133">
        <v>8.4785214210927635E-4</v>
      </c>
      <c r="AY27" s="131">
        <v>9.2569100957863809E-4</v>
      </c>
      <c r="AZ27" s="133">
        <v>5.4988576579148519E-4</v>
      </c>
      <c r="BA27" s="84"/>
    </row>
    <row r="28" spans="1:63" s="104" customFormat="1" x14ac:dyDescent="0.35">
      <c r="B28" s="284"/>
      <c r="C28" s="138" t="s">
        <v>127</v>
      </c>
      <c r="D28" s="131">
        <v>5.660174949667523E-3</v>
      </c>
      <c r="E28" s="132">
        <v>2.3363767166270812E-4</v>
      </c>
      <c r="F28" s="133">
        <v>1.8167366857937694E-3</v>
      </c>
      <c r="G28" s="131">
        <v>2.5701831023746667E-3</v>
      </c>
      <c r="H28" s="133">
        <v>2.2785357629243569E-3</v>
      </c>
      <c r="I28" s="84"/>
      <c r="K28" s="131">
        <v>2.0129625077069731E-2</v>
      </c>
      <c r="L28" s="132">
        <v>3.8805008087891626E-3</v>
      </c>
      <c r="M28" s="133">
        <v>9.1714471632622615E-4</v>
      </c>
      <c r="N28" s="131">
        <v>8.309090200728373E-3</v>
      </c>
      <c r="O28" s="133">
        <v>8.4454782143971816E-3</v>
      </c>
      <c r="P28" s="84"/>
      <c r="Q28" s="131">
        <v>2.1293420164388857E-2</v>
      </c>
      <c r="R28" s="132">
        <v>7.9025478639996143E-3</v>
      </c>
      <c r="S28" s="133">
        <v>2.1757995224200581E-3</v>
      </c>
      <c r="T28" s="131">
        <v>1.0457255850269511E-2</v>
      </c>
      <c r="U28" s="133">
        <v>8.0110654482364266E-3</v>
      </c>
      <c r="V28" s="84"/>
      <c r="X28" s="131">
        <v>7.3491204082089397E-4</v>
      </c>
      <c r="Y28" s="132">
        <v>5.9680930823853453E-4</v>
      </c>
      <c r="Z28" s="133">
        <v>1.4043685999445832E-3</v>
      </c>
      <c r="AA28" s="131">
        <v>9.120299830013373E-4</v>
      </c>
      <c r="AB28" s="133">
        <v>3.5267177988120897E-4</v>
      </c>
      <c r="AC28" s="84"/>
      <c r="AD28" s="131">
        <v>3.2467061747193248E-3</v>
      </c>
      <c r="AE28" s="132">
        <v>3.8655804103091621E-3</v>
      </c>
      <c r="AF28" s="133">
        <v>1.012659898883215E-3</v>
      </c>
      <c r="AG28" s="131">
        <v>2.7083154946372337E-3</v>
      </c>
      <c r="AH28" s="133">
        <v>1.225340022042362E-3</v>
      </c>
      <c r="AI28" s="84"/>
      <c r="AJ28" s="131">
        <v>9.967469322583843E-3</v>
      </c>
      <c r="AK28" s="132">
        <v>9.4448277036994542E-4</v>
      </c>
      <c r="AL28" s="133">
        <v>1.0156588135767535E-3</v>
      </c>
      <c r="AM28" s="131">
        <v>3.9758703021768472E-3</v>
      </c>
      <c r="AN28" s="133">
        <v>4.2367999420386609E-3</v>
      </c>
      <c r="AO28" s="84"/>
      <c r="AP28" s="131">
        <v>2.9407128146899209E-2</v>
      </c>
      <c r="AQ28" s="132">
        <v>3.3635637168182336E-3</v>
      </c>
      <c r="AR28" s="133">
        <v>6.0028328400508211E-3</v>
      </c>
      <c r="AS28" s="131">
        <v>1.292450823458942E-2</v>
      </c>
      <c r="AT28" s="133">
        <v>1.1704671567554144E-2</v>
      </c>
      <c r="AU28" s="84"/>
      <c r="AV28" s="131">
        <v>3.1695077695588998E-2</v>
      </c>
      <c r="AW28" s="132">
        <v>1.6371540774724119E-2</v>
      </c>
      <c r="AX28" s="133">
        <v>1.2334491341438848E-3</v>
      </c>
      <c r="AY28" s="131">
        <v>1.6433355868152335E-2</v>
      </c>
      <c r="AZ28" s="133">
        <v>1.2435984600697923E-2</v>
      </c>
      <c r="BA28" s="84"/>
    </row>
    <row r="29" spans="1:63" s="104" customFormat="1" x14ac:dyDescent="0.35">
      <c r="B29" s="284"/>
      <c r="C29" s="138" t="s">
        <v>128</v>
      </c>
      <c r="D29" s="131">
        <v>3.6497957808371909E-3</v>
      </c>
      <c r="E29" s="132">
        <v>1.9297262767960894E-4</v>
      </c>
      <c r="F29" s="133">
        <v>1.1224560667921167E-3</v>
      </c>
      <c r="G29" s="131">
        <v>1.6550748251029721E-3</v>
      </c>
      <c r="H29" s="133">
        <v>1.4606319715178152E-3</v>
      </c>
      <c r="I29" s="84"/>
      <c r="K29" s="131">
        <v>4.1585360734595095E-2</v>
      </c>
      <c r="L29" s="132">
        <v>1.2946268878164928E-2</v>
      </c>
      <c r="M29" s="133">
        <v>1.3737974035803069E-2</v>
      </c>
      <c r="N29" s="131">
        <v>2.2756534549521031E-2</v>
      </c>
      <c r="O29" s="133">
        <v>1.3317913272355042E-2</v>
      </c>
      <c r="P29" s="84"/>
      <c r="Q29" s="131">
        <v>5.3037297487686062E-2</v>
      </c>
      <c r="R29" s="132">
        <v>1.6186966329304987E-2</v>
      </c>
      <c r="S29" s="133">
        <v>2.4471450215910517E-2</v>
      </c>
      <c r="T29" s="131">
        <v>3.1231904677633857E-2</v>
      </c>
      <c r="U29" s="133">
        <v>1.5785320924144766E-2</v>
      </c>
      <c r="V29" s="84"/>
      <c r="X29" s="131">
        <v>7.0987823879320022E-4</v>
      </c>
      <c r="Y29" s="132">
        <v>5.6457595996343317E-4</v>
      </c>
      <c r="Z29" s="133">
        <v>3.0264389815735418E-3</v>
      </c>
      <c r="AA29" s="131">
        <v>1.4336310601100585E-3</v>
      </c>
      <c r="AB29" s="133">
        <v>1.1278463234755279E-3</v>
      </c>
      <c r="AC29" s="84"/>
      <c r="AD29" s="131">
        <v>6.3744910557285176E-3</v>
      </c>
      <c r="AE29" s="132">
        <v>8.0156283041734541E-3</v>
      </c>
      <c r="AF29" s="133">
        <v>9.5678244194759444E-3</v>
      </c>
      <c r="AG29" s="131">
        <v>7.9859812597926402E-3</v>
      </c>
      <c r="AH29" s="133">
        <v>1.3038414278421034E-3</v>
      </c>
      <c r="AI29" s="84"/>
      <c r="AJ29" s="131">
        <v>5.0213207459343457E-3</v>
      </c>
      <c r="AK29" s="132">
        <v>1.145491032481826E-3</v>
      </c>
      <c r="AL29" s="133">
        <v>1.5991721926502651E-3</v>
      </c>
      <c r="AM29" s="131">
        <v>2.5886613236888122E-3</v>
      </c>
      <c r="AN29" s="133">
        <v>1.7300925885152174E-3</v>
      </c>
      <c r="AO29" s="84"/>
      <c r="AP29" s="131">
        <v>2.7143408693867683E-2</v>
      </c>
      <c r="AQ29" s="132">
        <v>2.9908961059118444E-2</v>
      </c>
      <c r="AR29" s="133">
        <v>3.5216579689764264E-2</v>
      </c>
      <c r="AS29" s="131">
        <v>3.0756316480916795E-2</v>
      </c>
      <c r="AT29" s="133">
        <v>3.3498786933643583E-3</v>
      </c>
      <c r="AU29" s="84"/>
      <c r="AV29" s="131">
        <v>3.2851732733142062E-2</v>
      </c>
      <c r="AW29" s="132">
        <v>1.566033064234805E-2</v>
      </c>
      <c r="AX29" s="133">
        <v>6.2866865455599094E-2</v>
      </c>
      <c r="AY29" s="131">
        <v>3.7126309610363069E-2</v>
      </c>
      <c r="AZ29" s="133">
        <v>1.9507575244472337E-2</v>
      </c>
      <c r="BA29" s="84"/>
    </row>
    <row r="30" spans="1:63" s="104" customFormat="1" x14ac:dyDescent="0.35">
      <c r="B30" s="285"/>
      <c r="C30" s="139" t="s">
        <v>129</v>
      </c>
      <c r="D30" s="131">
        <v>1.0974628019608864E-3</v>
      </c>
      <c r="E30" s="132">
        <v>6.9223081235044587E-4</v>
      </c>
      <c r="F30" s="133">
        <v>2.5184332113560477E-3</v>
      </c>
      <c r="G30" s="131">
        <v>1.4360422752224598E-3</v>
      </c>
      <c r="H30" s="133">
        <v>7.830414400779469E-4</v>
      </c>
      <c r="I30" s="84"/>
      <c r="K30" s="131">
        <v>1.2780194758708799E-2</v>
      </c>
      <c r="L30" s="132">
        <v>9.0409813265960801E-3</v>
      </c>
      <c r="M30" s="133">
        <v>1.2613388217668275E-2</v>
      </c>
      <c r="N30" s="131">
        <v>1.1478188100991051E-2</v>
      </c>
      <c r="O30" s="133">
        <v>1.724710362428241E-3</v>
      </c>
      <c r="P30" s="84"/>
      <c r="Q30" s="131">
        <v>1.4435729121918359E-2</v>
      </c>
      <c r="R30" s="132">
        <v>1.2490814014101761E-2</v>
      </c>
      <c r="S30" s="133">
        <v>3.679003187987414E-2</v>
      </c>
      <c r="T30" s="131">
        <v>2.1238858338631417E-2</v>
      </c>
      <c r="U30" s="133">
        <v>1.1024969314440716E-2</v>
      </c>
      <c r="V30" s="84"/>
      <c r="X30" s="131">
        <v>6.1847642954153674E-4</v>
      </c>
      <c r="Y30" s="132">
        <v>1.3785761537632661E-3</v>
      </c>
      <c r="Z30" s="133">
        <v>1.9722536416621394E-3</v>
      </c>
      <c r="AA30" s="131">
        <v>1.3231020749889808E-3</v>
      </c>
      <c r="AB30" s="133">
        <v>5.540675139825167E-4</v>
      </c>
      <c r="AC30" s="84"/>
      <c r="AD30" s="131">
        <v>4.6664005868127315E-3</v>
      </c>
      <c r="AE30" s="132">
        <v>5.2471948552979888E-3</v>
      </c>
      <c r="AF30" s="133">
        <v>5.1419306793385596E-3</v>
      </c>
      <c r="AG30" s="131">
        <v>5.0185087071497603E-3</v>
      </c>
      <c r="AH30" s="133">
        <v>2.5265949812684123E-4</v>
      </c>
      <c r="AI30" s="84"/>
      <c r="AJ30" s="131">
        <v>1.6711346707567667E-3</v>
      </c>
      <c r="AK30" s="132">
        <v>1.1100041323054012E-3</v>
      </c>
      <c r="AL30" s="133">
        <v>2.9270801704531758E-3</v>
      </c>
      <c r="AM30" s="131">
        <v>1.9027396578384481E-3</v>
      </c>
      <c r="AN30" s="133">
        <v>7.5968062791041018E-4</v>
      </c>
      <c r="AO30" s="84"/>
      <c r="AP30" s="131">
        <v>3.3763237603838623E-3</v>
      </c>
      <c r="AQ30" s="132">
        <v>2.9035763755122152E-3</v>
      </c>
      <c r="AR30" s="133">
        <v>1.2098238723131191E-2</v>
      </c>
      <c r="AS30" s="131">
        <v>6.1260462863424224E-3</v>
      </c>
      <c r="AT30" s="133">
        <v>4.2273856695758966E-3</v>
      </c>
      <c r="AU30" s="84"/>
      <c r="AV30" s="131">
        <v>7.6712017196302988E-3</v>
      </c>
      <c r="AW30" s="132">
        <v>6.5271424834218699E-3</v>
      </c>
      <c r="AX30" s="133">
        <v>9.7617460364328324E-3</v>
      </c>
      <c r="AY30" s="131">
        <v>7.986696746495001E-3</v>
      </c>
      <c r="AZ30" s="133">
        <v>1.3392330815980851E-3</v>
      </c>
      <c r="BA30" s="84"/>
    </row>
    <row r="31" spans="1:63" s="104" customFormat="1" x14ac:dyDescent="0.35">
      <c r="B31" s="317" t="s">
        <v>53</v>
      </c>
      <c r="C31" s="158" t="s">
        <v>203</v>
      </c>
      <c r="D31" s="131">
        <v>1.2343861716003319E-3</v>
      </c>
      <c r="E31" s="132">
        <v>1.2362447000652344E-4</v>
      </c>
      <c r="F31" s="133">
        <v>1.9436283928903869E-3</v>
      </c>
      <c r="G31" s="131">
        <v>1.1005463448324141E-3</v>
      </c>
      <c r="H31" s="133">
        <v>7.4901641915697803E-4</v>
      </c>
      <c r="I31" s="104">
        <f>ROUND(_xlfn.T.TEST(D25:F25,D31:F31,2,2),4)</f>
        <v>0.42470000000000002</v>
      </c>
      <c r="K31" s="131">
        <v>1.0753228551290365E-3</v>
      </c>
      <c r="L31" s="132">
        <v>6.6139973287283654E-4</v>
      </c>
      <c r="M31" s="133">
        <v>1.2524216960274339E-3</v>
      </c>
      <c r="N31" s="131">
        <v>9.9638142800976908E-4</v>
      </c>
      <c r="O31" s="133">
        <v>2.4765641780431552E-4</v>
      </c>
      <c r="P31" s="104">
        <f>ROUND(_xlfn.T.TEST(K25:M25,K31:M31,2,2),4)</f>
        <v>0.35599999999999998</v>
      </c>
      <c r="Q31" s="131">
        <v>2.0711791654793917E-3</v>
      </c>
      <c r="R31" s="132">
        <v>1.0065348008425751E-3</v>
      </c>
      <c r="S31" s="133">
        <v>1.5155039555462531E-3</v>
      </c>
      <c r="T31" s="131">
        <v>1.53107264062274E-3</v>
      </c>
      <c r="U31" s="133">
        <v>4.3477863620812132E-4</v>
      </c>
      <c r="V31" s="104">
        <f>ROUND(_xlfn.T.TEST(Q25:S25,Q31:S31,2,2),4)</f>
        <v>0.39479999999999998</v>
      </c>
      <c r="X31" s="131">
        <v>8.399857076745713E-4</v>
      </c>
      <c r="Y31" s="132">
        <v>3.2845419175191615E-4</v>
      </c>
      <c r="Z31" s="133">
        <v>1.0628430324631348E-3</v>
      </c>
      <c r="AA31" s="131">
        <v>7.4376097729654067E-4</v>
      </c>
      <c r="AB31" s="133">
        <v>3.0743686765744867E-4</v>
      </c>
      <c r="AC31" s="104">
        <f>ROUND(_xlfn.T.TEST(X25:Z25,X31:Z31,2,2),4)</f>
        <v>0.66</v>
      </c>
      <c r="AD31" s="131">
        <v>5.0080128205128342E-4</v>
      </c>
      <c r="AE31" s="132">
        <v>3.6015195829778153E-4</v>
      </c>
      <c r="AF31" s="133">
        <v>9.2084508727664001E-4</v>
      </c>
      <c r="AG31" s="131">
        <v>5.9393277587523497E-4</v>
      </c>
      <c r="AH31" s="133">
        <v>2.3818662511769528E-4</v>
      </c>
      <c r="AJ31" s="131">
        <v>1.4762740883317964E-3</v>
      </c>
      <c r="AK31" s="132">
        <v>2.7222612525449171E-4</v>
      </c>
      <c r="AL31" s="133">
        <v>1.1127882956728701E-3</v>
      </c>
      <c r="AM31" s="131">
        <v>9.5376283641971944E-4</v>
      </c>
      <c r="AN31" s="133">
        <v>5.0424841554248389E-4</v>
      </c>
      <c r="AO31" s="104">
        <f>ROUND(_xlfn.T.TEST(AJ25:AL25,AJ31:AL31,2,2),4)</f>
        <v>0.40939999999999999</v>
      </c>
      <c r="AP31" s="131">
        <v>1.0218603877880489E-3</v>
      </c>
      <c r="AQ31" s="132">
        <v>5.5598512853623715E-4</v>
      </c>
      <c r="AR31" s="133">
        <v>1.131747539368153E-3</v>
      </c>
      <c r="AS31" s="131">
        <v>9.0319768523081307E-4</v>
      </c>
      <c r="AT31" s="133">
        <v>2.4958127088570468E-4</v>
      </c>
      <c r="AU31" s="104">
        <f>ROUND(_xlfn.T.TEST(AP25:AR25,AP31:AR31,2,2),4)</f>
        <v>0.41760000000000003</v>
      </c>
      <c r="AV31" s="131">
        <v>3.6596684714151792E-4</v>
      </c>
      <c r="AW31" s="132">
        <v>9.4976565622446017E-4</v>
      </c>
      <c r="AX31" s="133">
        <v>5.3969437695312991E-4</v>
      </c>
      <c r="AY31" s="131">
        <v>6.1847562677303598E-4</v>
      </c>
      <c r="AZ31" s="133">
        <v>2.4475855635578949E-4</v>
      </c>
      <c r="BA31" s="104">
        <f>ROUND(_xlfn.T.TEST(AV25:AX25,AV31:AX31,2,2),4)</f>
        <v>0.34399999999999997</v>
      </c>
    </row>
    <row r="32" spans="1:63" s="104" customFormat="1" x14ac:dyDescent="0.35">
      <c r="B32" s="251"/>
      <c r="C32" s="29" t="s">
        <v>204</v>
      </c>
      <c r="D32" s="131">
        <v>3.2841888535838078E-3</v>
      </c>
      <c r="E32" s="132">
        <v>3.0383188674095601E-4</v>
      </c>
      <c r="F32" s="133">
        <v>1.6859132996025477E-3</v>
      </c>
      <c r="G32" s="131">
        <v>1.7579780133091039E-3</v>
      </c>
      <c r="H32" s="133">
        <v>1.2177922386223869E-3</v>
      </c>
      <c r="I32" s="104">
        <f t="shared" ref="I32:I36" si="16">ROUND(_xlfn.T.TEST(D26:F26,D32:F32,2,2),4)</f>
        <v>0.4899</v>
      </c>
      <c r="K32" s="131">
        <v>3.876241545215842E-3</v>
      </c>
      <c r="L32" s="132">
        <v>2.8607416076828224E-4</v>
      </c>
      <c r="M32" s="133">
        <v>1.181859571888875E-3</v>
      </c>
      <c r="N32" s="131">
        <v>1.7813917592909999E-3</v>
      </c>
      <c r="O32" s="133">
        <v>1.5257576467416966E-3</v>
      </c>
      <c r="P32" s="104">
        <f t="shared" ref="P32:P36" si="17">ROUND(_xlfn.T.TEST(K26:M26,K32:M32,2,2),4)</f>
        <v>0.62970000000000004</v>
      </c>
      <c r="Q32" s="131">
        <v>3.6936625193677319E-3</v>
      </c>
      <c r="R32" s="132">
        <v>1.4550420865946405E-3</v>
      </c>
      <c r="S32" s="133">
        <v>2.1142189892661852E-3</v>
      </c>
      <c r="T32" s="131">
        <v>2.4209745317428527E-3</v>
      </c>
      <c r="U32" s="133">
        <v>9.393010105524964E-4</v>
      </c>
      <c r="V32" s="104">
        <f t="shared" ref="V32:V36" si="18">ROUND(_xlfn.T.TEST(Q26:S26,Q32:S32,2,2),4)</f>
        <v>0.43240000000000001</v>
      </c>
      <c r="X32" s="131">
        <v>8.9282636335499235E-4</v>
      </c>
      <c r="Y32" s="132">
        <v>5.4813079411050888E-4</v>
      </c>
      <c r="Z32" s="133">
        <v>1.0252905186586734E-3</v>
      </c>
      <c r="AA32" s="131">
        <v>8.2208255870805814E-4</v>
      </c>
      <c r="AB32" s="133">
        <v>2.011199726608685E-4</v>
      </c>
      <c r="AC32" s="104">
        <f t="shared" ref="AC32:AC36" si="19">ROUND(_xlfn.T.TEST(X26:Z26,X32:Z32,2,2),4)</f>
        <v>0.313</v>
      </c>
      <c r="AD32" s="131">
        <v>3.0827935029670436E-4</v>
      </c>
      <c r="AE32" s="132">
        <v>1.3187602417612842E-3</v>
      </c>
      <c r="AF32" s="133">
        <v>1.2512717007865813E-3</v>
      </c>
      <c r="AG32" s="131">
        <v>9.5943709761485646E-4</v>
      </c>
      <c r="AH32" s="133">
        <v>4.6126166450295974E-4</v>
      </c>
      <c r="AI32" s="104">
        <f t="shared" ref="AI32:AI36" si="20">ROUND(_xlfn.T.TEST(AD26:AF26,AD32:AF32,2,2),4)</f>
        <v>0.71719999999999995</v>
      </c>
      <c r="AJ32" s="131">
        <v>1.9360398597775268E-3</v>
      </c>
      <c r="AK32" s="132">
        <v>6.3522045907070987E-4</v>
      </c>
      <c r="AL32" s="133">
        <v>1.11005914348182E-3</v>
      </c>
      <c r="AM32" s="131">
        <v>1.2271064874433523E-3</v>
      </c>
      <c r="AN32" s="133">
        <v>5.3746803865293387E-4</v>
      </c>
      <c r="AO32" s="104">
        <f t="shared" ref="AO32:AO36" si="21">ROUND(_xlfn.T.TEST(AJ26:AL26,AJ32:AL32,2,2),4)</f>
        <v>0.96660000000000001</v>
      </c>
      <c r="AP32" s="131">
        <v>1.851970016833416E-3</v>
      </c>
      <c r="AQ32" s="132">
        <v>1.9360526673259533E-3</v>
      </c>
      <c r="AR32" s="133">
        <v>5.2981385107838601E-4</v>
      </c>
      <c r="AS32" s="131">
        <v>1.4392788450792518E-3</v>
      </c>
      <c r="AT32" s="133">
        <v>6.4400435014742385E-4</v>
      </c>
      <c r="AU32" s="104">
        <f t="shared" ref="AU32:AU36" si="22">ROUND(_xlfn.T.TEST(AP26:AR26,AP32:AR32,2,2),4)</f>
        <v>0.32890000000000003</v>
      </c>
      <c r="AV32" s="131">
        <v>3.739193734452501E-3</v>
      </c>
      <c r="AW32" s="132">
        <v>1.3753367133903273E-3</v>
      </c>
      <c r="AX32" s="133">
        <v>8.2210341098706179E-4</v>
      </c>
      <c r="AY32" s="131">
        <v>1.9788779529432963E-3</v>
      </c>
      <c r="AZ32" s="133">
        <v>1.2650561277916424E-3</v>
      </c>
      <c r="BA32" s="104">
        <f t="shared" ref="BA32:BA36" si="23">ROUND(_xlfn.T.TEST(AV26:AX26,AV32:AX32,2,2),4)</f>
        <v>0.41610000000000003</v>
      </c>
    </row>
    <row r="33" spans="1:53" s="104" customFormat="1" x14ac:dyDescent="0.35">
      <c r="B33" s="251"/>
      <c r="C33" s="138" t="s">
        <v>126</v>
      </c>
      <c r="D33" s="131">
        <v>1.818748838946444E-3</v>
      </c>
      <c r="E33" s="132">
        <v>1.8962725160387908E-3</v>
      </c>
      <c r="F33" s="133"/>
      <c r="G33" s="131">
        <v>1.8575106774926173E-3</v>
      </c>
      <c r="H33" s="133">
        <v>3.8761838546173366E-5</v>
      </c>
      <c r="I33" s="104">
        <f t="shared" si="16"/>
        <v>7.4999999999999997E-3</v>
      </c>
      <c r="K33" s="131">
        <v>1.869244874581711E-3</v>
      </c>
      <c r="L33" s="132">
        <v>2.7115904150541818E-3</v>
      </c>
      <c r="M33" s="133"/>
      <c r="N33" s="131">
        <v>2.2904176448179463E-3</v>
      </c>
      <c r="O33" s="133">
        <v>4.2117277023623545E-4</v>
      </c>
      <c r="P33" s="104">
        <f t="shared" si="17"/>
        <v>0.70389999999999997</v>
      </c>
      <c r="Q33" s="131">
        <v>2.7877539511983918E-3</v>
      </c>
      <c r="R33" s="132">
        <v>2.577642067771062E-3</v>
      </c>
      <c r="S33" s="133"/>
      <c r="T33" s="131">
        <v>2.6826980094847271E-3</v>
      </c>
      <c r="U33" s="133">
        <v>1.050559417136649E-4</v>
      </c>
      <c r="V33" s="104">
        <f t="shared" si="18"/>
        <v>0.6845</v>
      </c>
      <c r="X33" s="131">
        <v>1.0767196993267582E-3</v>
      </c>
      <c r="Y33" s="132">
        <v>1.7261470422528728E-3</v>
      </c>
      <c r="Z33" s="133"/>
      <c r="AA33" s="131">
        <v>1.4014333707898156E-3</v>
      </c>
      <c r="AB33" s="133">
        <v>3.2471367146305727E-4</v>
      </c>
      <c r="AC33" s="104">
        <f t="shared" si="19"/>
        <v>0.19839999999999999</v>
      </c>
      <c r="AD33" s="131">
        <v>1.3124933932876209E-3</v>
      </c>
      <c r="AE33" s="132">
        <v>1.8692244831627711E-3</v>
      </c>
      <c r="AF33" s="133"/>
      <c r="AG33" s="131">
        <v>1.590858938225196E-3</v>
      </c>
      <c r="AH33" s="133">
        <v>2.7836554493757514E-4</v>
      </c>
      <c r="AI33" s="104">
        <f t="shared" si="20"/>
        <v>0.90790000000000004</v>
      </c>
      <c r="AJ33" s="131">
        <v>2.1599138977351951E-3</v>
      </c>
      <c r="AK33" s="132">
        <v>1.0508988182108096E-3</v>
      </c>
      <c r="AL33" s="133"/>
      <c r="AM33" s="131">
        <v>1.6054063579730023E-3</v>
      </c>
      <c r="AN33" s="133">
        <v>5.5450753976219271E-4</v>
      </c>
      <c r="AO33" s="104">
        <f t="shared" si="21"/>
        <v>0.42130000000000001</v>
      </c>
      <c r="AP33" s="131">
        <v>2.75572976151402E-3</v>
      </c>
      <c r="AQ33" s="132">
        <v>2.5566209077203375E-4</v>
      </c>
      <c r="AR33" s="133"/>
      <c r="AS33" s="131">
        <v>1.5056959261430269E-3</v>
      </c>
      <c r="AT33" s="133">
        <v>1.2500338353709931E-3</v>
      </c>
      <c r="AU33" s="104">
        <f t="shared" si="22"/>
        <v>0.65</v>
      </c>
      <c r="AV33" s="131">
        <v>8.9903646181726399E-4</v>
      </c>
      <c r="AW33" s="132">
        <v>4.7255078656640477E-3</v>
      </c>
      <c r="AX33" s="133"/>
      <c r="AY33" s="131">
        <v>2.8122721637406558E-3</v>
      </c>
      <c r="AZ33" s="133">
        <v>1.9132357019233917E-3</v>
      </c>
      <c r="BA33" s="104">
        <f t="shared" si="23"/>
        <v>0.30059999999999998</v>
      </c>
    </row>
    <row r="34" spans="1:53" s="104" customFormat="1" x14ac:dyDescent="0.35">
      <c r="B34" s="251"/>
      <c r="C34" s="138" t="s">
        <v>127</v>
      </c>
      <c r="D34" s="131">
        <v>3.5564490701922476E-3</v>
      </c>
      <c r="E34" s="132">
        <v>7.1922004334333599E-4</v>
      </c>
      <c r="F34" s="133">
        <v>1.1831410314483437E-3</v>
      </c>
      <c r="G34" s="131">
        <v>1.819603381661309E-3</v>
      </c>
      <c r="H34" s="133">
        <v>1.2426531777149149E-3</v>
      </c>
      <c r="I34" s="104">
        <f t="shared" si="16"/>
        <v>0.70350000000000001</v>
      </c>
      <c r="K34" s="131">
        <v>1.3623156065757848E-2</v>
      </c>
      <c r="L34" s="132">
        <v>8.9792256469740303E-3</v>
      </c>
      <c r="M34" s="133">
        <v>7.0896894696141051E-3</v>
      </c>
      <c r="N34" s="131">
        <v>9.8973570607819947E-3</v>
      </c>
      <c r="O34" s="133">
        <v>2.7451497118247529E-3</v>
      </c>
      <c r="P34" s="104">
        <f t="shared" si="17"/>
        <v>0.81279999999999997</v>
      </c>
      <c r="Q34" s="131">
        <v>9.4205466116169725E-3</v>
      </c>
      <c r="R34" s="132">
        <v>8.2684617416685108E-3</v>
      </c>
      <c r="S34" s="133">
        <v>7.2582519399759975E-3</v>
      </c>
      <c r="T34" s="131">
        <v>8.3157534310871594E-3</v>
      </c>
      <c r="U34" s="133">
        <v>8.8338626495540462E-4</v>
      </c>
      <c r="V34" s="104">
        <f t="shared" si="18"/>
        <v>0.72619999999999996</v>
      </c>
      <c r="X34" s="131">
        <v>2.0974265174538626E-3</v>
      </c>
      <c r="Y34" s="132">
        <v>5.7317210782998208E-4</v>
      </c>
      <c r="Z34" s="133">
        <v>9.2242392634650765E-4</v>
      </c>
      <c r="AA34" s="131">
        <v>1.1976741838767842E-3</v>
      </c>
      <c r="AB34" s="133">
        <v>6.5200199617144517E-4</v>
      </c>
      <c r="AC34" s="104">
        <f t="shared" si="19"/>
        <v>0.61470000000000002</v>
      </c>
      <c r="AD34" s="131">
        <v>2.2537229260593161E-3</v>
      </c>
      <c r="AE34" s="132">
        <v>2.4524581800902698E-3</v>
      </c>
      <c r="AF34" s="133">
        <v>2.8425945583100271E-3</v>
      </c>
      <c r="AG34" s="131">
        <v>2.516258554819871E-3</v>
      </c>
      <c r="AH34" s="133">
        <v>2.4460214727748173E-4</v>
      </c>
      <c r="AI34" s="104">
        <f t="shared" si="20"/>
        <v>0.83860000000000001</v>
      </c>
      <c r="AJ34" s="131">
        <v>2.0916135259310847E-3</v>
      </c>
      <c r="AK34" s="132">
        <v>1.1206308145024278E-3</v>
      </c>
      <c r="AL34" s="133">
        <v>1.5877134967266864E-3</v>
      </c>
      <c r="AM34" s="131">
        <v>1.5999859457200664E-3</v>
      </c>
      <c r="AN34" s="133">
        <v>3.9649700816572617E-4</v>
      </c>
      <c r="AO34" s="104">
        <f t="shared" si="21"/>
        <v>0.47389999999999999</v>
      </c>
      <c r="AP34" s="131">
        <v>4.0916334057325933E-3</v>
      </c>
      <c r="AQ34" s="132">
        <v>1.0476516911134765E-3</v>
      </c>
      <c r="AR34" s="133">
        <v>5.4516986786794994E-3</v>
      </c>
      <c r="AS34" s="131">
        <v>3.5303279251751897E-3</v>
      </c>
      <c r="AT34" s="133">
        <v>1.8412324403417355E-3</v>
      </c>
      <c r="AU34" s="104">
        <f t="shared" si="22"/>
        <v>0.32490000000000002</v>
      </c>
      <c r="AV34" s="131">
        <v>2.9674854228916316E-3</v>
      </c>
      <c r="AW34" s="132">
        <v>1.7229613075238914E-2</v>
      </c>
      <c r="AX34" s="133">
        <v>6.4372813840386494E-3</v>
      </c>
      <c r="AY34" s="131">
        <v>8.8781266273897305E-3</v>
      </c>
      <c r="AZ34" s="133">
        <v>6.0729106376571735E-3</v>
      </c>
      <c r="BA34" s="104">
        <f t="shared" si="23"/>
        <v>0.48320000000000002</v>
      </c>
    </row>
    <row r="35" spans="1:53" s="104" customFormat="1" x14ac:dyDescent="0.35">
      <c r="B35" s="251"/>
      <c r="C35" s="138" t="s">
        <v>128</v>
      </c>
      <c r="D35" s="131">
        <v>1.9767867271712927E-3</v>
      </c>
      <c r="E35" s="132">
        <v>2.2555426891912269E-4</v>
      </c>
      <c r="F35" s="133">
        <v>3.6849068802244657E-3</v>
      </c>
      <c r="G35" s="131">
        <v>1.9624159587716271E-3</v>
      </c>
      <c r="H35" s="133">
        <v>1.4123113470654099E-3</v>
      </c>
      <c r="I35" s="104">
        <f t="shared" si="16"/>
        <v>0.84109999999999996</v>
      </c>
      <c r="K35" s="131">
        <v>8.834042791087722E-2</v>
      </c>
      <c r="L35" s="132">
        <v>1.835337177075921E-2</v>
      </c>
      <c r="M35" s="133">
        <v>3.8191496591635198E-2</v>
      </c>
      <c r="N35" s="131">
        <v>4.8295098757757206E-2</v>
      </c>
      <c r="O35" s="133">
        <v>2.9451758174325878E-2</v>
      </c>
      <c r="P35" s="104">
        <f t="shared" si="17"/>
        <v>0.32640000000000002</v>
      </c>
      <c r="Q35" s="131">
        <v>0.1111407896966306</v>
      </c>
      <c r="R35" s="132">
        <v>2.7324198489519905E-2</v>
      </c>
      <c r="S35" s="133">
        <v>3.8783156505421391E-2</v>
      </c>
      <c r="T35" s="131">
        <v>5.9082714897190629E-2</v>
      </c>
      <c r="U35" s="133">
        <v>3.7106686671188299E-2</v>
      </c>
      <c r="V35" s="104">
        <f t="shared" si="18"/>
        <v>0.38400000000000001</v>
      </c>
      <c r="X35" s="131">
        <v>2.2394092437142514E-3</v>
      </c>
      <c r="Y35" s="132">
        <v>7.0130703949057484E-4</v>
      </c>
      <c r="Z35" s="133">
        <v>2.1279116141829919E-3</v>
      </c>
      <c r="AA35" s="131">
        <v>1.689542632462606E-3</v>
      </c>
      <c r="AB35" s="133">
        <v>7.0026905341702254E-4</v>
      </c>
      <c r="AC35" s="104">
        <f t="shared" si="19"/>
        <v>0.79859999999999998</v>
      </c>
      <c r="AD35" s="131">
        <v>5.047760616565998E-3</v>
      </c>
      <c r="AE35" s="132">
        <v>1.1180653402884438E-2</v>
      </c>
      <c r="AF35" s="133">
        <v>1.1269709584165935E-2</v>
      </c>
      <c r="AG35" s="131">
        <v>9.1660412012054566E-3</v>
      </c>
      <c r="AH35" s="133">
        <v>2.9122910776248371E-3</v>
      </c>
      <c r="AI35" s="104">
        <f t="shared" si="20"/>
        <v>0.62860000000000005</v>
      </c>
      <c r="AJ35" s="131">
        <v>5.1783774207901801E-3</v>
      </c>
      <c r="AK35" s="132">
        <v>9.2982787556828317E-4</v>
      </c>
      <c r="AL35" s="133">
        <v>2.8167906082325112E-3</v>
      </c>
      <c r="AM35" s="131">
        <v>2.9749986348636581E-3</v>
      </c>
      <c r="AN35" s="133">
        <v>1.7380670574557216E-3</v>
      </c>
      <c r="AO35" s="104">
        <f t="shared" si="21"/>
        <v>0.83460000000000001</v>
      </c>
      <c r="AP35" s="131">
        <v>3.9161968297209269E-2</v>
      </c>
      <c r="AQ35" s="132">
        <v>2.7982472399699226E-2</v>
      </c>
      <c r="AR35" s="133">
        <v>9.0654478392046319E-3</v>
      </c>
      <c r="AS35" s="131">
        <v>2.5403296178704377E-2</v>
      </c>
      <c r="AT35" s="133">
        <v>1.2421466590919165E-2</v>
      </c>
      <c r="AU35" s="104">
        <f t="shared" si="22"/>
        <v>0.58789999999999998</v>
      </c>
      <c r="AV35" s="131">
        <v>7.1519844628326806E-2</v>
      </c>
      <c r="AW35" s="132">
        <v>4.4470810653186109E-2</v>
      </c>
      <c r="AX35" s="133">
        <v>6.3991385927874003E-3</v>
      </c>
      <c r="AY35" s="131">
        <v>4.079659795810011E-2</v>
      </c>
      <c r="AZ35" s="133">
        <v>2.6712063040735395E-2</v>
      </c>
      <c r="BA35" s="104">
        <f t="shared" si="23"/>
        <v>0.88290000000000002</v>
      </c>
    </row>
    <row r="36" spans="1:53" s="104" customFormat="1" x14ac:dyDescent="0.35">
      <c r="B36" s="252"/>
      <c r="C36" s="139" t="s">
        <v>129</v>
      </c>
      <c r="D36" s="134">
        <v>4.2415800680591477E-3</v>
      </c>
      <c r="E36" s="135">
        <v>6.8905092286073247E-4</v>
      </c>
      <c r="F36" s="136">
        <v>2.413727488428827E-3</v>
      </c>
      <c r="G36" s="134">
        <v>2.4481194931162357E-3</v>
      </c>
      <c r="H36" s="136">
        <v>1.4505178246315715E-3</v>
      </c>
      <c r="I36" s="104">
        <f t="shared" si="16"/>
        <v>0.43419999999999997</v>
      </c>
      <c r="K36" s="134">
        <v>1.0575055609460779E-2</v>
      </c>
      <c r="L36" s="135">
        <v>9.3706843416450376E-3</v>
      </c>
      <c r="M36" s="136">
        <v>9.3806857346156319E-3</v>
      </c>
      <c r="N36" s="134">
        <v>9.7754752285738166E-3</v>
      </c>
      <c r="O36" s="136">
        <v>5.654034524654899E-4</v>
      </c>
      <c r="P36" s="104">
        <f t="shared" si="17"/>
        <v>0.25530000000000003</v>
      </c>
      <c r="Q36" s="134">
        <v>2.1028547889476834E-2</v>
      </c>
      <c r="R36" s="135">
        <v>9.581715214357054E-3</v>
      </c>
      <c r="S36" s="136">
        <v>2.0634819220397876E-2</v>
      </c>
      <c r="T36" s="134">
        <v>1.7081694108077253E-2</v>
      </c>
      <c r="U36" s="136">
        <v>5.305721322051005E-3</v>
      </c>
      <c r="V36" s="104">
        <f t="shared" si="18"/>
        <v>0.65600000000000003</v>
      </c>
      <c r="X36" s="134">
        <v>2.061344070540786E-3</v>
      </c>
      <c r="Y36" s="135">
        <v>8.5803919267165533E-4</v>
      </c>
      <c r="Z36" s="136">
        <v>1.9947869488175646E-3</v>
      </c>
      <c r="AA36" s="134">
        <v>1.6380567373433352E-3</v>
      </c>
      <c r="AB36" s="136">
        <v>5.5222458602139236E-4</v>
      </c>
      <c r="AC36" s="104">
        <f t="shared" si="19"/>
        <v>0.59950000000000003</v>
      </c>
      <c r="AD36" s="134">
        <v>3.6024460562427379E-3</v>
      </c>
      <c r="AE36" s="135">
        <v>6.7910051689820438E-3</v>
      </c>
      <c r="AF36" s="136">
        <v>4.1841632069904303E-3</v>
      </c>
      <c r="AG36" s="134">
        <v>4.8592048107384033E-3</v>
      </c>
      <c r="AH36" s="136">
        <v>1.3864795175674719E-3</v>
      </c>
      <c r="AI36" s="104">
        <f t="shared" si="20"/>
        <v>0.88070000000000004</v>
      </c>
      <c r="AJ36" s="134">
        <v>4.3516935599098175E-3</v>
      </c>
      <c r="AK36" s="135">
        <v>3.3924083884144152E-3</v>
      </c>
      <c r="AL36" s="136">
        <v>1.7482942072112207E-3</v>
      </c>
      <c r="AM36" s="134">
        <v>3.1641320518451515E-3</v>
      </c>
      <c r="AN36" s="136">
        <v>1.0750208096547034E-3</v>
      </c>
      <c r="AO36" s="104">
        <f t="shared" si="21"/>
        <v>0.24679999999999999</v>
      </c>
      <c r="AP36" s="134">
        <v>2.4407863289158255E-3</v>
      </c>
      <c r="AQ36" s="135">
        <v>1.350148597736844E-3</v>
      </c>
      <c r="AR36" s="136">
        <v>1.6109999253156083E-3</v>
      </c>
      <c r="AS36" s="134">
        <v>1.8006449506560926E-3</v>
      </c>
      <c r="AT36" s="136">
        <v>4.6500651744185538E-4</v>
      </c>
      <c r="AU36" s="104">
        <f t="shared" si="22"/>
        <v>0.22370000000000001</v>
      </c>
      <c r="AV36" s="134">
        <v>3.3785912063664593E-3</v>
      </c>
      <c r="AW36" s="135">
        <v>1.8744294583844944E-3</v>
      </c>
      <c r="AX36" s="136">
        <v>3.6156246420676885E-3</v>
      </c>
      <c r="AY36" s="134">
        <v>2.9562151022728806E-3</v>
      </c>
      <c r="AZ36" s="136">
        <v>7.710345201534279E-4</v>
      </c>
      <c r="BA36" s="103">
        <f t="shared" si="23"/>
        <v>0.01</v>
      </c>
    </row>
    <row r="37" spans="1:53" x14ac:dyDescent="0.35">
      <c r="A37" s="102"/>
      <c r="N37" s="84"/>
      <c r="O37" s="84"/>
    </row>
    <row r="38" spans="1:53" x14ac:dyDescent="0.35">
      <c r="N38" s="84"/>
      <c r="O38" s="84"/>
    </row>
    <row r="39" spans="1:53" x14ac:dyDescent="0.35">
      <c r="N39" s="84"/>
      <c r="O39" s="84"/>
    </row>
    <row r="40" spans="1:53" x14ac:dyDescent="0.35">
      <c r="N40" s="84"/>
      <c r="O40" s="84"/>
    </row>
    <row r="41" spans="1:53" x14ac:dyDescent="0.35">
      <c r="N41" s="84"/>
      <c r="O41" s="84"/>
    </row>
    <row r="42" spans="1:53" x14ac:dyDescent="0.35">
      <c r="N42" s="84"/>
      <c r="O42" s="84"/>
    </row>
    <row r="43" spans="1:53" x14ac:dyDescent="0.35">
      <c r="N43" s="84"/>
      <c r="O43" s="84"/>
    </row>
    <row r="44" spans="1:53" x14ac:dyDescent="0.35">
      <c r="N44" s="84"/>
      <c r="O44" s="84"/>
    </row>
    <row r="45" spans="1:53" x14ac:dyDescent="0.35">
      <c r="N45" s="84"/>
      <c r="O45" s="84"/>
    </row>
    <row r="46" spans="1:53" x14ac:dyDescent="0.35">
      <c r="N46" s="84"/>
      <c r="O46" s="84"/>
    </row>
    <row r="47" spans="1:53" x14ac:dyDescent="0.35">
      <c r="N47" s="84"/>
      <c r="O47" s="84"/>
    </row>
    <row r="48" spans="1:53" x14ac:dyDescent="0.35">
      <c r="N48" s="84"/>
      <c r="O48" s="84"/>
    </row>
  </sheetData>
  <mergeCells count="21">
    <mergeCell ref="AP23:AR23"/>
    <mergeCell ref="AV23:AX23"/>
    <mergeCell ref="B25:B30"/>
    <mergeCell ref="B31:B36"/>
    <mergeCell ref="D23:F23"/>
    <mergeCell ref="K23:M23"/>
    <mergeCell ref="Q23:S23"/>
    <mergeCell ref="X23:Z23"/>
    <mergeCell ref="AD23:AF23"/>
    <mergeCell ref="AJ23:AL23"/>
    <mergeCell ref="B8:B13"/>
    <mergeCell ref="B14:B19"/>
    <mergeCell ref="D6:F6"/>
    <mergeCell ref="K6:M6"/>
    <mergeCell ref="R6:T6"/>
    <mergeCell ref="BA6:BB6"/>
    <mergeCell ref="BG6:BH6"/>
    <mergeCell ref="Y6:AA6"/>
    <mergeCell ref="AF6:AH6"/>
    <mergeCell ref="AM6:AO6"/>
    <mergeCell ref="AU6:AV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"/>
  <sheetViews>
    <sheetView zoomScale="85" zoomScaleNormal="85" workbookViewId="0">
      <selection activeCell="J30" sqref="J30"/>
    </sheetView>
  </sheetViews>
  <sheetFormatPr defaultRowHeight="14.5" x14ac:dyDescent="0.35"/>
  <cols>
    <col min="1" max="1" width="23.7265625" customWidth="1"/>
  </cols>
  <sheetData>
    <row r="1" spans="1:42" x14ac:dyDescent="0.35">
      <c r="A1" t="s">
        <v>286</v>
      </c>
    </row>
    <row r="4" spans="1:42" s="102" customFormat="1" x14ac:dyDescent="0.35">
      <c r="B4" s="272" t="s">
        <v>214</v>
      </c>
      <c r="C4" s="241"/>
      <c r="D4" s="242"/>
      <c r="E4" s="286" t="s">
        <v>21</v>
      </c>
      <c r="F4" s="286" t="s">
        <v>20</v>
      </c>
      <c r="I4" s="272" t="s">
        <v>133</v>
      </c>
      <c r="J4" s="241"/>
      <c r="K4" s="242"/>
      <c r="L4" s="286" t="s">
        <v>21</v>
      </c>
      <c r="M4" s="286" t="s">
        <v>20</v>
      </c>
      <c r="P4" s="272" t="s">
        <v>117</v>
      </c>
      <c r="Q4" s="241"/>
      <c r="R4" s="242"/>
      <c r="S4" s="286" t="s">
        <v>21</v>
      </c>
      <c r="T4" s="286" t="s">
        <v>20</v>
      </c>
      <c r="W4" s="272" t="s">
        <v>120</v>
      </c>
      <c r="X4" s="241"/>
      <c r="Y4" s="242"/>
      <c r="Z4" s="286" t="s">
        <v>21</v>
      </c>
      <c r="AA4" s="286" t="s">
        <v>20</v>
      </c>
      <c r="AD4" s="272" t="s">
        <v>122</v>
      </c>
      <c r="AE4" s="241"/>
      <c r="AF4" s="242"/>
      <c r="AG4" s="286" t="s">
        <v>21</v>
      </c>
      <c r="AH4" s="286" t="s">
        <v>20</v>
      </c>
      <c r="AK4" s="272" t="s">
        <v>123</v>
      </c>
      <c r="AL4" s="241"/>
      <c r="AM4" s="242"/>
      <c r="AN4" s="286" t="s">
        <v>21</v>
      </c>
      <c r="AO4" s="286" t="s">
        <v>20</v>
      </c>
    </row>
    <row r="5" spans="1:42" x14ac:dyDescent="0.35">
      <c r="B5" s="236" t="s">
        <v>187</v>
      </c>
      <c r="C5" s="234" t="s">
        <v>188</v>
      </c>
      <c r="D5" s="235" t="s">
        <v>189</v>
      </c>
      <c r="E5" s="285"/>
      <c r="F5" s="285"/>
      <c r="G5" s="111" t="s">
        <v>196</v>
      </c>
      <c r="I5" s="236" t="s">
        <v>187</v>
      </c>
      <c r="J5" s="234" t="s">
        <v>188</v>
      </c>
      <c r="K5" s="235" t="s">
        <v>189</v>
      </c>
      <c r="L5" s="285"/>
      <c r="M5" s="285"/>
      <c r="N5" s="111" t="s">
        <v>196</v>
      </c>
      <c r="P5" s="236" t="s">
        <v>187</v>
      </c>
      <c r="Q5" s="234" t="s">
        <v>188</v>
      </c>
      <c r="R5" s="235" t="s">
        <v>189</v>
      </c>
      <c r="S5" s="285"/>
      <c r="T5" s="285"/>
      <c r="U5" s="111" t="s">
        <v>196</v>
      </c>
      <c r="W5" s="236" t="s">
        <v>187</v>
      </c>
      <c r="X5" s="234" t="s">
        <v>188</v>
      </c>
      <c r="Y5" s="235" t="s">
        <v>189</v>
      </c>
      <c r="Z5" s="285"/>
      <c r="AA5" s="285"/>
      <c r="AB5" s="111" t="s">
        <v>196</v>
      </c>
      <c r="AD5" s="236" t="s">
        <v>187</v>
      </c>
      <c r="AE5" s="234" t="s">
        <v>188</v>
      </c>
      <c r="AF5" s="235" t="s">
        <v>189</v>
      </c>
      <c r="AG5" s="285"/>
      <c r="AH5" s="285"/>
      <c r="AI5" s="111" t="s">
        <v>196</v>
      </c>
      <c r="AK5" s="236" t="s">
        <v>187</v>
      </c>
      <c r="AL5" s="234" t="s">
        <v>188</v>
      </c>
      <c r="AM5" s="235" t="s">
        <v>189</v>
      </c>
      <c r="AN5" s="285"/>
      <c r="AO5" s="285"/>
      <c r="AP5" s="111" t="s">
        <v>196</v>
      </c>
    </row>
    <row r="6" spans="1:42" x14ac:dyDescent="0.35">
      <c r="A6" s="36" t="s">
        <v>274</v>
      </c>
      <c r="B6" s="36">
        <v>1</v>
      </c>
      <c r="C6" s="37">
        <v>1</v>
      </c>
      <c r="D6" s="19">
        <v>1</v>
      </c>
      <c r="E6" s="96">
        <v>1</v>
      </c>
      <c r="F6" s="19">
        <v>0</v>
      </c>
      <c r="I6" s="36">
        <v>3.1559899492012993</v>
      </c>
      <c r="J6" s="37">
        <v>1.6950070846316361</v>
      </c>
      <c r="K6" s="19">
        <v>2.5988166331797715</v>
      </c>
      <c r="L6" s="96">
        <v>2.483271222337569</v>
      </c>
      <c r="M6" s="19">
        <v>0.60201372582168755</v>
      </c>
      <c r="N6" s="102"/>
      <c r="P6" s="36">
        <v>1</v>
      </c>
      <c r="Q6" s="37">
        <v>1</v>
      </c>
      <c r="R6" s="19">
        <v>1</v>
      </c>
      <c r="S6" s="96">
        <v>1</v>
      </c>
      <c r="T6" s="19">
        <v>0</v>
      </c>
      <c r="U6" s="102"/>
      <c r="W6" s="36">
        <v>0.87168975905479718</v>
      </c>
      <c r="X6" s="37">
        <v>0.70136456824741011</v>
      </c>
      <c r="Y6" s="19">
        <v>0.91117333640004194</v>
      </c>
      <c r="Z6" s="96">
        <v>0.82807588790074982</v>
      </c>
      <c r="AA6" s="19">
        <v>9.1036831799781018E-2</v>
      </c>
      <c r="AB6" s="102"/>
      <c r="AD6" s="36">
        <v>1</v>
      </c>
      <c r="AE6" s="37">
        <v>1</v>
      </c>
      <c r="AF6" s="19">
        <v>1</v>
      </c>
      <c r="AG6" s="96">
        <v>1</v>
      </c>
      <c r="AH6" s="19">
        <v>0</v>
      </c>
      <c r="AI6" s="102"/>
      <c r="AK6" s="36">
        <v>1.2588106860242312</v>
      </c>
      <c r="AL6" s="37">
        <v>1.2208862518092274</v>
      </c>
      <c r="AM6" s="19">
        <v>1.3718912217519399</v>
      </c>
      <c r="AN6" s="96">
        <v>1.2838627198617996</v>
      </c>
      <c r="AO6" s="19">
        <v>6.4142178200197714E-2</v>
      </c>
      <c r="AP6" s="102"/>
    </row>
    <row r="7" spans="1:42" x14ac:dyDescent="0.35">
      <c r="A7" s="28" t="s">
        <v>275</v>
      </c>
      <c r="B7" s="28">
        <v>0.86002462080428788</v>
      </c>
      <c r="C7" s="46">
        <v>0.70737993581595293</v>
      </c>
      <c r="D7" s="27">
        <v>0.29988669998810913</v>
      </c>
      <c r="E7" s="98">
        <v>0.62243041886944994</v>
      </c>
      <c r="F7" s="27">
        <v>0.23643313065382218</v>
      </c>
      <c r="I7" s="28">
        <v>2.0960092144211742</v>
      </c>
      <c r="J7" s="46">
        <v>1.7603488501585018</v>
      </c>
      <c r="K7" s="27">
        <v>0.97343056395745198</v>
      </c>
      <c r="L7" s="98">
        <v>1.6099295428457092</v>
      </c>
      <c r="M7" s="27">
        <v>0.47047152420281818</v>
      </c>
      <c r="N7" s="102"/>
      <c r="P7" s="28">
        <v>0.62164706247944412</v>
      </c>
      <c r="Q7" s="46">
        <v>0.54796249460704372</v>
      </c>
      <c r="R7" s="27">
        <v>0.42553586084101258</v>
      </c>
      <c r="S7" s="98">
        <v>0.53171513930916692</v>
      </c>
      <c r="T7" s="27">
        <v>8.0882149937007652E-2</v>
      </c>
      <c r="U7" s="102"/>
      <c r="W7" s="28">
        <v>0.37701312259930664</v>
      </c>
      <c r="X7" s="46">
        <v>0.25646834645712635</v>
      </c>
      <c r="Y7" s="27">
        <v>0.49014304816703691</v>
      </c>
      <c r="Z7" s="98">
        <v>0.37454150574115658</v>
      </c>
      <c r="AA7" s="27">
        <v>9.541330522949118E-2</v>
      </c>
      <c r="AB7" s="102"/>
      <c r="AD7" s="28">
        <v>0.47893478277723195</v>
      </c>
      <c r="AE7" s="46">
        <v>0.48756736257018451</v>
      </c>
      <c r="AF7" s="27">
        <v>0.46372475936101454</v>
      </c>
      <c r="AG7" s="98">
        <v>0.476742301569477</v>
      </c>
      <c r="AH7" s="27">
        <v>9.8563908990478375E-3</v>
      </c>
      <c r="AI7" s="102"/>
      <c r="AK7" s="28">
        <v>0.53287400920863526</v>
      </c>
      <c r="AL7" s="46">
        <v>0.19721330835232803</v>
      </c>
      <c r="AM7" s="27">
        <v>0.41643773748501622</v>
      </c>
      <c r="AN7" s="98">
        <v>0.3821750183486598</v>
      </c>
      <c r="AO7" s="27">
        <v>0.13915812820145659</v>
      </c>
      <c r="AP7" s="102"/>
    </row>
    <row r="8" spans="1:42" x14ac:dyDescent="0.35">
      <c r="A8" s="28" t="s">
        <v>276</v>
      </c>
      <c r="B8" s="28">
        <v>0.59472095540650305</v>
      </c>
      <c r="C8" s="46">
        <v>0.59003119099942614</v>
      </c>
      <c r="D8" s="27">
        <v>0.6496608645954528</v>
      </c>
      <c r="E8" s="98">
        <v>0.61147100366712737</v>
      </c>
      <c r="F8" s="27">
        <v>2.7072096099638607E-2</v>
      </c>
      <c r="I8" s="28">
        <v>1.9935269391796302</v>
      </c>
      <c r="J8" s="46">
        <v>2.4471179339062394</v>
      </c>
      <c r="K8" s="27">
        <v>1.6450442728165013</v>
      </c>
      <c r="L8" s="98">
        <v>2.0285630486341235</v>
      </c>
      <c r="M8" s="27">
        <v>0.32838106540801582</v>
      </c>
      <c r="N8" s="102"/>
      <c r="P8" s="28">
        <v>0.49638867649475338</v>
      </c>
      <c r="Q8" s="46">
        <v>0.58679772488271797</v>
      </c>
      <c r="R8" s="27">
        <v>0.82372274769739084</v>
      </c>
      <c r="S8" s="98">
        <v>0.63563638302495395</v>
      </c>
      <c r="T8" s="27">
        <v>0.13802369226422462</v>
      </c>
      <c r="U8" s="102"/>
      <c r="W8" s="28">
        <v>0.24681850597283861</v>
      </c>
      <c r="X8" s="46">
        <v>0.31244183605034853</v>
      </c>
      <c r="Y8" s="27">
        <v>0.78849593290426967</v>
      </c>
      <c r="Z8" s="98">
        <v>0.44925209164248558</v>
      </c>
      <c r="AA8" s="27">
        <v>0.24137300765710232</v>
      </c>
      <c r="AB8" s="102"/>
      <c r="AD8" s="28">
        <v>0.39666303635243005</v>
      </c>
      <c r="AE8" s="46">
        <v>0.27505464880439273</v>
      </c>
      <c r="AF8" s="27">
        <v>0.75296299860697324</v>
      </c>
      <c r="AG8" s="98">
        <v>0.47489356125459864</v>
      </c>
      <c r="AH8" s="27">
        <v>0.20279564257746119</v>
      </c>
      <c r="AI8" s="102"/>
      <c r="AK8" s="28">
        <v>0.30566391372965884</v>
      </c>
      <c r="AL8" s="46">
        <v>0.26074925081102601</v>
      </c>
      <c r="AM8" s="27">
        <v>0.93863094524106261</v>
      </c>
      <c r="AN8" s="98">
        <v>0.50168136992724921</v>
      </c>
      <c r="AO8" s="27">
        <v>0.30951362949145989</v>
      </c>
      <c r="AP8" s="102"/>
    </row>
    <row r="9" spans="1:42" x14ac:dyDescent="0.35">
      <c r="A9" s="28" t="s">
        <v>277</v>
      </c>
      <c r="B9" s="28">
        <v>2.088018044188872</v>
      </c>
      <c r="C9" s="46">
        <v>1.0559850207205692</v>
      </c>
      <c r="D9" s="27">
        <v>0.76027440824076142</v>
      </c>
      <c r="E9" s="98">
        <v>1.3014258243834009</v>
      </c>
      <c r="F9" s="27">
        <v>0.5691553284046863</v>
      </c>
      <c r="G9">
        <f>ROUND(TTEST(B6:D6,B9:D9,2,2),4)</f>
        <v>0.4955</v>
      </c>
      <c r="I9" s="28">
        <v>6.0193671206690169</v>
      </c>
      <c r="J9" s="46">
        <v>2.7284631702294111</v>
      </c>
      <c r="K9" s="27">
        <v>1.7863097305430247</v>
      </c>
      <c r="L9" s="98">
        <v>3.5113800071471508</v>
      </c>
      <c r="M9" s="27">
        <v>1.8146464847956907</v>
      </c>
      <c r="N9" s="102">
        <f>ROUND(TTEST(I6:K6,I9:K9,2,2),4)</f>
        <v>0.48930000000000001</v>
      </c>
      <c r="P9" s="28">
        <v>1.4043403661552052</v>
      </c>
      <c r="Q9" s="46">
        <v>0.62556068199500436</v>
      </c>
      <c r="R9" s="27">
        <v>0.97086302416875236</v>
      </c>
      <c r="S9" s="98">
        <v>1.0002546907729875</v>
      </c>
      <c r="T9" s="27">
        <v>0.31861403156431201</v>
      </c>
      <c r="U9" s="102">
        <f>ROUND(TTEST(P6:R6,P9:R9,2,2),4)</f>
        <v>0.99919999999999998</v>
      </c>
      <c r="W9" s="28">
        <v>0.95032655091619767</v>
      </c>
      <c r="X9" s="46">
        <v>0.61654499096673765</v>
      </c>
      <c r="Y9" s="27">
        <v>0.53764459253975472</v>
      </c>
      <c r="Z9" s="98">
        <v>0.70150537814089675</v>
      </c>
      <c r="AA9" s="27">
        <v>0.17886736283988217</v>
      </c>
      <c r="AB9" s="102">
        <f>ROUND(TTEST(W6:Y6,W9:Y9,2,2),4)</f>
        <v>0.4229</v>
      </c>
      <c r="AD9" s="28">
        <v>1.1121417535892284</v>
      </c>
      <c r="AE9" s="46">
        <v>0.77415335941630514</v>
      </c>
      <c r="AF9" s="27">
        <v>1.00348170556336</v>
      </c>
      <c r="AG9" s="98">
        <v>0.96325893952296449</v>
      </c>
      <c r="AH9" s="27">
        <v>0.14088397550195542</v>
      </c>
      <c r="AI9" s="102">
        <f>ROUND(TTEST(AD6:AF6,AD9:AF9,2,2),4)</f>
        <v>0.73099999999999998</v>
      </c>
      <c r="AK9" s="28">
        <v>1.8570158591789463</v>
      </c>
      <c r="AL9" s="46">
        <v>1.5358023756043857</v>
      </c>
      <c r="AM9" s="27">
        <v>1.0851319623291078</v>
      </c>
      <c r="AN9" s="98">
        <v>1.4926500657041466</v>
      </c>
      <c r="AO9" s="27">
        <v>0.31659414496725063</v>
      </c>
      <c r="AP9" s="102">
        <f>ROUND(TTEST(AK6:AM6,AK9:AM9,2,2),4)</f>
        <v>0.41239999999999999</v>
      </c>
    </row>
    <row r="10" spans="1:42" x14ac:dyDescent="0.35">
      <c r="A10" s="28" t="s">
        <v>278</v>
      </c>
      <c r="B10" s="28">
        <v>0.47519708044153813</v>
      </c>
      <c r="C10" s="46">
        <v>0.62562141185731279</v>
      </c>
      <c r="D10" s="27">
        <v>0.6608089748929713</v>
      </c>
      <c r="E10" s="98">
        <v>0.58720915573060739</v>
      </c>
      <c r="F10" s="27">
        <v>8.049666620848453E-2</v>
      </c>
      <c r="G10" s="102">
        <f>ROUND(TTEST(B7:D7,B10:D10,2,2),4)</f>
        <v>0.85170000000000001</v>
      </c>
      <c r="I10" s="28">
        <v>2.0214337505091868</v>
      </c>
      <c r="J10" s="46">
        <v>1.3527443037113569</v>
      </c>
      <c r="K10" s="27">
        <v>0.95738864527551237</v>
      </c>
      <c r="L10" s="98">
        <v>1.4438555664986854</v>
      </c>
      <c r="M10" s="27">
        <v>0.43914609804935545</v>
      </c>
      <c r="N10" s="102">
        <f>ROUND(TTEST(I7:K7,I10:K10,2,2),4)</f>
        <v>0.73360000000000003</v>
      </c>
      <c r="P10" s="28">
        <v>0.46534427152304342</v>
      </c>
      <c r="Q10" s="46">
        <v>0.6279861623064954</v>
      </c>
      <c r="R10" s="27">
        <v>0.42654024615853969</v>
      </c>
      <c r="S10" s="98">
        <v>0.50662355999602615</v>
      </c>
      <c r="T10" s="27">
        <v>8.7266255508831811E-2</v>
      </c>
      <c r="U10" s="102">
        <f>ROUND(TTEST(P7:R7,P10:R10,2,2),4)</f>
        <v>0.78039999999999998</v>
      </c>
      <c r="W10" s="28">
        <v>0.49928478939416937</v>
      </c>
      <c r="X10" s="46">
        <v>0.22863521384682964</v>
      </c>
      <c r="Y10" s="27">
        <v>0.4147221758934212</v>
      </c>
      <c r="Z10" s="98">
        <v>0.38088072637814002</v>
      </c>
      <c r="AA10" s="27">
        <v>0.11305376586668933</v>
      </c>
      <c r="AB10" s="102">
        <f>ROUND(TTEST(W7:Y7,W10:Y10,2,2),4)</f>
        <v>0.9546</v>
      </c>
      <c r="AD10" s="28">
        <v>0.37719413101995081</v>
      </c>
      <c r="AE10" s="46">
        <v>0.79720591715135736</v>
      </c>
      <c r="AF10" s="27">
        <v>0.61367112814223901</v>
      </c>
      <c r="AG10" s="98">
        <v>0.59602372543784909</v>
      </c>
      <c r="AH10" s="27">
        <v>0.17192255667205078</v>
      </c>
      <c r="AI10" s="102">
        <f>ROUND(TTEST(AD7:AF7,AD10:AF10,2,2),4)</f>
        <v>0.38279999999999997</v>
      </c>
      <c r="AK10" s="28">
        <v>0.42768125336924656</v>
      </c>
      <c r="AL10" s="46">
        <v>0.2925046332256574</v>
      </c>
      <c r="AM10" s="27">
        <v>0.75788197084254982</v>
      </c>
      <c r="AN10" s="98">
        <v>0.49268928581248456</v>
      </c>
      <c r="AO10" s="27">
        <v>0.19547131043276342</v>
      </c>
      <c r="AP10" s="102">
        <f>ROUND(TTEST(AK7:AM7,AK10:AM10,2,2),4)</f>
        <v>0.55030000000000001</v>
      </c>
    </row>
    <row r="11" spans="1:42" x14ac:dyDescent="0.35">
      <c r="A11" s="28" t="s">
        <v>279</v>
      </c>
      <c r="B11" s="28">
        <v>0.99755152648041723</v>
      </c>
      <c r="C11" s="46">
        <v>0.65212618872753603</v>
      </c>
      <c r="D11" s="27">
        <v>0.41086889658229636</v>
      </c>
      <c r="E11" s="98">
        <v>0.68684887059674982</v>
      </c>
      <c r="F11" s="27">
        <v>0.24076735040724376</v>
      </c>
      <c r="G11" s="102">
        <f>ROUND(TTEST(B8:D8,B11:D11,2,2),4)</f>
        <v>0.68269999999999997</v>
      </c>
      <c r="I11" s="28">
        <v>2.6267466478217867</v>
      </c>
      <c r="J11" s="46">
        <v>1.0843298022111059</v>
      </c>
      <c r="K11" s="27">
        <v>1.3407480784071071</v>
      </c>
      <c r="L11" s="98">
        <v>1.6839415094799997</v>
      </c>
      <c r="M11" s="27">
        <v>0.67483268531520202</v>
      </c>
      <c r="N11" s="102">
        <f>ROUND(TTEST(I8:K8,I11:K11,2,2),4)</f>
        <v>0.55149999999999999</v>
      </c>
      <c r="P11" s="28">
        <v>0.62259965778636084</v>
      </c>
      <c r="Q11" s="46">
        <v>0.31628398925346485</v>
      </c>
      <c r="R11" s="27">
        <v>0.61077498611601688</v>
      </c>
      <c r="S11" s="98">
        <v>0.51655287771861413</v>
      </c>
      <c r="T11" s="27">
        <v>0.14169374599308121</v>
      </c>
      <c r="U11" s="102">
        <f>ROUND(TTEST(P8:R8,P11:R11,2,2),4)</f>
        <v>0.4425</v>
      </c>
      <c r="W11" s="28">
        <v>0.62470817214108476</v>
      </c>
      <c r="X11" s="46">
        <v>0.21256616607057302</v>
      </c>
      <c r="Y11" s="27">
        <v>0.40474201787644526</v>
      </c>
      <c r="Z11" s="98">
        <v>0.41400545202936767</v>
      </c>
      <c r="AA11" s="27">
        <v>0.1683837218996849</v>
      </c>
      <c r="AB11" s="102">
        <f>ROUND(TTEST(W8:Y8,W11:Y11,2,2),4)</f>
        <v>0.87370000000000003</v>
      </c>
      <c r="AD11" s="28">
        <v>0.61719799828472044</v>
      </c>
      <c r="AE11" s="46">
        <v>0.43812264310113674</v>
      </c>
      <c r="AF11" s="27">
        <v>0.65491375428350518</v>
      </c>
      <c r="AG11" s="98">
        <v>0.57007813188978751</v>
      </c>
      <c r="AH11" s="27">
        <v>9.4568521290926716E-2</v>
      </c>
      <c r="AI11" s="102">
        <f>ROUND(TTEST(AD8:AF8,AD11:AF11,2,2),4)</f>
        <v>0.57989999999999997</v>
      </c>
      <c r="AK11" s="28">
        <v>0.51459561800970532</v>
      </c>
      <c r="AL11" s="46">
        <v>0.2204874761361576</v>
      </c>
      <c r="AM11" s="27">
        <v>0.57305285575329157</v>
      </c>
      <c r="AN11" s="98">
        <v>0.43604531663305152</v>
      </c>
      <c r="AO11" s="27">
        <v>0.15427939830259435</v>
      </c>
      <c r="AP11" s="102">
        <f>ROUND(TTEST(AK8:AM8,AK11:AM11,2,2),4)</f>
        <v>0.80169999999999997</v>
      </c>
    </row>
    <row r="12" spans="1:42" x14ac:dyDescent="0.35">
      <c r="A12" s="28" t="s">
        <v>280</v>
      </c>
      <c r="B12" s="28">
        <v>0.33132460980290063</v>
      </c>
      <c r="C12" s="46">
        <v>1.0445924275409497</v>
      </c>
      <c r="D12" s="27">
        <v>0.76220945525691175</v>
      </c>
      <c r="E12" s="98">
        <v>0.71270883086692072</v>
      </c>
      <c r="F12" s="27">
        <v>0.2932865252234283</v>
      </c>
      <c r="G12" s="102">
        <f>ROUND(TTEST(B6:D6,B12:D12,2,2),4)</f>
        <v>0.2382</v>
      </c>
      <c r="I12" s="28">
        <v>1.1697357629602751</v>
      </c>
      <c r="J12" s="46">
        <v>2.411381760702378</v>
      </c>
      <c r="K12" s="27">
        <v>1.9886126668491886</v>
      </c>
      <c r="L12" s="98">
        <v>1.856576730170614</v>
      </c>
      <c r="M12" s="27">
        <v>0.51542623937746068</v>
      </c>
      <c r="N12" s="102">
        <f>ROUND(TTEST(I6:K6,I12:K12,2,2),4)</f>
        <v>0.3261</v>
      </c>
      <c r="P12" s="28">
        <v>0.32266870677959725</v>
      </c>
      <c r="Q12" s="46">
        <v>0.64770187801392665</v>
      </c>
      <c r="R12" s="27">
        <v>1.47960806260018</v>
      </c>
      <c r="S12" s="98">
        <v>0.81665954913123462</v>
      </c>
      <c r="T12" s="27">
        <v>0.48719413600307548</v>
      </c>
      <c r="U12" s="102">
        <f>ROUND(TTEST(P6:R6,P12:R12,2,2),4)</f>
        <v>0.62280000000000002</v>
      </c>
      <c r="W12" s="28">
        <v>0.1788365173625466</v>
      </c>
      <c r="X12" s="46">
        <v>0.29997166177412177</v>
      </c>
      <c r="Y12" s="27">
        <v>2.0497361960754517</v>
      </c>
      <c r="Z12" s="98">
        <v>0.84284812507070672</v>
      </c>
      <c r="AA12" s="27">
        <v>0.85483040920526787</v>
      </c>
      <c r="AB12" s="102">
        <f>ROUND(TTEST(W6:Y6,W12:Y12,2,2),4)</f>
        <v>0.98180000000000001</v>
      </c>
      <c r="AD12" s="28">
        <v>0.28072056116748295</v>
      </c>
      <c r="AE12" s="46">
        <v>0.88770689560417115</v>
      </c>
      <c r="AF12" s="27">
        <v>1.1342018087643353</v>
      </c>
      <c r="AG12" s="98">
        <v>0.76754308851199637</v>
      </c>
      <c r="AH12" s="27">
        <v>0.3586428728796322</v>
      </c>
      <c r="AI12" s="102">
        <f>ROUND(TTEST(AD6:AF6,AD12:AF12,2,2),4)</f>
        <v>0.41120000000000001</v>
      </c>
      <c r="AK12" s="28">
        <v>0.40460733218600048</v>
      </c>
      <c r="AL12" s="46">
        <v>0.67334523902694121</v>
      </c>
      <c r="AM12" s="27">
        <v>1.5424053066123529</v>
      </c>
      <c r="AN12" s="98">
        <v>0.87345262594176487</v>
      </c>
      <c r="AO12" s="27">
        <v>0.48557751346589823</v>
      </c>
      <c r="AP12" s="102">
        <f>ROUND(TTEST(AK6:AM6,AK12:AM12,2,2),4)</f>
        <v>0.30159999999999998</v>
      </c>
    </row>
    <row r="13" spans="1:42" x14ac:dyDescent="0.35">
      <c r="A13" s="28" t="s">
        <v>281</v>
      </c>
      <c r="B13" s="28">
        <v>0.28239266581763933</v>
      </c>
      <c r="C13" s="46">
        <v>0.35175016679096899</v>
      </c>
      <c r="D13" s="27">
        <v>0.52109443901078867</v>
      </c>
      <c r="E13" s="98">
        <v>0.38507909053979894</v>
      </c>
      <c r="F13" s="27">
        <v>0.10025882172351035</v>
      </c>
      <c r="G13" s="102">
        <f>ROUND(TTEST(B7:D7,B13:D13,2,2),4)</f>
        <v>0.26129999999999998</v>
      </c>
      <c r="I13" s="28">
        <v>0.69689476848100607</v>
      </c>
      <c r="J13" s="46">
        <v>1.7429157777654585</v>
      </c>
      <c r="K13" s="27">
        <v>1.3351779441420892</v>
      </c>
      <c r="L13" s="98">
        <v>1.2583294967961847</v>
      </c>
      <c r="M13" s="27">
        <v>0.43047977177464314</v>
      </c>
      <c r="N13" s="102">
        <f>ROUND(TTEST(I7:K7,I13:K13,2,2),4)</f>
        <v>0.47910000000000003</v>
      </c>
      <c r="P13" s="28">
        <v>0.1403566368975151</v>
      </c>
      <c r="Q13" s="46">
        <v>0.28370111408627041</v>
      </c>
      <c r="R13" s="27">
        <v>0.60567964327312229</v>
      </c>
      <c r="S13" s="98">
        <v>0.34324579808563599</v>
      </c>
      <c r="T13" s="27">
        <v>0.19457740894914899</v>
      </c>
      <c r="U13" s="102">
        <f>ROUND(TTEST(P7:R7,P13:R13,2,2),4)</f>
        <v>0.27460000000000001</v>
      </c>
      <c r="W13" s="28">
        <v>0.12009352423216266</v>
      </c>
      <c r="X13" s="46">
        <v>0.23238095311761045</v>
      </c>
      <c r="Y13" s="27">
        <v>0.85444967379401016</v>
      </c>
      <c r="Z13" s="98">
        <v>0.40230805038126105</v>
      </c>
      <c r="AA13" s="27">
        <v>0.32298209691164337</v>
      </c>
      <c r="AB13" s="102">
        <f>ROUND(TTEST(W7:Y7,W13:Y13,2,2),4)</f>
        <v>0.91279999999999994</v>
      </c>
      <c r="AD13" s="28">
        <v>0.17200201917464536</v>
      </c>
      <c r="AE13" s="46">
        <v>0.49594699658763586</v>
      </c>
      <c r="AF13" s="27">
        <v>1.002949893640253</v>
      </c>
      <c r="AG13" s="98">
        <v>0.55696630313417805</v>
      </c>
      <c r="AH13" s="27">
        <v>0.34196599182598414</v>
      </c>
      <c r="AI13" s="102">
        <f>ROUND(TTEST(AD7:AF7,AD13:AF13,2,2),4)</f>
        <v>0.75680000000000003</v>
      </c>
      <c r="AK13" s="28">
        <v>0.17389961869789031</v>
      </c>
      <c r="AL13" s="46">
        <v>0.52371968355195797</v>
      </c>
      <c r="AM13" s="27">
        <v>0.80908197596423348</v>
      </c>
      <c r="AN13" s="98">
        <v>0.50223375940469384</v>
      </c>
      <c r="AO13" s="27">
        <v>0.25975679708521426</v>
      </c>
      <c r="AP13" s="102">
        <f>ROUND(TTEST(AK7:AM7,AK13:AM13,2,2),4)</f>
        <v>0.59540000000000004</v>
      </c>
    </row>
    <row r="14" spans="1:42" x14ac:dyDescent="0.35">
      <c r="A14" s="28" t="s">
        <v>282</v>
      </c>
      <c r="B14" s="28">
        <v>0.29702306247479049</v>
      </c>
      <c r="C14" s="46">
        <v>0.49776576432669506</v>
      </c>
      <c r="D14" s="27">
        <v>0.38008599059265474</v>
      </c>
      <c r="E14" s="98">
        <v>0.39162493913138013</v>
      </c>
      <c r="F14" s="27">
        <v>8.2358033758037894E-2</v>
      </c>
      <c r="G14" s="102">
        <f>ROUND(TTEST(B8:D8,B14:D14,2,2),4)</f>
        <v>2.3E-2</v>
      </c>
      <c r="I14" s="28">
        <v>0.54369616357523143</v>
      </c>
      <c r="J14" s="46">
        <v>0.51675771869756071</v>
      </c>
      <c r="K14" s="27">
        <v>0.72908810221338793</v>
      </c>
      <c r="L14" s="98">
        <v>0.59651399482872669</v>
      </c>
      <c r="M14" s="27">
        <v>9.4386935588694806E-2</v>
      </c>
      <c r="N14" s="100">
        <f>ROUND(TTEST(I8:K8,I14:K14,2,2),4)</f>
        <v>4.1000000000000003E-3</v>
      </c>
      <c r="P14" s="28">
        <v>0.12069921486455938</v>
      </c>
      <c r="Q14" s="46">
        <v>0.27494152959953949</v>
      </c>
      <c r="R14" s="27">
        <v>0.52164692154363901</v>
      </c>
      <c r="S14" s="98">
        <v>0.30576255533591262</v>
      </c>
      <c r="T14" s="27">
        <v>0.16513069085502136</v>
      </c>
      <c r="U14" s="102">
        <f>ROUND(TTEST(P8:R8,P14:R14,2,2),4)</f>
        <v>9.6100000000000005E-2</v>
      </c>
      <c r="W14" s="28">
        <v>7.6914461016913543E-2</v>
      </c>
      <c r="X14" s="46">
        <v>0.13209387325099434</v>
      </c>
      <c r="Y14" s="27">
        <v>0.30701347935464263</v>
      </c>
      <c r="Z14" s="98">
        <v>0.17200727120751683</v>
      </c>
      <c r="AA14" s="27">
        <v>9.8085673647491961E-2</v>
      </c>
      <c r="AB14" s="102">
        <f>ROUND(TTEST(W8:Y8,W14:Y14,2,2),4)</f>
        <v>0.20680000000000001</v>
      </c>
      <c r="AD14" s="28">
        <v>0.12031683543237631</v>
      </c>
      <c r="AE14" s="46">
        <v>0.35953487729990441</v>
      </c>
      <c r="AF14" s="27">
        <v>0.53229607900321263</v>
      </c>
      <c r="AG14" s="98">
        <v>0.33738259724516445</v>
      </c>
      <c r="AH14" s="27">
        <v>0.16891766617106171</v>
      </c>
      <c r="AI14" s="102">
        <f>ROUND(TTEST(AD8:AF8,AD14:AF14,2,2),4)</f>
        <v>0.50209999999999999</v>
      </c>
      <c r="AK14" s="28">
        <v>0.13470403157737595</v>
      </c>
      <c r="AL14" s="46">
        <v>0.19807553099039152</v>
      </c>
      <c r="AM14" s="27">
        <v>0.73339560837908435</v>
      </c>
      <c r="AN14" s="98">
        <v>0.35539172364895061</v>
      </c>
      <c r="AO14" s="27">
        <v>0.26853825225687755</v>
      </c>
      <c r="AP14" s="102">
        <f>ROUND(TTEST(AK8:AM8,AK14:AM14,2,2),4)</f>
        <v>0.64019999999999999</v>
      </c>
    </row>
    <row r="15" spans="1:42" x14ac:dyDescent="0.35">
      <c r="A15" s="28" t="s">
        <v>283</v>
      </c>
      <c r="B15" s="28">
        <v>1.104257809067716</v>
      </c>
      <c r="C15" s="46">
        <v>0.64188223375035491</v>
      </c>
      <c r="D15" s="27">
        <v>0.62256428088629778</v>
      </c>
      <c r="E15" s="98">
        <v>0.78956810790145626</v>
      </c>
      <c r="F15" s="27">
        <v>0.22265893475717027</v>
      </c>
      <c r="G15" s="102">
        <f>ROUND(TTEST(B6:D6,B15:D15,2,2),4)</f>
        <v>0.25230000000000002</v>
      </c>
      <c r="I15" s="28">
        <v>3.0799150220835352</v>
      </c>
      <c r="J15" s="46">
        <v>1.9756342306593084</v>
      </c>
      <c r="K15" s="27">
        <v>1.3409647196093812</v>
      </c>
      <c r="L15" s="98">
        <v>2.1321713241174085</v>
      </c>
      <c r="M15" s="27">
        <v>0.71850072365538564</v>
      </c>
      <c r="N15" s="102">
        <f>ROUND(TTEST(I6:K6,I15:K15,2,2),4)</f>
        <v>0.62439999999999996</v>
      </c>
      <c r="P15" s="28">
        <v>0.87875244145589992</v>
      </c>
      <c r="Q15" s="46">
        <v>0.36622945375352978</v>
      </c>
      <c r="R15" s="27">
        <v>0.46074008677888978</v>
      </c>
      <c r="S15" s="98">
        <v>0.56857399399610653</v>
      </c>
      <c r="T15" s="27">
        <v>0.22269720382938421</v>
      </c>
      <c r="U15" s="102">
        <f>ROUND(TTEST(P6:R6,P15:R15,2,2),4)</f>
        <v>5.1900000000000002E-2</v>
      </c>
      <c r="W15" s="28">
        <v>0.49623573053518938</v>
      </c>
      <c r="X15" s="46">
        <v>0.40422255905588189</v>
      </c>
      <c r="Y15" s="27">
        <v>1.1592355570586028</v>
      </c>
      <c r="Z15" s="98">
        <v>0.68656461554989134</v>
      </c>
      <c r="AA15" s="27">
        <v>0.33633313856102948</v>
      </c>
      <c r="AB15" s="102">
        <f>ROUND(TTEST(W6:Y6,W15:Y15,2,2),4)</f>
        <v>0.59650000000000003</v>
      </c>
      <c r="AD15" s="28">
        <v>0.6907854566958419</v>
      </c>
      <c r="AE15" s="46">
        <v>0.4444071203279043</v>
      </c>
      <c r="AF15" s="27">
        <v>0.89189521527314319</v>
      </c>
      <c r="AG15" s="98">
        <v>0.67569593076562973</v>
      </c>
      <c r="AH15" s="27">
        <v>0.18299757580184597</v>
      </c>
      <c r="AI15" s="102">
        <f>ROUND(TTEST(AD6:AF6,AD15:AF15,2,2),4)</f>
        <v>6.6299999999999998E-2</v>
      </c>
      <c r="AK15" s="28">
        <v>0.92572420273415734</v>
      </c>
      <c r="AL15" s="46">
        <v>0.61874930828555175</v>
      </c>
      <c r="AM15" s="27">
        <v>1.6005969157438689</v>
      </c>
      <c r="AN15" s="98">
        <v>1.0483568089211925</v>
      </c>
      <c r="AO15" s="27">
        <v>0.41010994309906196</v>
      </c>
      <c r="AP15" s="102">
        <f>ROUND(TTEST(AK6:AM6,AK15:AM15,2,2),4)</f>
        <v>0.46729999999999999</v>
      </c>
    </row>
    <row r="16" spans="1:42" x14ac:dyDescent="0.35">
      <c r="A16" s="28" t="s">
        <v>284</v>
      </c>
      <c r="B16" s="28">
        <v>8.8288449953582981E-2</v>
      </c>
      <c r="C16" s="46">
        <v>0.56006769732801331</v>
      </c>
      <c r="D16" s="27">
        <v>0.68813549790225037</v>
      </c>
      <c r="E16" s="98">
        <v>0.4454972150612822</v>
      </c>
      <c r="F16" s="27">
        <v>0.25793916180410487</v>
      </c>
      <c r="G16" s="102">
        <f>ROUND(TTEST(B7:D7,B16:D16,2,2),4)</f>
        <v>0.5141</v>
      </c>
      <c r="I16" s="28">
        <v>0.43371981992871894</v>
      </c>
      <c r="J16" s="46">
        <v>2.547904403894595</v>
      </c>
      <c r="K16" s="27">
        <v>2.4630041556283748</v>
      </c>
      <c r="L16" s="98">
        <v>1.8148761264838964</v>
      </c>
      <c r="M16" s="27">
        <v>0.97723984445708767</v>
      </c>
      <c r="N16" s="102">
        <f>ROUND(TTEST(I7:K7,I16:K16,2,2),4)</f>
        <v>0.80249999999999999</v>
      </c>
      <c r="P16" s="28">
        <v>9.317696937244227E-2</v>
      </c>
      <c r="Q16" s="46">
        <v>0.35732289814313628</v>
      </c>
      <c r="R16" s="27">
        <v>0.87542676494811911</v>
      </c>
      <c r="S16" s="98">
        <v>0.44197554415456591</v>
      </c>
      <c r="T16" s="27">
        <v>0.3249135664830462</v>
      </c>
      <c r="U16" s="102">
        <f>ROUND(TTEST(P7:R7,P16:R16,2,2),4)</f>
        <v>0.72389999999999999</v>
      </c>
      <c r="W16" s="28">
        <v>6.313918879675795E-2</v>
      </c>
      <c r="X16" s="46">
        <v>0.3066041385670828</v>
      </c>
      <c r="Y16" s="27">
        <v>1.0351324638575292</v>
      </c>
      <c r="Z16" s="98">
        <v>0.4682919304071233</v>
      </c>
      <c r="AA16" s="27">
        <v>0.41295676788530972</v>
      </c>
      <c r="AB16" s="102">
        <f>ROUND(TTEST(W7:Y7,W16:Y16,2,2),4)</f>
        <v>0.77010000000000001</v>
      </c>
      <c r="AD16" s="28">
        <v>9.0115156519475256E-2</v>
      </c>
      <c r="AE16" s="46">
        <v>0.63503243889354299</v>
      </c>
      <c r="AF16" s="27">
        <v>0.98383062813075073</v>
      </c>
      <c r="AG16" s="98">
        <v>0.56965940784792302</v>
      </c>
      <c r="AH16" s="27">
        <v>0.36777444259619235</v>
      </c>
      <c r="AI16" s="102">
        <f>ROUND(TTEST(AD7:AF7,AD16:AF16,2,2),4)</f>
        <v>0.73899999999999999</v>
      </c>
      <c r="AK16" s="28">
        <v>0.1131075025796322</v>
      </c>
      <c r="AL16" s="46">
        <v>0.4027785668060464</v>
      </c>
      <c r="AM16" s="27">
        <v>1.4844787826862256</v>
      </c>
      <c r="AN16" s="98">
        <v>0.66678828402396795</v>
      </c>
      <c r="AO16" s="27">
        <v>0.59016418340685184</v>
      </c>
      <c r="AP16" s="102">
        <f>ROUND(TTEST(AK7:AM7,AK16:AM16,2,2),4)</f>
        <v>0.54310000000000003</v>
      </c>
    </row>
    <row r="17" spans="1:42" x14ac:dyDescent="0.35">
      <c r="A17" s="25" t="s">
        <v>285</v>
      </c>
      <c r="B17" s="25">
        <v>0.29691135028338639</v>
      </c>
      <c r="C17" s="14">
        <v>0.67152204195847864</v>
      </c>
      <c r="D17" s="17">
        <v>0.33681357103907306</v>
      </c>
      <c r="E17" s="124">
        <v>0.43508232109364603</v>
      </c>
      <c r="F17" s="17">
        <v>0.16797986587145675</v>
      </c>
      <c r="G17" s="102">
        <f>ROUND(TTEST(B8:D8,B17:D17,2,2),4)</f>
        <v>0.2165</v>
      </c>
      <c r="I17" s="25">
        <v>1.6029060070289547</v>
      </c>
      <c r="J17" s="14">
        <v>2.0318159196873231</v>
      </c>
      <c r="K17" s="17">
        <v>1.2388433790673259</v>
      </c>
      <c r="L17" s="124">
        <v>1.6245217685945346</v>
      </c>
      <c r="M17" s="17">
        <v>0.32409030984729892</v>
      </c>
      <c r="N17" s="102">
        <f>ROUND(TTEST(I8:K8,I17:K17,2,2),4)</f>
        <v>0.2833</v>
      </c>
      <c r="P17" s="25">
        <v>0.25258556013985911</v>
      </c>
      <c r="Q17" s="14">
        <v>0.26154878890992306</v>
      </c>
      <c r="R17" s="17">
        <v>0.55671351802337377</v>
      </c>
      <c r="S17" s="124">
        <v>0.35694928902438533</v>
      </c>
      <c r="T17" s="17">
        <v>0.14130202937482605</v>
      </c>
      <c r="U17" s="102">
        <f>ROUND(TTEST(P8:R8,P17:R17,2,2),4)</f>
        <v>0.1167</v>
      </c>
      <c r="W17" s="25">
        <v>0.304544143694012</v>
      </c>
      <c r="X17" s="14">
        <v>0.23288747766136841</v>
      </c>
      <c r="Y17" s="17">
        <v>0.3562256339104462</v>
      </c>
      <c r="Z17" s="124">
        <v>0.29788575175527554</v>
      </c>
      <c r="AA17" s="17">
        <v>5.0572231076865648E-2</v>
      </c>
      <c r="AB17" s="102">
        <f>ROUND(TTEST(W8:Y8,W17:Y17,2,2),4)</f>
        <v>0.43440000000000001</v>
      </c>
      <c r="AD17" s="25">
        <v>0.32251472422257937</v>
      </c>
      <c r="AE17" s="14">
        <v>0.38671747562706837</v>
      </c>
      <c r="AF17" s="17">
        <v>0.694771262725839</v>
      </c>
      <c r="AG17" s="124">
        <v>0.46800115419182892</v>
      </c>
      <c r="AH17" s="17">
        <v>0.16247873689680481</v>
      </c>
      <c r="AI17" s="102">
        <f>ROUND(TTEST(AD8:AF8,AD17:AF17,2,2),4)</f>
        <v>0.97189999999999999</v>
      </c>
      <c r="AK17" s="25">
        <v>0.37173981630687286</v>
      </c>
      <c r="AL17" s="14">
        <v>0.30706160489868994</v>
      </c>
      <c r="AM17" s="17">
        <v>0.68896857096131225</v>
      </c>
      <c r="AN17" s="124">
        <v>0.45592333072229169</v>
      </c>
      <c r="AO17" s="17">
        <v>0.16688994528588283</v>
      </c>
      <c r="AP17" s="102">
        <f>ROUND(TTEST(AK8:AM8,AK17:AM17,2,2),4)</f>
        <v>0.8629</v>
      </c>
    </row>
  </sheetData>
  <mergeCells count="18">
    <mergeCell ref="AN4:AN5"/>
    <mergeCell ref="AO4:AO5"/>
    <mergeCell ref="AH4:AH5"/>
    <mergeCell ref="AA4:AA5"/>
    <mergeCell ref="T4:T5"/>
    <mergeCell ref="AD4:AF4"/>
    <mergeCell ref="AK4:AM4"/>
    <mergeCell ref="Z4:Z5"/>
    <mergeCell ref="AG4:AG5"/>
    <mergeCell ref="M4:M5"/>
    <mergeCell ref="B4:D4"/>
    <mergeCell ref="I4:K4"/>
    <mergeCell ref="P4:R4"/>
    <mergeCell ref="W4:Y4"/>
    <mergeCell ref="E4:E5"/>
    <mergeCell ref="L4:L5"/>
    <mergeCell ref="S4:S5"/>
    <mergeCell ref="F4:F5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zoomScale="70" zoomScaleNormal="70" workbookViewId="0">
      <selection activeCell="O10" sqref="O10"/>
    </sheetView>
  </sheetViews>
  <sheetFormatPr defaultRowHeight="14.5" x14ac:dyDescent="0.35"/>
  <sheetData>
    <row r="1" spans="1:1" x14ac:dyDescent="0.35">
      <c r="A1" t="s">
        <v>287</v>
      </c>
    </row>
    <row r="3" spans="1:1" x14ac:dyDescent="0.35">
      <c r="A3" s="102" t="s">
        <v>234</v>
      </c>
    </row>
    <row r="22" spans="1:1" x14ac:dyDescent="0.35">
      <c r="A22" s="102" t="s">
        <v>235</v>
      </c>
    </row>
    <row r="23" spans="1:1" x14ac:dyDescent="0.35">
      <c r="A23" s="102"/>
    </row>
    <row r="24" spans="1:1" x14ac:dyDescent="0.35">
      <c r="A24" s="102"/>
    </row>
    <row r="25" spans="1:1" x14ac:dyDescent="0.35">
      <c r="A25" s="102"/>
    </row>
    <row r="26" spans="1:1" x14ac:dyDescent="0.35">
      <c r="A26" s="102"/>
    </row>
    <row r="27" spans="1:1" x14ac:dyDescent="0.35">
      <c r="A27" s="102"/>
    </row>
    <row r="28" spans="1:1" x14ac:dyDescent="0.35">
      <c r="A28" s="102"/>
    </row>
    <row r="29" spans="1:1" x14ac:dyDescent="0.35">
      <c r="A29" s="102"/>
    </row>
    <row r="30" spans="1:1" x14ac:dyDescent="0.35">
      <c r="A30" s="102"/>
    </row>
    <row r="31" spans="1:1" x14ac:dyDescent="0.35">
      <c r="A31" s="102"/>
    </row>
    <row r="32" spans="1:1" x14ac:dyDescent="0.35">
      <c r="A32" s="102"/>
    </row>
    <row r="33" spans="1:1" x14ac:dyDescent="0.35">
      <c r="A33" s="102"/>
    </row>
    <row r="34" spans="1:1" x14ac:dyDescent="0.35">
      <c r="A34" s="102"/>
    </row>
    <row r="35" spans="1:1" x14ac:dyDescent="0.35">
      <c r="A35" s="102"/>
    </row>
    <row r="36" spans="1:1" x14ac:dyDescent="0.35">
      <c r="A36" s="102"/>
    </row>
    <row r="37" spans="1:1" x14ac:dyDescent="0.35">
      <c r="A37" s="102"/>
    </row>
    <row r="38" spans="1:1" x14ac:dyDescent="0.35">
      <c r="A38" s="102"/>
    </row>
    <row r="39" spans="1:1" x14ac:dyDescent="0.35">
      <c r="A39" s="102"/>
    </row>
    <row r="40" spans="1:1" x14ac:dyDescent="0.35">
      <c r="A40" s="102"/>
    </row>
    <row r="41" spans="1:1" x14ac:dyDescent="0.35">
      <c r="A41" s="102" t="s">
        <v>236</v>
      </c>
    </row>
    <row r="42" spans="1:1" x14ac:dyDescent="0.35">
      <c r="A42" s="102"/>
    </row>
    <row r="43" spans="1:1" x14ac:dyDescent="0.35">
      <c r="A43" s="102"/>
    </row>
    <row r="44" spans="1:1" x14ac:dyDescent="0.35">
      <c r="A44" s="102"/>
    </row>
    <row r="45" spans="1:1" x14ac:dyDescent="0.35">
      <c r="A45" s="102"/>
    </row>
    <row r="46" spans="1:1" x14ac:dyDescent="0.35">
      <c r="A46" s="102"/>
    </row>
    <row r="47" spans="1:1" x14ac:dyDescent="0.35">
      <c r="A47" s="102"/>
    </row>
    <row r="48" spans="1:1" x14ac:dyDescent="0.35">
      <c r="A48" s="102"/>
    </row>
    <row r="49" spans="1:1" x14ac:dyDescent="0.35">
      <c r="A49" s="102"/>
    </row>
    <row r="50" spans="1:1" x14ac:dyDescent="0.35">
      <c r="A50" s="102"/>
    </row>
    <row r="51" spans="1:1" x14ac:dyDescent="0.35">
      <c r="A51" s="102"/>
    </row>
    <row r="52" spans="1:1" x14ac:dyDescent="0.35">
      <c r="A52" s="102"/>
    </row>
    <row r="53" spans="1:1" x14ac:dyDescent="0.35">
      <c r="A53" s="102"/>
    </row>
    <row r="54" spans="1:1" x14ac:dyDescent="0.35">
      <c r="A54" s="102"/>
    </row>
    <row r="55" spans="1:1" x14ac:dyDescent="0.35">
      <c r="A55" s="102"/>
    </row>
    <row r="56" spans="1:1" x14ac:dyDescent="0.35">
      <c r="A56" s="102"/>
    </row>
    <row r="57" spans="1:1" x14ac:dyDescent="0.35">
      <c r="A57" s="102"/>
    </row>
    <row r="58" spans="1:1" x14ac:dyDescent="0.35">
      <c r="A58" s="102"/>
    </row>
    <row r="59" spans="1:1" x14ac:dyDescent="0.35">
      <c r="A59" s="102"/>
    </row>
    <row r="60" spans="1:1" x14ac:dyDescent="0.35">
      <c r="A60" s="102" t="s">
        <v>233</v>
      </c>
    </row>
    <row r="61" spans="1:1" x14ac:dyDescent="0.35">
      <c r="A61" s="102"/>
    </row>
    <row r="62" spans="1:1" x14ac:dyDescent="0.35">
      <c r="A62" s="102"/>
    </row>
    <row r="63" spans="1:1" x14ac:dyDescent="0.35">
      <c r="A63" s="102"/>
    </row>
    <row r="64" spans="1:1" x14ac:dyDescent="0.35">
      <c r="A64" s="102"/>
    </row>
    <row r="65" spans="1:1" x14ac:dyDescent="0.35">
      <c r="A65" s="102"/>
    </row>
    <row r="66" spans="1:1" x14ac:dyDescent="0.35">
      <c r="A66" s="102"/>
    </row>
    <row r="67" spans="1:1" x14ac:dyDescent="0.35">
      <c r="A67" s="102"/>
    </row>
    <row r="68" spans="1:1" x14ac:dyDescent="0.35">
      <c r="A68" s="102"/>
    </row>
    <row r="69" spans="1:1" x14ac:dyDescent="0.35">
      <c r="A69" s="102"/>
    </row>
    <row r="70" spans="1:1" x14ac:dyDescent="0.35">
      <c r="A70" s="102"/>
    </row>
    <row r="71" spans="1:1" x14ac:dyDescent="0.35">
      <c r="A71" s="102"/>
    </row>
    <row r="72" spans="1:1" x14ac:dyDescent="0.35">
      <c r="A72" s="102"/>
    </row>
    <row r="73" spans="1:1" x14ac:dyDescent="0.35">
      <c r="A73" s="102"/>
    </row>
    <row r="74" spans="1:1" x14ac:dyDescent="0.35">
      <c r="A74" s="102"/>
    </row>
    <row r="75" spans="1:1" x14ac:dyDescent="0.35">
      <c r="A75" s="102"/>
    </row>
    <row r="76" spans="1:1" x14ac:dyDescent="0.35">
      <c r="A76" s="102"/>
    </row>
    <row r="77" spans="1:1" x14ac:dyDescent="0.35">
      <c r="A77" s="102"/>
    </row>
    <row r="78" spans="1:1" x14ac:dyDescent="0.35">
      <c r="A78" s="102"/>
    </row>
    <row r="79" spans="1:1" x14ac:dyDescent="0.35">
      <c r="A79" t="s">
        <v>237</v>
      </c>
    </row>
    <row r="98" spans="1:13" x14ac:dyDescent="0.35">
      <c r="A98" t="s">
        <v>238</v>
      </c>
    </row>
    <row r="100" spans="1:13" x14ac:dyDescent="0.35">
      <c r="C100" s="11"/>
      <c r="D100" s="240" t="s">
        <v>43</v>
      </c>
      <c r="E100" s="241"/>
      <c r="F100" s="241"/>
      <c r="G100" s="242"/>
      <c r="H100" s="2"/>
      <c r="I100" s="11"/>
      <c r="J100" s="318" t="s">
        <v>46</v>
      </c>
      <c r="K100" s="319"/>
      <c r="L100" s="319"/>
      <c r="M100" s="320"/>
    </row>
    <row r="101" spans="1:13" x14ac:dyDescent="0.35">
      <c r="C101" s="13"/>
      <c r="D101" s="25" t="s">
        <v>16</v>
      </c>
      <c r="E101" s="15" t="s">
        <v>17</v>
      </c>
      <c r="F101" s="14" t="s">
        <v>44</v>
      </c>
      <c r="G101" s="17" t="s">
        <v>239</v>
      </c>
      <c r="H101" s="102"/>
      <c r="I101" s="13"/>
      <c r="J101" s="193" t="s">
        <v>16</v>
      </c>
      <c r="K101" s="197" t="s">
        <v>17</v>
      </c>
      <c r="L101" s="194" t="s">
        <v>44</v>
      </c>
      <c r="M101" s="195" t="s">
        <v>18</v>
      </c>
    </row>
    <row r="102" spans="1:13" x14ac:dyDescent="0.35">
      <c r="C102" s="202" t="s">
        <v>37</v>
      </c>
      <c r="D102" s="46">
        <v>27</v>
      </c>
      <c r="E102" s="46">
        <v>28</v>
      </c>
      <c r="F102" s="46">
        <v>28</v>
      </c>
      <c r="G102" s="19">
        <v>28</v>
      </c>
      <c r="H102" s="2"/>
      <c r="I102" s="202" t="s">
        <v>37</v>
      </c>
      <c r="J102" s="192" t="s">
        <v>42</v>
      </c>
      <c r="K102" s="196" t="s">
        <v>42</v>
      </c>
      <c r="L102" s="196" t="s">
        <v>42</v>
      </c>
      <c r="M102" s="142" t="s">
        <v>42</v>
      </c>
    </row>
    <row r="103" spans="1:13" ht="28.5" x14ac:dyDescent="0.35">
      <c r="C103" s="203" t="s">
        <v>38</v>
      </c>
      <c r="D103" s="140" t="s">
        <v>42</v>
      </c>
      <c r="E103" s="140" t="s">
        <v>42</v>
      </c>
      <c r="F103" s="140" t="s">
        <v>42</v>
      </c>
      <c r="G103" s="141" t="s">
        <v>42</v>
      </c>
      <c r="H103" s="2"/>
      <c r="I103" s="203" t="s">
        <v>38</v>
      </c>
      <c r="J103" s="198">
        <v>10</v>
      </c>
      <c r="K103" s="191" t="s">
        <v>42</v>
      </c>
      <c r="L103" s="191" t="s">
        <v>42</v>
      </c>
      <c r="M103" s="143" t="s">
        <v>42</v>
      </c>
    </row>
    <row r="104" spans="1:13" ht="28.5" x14ac:dyDescent="0.35">
      <c r="C104" s="203" t="s">
        <v>39</v>
      </c>
      <c r="D104" s="140" t="s">
        <v>42</v>
      </c>
      <c r="E104" s="140" t="s">
        <v>42</v>
      </c>
      <c r="F104" s="140" t="s">
        <v>42</v>
      </c>
      <c r="G104" s="141" t="s">
        <v>42</v>
      </c>
      <c r="H104" s="2"/>
      <c r="I104" s="203" t="s">
        <v>39</v>
      </c>
      <c r="J104" s="198">
        <v>16</v>
      </c>
      <c r="K104" s="191">
        <v>1</v>
      </c>
      <c r="L104" s="199">
        <v>4</v>
      </c>
      <c r="M104" s="143">
        <v>4</v>
      </c>
    </row>
    <row r="105" spans="1:13" x14ac:dyDescent="0.35">
      <c r="C105" s="204" t="s">
        <v>40</v>
      </c>
      <c r="D105" s="22" t="s">
        <v>42</v>
      </c>
      <c r="E105" s="22" t="s">
        <v>42</v>
      </c>
      <c r="F105" s="22" t="s">
        <v>42</v>
      </c>
      <c r="G105" s="23" t="s">
        <v>42</v>
      </c>
      <c r="H105" s="2"/>
      <c r="I105" s="204" t="s">
        <v>40</v>
      </c>
      <c r="J105" s="200">
        <v>2</v>
      </c>
      <c r="K105" s="201">
        <v>26</v>
      </c>
      <c r="L105" s="201">
        <v>24</v>
      </c>
      <c r="M105" s="144">
        <v>16</v>
      </c>
    </row>
    <row r="106" spans="1:13" x14ac:dyDescent="0.35">
      <c r="C106" s="2" t="s">
        <v>217</v>
      </c>
      <c r="D106" s="2">
        <v>1</v>
      </c>
      <c r="E106" s="2"/>
      <c r="F106" s="2">
        <v>1</v>
      </c>
      <c r="G106" s="2">
        <v>1</v>
      </c>
      <c r="H106" s="2"/>
      <c r="I106" s="2" t="s">
        <v>217</v>
      </c>
      <c r="J106" s="177" t="s">
        <v>240</v>
      </c>
      <c r="K106" s="117" t="s">
        <v>175</v>
      </c>
      <c r="L106" s="117">
        <v>0.35199999999999998</v>
      </c>
      <c r="M106" s="117">
        <v>0.14799999999999999</v>
      </c>
    </row>
    <row r="109" spans="1:13" x14ac:dyDescent="0.35">
      <c r="A109" s="84" t="s">
        <v>241</v>
      </c>
      <c r="B109" s="84"/>
      <c r="C109" s="84"/>
      <c r="D109" s="84"/>
      <c r="E109" s="84"/>
      <c r="F109" s="84"/>
      <c r="G109" s="84"/>
      <c r="H109" s="84"/>
      <c r="I109" s="84"/>
      <c r="J109" s="84"/>
    </row>
    <row r="110" spans="1:13" x14ac:dyDescent="0.35">
      <c r="A110" s="84"/>
      <c r="B110" s="84"/>
      <c r="C110" s="84"/>
      <c r="D110" s="84"/>
      <c r="E110" s="84"/>
      <c r="F110" s="84"/>
      <c r="G110" s="84"/>
      <c r="H110" s="84"/>
      <c r="I110" s="84"/>
      <c r="J110" s="84"/>
    </row>
    <row r="111" spans="1:13" x14ac:dyDescent="0.35">
      <c r="A111" s="84"/>
      <c r="B111" s="84"/>
      <c r="C111" s="84"/>
      <c r="D111" s="84"/>
      <c r="E111" s="84"/>
      <c r="F111" s="84"/>
      <c r="G111" s="84"/>
      <c r="H111" s="84"/>
      <c r="I111" s="84"/>
      <c r="J111" s="84"/>
    </row>
    <row r="112" spans="1:13" x14ac:dyDescent="0.35">
      <c r="A112" s="84"/>
      <c r="B112" s="84"/>
      <c r="C112" s="84"/>
      <c r="D112" s="84"/>
      <c r="E112" s="84"/>
      <c r="F112" s="84"/>
      <c r="G112" s="84"/>
      <c r="H112" s="84"/>
      <c r="I112" s="84"/>
      <c r="J112" s="84"/>
    </row>
    <row r="113" spans="1:10" x14ac:dyDescent="0.35">
      <c r="A113" s="84"/>
      <c r="B113" s="84"/>
      <c r="C113" s="84"/>
      <c r="D113" s="84"/>
      <c r="E113" s="84"/>
      <c r="F113" s="84"/>
      <c r="G113" s="84"/>
      <c r="H113" s="84"/>
      <c r="I113" s="84"/>
      <c r="J113" s="84"/>
    </row>
    <row r="114" spans="1:10" x14ac:dyDescent="0.35">
      <c r="A114" s="84"/>
      <c r="B114" s="84"/>
      <c r="C114" s="84"/>
      <c r="D114" s="84"/>
      <c r="E114" s="84"/>
      <c r="F114" s="84"/>
      <c r="G114" s="84"/>
      <c r="H114" s="84"/>
      <c r="I114" s="84"/>
      <c r="J114" s="84"/>
    </row>
    <row r="115" spans="1:10" x14ac:dyDescent="0.35">
      <c r="A115" s="84"/>
      <c r="B115" s="84"/>
      <c r="C115" s="84"/>
      <c r="D115" s="84"/>
      <c r="E115" s="84"/>
      <c r="F115" s="84"/>
      <c r="G115" s="84"/>
      <c r="H115" s="84"/>
      <c r="I115" s="84"/>
      <c r="J115" s="84"/>
    </row>
    <row r="116" spans="1:10" x14ac:dyDescent="0.35">
      <c r="A116" s="84"/>
      <c r="B116" s="84"/>
      <c r="C116" s="84"/>
      <c r="D116" s="84"/>
      <c r="E116" s="84"/>
      <c r="F116" s="84"/>
      <c r="G116" s="84"/>
      <c r="H116" s="84"/>
      <c r="I116" s="84"/>
      <c r="J116" s="84"/>
    </row>
    <row r="117" spans="1:10" x14ac:dyDescent="0.35">
      <c r="A117" s="84"/>
      <c r="B117" s="84"/>
      <c r="C117" s="84"/>
      <c r="D117" s="84"/>
      <c r="E117" s="84"/>
      <c r="F117" s="84"/>
      <c r="G117" s="84"/>
      <c r="H117" s="84"/>
      <c r="I117" s="84"/>
      <c r="J117" s="84"/>
    </row>
    <row r="118" spans="1:10" x14ac:dyDescent="0.35">
      <c r="A118" s="84"/>
      <c r="B118" s="84"/>
      <c r="C118" s="84"/>
      <c r="D118" s="84"/>
      <c r="E118" s="84"/>
      <c r="F118" s="84"/>
      <c r="G118" s="84"/>
      <c r="H118" s="84"/>
      <c r="I118" s="84"/>
      <c r="J118" s="84"/>
    </row>
    <row r="119" spans="1:10" x14ac:dyDescent="0.35">
      <c r="A119" s="84"/>
      <c r="B119" s="84"/>
      <c r="C119" s="84"/>
      <c r="D119" s="84"/>
      <c r="E119" s="84"/>
      <c r="F119" s="84"/>
      <c r="G119" s="84"/>
      <c r="H119" s="84"/>
      <c r="I119" s="84"/>
      <c r="J119" s="84"/>
    </row>
    <row r="120" spans="1:10" x14ac:dyDescent="0.35">
      <c r="A120" s="84"/>
      <c r="B120" s="84"/>
      <c r="C120" s="84"/>
      <c r="D120" s="84"/>
      <c r="E120" s="84"/>
      <c r="F120" s="84"/>
      <c r="G120" s="84"/>
      <c r="H120" s="84"/>
      <c r="I120" s="84"/>
      <c r="J120" s="84"/>
    </row>
    <row r="121" spans="1:10" x14ac:dyDescent="0.35">
      <c r="A121" s="84"/>
      <c r="B121" s="84"/>
      <c r="C121" s="84"/>
      <c r="D121" s="84"/>
      <c r="E121" s="84"/>
      <c r="F121" s="84"/>
      <c r="G121" s="84"/>
      <c r="H121" s="84"/>
      <c r="I121" s="84"/>
      <c r="J121" s="84"/>
    </row>
    <row r="122" spans="1:10" x14ac:dyDescent="0.35">
      <c r="A122" s="84"/>
      <c r="B122" s="84"/>
      <c r="C122" s="84"/>
      <c r="D122" s="84"/>
      <c r="E122" s="84"/>
      <c r="F122" s="84"/>
      <c r="G122" s="84"/>
      <c r="H122" s="84"/>
      <c r="I122" s="84"/>
      <c r="J122" s="84"/>
    </row>
    <row r="123" spans="1:10" x14ac:dyDescent="0.35">
      <c r="A123" s="84"/>
      <c r="B123" s="84"/>
      <c r="C123" s="84"/>
      <c r="D123" s="84"/>
      <c r="E123" s="84"/>
      <c r="F123" s="84"/>
      <c r="G123" s="84"/>
      <c r="H123" s="84"/>
      <c r="I123" s="84"/>
      <c r="J123" s="84"/>
    </row>
    <row r="124" spans="1:10" x14ac:dyDescent="0.35">
      <c r="A124" s="84"/>
      <c r="B124" s="84"/>
      <c r="C124" s="84"/>
      <c r="D124" s="84"/>
      <c r="E124" s="84"/>
      <c r="F124" s="84"/>
      <c r="G124" s="84"/>
      <c r="H124" s="84"/>
      <c r="I124" s="84"/>
      <c r="J124" s="84"/>
    </row>
    <row r="125" spans="1:10" x14ac:dyDescent="0.35">
      <c r="A125" s="84"/>
      <c r="B125" s="84"/>
      <c r="C125" s="84"/>
      <c r="D125" s="84"/>
      <c r="E125" s="84"/>
      <c r="F125" s="84"/>
      <c r="G125" s="84"/>
      <c r="H125" s="84"/>
      <c r="I125" s="84"/>
      <c r="J125" s="84"/>
    </row>
  </sheetData>
  <mergeCells count="2">
    <mergeCell ref="D100:G100"/>
    <mergeCell ref="J100:M10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Fig.1</vt:lpstr>
      <vt:lpstr>Fig.2</vt:lpstr>
      <vt:lpstr>Fig.3</vt:lpstr>
      <vt:lpstr>Fig.4</vt:lpstr>
      <vt:lpstr>Fig.5</vt:lpstr>
      <vt:lpstr>Fig.6-Link to data</vt:lpstr>
      <vt:lpstr>Fig.7</vt:lpstr>
      <vt:lpstr>Fig.8</vt:lpstr>
      <vt:lpstr>Fig.9</vt:lpstr>
      <vt:lpstr>Fig.10</vt:lpstr>
      <vt:lpstr>Sup_Fig.1</vt:lpstr>
      <vt:lpstr>Sup_ Fig.2</vt:lpstr>
      <vt:lpstr>Sup_Fig.3</vt:lpstr>
      <vt:lpstr>Sup_Fig.4</vt:lpstr>
      <vt:lpstr>Sup_Fig.5</vt:lpstr>
      <vt:lpstr>Sup_Fig.6</vt:lpstr>
      <vt:lpstr>Sup_Fig.7</vt:lpstr>
      <vt:lpstr>Sup_Fig.8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Friedrich</dc:creator>
  <cp:lastModifiedBy>Isabel Bäurle</cp:lastModifiedBy>
  <dcterms:created xsi:type="dcterms:W3CDTF">2020-11-20T09:23:25Z</dcterms:created>
  <dcterms:modified xsi:type="dcterms:W3CDTF">2021-05-07T11:59:26Z</dcterms:modified>
</cp:coreProperties>
</file>