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weichen/Documents/workspace/19.11.01.Nanopore_capture/21.01.21.Display.items/SupplementaryMaterials/"/>
    </mc:Choice>
  </mc:AlternateContent>
  <xr:revisionPtr revIDLastSave="0" documentId="13_ncr:1_{BD38619E-7CB6-A046-AA34-C32FAC8EF573}" xr6:coauthVersionLast="46" xr6:coauthVersionMax="46" xr10:uidLastSave="{00000000-0000-0000-0000-000000000000}"/>
  <bookViews>
    <workbookView xWindow="-40100" yWindow="6100" windowWidth="30720" windowHeight="18700" activeTab="2" xr2:uid="{F7F43BDC-7F33-BB4D-9A6A-B5A14EFA93AB}"/>
  </bookViews>
  <sheets>
    <sheet name="Raw reads" sheetId="1" r:id="rId1"/>
    <sheet name="Categorized reads" sheetId="2" r:id="rId2"/>
    <sheet name="Eve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3" l="1"/>
  <c r="G39" i="3"/>
  <c r="F35" i="3"/>
  <c r="F36" i="2"/>
  <c r="G29" i="1"/>
  <c r="G34" i="1"/>
  <c r="H40" i="2"/>
  <c r="I40" i="2"/>
  <c r="G40" i="2"/>
  <c r="G37" i="3"/>
  <c r="G38" i="2"/>
  <c r="M38" i="2"/>
  <c r="H38" i="2"/>
  <c r="H37" i="2"/>
  <c r="L34" i="1" l="1"/>
  <c r="K34" i="1"/>
  <c r="J34" i="1" s="1"/>
  <c r="M36" i="2"/>
  <c r="K36" i="2"/>
  <c r="I36" i="2"/>
  <c r="H36" i="2"/>
  <c r="G36" i="2"/>
  <c r="H36" i="3"/>
  <c r="H25" i="2"/>
  <c r="H26" i="2"/>
  <c r="H24" i="2"/>
  <c r="H14" i="2"/>
  <c r="H13" i="2"/>
  <c r="G30" i="3"/>
  <c r="M31" i="2"/>
  <c r="H31" i="2"/>
  <c r="G31" i="2"/>
  <c r="M34" i="1" l="1"/>
  <c r="N34" i="1" s="1"/>
  <c r="N36" i="2"/>
  <c r="J32" i="3"/>
  <c r="G32" i="3"/>
  <c r="I33" i="2"/>
  <c r="G33" i="2"/>
  <c r="H33" i="2"/>
  <c r="M18" i="2"/>
  <c r="J19" i="3"/>
  <c r="M19" i="2"/>
  <c r="I19" i="2" l="1"/>
  <c r="H19" i="2"/>
  <c r="H17" i="2" l="1"/>
  <c r="J16" i="3"/>
  <c r="H16" i="3"/>
  <c r="H16" i="2"/>
  <c r="I16" i="2"/>
  <c r="H30" i="2"/>
  <c r="H21" i="2"/>
  <c r="H10" i="2"/>
  <c r="H9" i="2"/>
  <c r="H8" i="2"/>
  <c r="H7" i="2"/>
  <c r="H6" i="2"/>
  <c r="F28" i="3"/>
  <c r="F24" i="3"/>
  <c r="F23" i="3"/>
  <c r="F14" i="3"/>
  <c r="F13" i="3"/>
  <c r="F24" i="2"/>
  <c r="F29" i="2" l="1"/>
  <c r="F23" i="2"/>
  <c r="F13" i="2"/>
  <c r="F14" i="2"/>
  <c r="H5" i="2"/>
  <c r="H21" i="3"/>
  <c r="H29" i="3"/>
  <c r="H27" i="2"/>
  <c r="H12" i="2"/>
  <c r="H18" i="2"/>
  <c r="J17" i="3" l="1"/>
  <c r="K29" i="2"/>
  <c r="I17" i="2" l="1"/>
  <c r="M23" i="2" l="1"/>
  <c r="K23" i="2"/>
  <c r="I23" i="2"/>
  <c r="G23" i="2"/>
  <c r="J27" i="1"/>
  <c r="G27" i="1" s="1"/>
  <c r="J26" i="1"/>
  <c r="G26" i="1" s="1"/>
  <c r="J25" i="1"/>
  <c r="G25" i="1" s="1"/>
  <c r="J24" i="1"/>
  <c r="G24" i="1" s="1"/>
  <c r="N24" i="1" s="1"/>
  <c r="M23" i="1"/>
  <c r="L23" i="1"/>
  <c r="K23" i="1"/>
  <c r="K29" i="1"/>
  <c r="L29" i="1"/>
  <c r="N26" i="1" l="1"/>
  <c r="F26" i="2"/>
  <c r="N26" i="2" s="1"/>
  <c r="F26" i="3"/>
  <c r="N25" i="1"/>
  <c r="F25" i="2"/>
  <c r="N25" i="2" s="1"/>
  <c r="F25" i="3"/>
  <c r="N27" i="1"/>
  <c r="F27" i="2"/>
  <c r="N27" i="2" s="1"/>
  <c r="J29" i="1"/>
  <c r="M29" i="1" s="1"/>
  <c r="N29" i="1" s="1"/>
  <c r="H23" i="2"/>
  <c r="N23" i="2" s="1"/>
  <c r="N24" i="2"/>
  <c r="J23" i="1"/>
  <c r="G23" i="1" s="1"/>
  <c r="N23" i="1" s="1"/>
  <c r="I29" i="2" l="1"/>
  <c r="M29" i="2"/>
  <c r="G29" i="2"/>
  <c r="N13" i="2"/>
  <c r="N14" i="2"/>
  <c r="J5" i="1"/>
  <c r="G5" i="1" s="1"/>
  <c r="J6" i="1"/>
  <c r="G6" i="1" s="1"/>
  <c r="J7" i="1"/>
  <c r="G7" i="1" s="1"/>
  <c r="J8" i="1"/>
  <c r="G8" i="1" s="1"/>
  <c r="J9" i="1"/>
  <c r="G9" i="1" s="1"/>
  <c r="J10" i="1"/>
  <c r="G10" i="1" s="1"/>
  <c r="J12" i="1"/>
  <c r="G12" i="1" s="1"/>
  <c r="J13" i="1"/>
  <c r="G13" i="1" s="1"/>
  <c r="N13" i="1" s="1"/>
  <c r="J14" i="1"/>
  <c r="G14" i="1" s="1"/>
  <c r="N14" i="1" s="1"/>
  <c r="J16" i="1"/>
  <c r="G16" i="1" s="1"/>
  <c r="J17" i="1"/>
  <c r="G17" i="1" s="1"/>
  <c r="J19" i="1"/>
  <c r="G19" i="1" s="1"/>
  <c r="J18" i="1"/>
  <c r="G18" i="1" s="1"/>
  <c r="J21" i="1"/>
  <c r="G21" i="1" s="1"/>
  <c r="G39" i="1"/>
  <c r="M39" i="1" s="1"/>
  <c r="N39" i="1" s="1"/>
  <c r="N5" i="1" l="1"/>
  <c r="F5" i="3"/>
  <c r="F5" i="2"/>
  <c r="N5" i="2" s="1"/>
  <c r="N17" i="1"/>
  <c r="F17" i="3"/>
  <c r="F17" i="2"/>
  <c r="N17" i="2" s="1"/>
  <c r="N16" i="1"/>
  <c r="F16" i="3"/>
  <c r="F16" i="2"/>
  <c r="N16" i="2" s="1"/>
  <c r="N18" i="1"/>
  <c r="F18" i="3"/>
  <c r="F18" i="2"/>
  <c r="N18" i="2" s="1"/>
  <c r="N19" i="1"/>
  <c r="F19" i="3"/>
  <c r="F19" i="2"/>
  <c r="N19" i="2" s="1"/>
  <c r="N21" i="1"/>
  <c r="F21" i="3"/>
  <c r="F21" i="2"/>
  <c r="N21" i="2" s="1"/>
  <c r="N12" i="1"/>
  <c r="F12" i="3"/>
  <c r="F12" i="2"/>
  <c r="N12" i="2" s="1"/>
  <c r="N10" i="1"/>
  <c r="F10" i="3"/>
  <c r="F10" i="2"/>
  <c r="N10" i="2" s="1"/>
  <c r="N9" i="1"/>
  <c r="F9" i="3"/>
  <c r="F9" i="2"/>
  <c r="N9" i="2" s="1"/>
  <c r="N8" i="1"/>
  <c r="F8" i="3"/>
  <c r="F8" i="2"/>
  <c r="N8" i="2" s="1"/>
  <c r="N7" i="1"/>
  <c r="F7" i="3"/>
  <c r="F7" i="2"/>
  <c r="N7" i="2" s="1"/>
  <c r="N6" i="1"/>
  <c r="F6" i="3"/>
  <c r="F6" i="2"/>
  <c r="N6" i="2" s="1"/>
  <c r="H29" i="2"/>
  <c r="N29" i="2" s="1"/>
</calcChain>
</file>

<file path=xl/sharedStrings.xml><?xml version="1.0" encoding="utf-8"?>
<sst xmlns="http://schemas.openxmlformats.org/spreadsheetml/2006/main" count="429" uniqueCount="121">
  <si>
    <t>Flowcell</t>
  </si>
  <si>
    <t>ABO515</t>
  </si>
  <si>
    <t>ABN780</t>
  </si>
  <si>
    <t>FAL11389</t>
  </si>
  <si>
    <t>MEI</t>
  </si>
  <si>
    <t>LINE1</t>
  </si>
  <si>
    <t>Sample</t>
  </si>
  <si>
    <t>GM12891</t>
  </si>
  <si>
    <t>GM12892</t>
  </si>
  <si>
    <t>MinION</t>
  </si>
  <si>
    <t>Flongle</t>
  </si>
  <si>
    <t>ABA133</t>
  </si>
  <si>
    <t>ABB590</t>
  </si>
  <si>
    <t>ABA684</t>
  </si>
  <si>
    <t>ABG188</t>
  </si>
  <si>
    <t>ABB607</t>
  </si>
  <si>
    <t>ABB908</t>
  </si>
  <si>
    <t>ACK736</t>
  </si>
  <si>
    <t>GM12878</t>
  </si>
  <si>
    <t>FAL15177</t>
  </si>
  <si>
    <t>ACK629</t>
  </si>
  <si>
    <t>ABO395</t>
  </si>
  <si>
    <t>ACK655</t>
  </si>
  <si>
    <t>ACK645</t>
  </si>
  <si>
    <t>FAO84736</t>
  </si>
  <si>
    <t>at one end</t>
  </si>
  <si>
    <t>at both ends</t>
  </si>
  <si>
    <t>Reads off-target</t>
  </si>
  <si>
    <t>Alu</t>
  </si>
  <si>
    <t>SVA</t>
  </si>
  <si>
    <t>Passed Reads</t>
  </si>
  <si>
    <t>SVA_F</t>
  </si>
  <si>
    <t>SVA_E</t>
  </si>
  <si>
    <t>Annotation</t>
  </si>
  <si>
    <t>Barcode1</t>
  </si>
  <si>
    <t>Barcode2</t>
  </si>
  <si>
    <t>Barcode3</t>
  </si>
  <si>
    <t>Unclassified</t>
  </si>
  <si>
    <t xml:space="preserve">Reads </t>
  </si>
  <si>
    <t>Pooled</t>
  </si>
  <si>
    <t>all</t>
  </si>
  <si>
    <t>Reads on-target *</t>
  </si>
  <si>
    <t>reference MEI</t>
  </si>
  <si>
    <t>non-ref MEI</t>
  </si>
  <si>
    <t>ambiguous</t>
  </si>
  <si>
    <t>L1Pa</t>
  </si>
  <si>
    <t>other L1</t>
  </si>
  <si>
    <t>reference</t>
  </si>
  <si>
    <t>non-ref petentially new</t>
  </si>
  <si>
    <t>Event on-target (read number&gt;0)</t>
  </si>
  <si>
    <t>Event off-target (read number&gt;0)</t>
  </si>
  <si>
    <t>other Y</t>
  </si>
  <si>
    <t>On-target rate</t>
  </si>
  <si>
    <t>Read length (kb)</t>
  </si>
  <si>
    <t>15.4  ± 15.4</t>
  </si>
  <si>
    <t>15.4  ± 15.5</t>
  </si>
  <si>
    <t>10.5  ± 9.1</t>
  </si>
  <si>
    <t>11.3  ± 10.2</t>
  </si>
  <si>
    <t>10.5  ± 9.6</t>
  </si>
  <si>
    <t>5.0  ± 9.4</t>
  </si>
  <si>
    <t>16.2  ± 17.4</t>
  </si>
  <si>
    <t>12.2  ± 15.5</t>
  </si>
  <si>
    <t>13.9  ± 16.1</t>
  </si>
  <si>
    <t>17.4  ± 18.5</t>
  </si>
  <si>
    <t>9.5  ± 11.7</t>
  </si>
  <si>
    <t>14.7  ± 17.1</t>
  </si>
  <si>
    <t>12.7  ± 15.2</t>
  </si>
  <si>
    <t>9.0  ± 12.4</t>
  </si>
  <si>
    <t>14.4  ± 16.2</t>
  </si>
  <si>
    <t>11.2  ± 12.6</t>
  </si>
  <si>
    <t>7.3  ± 12.3</t>
  </si>
  <si>
    <t>9.5  ± 13.5</t>
  </si>
  <si>
    <t>14.4  ± 15.7</t>
  </si>
  <si>
    <t>7.6  ± 12.5</t>
  </si>
  <si>
    <t>Reads close-target</t>
  </si>
  <si>
    <t>E+D+C+B+A</t>
  </si>
  <si>
    <t>F+D+C+B+A</t>
  </si>
  <si>
    <t>-</t>
  </si>
  <si>
    <t>other Alu</t>
  </si>
  <si>
    <t>D+C+B+A</t>
  </si>
  <si>
    <t>AluYb</t>
  </si>
  <si>
    <t>AluYa</t>
  </si>
  <si>
    <t>Off-target rate</t>
  </si>
  <si>
    <t>Event close-target (read number&gt;0)</t>
  </si>
  <si>
    <t>other reference MEI type1 **</t>
  </si>
  <si>
    <t>other reference MEI type2 ***</t>
  </si>
  <si>
    <t>other reference MEI type1</t>
  </si>
  <si>
    <t>other reference MEI type2</t>
  </si>
  <si>
    <t>known non-ref</t>
  </si>
  <si>
    <t>Passed N50 (kb)</t>
  </si>
  <si>
    <t>(mean ± SD)</t>
  </si>
  <si>
    <t>Run</t>
  </si>
  <si>
    <t xml:space="preserve">MinION </t>
  </si>
  <si>
    <t>1,237 F +169 E</t>
  </si>
  <si>
    <t>28 F + 10 E +2 D + 1C</t>
  </si>
  <si>
    <t>7,385 Yb + 2,943 Ya</t>
  </si>
  <si>
    <t>2,103 Yb + 1,849 Ya</t>
  </si>
  <si>
    <t>219 Yb +214 Ya + 6 AluY + 2 AluS</t>
  </si>
  <si>
    <t>* These numbers are based on the MELT callsets from 1000 Genomes Project high-coverage Illumina sequecing data</t>
  </si>
  <si>
    <t>37 *</t>
  </si>
  <si>
    <t>61 *</t>
  </si>
  <si>
    <t>48 *</t>
  </si>
  <si>
    <t>71 *</t>
  </si>
  <si>
    <t>94 *</t>
  </si>
  <si>
    <t>769 *</t>
  </si>
  <si>
    <t>* This was defined as reads with targeting MEI signal reported by NanoPal (BlastN)</t>
  </si>
  <si>
    <t>92 *</t>
  </si>
  <si>
    <t>592 *</t>
  </si>
  <si>
    <t>FAO08905 </t>
  </si>
  <si>
    <t>14,183 Yb + 626 Ya</t>
  </si>
  <si>
    <t>2,194 Yb + 567 Ya</t>
  </si>
  <si>
    <t xml:space="preserve">244 Yb + 49 Ya + 6 AluY </t>
  </si>
  <si>
    <t>405 F +26 E</t>
  </si>
  <si>
    <t>180 F +20 E</t>
  </si>
  <si>
    <t>271 F +90 E</t>
  </si>
  <si>
    <t>20 F + 1 E +1 D + 1C</t>
  </si>
  <si>
    <t>5.9  ± 8.8</t>
  </si>
  <si>
    <t>FAO08905</t>
  </si>
  <si>
    <t>* This was defined as reads with MEI signal mapping to the targeting MEI ('LINE1' is L1Hs, 'AluYa' is AluYa5+AluYa8, 'AluYb' is AluYb8+AluYb9, 'SVA_F' is SVA_F, 'SVA_E' is SVA_E, 'Alu' is AluYa+AluYb, 'SVA' is SVA_F+SVA_E)</t>
  </si>
  <si>
    <t>** Close subfamlies to the target MEI ('LINE1' is L1Pa, 'AluYa' 'AluYb' by Flongle and 'Alu' by MinION is other AluY, 'SVA_F' 'SVA_E' by Flongle and 'SVA' by MinION is other SVA)</t>
  </si>
  <si>
    <t>*** Less close subfamlies to the target MEI ('LINE1' is other L1, 'AluYa' 'AluYb' by Flongle and 'Alu' byMinION is other Alu)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</si>
</sst>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1" tint="0.34998626667073579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 tint="0.34998626667073579"/>
      <name val="Arial"/>
      <family val="2"/>
    </font>
    <font>
      <b/>
      <sz val="14"/>
      <color theme="1" tint="0.499984740745262"/>
      <name val="Arial"/>
      <family val="2"/>
    </font>
    <font>
      <sz val="12"/>
      <color theme="1" tint="0.49998474074526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2" fillId="0" borderId="0" xfId="0" applyNumberFormat="1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1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1259-3115-C247-904F-ECC74C388922}">
  <dimension ref="A2:P40"/>
  <sheetViews>
    <sheetView zoomScaleNormal="100" workbookViewId="0">
      <selection activeCell="F34" sqref="F34"/>
    </sheetView>
  </sheetViews>
  <sheetFormatPr baseColWidth="10" defaultColWidth="32.33203125" defaultRowHeight="22" customHeight="1" x14ac:dyDescent="0.2"/>
  <cols>
    <col min="1" max="1" width="15.1640625" style="1" customWidth="1"/>
    <col min="2" max="3" width="19.1640625" style="1" customWidth="1"/>
    <col min="4" max="4" width="20.1640625" style="1" bestFit="1" customWidth="1"/>
    <col min="5" max="5" width="19.1640625" style="1" customWidth="1"/>
    <col min="6" max="6" width="15.1640625" style="5" customWidth="1"/>
    <col min="7" max="7" width="17.33203125" style="5" customWidth="1"/>
    <col min="8" max="8" width="19.83203125" style="5" bestFit="1" customWidth="1"/>
    <col min="9" max="9" width="20.33203125" style="5" bestFit="1" customWidth="1"/>
    <col min="10" max="10" width="20.1640625" style="5" customWidth="1"/>
    <col min="11" max="12" width="16.1640625" style="5" customWidth="1"/>
    <col min="13" max="13" width="22.5" style="5" customWidth="1"/>
    <col min="14" max="14" width="20.33203125" style="1" customWidth="1"/>
    <col min="15" max="15" width="14" style="1" bestFit="1" customWidth="1"/>
    <col min="16" max="16" width="14" style="6" customWidth="1"/>
    <col min="17" max="16384" width="32.33203125" style="1"/>
  </cols>
  <sheetData>
    <row r="2" spans="1:16" s="12" customFormat="1" ht="22" customHeight="1" x14ac:dyDescent="0.2">
      <c r="A2" s="61" t="s">
        <v>91</v>
      </c>
      <c r="B2" s="61" t="s">
        <v>4</v>
      </c>
      <c r="C2" s="61" t="s">
        <v>6</v>
      </c>
      <c r="D2" s="61" t="s">
        <v>0</v>
      </c>
      <c r="E2" s="61"/>
      <c r="F2" s="62" t="s">
        <v>38</v>
      </c>
      <c r="G2" s="63" t="s">
        <v>30</v>
      </c>
      <c r="H2" s="68" t="s">
        <v>89</v>
      </c>
      <c r="I2" s="63" t="s">
        <v>53</v>
      </c>
      <c r="J2" s="79" t="s">
        <v>41</v>
      </c>
      <c r="K2" s="79"/>
      <c r="L2" s="79"/>
      <c r="M2" s="63" t="s">
        <v>27</v>
      </c>
      <c r="N2" s="61" t="s">
        <v>82</v>
      </c>
      <c r="O2" s="61" t="s">
        <v>33</v>
      </c>
      <c r="P2" s="16"/>
    </row>
    <row r="3" spans="1:16" s="12" customFormat="1" ht="22" customHeight="1" x14ac:dyDescent="0.2">
      <c r="F3" s="14"/>
      <c r="G3" s="13"/>
      <c r="H3" s="69"/>
      <c r="I3" s="42" t="s">
        <v>90</v>
      </c>
      <c r="J3" s="13" t="s">
        <v>40</v>
      </c>
      <c r="K3" s="42" t="s">
        <v>25</v>
      </c>
      <c r="L3" s="42" t="s">
        <v>26</v>
      </c>
      <c r="M3" s="13"/>
      <c r="P3" s="16"/>
    </row>
    <row r="4" spans="1:16" s="12" customFormat="1" ht="22" customHeight="1" x14ac:dyDescent="0.2">
      <c r="F4" s="14"/>
      <c r="G4" s="13"/>
      <c r="H4" s="42"/>
      <c r="I4" s="42"/>
      <c r="J4" s="13"/>
      <c r="K4" s="42"/>
      <c r="L4" s="42"/>
      <c r="M4" s="13"/>
      <c r="P4" s="16"/>
    </row>
    <row r="5" spans="1:16" ht="22" customHeight="1" x14ac:dyDescent="0.2">
      <c r="A5" s="2" t="s">
        <v>11</v>
      </c>
      <c r="B5" s="2" t="s">
        <v>5</v>
      </c>
      <c r="C5" s="2" t="s">
        <v>18</v>
      </c>
      <c r="D5" s="2" t="s">
        <v>10</v>
      </c>
      <c r="E5" s="2"/>
      <c r="F5" s="44">
        <v>917</v>
      </c>
      <c r="G5" s="17">
        <f t="shared" ref="G5:G10" si="0">J5+M5</f>
        <v>595</v>
      </c>
      <c r="H5" s="70">
        <v>25</v>
      </c>
      <c r="I5" s="17" t="s">
        <v>54</v>
      </c>
      <c r="J5" s="17">
        <f t="shared" ref="J5:J10" si="1">K5+L5</f>
        <v>418</v>
      </c>
      <c r="K5" s="17">
        <v>361</v>
      </c>
      <c r="L5" s="17">
        <v>57</v>
      </c>
      <c r="M5" s="17">
        <v>177</v>
      </c>
      <c r="N5" s="45">
        <f>M5/G5</f>
        <v>0.29747899159663865</v>
      </c>
      <c r="O5" s="11"/>
      <c r="P5" s="11"/>
    </row>
    <row r="6" spans="1:16" ht="22" customHeight="1" x14ac:dyDescent="0.2">
      <c r="A6" s="2" t="s">
        <v>16</v>
      </c>
      <c r="B6" s="2" t="s">
        <v>5</v>
      </c>
      <c r="C6" s="2" t="s">
        <v>18</v>
      </c>
      <c r="D6" s="2" t="s">
        <v>10</v>
      </c>
      <c r="E6" s="2"/>
      <c r="F6" s="44">
        <v>1866</v>
      </c>
      <c r="G6" s="17">
        <f>J6+M6</f>
        <v>1034</v>
      </c>
      <c r="H6" s="70">
        <v>26</v>
      </c>
      <c r="I6" s="17" t="s">
        <v>55</v>
      </c>
      <c r="J6" s="17">
        <f>K6+L6</f>
        <v>746</v>
      </c>
      <c r="K6" s="17">
        <v>672</v>
      </c>
      <c r="L6" s="17">
        <v>74</v>
      </c>
      <c r="M6" s="17">
        <v>288</v>
      </c>
      <c r="N6" s="45">
        <f t="shared" ref="N6:N10" si="2">M6/G6</f>
        <v>0.27852998065764023</v>
      </c>
      <c r="O6" s="11"/>
      <c r="P6" s="11"/>
    </row>
    <row r="7" spans="1:16" ht="22" customHeight="1" x14ac:dyDescent="0.2">
      <c r="A7" s="2" t="s">
        <v>13</v>
      </c>
      <c r="B7" s="2" t="s">
        <v>5</v>
      </c>
      <c r="C7" s="2" t="s">
        <v>18</v>
      </c>
      <c r="D7" s="2" t="s">
        <v>10</v>
      </c>
      <c r="E7" s="2"/>
      <c r="F7" s="44">
        <v>2852</v>
      </c>
      <c r="G7" s="17">
        <f>J7+M7</f>
        <v>2191</v>
      </c>
      <c r="H7" s="70">
        <v>15.7</v>
      </c>
      <c r="I7" s="17" t="s">
        <v>56</v>
      </c>
      <c r="J7" s="17">
        <f>K7+L7</f>
        <v>1730</v>
      </c>
      <c r="K7" s="17">
        <v>1489</v>
      </c>
      <c r="L7" s="17">
        <v>241</v>
      </c>
      <c r="M7" s="17">
        <v>461</v>
      </c>
      <c r="N7" s="45">
        <f t="shared" si="2"/>
        <v>0.21040620721131903</v>
      </c>
      <c r="O7" s="11"/>
      <c r="P7" s="11"/>
    </row>
    <row r="8" spans="1:16" ht="22" customHeight="1" x14ac:dyDescent="0.2">
      <c r="A8" s="2" t="s">
        <v>12</v>
      </c>
      <c r="B8" s="2" t="s">
        <v>5</v>
      </c>
      <c r="C8" s="2" t="s">
        <v>18</v>
      </c>
      <c r="D8" s="2" t="s">
        <v>10</v>
      </c>
      <c r="E8" s="2"/>
      <c r="F8" s="44">
        <v>921</v>
      </c>
      <c r="G8" s="17">
        <f t="shared" si="0"/>
        <v>813</v>
      </c>
      <c r="H8" s="70">
        <v>17.100000000000001</v>
      </c>
      <c r="I8" s="17" t="s">
        <v>57</v>
      </c>
      <c r="J8" s="17">
        <f t="shared" si="1"/>
        <v>708</v>
      </c>
      <c r="K8" s="17">
        <v>626</v>
      </c>
      <c r="L8" s="17">
        <v>82</v>
      </c>
      <c r="M8" s="17">
        <v>105</v>
      </c>
      <c r="N8" s="45">
        <f t="shared" si="2"/>
        <v>0.12915129151291513</v>
      </c>
      <c r="O8" s="11"/>
      <c r="P8" s="11"/>
    </row>
    <row r="9" spans="1:16" ht="22" customHeight="1" x14ac:dyDescent="0.2">
      <c r="A9" s="2" t="s">
        <v>15</v>
      </c>
      <c r="B9" s="2" t="s">
        <v>5</v>
      </c>
      <c r="C9" s="2" t="s">
        <v>18</v>
      </c>
      <c r="D9" s="2" t="s">
        <v>10</v>
      </c>
      <c r="E9" s="2"/>
      <c r="F9" s="44">
        <v>5602</v>
      </c>
      <c r="G9" s="17">
        <f t="shared" si="0"/>
        <v>4102</v>
      </c>
      <c r="H9" s="70">
        <v>14.9</v>
      </c>
      <c r="I9" s="17" t="s">
        <v>58</v>
      </c>
      <c r="J9" s="17">
        <f t="shared" si="1"/>
        <v>3144</v>
      </c>
      <c r="K9" s="17">
        <v>2793</v>
      </c>
      <c r="L9" s="17">
        <v>351</v>
      </c>
      <c r="M9" s="17">
        <v>958</v>
      </c>
      <c r="N9" s="45">
        <f t="shared" si="2"/>
        <v>0.23354461238420282</v>
      </c>
      <c r="O9" s="11"/>
      <c r="P9" s="11"/>
    </row>
    <row r="10" spans="1:16" ht="22" customHeight="1" x14ac:dyDescent="0.2">
      <c r="A10" s="2" t="s">
        <v>17</v>
      </c>
      <c r="B10" s="2" t="s">
        <v>5</v>
      </c>
      <c r="C10" s="2" t="s">
        <v>18</v>
      </c>
      <c r="D10" s="2" t="s">
        <v>10</v>
      </c>
      <c r="E10" s="2"/>
      <c r="F10" s="44">
        <v>26346</v>
      </c>
      <c r="G10" s="17">
        <f t="shared" si="0"/>
        <v>17013</v>
      </c>
      <c r="H10" s="70">
        <v>15.2</v>
      </c>
      <c r="I10" s="17" t="s">
        <v>59</v>
      </c>
      <c r="J10" s="17">
        <f t="shared" si="1"/>
        <v>3518</v>
      </c>
      <c r="K10" s="17">
        <v>2828</v>
      </c>
      <c r="L10" s="17">
        <v>690</v>
      </c>
      <c r="M10" s="17">
        <v>13495</v>
      </c>
      <c r="N10" s="45">
        <f t="shared" si="2"/>
        <v>0.79321695174278495</v>
      </c>
      <c r="O10" s="11"/>
      <c r="P10" s="11"/>
    </row>
    <row r="11" spans="1:16" ht="22" customHeight="1" x14ac:dyDescent="0.2">
      <c r="A11" s="2"/>
      <c r="B11" s="2"/>
      <c r="C11" s="2"/>
      <c r="D11" s="2"/>
      <c r="E11" s="2"/>
      <c r="F11" s="27"/>
      <c r="G11" s="9"/>
      <c r="H11" s="70"/>
      <c r="I11" s="9"/>
      <c r="J11" s="9"/>
      <c r="K11" s="9"/>
      <c r="L11" s="9"/>
      <c r="M11" s="9"/>
      <c r="N11" s="2"/>
      <c r="O11" s="2"/>
      <c r="P11" s="11"/>
    </row>
    <row r="12" spans="1:16" ht="22" customHeight="1" x14ac:dyDescent="0.2">
      <c r="A12" s="2" t="s">
        <v>14</v>
      </c>
      <c r="B12" s="2" t="s">
        <v>5</v>
      </c>
      <c r="C12" s="2" t="s">
        <v>18</v>
      </c>
      <c r="D12" s="2" t="s">
        <v>10</v>
      </c>
      <c r="E12" s="2"/>
      <c r="F12" s="27">
        <v>4884</v>
      </c>
      <c r="G12" s="9">
        <f>J12+M12</f>
        <v>3536</v>
      </c>
      <c r="H12" s="70">
        <v>25.8</v>
      </c>
      <c r="I12" s="9" t="s">
        <v>60</v>
      </c>
      <c r="J12" s="9">
        <f>K12+L12</f>
        <v>2240</v>
      </c>
      <c r="K12" s="9">
        <v>2004</v>
      </c>
      <c r="L12" s="9">
        <v>236</v>
      </c>
      <c r="M12" s="9">
        <v>1296</v>
      </c>
      <c r="N12" s="45">
        <f t="shared" ref="N12:N14" si="3">M12/G12</f>
        <v>0.36651583710407237</v>
      </c>
      <c r="O12" s="2"/>
      <c r="P12" s="11"/>
    </row>
    <row r="13" spans="1:16" ht="22" customHeight="1" x14ac:dyDescent="0.2">
      <c r="A13" s="2" t="s">
        <v>1</v>
      </c>
      <c r="B13" s="2" t="s">
        <v>5</v>
      </c>
      <c r="C13" s="2" t="s">
        <v>7</v>
      </c>
      <c r="D13" s="2" t="s">
        <v>10</v>
      </c>
      <c r="E13" s="2"/>
      <c r="F13" s="27">
        <v>6120</v>
      </c>
      <c r="G13" s="9">
        <f>J13+M13</f>
        <v>3596</v>
      </c>
      <c r="H13" s="70">
        <v>23.6</v>
      </c>
      <c r="I13" s="9" t="s">
        <v>61</v>
      </c>
      <c r="J13" s="9">
        <f>K13+L13</f>
        <v>2167</v>
      </c>
      <c r="K13" s="9">
        <v>1811</v>
      </c>
      <c r="L13" s="9">
        <v>356</v>
      </c>
      <c r="M13" s="9">
        <v>1429</v>
      </c>
      <c r="N13" s="45">
        <f t="shared" si="3"/>
        <v>0.39738598442714129</v>
      </c>
      <c r="O13" s="2"/>
      <c r="P13" s="11"/>
    </row>
    <row r="14" spans="1:16" ht="22" customHeight="1" x14ac:dyDescent="0.2">
      <c r="A14" s="2" t="s">
        <v>2</v>
      </c>
      <c r="B14" s="2" t="s">
        <v>5</v>
      </c>
      <c r="C14" s="2" t="s">
        <v>8</v>
      </c>
      <c r="D14" s="2" t="s">
        <v>10</v>
      </c>
      <c r="E14" s="2"/>
      <c r="F14" s="27">
        <v>3431</v>
      </c>
      <c r="G14" s="9">
        <f>J14+M14</f>
        <v>3204</v>
      </c>
      <c r="H14" s="70">
        <v>28.7</v>
      </c>
      <c r="I14" s="9" t="s">
        <v>62</v>
      </c>
      <c r="J14" s="9">
        <f>K14+L14</f>
        <v>2211</v>
      </c>
      <c r="K14" s="9">
        <v>1897</v>
      </c>
      <c r="L14" s="9">
        <v>314</v>
      </c>
      <c r="M14" s="9">
        <v>993</v>
      </c>
      <c r="N14" s="45">
        <f t="shared" si="3"/>
        <v>0.30992509363295878</v>
      </c>
      <c r="O14" s="2"/>
      <c r="P14" s="11"/>
    </row>
    <row r="15" spans="1:16" ht="22" customHeight="1" x14ac:dyDescent="0.2">
      <c r="A15" s="2"/>
      <c r="B15" s="2"/>
      <c r="C15" s="2"/>
      <c r="D15" s="2"/>
      <c r="E15" s="2"/>
      <c r="F15" s="27"/>
      <c r="G15" s="9"/>
      <c r="H15" s="70"/>
      <c r="I15" s="9"/>
      <c r="J15" s="9"/>
      <c r="K15" s="9"/>
      <c r="L15" s="9"/>
      <c r="M15" s="9"/>
      <c r="N15" s="2"/>
      <c r="O15" s="2"/>
      <c r="P15" s="11"/>
    </row>
    <row r="16" spans="1:16" ht="22" customHeight="1" x14ac:dyDescent="0.2">
      <c r="A16" s="2" t="s">
        <v>20</v>
      </c>
      <c r="B16" s="2" t="s">
        <v>31</v>
      </c>
      <c r="C16" s="2" t="s">
        <v>18</v>
      </c>
      <c r="D16" s="2" t="s">
        <v>10</v>
      </c>
      <c r="E16" s="2"/>
      <c r="F16" s="27">
        <v>21546</v>
      </c>
      <c r="G16" s="9">
        <f t="shared" ref="G16:G19" si="4">J16+M16</f>
        <v>14106</v>
      </c>
      <c r="H16" s="70">
        <v>19.100000000000001</v>
      </c>
      <c r="I16" s="9" t="s">
        <v>64</v>
      </c>
      <c r="J16" s="9">
        <f t="shared" ref="J16:J19" si="5">K16+L16</f>
        <v>1383</v>
      </c>
      <c r="K16" s="9">
        <v>1320</v>
      </c>
      <c r="L16" s="9">
        <v>63</v>
      </c>
      <c r="M16" s="9">
        <v>12723</v>
      </c>
      <c r="N16" s="45">
        <f t="shared" ref="N16:N19" si="6">M16/G16</f>
        <v>0.90195661420672057</v>
      </c>
      <c r="O16" s="2"/>
      <c r="P16" s="11"/>
    </row>
    <row r="17" spans="1:16" ht="22" customHeight="1" x14ac:dyDescent="0.2">
      <c r="A17" s="2" t="s">
        <v>21</v>
      </c>
      <c r="B17" s="2" t="s">
        <v>32</v>
      </c>
      <c r="C17" s="2" t="s">
        <v>18</v>
      </c>
      <c r="D17" s="2" t="s">
        <v>10</v>
      </c>
      <c r="E17" s="2"/>
      <c r="F17" s="27">
        <v>13891</v>
      </c>
      <c r="G17" s="9">
        <f t="shared" si="4"/>
        <v>7297</v>
      </c>
      <c r="H17" s="70">
        <v>19.3</v>
      </c>
      <c r="I17" s="9" t="s">
        <v>67</v>
      </c>
      <c r="J17" s="9">
        <f t="shared" si="5"/>
        <v>193</v>
      </c>
      <c r="K17" s="9">
        <v>187</v>
      </c>
      <c r="L17" s="9">
        <v>6</v>
      </c>
      <c r="M17" s="9">
        <v>7104</v>
      </c>
      <c r="N17" s="45">
        <f t="shared" si="6"/>
        <v>0.97355077429080439</v>
      </c>
      <c r="O17" s="2"/>
      <c r="P17" s="11"/>
    </row>
    <row r="18" spans="1:16" ht="22" customHeight="1" x14ac:dyDescent="0.2">
      <c r="A18" s="2" t="s">
        <v>23</v>
      </c>
      <c r="B18" s="2" t="s">
        <v>80</v>
      </c>
      <c r="C18" s="2" t="s">
        <v>18</v>
      </c>
      <c r="D18" s="2" t="s">
        <v>10</v>
      </c>
      <c r="E18" s="2"/>
      <c r="F18" s="27">
        <v>3815</v>
      </c>
      <c r="G18" s="9">
        <f>J18+M18</f>
        <v>2271</v>
      </c>
      <c r="H18" s="70">
        <v>25.9</v>
      </c>
      <c r="I18" s="9" t="s">
        <v>66</v>
      </c>
      <c r="J18" s="9">
        <f>K18+L18</f>
        <v>1174</v>
      </c>
      <c r="K18" s="9">
        <v>1122</v>
      </c>
      <c r="L18" s="9">
        <v>52</v>
      </c>
      <c r="M18" s="9">
        <v>1097</v>
      </c>
      <c r="N18" s="45">
        <f t="shared" si="6"/>
        <v>0.48304711580801407</v>
      </c>
      <c r="O18" s="2"/>
      <c r="P18" s="11"/>
    </row>
    <row r="19" spans="1:16" ht="22" customHeight="1" x14ac:dyDescent="0.2">
      <c r="A19" s="2" t="s">
        <v>22</v>
      </c>
      <c r="B19" s="2" t="s">
        <v>81</v>
      </c>
      <c r="C19" s="2" t="s">
        <v>18</v>
      </c>
      <c r="D19" s="2" t="s">
        <v>10</v>
      </c>
      <c r="E19" s="2"/>
      <c r="F19" s="27">
        <v>19085</v>
      </c>
      <c r="G19" s="9">
        <f t="shared" si="4"/>
        <v>12513</v>
      </c>
      <c r="H19" s="70">
        <v>28.6</v>
      </c>
      <c r="I19" s="9" t="s">
        <v>65</v>
      </c>
      <c r="J19" s="9">
        <f t="shared" si="5"/>
        <v>8026</v>
      </c>
      <c r="K19" s="9">
        <v>6853</v>
      </c>
      <c r="L19" s="9">
        <v>1173</v>
      </c>
      <c r="M19" s="9">
        <v>4487</v>
      </c>
      <c r="N19" s="45">
        <f t="shared" si="6"/>
        <v>0.3585870694477743</v>
      </c>
      <c r="O19" s="2"/>
      <c r="P19" s="11"/>
    </row>
    <row r="20" spans="1:16" ht="22" customHeight="1" x14ac:dyDescent="0.2">
      <c r="A20" s="2"/>
      <c r="B20" s="2"/>
      <c r="C20" s="2"/>
      <c r="D20" s="2"/>
      <c r="E20" s="2"/>
      <c r="F20" s="27"/>
      <c r="G20" s="9"/>
      <c r="H20" s="70"/>
      <c r="I20" s="9"/>
      <c r="J20" s="9"/>
      <c r="K20" s="9"/>
      <c r="L20" s="9"/>
      <c r="M20" s="9"/>
      <c r="N20" s="2"/>
      <c r="O20" s="2"/>
      <c r="P20" s="11"/>
    </row>
    <row r="21" spans="1:16" ht="22" customHeight="1" x14ac:dyDescent="0.2">
      <c r="A21" s="2" t="s">
        <v>3</v>
      </c>
      <c r="B21" s="2" t="s">
        <v>5</v>
      </c>
      <c r="C21" s="2" t="s">
        <v>18</v>
      </c>
      <c r="D21" s="2" t="s">
        <v>9</v>
      </c>
      <c r="E21" s="2"/>
      <c r="F21" s="27">
        <v>123293</v>
      </c>
      <c r="G21" s="9">
        <f>J21+M21</f>
        <v>110029</v>
      </c>
      <c r="H21" s="70">
        <v>32.299999999999997</v>
      </c>
      <c r="I21" s="9" t="s">
        <v>63</v>
      </c>
      <c r="J21" s="9">
        <f>K21+L21</f>
        <v>78049</v>
      </c>
      <c r="K21" s="9">
        <v>65570</v>
      </c>
      <c r="L21" s="9">
        <v>12479</v>
      </c>
      <c r="M21" s="9">
        <v>31980</v>
      </c>
      <c r="N21" s="45">
        <f>M21/G21</f>
        <v>0.29065064664770196</v>
      </c>
      <c r="O21" s="2"/>
      <c r="P21" s="11"/>
    </row>
    <row r="22" spans="1:16" ht="22" customHeight="1" x14ac:dyDescent="0.2">
      <c r="F22" s="28"/>
      <c r="H22" s="70"/>
      <c r="N22" s="3"/>
    </row>
    <row r="23" spans="1:16" ht="22" customHeight="1" x14ac:dyDescent="0.2">
      <c r="A23" s="30" t="s">
        <v>19</v>
      </c>
      <c r="B23" s="30" t="s">
        <v>5</v>
      </c>
      <c r="C23" s="30" t="s">
        <v>39</v>
      </c>
      <c r="D23" s="30" t="s">
        <v>92</v>
      </c>
      <c r="E23" s="30"/>
      <c r="F23" s="31">
        <v>558447</v>
      </c>
      <c r="G23" s="32">
        <f>J23+M23</f>
        <v>479775</v>
      </c>
      <c r="H23" s="71">
        <v>23.6</v>
      </c>
      <c r="I23" s="32" t="s">
        <v>71</v>
      </c>
      <c r="J23" s="32">
        <f>K23+L23</f>
        <v>156516</v>
      </c>
      <c r="K23" s="32">
        <f>K24+K25+K26+K27</f>
        <v>133231</v>
      </c>
      <c r="L23" s="32">
        <f>L24+L25+L26+L27</f>
        <v>23285</v>
      </c>
      <c r="M23" s="32">
        <f>M24+M25+M26+M27</f>
        <v>323259</v>
      </c>
      <c r="N23" s="33">
        <f>M23/G23</f>
        <v>0.67377208066281069</v>
      </c>
      <c r="O23" s="30"/>
      <c r="P23" s="11"/>
    </row>
    <row r="24" spans="1:16" ht="22" customHeight="1" x14ac:dyDescent="0.2">
      <c r="A24" s="2"/>
      <c r="B24" s="2"/>
      <c r="C24" s="2" t="s">
        <v>18</v>
      </c>
      <c r="D24" s="2"/>
      <c r="E24" s="2"/>
      <c r="F24" s="27"/>
      <c r="G24" s="9">
        <f>J24+M24</f>
        <v>74171</v>
      </c>
      <c r="H24" s="70">
        <v>20.6</v>
      </c>
      <c r="I24" s="9" t="s">
        <v>69</v>
      </c>
      <c r="J24" s="9">
        <f>K24+L24</f>
        <v>37831</v>
      </c>
      <c r="K24" s="9">
        <v>32418</v>
      </c>
      <c r="L24" s="9">
        <v>5413</v>
      </c>
      <c r="M24" s="9">
        <v>36340</v>
      </c>
      <c r="N24" s="45">
        <f t="shared" ref="N24:N27" si="7">M24/G24</f>
        <v>0.4899489018619137</v>
      </c>
      <c r="O24" s="2" t="s">
        <v>34</v>
      </c>
      <c r="P24" s="11"/>
    </row>
    <row r="25" spans="1:16" ht="22" customHeight="1" x14ac:dyDescent="0.2">
      <c r="A25" s="2"/>
      <c r="B25" s="2"/>
      <c r="C25" s="2" t="s">
        <v>7</v>
      </c>
      <c r="D25" s="2"/>
      <c r="E25" s="2"/>
      <c r="F25" s="27"/>
      <c r="G25" s="9">
        <f t="shared" ref="G25:G27" si="8">J25+M25</f>
        <v>160641</v>
      </c>
      <c r="H25" s="70">
        <v>19.899999999999999</v>
      </c>
      <c r="I25" s="9" t="s">
        <v>70</v>
      </c>
      <c r="J25" s="9">
        <f t="shared" ref="J25:J27" si="9">K25+L25</f>
        <v>39042</v>
      </c>
      <c r="K25" s="9">
        <v>32412</v>
      </c>
      <c r="L25" s="9">
        <v>6630</v>
      </c>
      <c r="M25" s="9">
        <v>121599</v>
      </c>
      <c r="N25" s="45">
        <f t="shared" si="7"/>
        <v>0.75696117429547871</v>
      </c>
      <c r="O25" s="2" t="s">
        <v>35</v>
      </c>
      <c r="P25" s="11"/>
    </row>
    <row r="26" spans="1:16" ht="22" customHeight="1" x14ac:dyDescent="0.2">
      <c r="A26" s="2"/>
      <c r="B26" s="2"/>
      <c r="C26" s="2" t="s">
        <v>8</v>
      </c>
      <c r="D26" s="2"/>
      <c r="E26" s="2"/>
      <c r="F26" s="27"/>
      <c r="G26" s="9">
        <f t="shared" si="8"/>
        <v>101294</v>
      </c>
      <c r="H26" s="70">
        <v>28</v>
      </c>
      <c r="I26" s="9" t="s">
        <v>72</v>
      </c>
      <c r="J26" s="9">
        <f t="shared" si="9"/>
        <v>63942</v>
      </c>
      <c r="K26" s="9">
        <v>54443</v>
      </c>
      <c r="L26" s="9">
        <v>9499</v>
      </c>
      <c r="M26" s="9">
        <v>37352</v>
      </c>
      <c r="N26" s="45">
        <f t="shared" si="7"/>
        <v>0.36874839575888008</v>
      </c>
      <c r="O26" s="2" t="s">
        <v>36</v>
      </c>
      <c r="P26" s="11"/>
    </row>
    <row r="27" spans="1:16" ht="22" customHeight="1" x14ac:dyDescent="0.2">
      <c r="A27" s="2"/>
      <c r="B27" s="2"/>
      <c r="C27" s="2"/>
      <c r="D27" s="2"/>
      <c r="E27" s="2"/>
      <c r="F27" s="27"/>
      <c r="G27" s="9">
        <f t="shared" si="8"/>
        <v>143669</v>
      </c>
      <c r="H27" s="70">
        <v>23.2</v>
      </c>
      <c r="I27" s="9" t="s">
        <v>73</v>
      </c>
      <c r="J27" s="9">
        <f t="shared" si="9"/>
        <v>15701</v>
      </c>
      <c r="K27" s="9">
        <v>13958</v>
      </c>
      <c r="L27" s="9">
        <v>1743</v>
      </c>
      <c r="M27" s="9">
        <v>127968</v>
      </c>
      <c r="N27" s="45">
        <f t="shared" si="7"/>
        <v>0.89071407192922625</v>
      </c>
      <c r="O27" s="11" t="s">
        <v>37</v>
      </c>
      <c r="P27" s="11"/>
    </row>
    <row r="28" spans="1:16" ht="22" customHeight="1" x14ac:dyDescent="0.2">
      <c r="A28" s="2"/>
      <c r="B28" s="2"/>
      <c r="C28" s="2"/>
      <c r="D28" s="2"/>
      <c r="E28" s="2"/>
      <c r="F28" s="27"/>
      <c r="G28" s="9"/>
      <c r="H28" s="70"/>
      <c r="I28" s="9"/>
      <c r="J28" s="9"/>
      <c r="K28" s="9"/>
      <c r="L28" s="9"/>
      <c r="M28" s="9"/>
      <c r="N28" s="10"/>
      <c r="O28" s="11"/>
      <c r="P28" s="11"/>
    </row>
    <row r="29" spans="1:16" ht="22" customHeight="1" x14ac:dyDescent="0.2">
      <c r="A29" s="30" t="s">
        <v>24</v>
      </c>
      <c r="B29" s="30" t="s">
        <v>39</v>
      </c>
      <c r="C29" s="30" t="s">
        <v>18</v>
      </c>
      <c r="D29" s="30" t="s">
        <v>9</v>
      </c>
      <c r="E29" s="30"/>
      <c r="F29" s="31">
        <v>115120</v>
      </c>
      <c r="G29" s="32">
        <f>K32+L32+102147</f>
        <v>105340</v>
      </c>
      <c r="H29" s="71">
        <v>28</v>
      </c>
      <c r="I29" s="32" t="s">
        <v>68</v>
      </c>
      <c r="J29" s="32">
        <f>K29+L29</f>
        <v>72475</v>
      </c>
      <c r="K29" s="32">
        <f>K30+K31+K32</f>
        <v>61737</v>
      </c>
      <c r="L29" s="32">
        <f t="shared" ref="L29" si="10">L30+L31+L32</f>
        <v>10738</v>
      </c>
      <c r="M29" s="32">
        <f>G29-J29</f>
        <v>32865</v>
      </c>
      <c r="N29" s="33">
        <f>M29/G29</f>
        <v>0.31198974748433644</v>
      </c>
      <c r="O29" s="30"/>
      <c r="P29" s="11"/>
    </row>
    <row r="30" spans="1:16" ht="22" customHeight="1" x14ac:dyDescent="0.2">
      <c r="A30" s="2"/>
      <c r="B30" s="2" t="s">
        <v>5</v>
      </c>
      <c r="C30" s="2"/>
      <c r="D30" s="2"/>
      <c r="E30" s="2"/>
      <c r="F30" s="27"/>
      <c r="G30" s="9"/>
      <c r="I30" s="9"/>
      <c r="J30" s="9"/>
      <c r="K30" s="9">
        <v>35068</v>
      </c>
      <c r="L30" s="9">
        <v>7075</v>
      </c>
      <c r="M30" s="9"/>
      <c r="N30" s="10"/>
      <c r="O30" s="2"/>
      <c r="P30" s="11"/>
    </row>
    <row r="31" spans="1:16" ht="22" customHeight="1" x14ac:dyDescent="0.2">
      <c r="A31" s="2"/>
      <c r="B31" s="2" t="s">
        <v>28</v>
      </c>
      <c r="C31" s="2"/>
      <c r="D31" s="2"/>
      <c r="E31" s="2"/>
      <c r="F31" s="27"/>
      <c r="G31" s="9"/>
      <c r="I31" s="9"/>
      <c r="J31" s="9"/>
      <c r="K31" s="9">
        <v>23589</v>
      </c>
      <c r="L31" s="9">
        <v>3550</v>
      </c>
      <c r="M31" s="9"/>
      <c r="N31" s="2"/>
      <c r="O31" s="2"/>
      <c r="P31" s="11"/>
    </row>
    <row r="32" spans="1:16" ht="22" customHeight="1" x14ac:dyDescent="0.2">
      <c r="A32" s="2"/>
      <c r="B32" s="2" t="s">
        <v>29</v>
      </c>
      <c r="C32" s="2"/>
      <c r="D32" s="2"/>
      <c r="E32" s="2"/>
      <c r="F32" s="27"/>
      <c r="G32" s="9"/>
      <c r="I32" s="9"/>
      <c r="J32" s="9"/>
      <c r="K32" s="9">
        <v>3080</v>
      </c>
      <c r="L32" s="9">
        <v>113</v>
      </c>
      <c r="M32" s="9"/>
      <c r="N32" s="2"/>
      <c r="O32" s="2"/>
      <c r="P32" s="11"/>
    </row>
    <row r="33" spans="1:16" ht="22" customHeight="1" x14ac:dyDescent="0.2">
      <c r="A33" s="2"/>
      <c r="B33" s="2"/>
      <c r="C33" s="2"/>
      <c r="D33" s="2"/>
      <c r="E33" s="2"/>
      <c r="F33" s="27"/>
      <c r="G33" s="9"/>
      <c r="I33" s="9"/>
      <c r="J33" s="9"/>
      <c r="K33" s="9"/>
      <c r="L33" s="9"/>
      <c r="M33" s="9"/>
      <c r="N33" s="2"/>
      <c r="O33" s="2"/>
      <c r="P33" s="11"/>
    </row>
    <row r="34" spans="1:16" ht="22" customHeight="1" x14ac:dyDescent="0.2">
      <c r="A34" s="30" t="s">
        <v>117</v>
      </c>
      <c r="B34" s="30" t="s">
        <v>39</v>
      </c>
      <c r="C34" s="30" t="s">
        <v>18</v>
      </c>
      <c r="D34" s="30" t="s">
        <v>9</v>
      </c>
      <c r="E34" s="30"/>
      <c r="F34" s="31">
        <v>186169</v>
      </c>
      <c r="G34" s="32">
        <f>780+75+150077</f>
        <v>150932</v>
      </c>
      <c r="H34" s="71">
        <v>15.4</v>
      </c>
      <c r="I34" s="32" t="s">
        <v>116</v>
      </c>
      <c r="J34" s="32">
        <f>K34+L34</f>
        <v>70192</v>
      </c>
      <c r="K34" s="32">
        <f>K35+K36+K37</f>
        <v>59360</v>
      </c>
      <c r="L34" s="32">
        <f t="shared" ref="L34" si="11">L35+L36+L37</f>
        <v>10832</v>
      </c>
      <c r="M34" s="32">
        <f>G34-J34</f>
        <v>80740</v>
      </c>
      <c r="N34" s="33">
        <f>M34/G34</f>
        <v>0.53494288818805824</v>
      </c>
      <c r="O34" s="30"/>
      <c r="P34" s="11"/>
    </row>
    <row r="35" spans="1:16" ht="22" customHeight="1" x14ac:dyDescent="0.2">
      <c r="A35" s="2"/>
      <c r="B35" s="2" t="s">
        <v>5</v>
      </c>
      <c r="C35" s="2"/>
      <c r="D35" s="2"/>
      <c r="E35" s="2"/>
      <c r="F35" s="27"/>
      <c r="G35" s="9"/>
      <c r="I35" s="9"/>
      <c r="J35" s="9"/>
      <c r="K35" s="9">
        <v>29867</v>
      </c>
      <c r="L35" s="9">
        <v>6709</v>
      </c>
      <c r="M35" s="9"/>
      <c r="N35" s="10"/>
      <c r="O35" s="2"/>
      <c r="P35" s="11"/>
    </row>
    <row r="36" spans="1:16" ht="22" customHeight="1" x14ac:dyDescent="0.2">
      <c r="A36" s="2"/>
      <c r="B36" s="2" t="s">
        <v>28</v>
      </c>
      <c r="C36" s="2"/>
      <c r="D36" s="2"/>
      <c r="E36" s="2"/>
      <c r="F36" s="27"/>
      <c r="G36" s="9"/>
      <c r="I36" s="9"/>
      <c r="J36" s="9"/>
      <c r="K36" s="9">
        <v>28713</v>
      </c>
      <c r="L36" s="9">
        <v>4048</v>
      </c>
      <c r="M36" s="9"/>
      <c r="N36" s="2"/>
      <c r="O36" s="2"/>
      <c r="P36" s="11"/>
    </row>
    <row r="37" spans="1:16" ht="22" customHeight="1" x14ac:dyDescent="0.2">
      <c r="A37" s="2"/>
      <c r="B37" s="2" t="s">
        <v>29</v>
      </c>
      <c r="C37" s="2"/>
      <c r="D37" s="2"/>
      <c r="E37" s="2"/>
      <c r="F37" s="27"/>
      <c r="G37" s="9"/>
      <c r="I37" s="9"/>
      <c r="J37" s="9"/>
      <c r="K37" s="9">
        <v>780</v>
      </c>
      <c r="L37" s="9">
        <v>75</v>
      </c>
      <c r="M37" s="9"/>
      <c r="N37" s="2"/>
      <c r="O37" s="2"/>
      <c r="P37" s="11"/>
    </row>
    <row r="38" spans="1:16" s="55" customFormat="1" ht="22" customHeight="1" thickBot="1" x14ac:dyDescent="0.25">
      <c r="F38" s="56"/>
      <c r="G38" s="57"/>
      <c r="H38" s="57"/>
      <c r="I38" s="57"/>
      <c r="J38" s="57"/>
      <c r="K38" s="57"/>
      <c r="L38" s="57"/>
      <c r="M38" s="57"/>
      <c r="P38" s="60"/>
    </row>
    <row r="39" spans="1:16" ht="22" customHeight="1" x14ac:dyDescent="0.2">
      <c r="G39" s="7">
        <f>34036+6665+64709</f>
        <v>105410</v>
      </c>
      <c r="H39" s="7"/>
      <c r="I39" s="7"/>
      <c r="J39" s="7">
        <v>67806</v>
      </c>
      <c r="M39" s="7">
        <f>G39-J39</f>
        <v>37604</v>
      </c>
      <c r="N39" s="8">
        <f>M39/G39</f>
        <v>0.35674034721563419</v>
      </c>
    </row>
    <row r="40" spans="1:16" ht="22" customHeight="1" x14ac:dyDescent="0.15">
      <c r="A40" s="29" t="s">
        <v>105</v>
      </c>
      <c r="F40" s="4"/>
    </row>
  </sheetData>
  <mergeCells count="1">
    <mergeCell ref="J2:L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6AE4-2870-D549-9E1B-028530210068}">
  <dimension ref="A2:P46"/>
  <sheetViews>
    <sheetView workbookViewId="0">
      <selection activeCell="A47" sqref="A47"/>
    </sheetView>
  </sheetViews>
  <sheetFormatPr baseColWidth="10" defaultColWidth="32.33203125" defaultRowHeight="22" customHeight="1" x14ac:dyDescent="0.2"/>
  <cols>
    <col min="1" max="1" width="15.1640625" style="6" customWidth="1"/>
    <col min="2" max="3" width="19.1640625" style="6" customWidth="1"/>
    <col min="4" max="4" width="19.33203125" style="6" bestFit="1" customWidth="1"/>
    <col min="5" max="5" width="19.1640625" style="6" customWidth="1"/>
    <col min="6" max="6" width="17.33203125" style="18" customWidth="1"/>
    <col min="7" max="7" width="19.83203125" style="24" bestFit="1" customWidth="1"/>
    <col min="8" max="8" width="20.1640625" style="24" customWidth="1"/>
    <col min="9" max="9" width="24.33203125" style="24" customWidth="1"/>
    <col min="10" max="10" width="20.83203125" style="24" bestFit="1" customWidth="1"/>
    <col min="11" max="11" width="24.33203125" style="24" customWidth="1"/>
    <col min="12" max="12" width="15.33203125" style="24" bestFit="1" customWidth="1"/>
    <col min="13" max="13" width="24.33203125" style="24" customWidth="1"/>
    <col min="14" max="14" width="20.33203125" style="6" customWidth="1"/>
    <col min="15" max="15" width="14" style="26" bestFit="1" customWidth="1"/>
    <col min="16" max="16" width="20.33203125" style="26" customWidth="1"/>
    <col min="17" max="16384" width="32.33203125" style="6"/>
  </cols>
  <sheetData>
    <row r="2" spans="1:16" s="16" customFormat="1" ht="22" customHeight="1" x14ac:dyDescent="0.2">
      <c r="A2" s="61" t="s">
        <v>91</v>
      </c>
      <c r="B2" s="61" t="s">
        <v>4</v>
      </c>
      <c r="C2" s="61" t="s">
        <v>6</v>
      </c>
      <c r="D2" s="61" t="s">
        <v>0</v>
      </c>
      <c r="E2" s="64"/>
      <c r="F2" s="65" t="s">
        <v>30</v>
      </c>
      <c r="G2" s="81" t="s">
        <v>41</v>
      </c>
      <c r="H2" s="81"/>
      <c r="I2" s="81" t="s">
        <v>74</v>
      </c>
      <c r="J2" s="81"/>
      <c r="K2" s="81" t="s">
        <v>27</v>
      </c>
      <c r="L2" s="81"/>
      <c r="M2" s="81"/>
      <c r="N2" s="64" t="s">
        <v>52</v>
      </c>
      <c r="O2" s="66" t="s">
        <v>33</v>
      </c>
      <c r="P2" s="20"/>
    </row>
    <row r="3" spans="1:16" s="16" customFormat="1" ht="22" customHeight="1" x14ac:dyDescent="0.2">
      <c r="F3" s="15"/>
      <c r="G3" s="43" t="s">
        <v>42</v>
      </c>
      <c r="H3" s="43" t="s">
        <v>43</v>
      </c>
      <c r="I3" s="80" t="s">
        <v>84</v>
      </c>
      <c r="J3" s="80"/>
      <c r="K3" s="80" t="s">
        <v>85</v>
      </c>
      <c r="L3" s="80"/>
      <c r="M3" s="43" t="s">
        <v>44</v>
      </c>
      <c r="O3" s="20"/>
      <c r="P3" s="20"/>
    </row>
    <row r="4" spans="1:16" s="16" customFormat="1" ht="22" customHeight="1" x14ac:dyDescent="0.2">
      <c r="F4" s="15"/>
      <c r="G4" s="43"/>
      <c r="H4" s="43"/>
      <c r="I4" s="43"/>
      <c r="J4" s="43"/>
      <c r="K4" s="43"/>
      <c r="L4" s="43"/>
      <c r="M4" s="43"/>
      <c r="O4" s="20"/>
      <c r="P4" s="20"/>
    </row>
    <row r="5" spans="1:16" ht="22" customHeight="1" x14ac:dyDescent="0.2">
      <c r="A5" s="11" t="s">
        <v>11</v>
      </c>
      <c r="B5" s="11" t="s">
        <v>5</v>
      </c>
      <c r="C5" s="11" t="s">
        <v>18</v>
      </c>
      <c r="D5" s="11" t="s">
        <v>10</v>
      </c>
      <c r="E5" s="11"/>
      <c r="F5" s="17">
        <f>'Raw reads'!G5</f>
        <v>595</v>
      </c>
      <c r="G5" s="21">
        <v>187</v>
      </c>
      <c r="H5" s="21">
        <f>27+11</f>
        <v>38</v>
      </c>
      <c r="I5" s="21">
        <v>193</v>
      </c>
      <c r="J5" s="21" t="s">
        <v>45</v>
      </c>
      <c r="K5" s="21">
        <v>0</v>
      </c>
      <c r="L5" s="21" t="s">
        <v>46</v>
      </c>
      <c r="M5" s="21">
        <v>2</v>
      </c>
      <c r="N5" s="45">
        <f t="shared" ref="N5:N21" si="0">(G5+H5)/F5</f>
        <v>0.37815126050420167</v>
      </c>
      <c r="O5" s="22"/>
      <c r="P5" s="22"/>
    </row>
    <row r="6" spans="1:16" ht="22" customHeight="1" x14ac:dyDescent="0.2">
      <c r="A6" s="11" t="s">
        <v>16</v>
      </c>
      <c r="B6" s="11" t="s">
        <v>5</v>
      </c>
      <c r="C6" s="11" t="s">
        <v>18</v>
      </c>
      <c r="D6" s="11" t="s">
        <v>10</v>
      </c>
      <c r="E6" s="11"/>
      <c r="F6" s="17">
        <f>'Raw reads'!G6</f>
        <v>1034</v>
      </c>
      <c r="G6" s="21">
        <v>395</v>
      </c>
      <c r="H6" s="21">
        <f>39+14</f>
        <v>53</v>
      </c>
      <c r="I6" s="21">
        <v>298</v>
      </c>
      <c r="J6" s="21" t="s">
        <v>45</v>
      </c>
      <c r="K6" s="21">
        <v>2</v>
      </c>
      <c r="L6" s="21" t="s">
        <v>46</v>
      </c>
      <c r="M6" s="21">
        <v>5</v>
      </c>
      <c r="N6" s="45">
        <f t="shared" si="0"/>
        <v>0.4332688588007737</v>
      </c>
      <c r="O6" s="22"/>
      <c r="P6" s="22"/>
    </row>
    <row r="7" spans="1:16" ht="22" customHeight="1" x14ac:dyDescent="0.2">
      <c r="A7" s="11" t="s">
        <v>13</v>
      </c>
      <c r="B7" s="11" t="s">
        <v>5</v>
      </c>
      <c r="C7" s="11" t="s">
        <v>18</v>
      </c>
      <c r="D7" s="11" t="s">
        <v>10</v>
      </c>
      <c r="E7" s="11"/>
      <c r="F7" s="17">
        <f>'Raw reads'!G7</f>
        <v>2191</v>
      </c>
      <c r="G7" s="21">
        <v>1086</v>
      </c>
      <c r="H7" s="21">
        <f>130+27</f>
        <v>157</v>
      </c>
      <c r="I7" s="21">
        <v>445</v>
      </c>
      <c r="J7" s="21" t="s">
        <v>45</v>
      </c>
      <c r="K7" s="21">
        <v>0</v>
      </c>
      <c r="L7" s="21" t="s">
        <v>46</v>
      </c>
      <c r="M7" s="21">
        <v>3</v>
      </c>
      <c r="N7" s="45">
        <f t="shared" si="0"/>
        <v>0.56732085805568233</v>
      </c>
      <c r="O7" s="22"/>
      <c r="P7" s="22"/>
    </row>
    <row r="8" spans="1:16" ht="22" customHeight="1" x14ac:dyDescent="0.2">
      <c r="A8" s="11" t="s">
        <v>12</v>
      </c>
      <c r="B8" s="11" t="s">
        <v>5</v>
      </c>
      <c r="C8" s="11" t="s">
        <v>18</v>
      </c>
      <c r="D8" s="11" t="s">
        <v>10</v>
      </c>
      <c r="E8" s="11"/>
      <c r="F8" s="17">
        <f>'Raw reads'!G8</f>
        <v>813</v>
      </c>
      <c r="G8" s="21">
        <v>472</v>
      </c>
      <c r="H8" s="21">
        <f>55+5</f>
        <v>60</v>
      </c>
      <c r="I8" s="21">
        <v>156</v>
      </c>
      <c r="J8" s="21" t="s">
        <v>45</v>
      </c>
      <c r="K8" s="21">
        <v>0</v>
      </c>
      <c r="L8" s="21" t="s">
        <v>46</v>
      </c>
      <c r="M8" s="21">
        <v>3</v>
      </c>
      <c r="N8" s="45">
        <f t="shared" si="0"/>
        <v>0.65436654366543667</v>
      </c>
      <c r="O8" s="22"/>
      <c r="P8" s="22"/>
    </row>
    <row r="9" spans="1:16" ht="22" customHeight="1" x14ac:dyDescent="0.2">
      <c r="A9" s="11" t="s">
        <v>15</v>
      </c>
      <c r="B9" s="11" t="s">
        <v>5</v>
      </c>
      <c r="C9" s="11" t="s">
        <v>18</v>
      </c>
      <c r="D9" s="11" t="s">
        <v>10</v>
      </c>
      <c r="E9" s="11"/>
      <c r="F9" s="17">
        <f>'Raw reads'!G9</f>
        <v>4102</v>
      </c>
      <c r="G9" s="21">
        <v>2036</v>
      </c>
      <c r="H9" s="21">
        <f>245+53</f>
        <v>298</v>
      </c>
      <c r="I9" s="21">
        <v>690</v>
      </c>
      <c r="J9" s="21" t="s">
        <v>45</v>
      </c>
      <c r="K9" s="21">
        <v>1</v>
      </c>
      <c r="L9" s="21" t="s">
        <v>46</v>
      </c>
      <c r="M9" s="21">
        <v>16</v>
      </c>
      <c r="N9" s="45">
        <f t="shared" si="0"/>
        <v>0.56899073622623109</v>
      </c>
      <c r="O9" s="22"/>
      <c r="P9" s="22"/>
    </row>
    <row r="10" spans="1:16" ht="22" customHeight="1" x14ac:dyDescent="0.2">
      <c r="A10" s="11" t="s">
        <v>17</v>
      </c>
      <c r="B10" s="11" t="s">
        <v>5</v>
      </c>
      <c r="C10" s="11" t="s">
        <v>18</v>
      </c>
      <c r="D10" s="11" t="s">
        <v>10</v>
      </c>
      <c r="E10" s="11"/>
      <c r="F10" s="17">
        <f>'Raw reads'!G10</f>
        <v>17013</v>
      </c>
      <c r="G10" s="21">
        <v>1240</v>
      </c>
      <c r="H10" s="21">
        <f>143+58</f>
        <v>201</v>
      </c>
      <c r="I10" s="21">
        <v>2093</v>
      </c>
      <c r="J10" s="21" t="s">
        <v>45</v>
      </c>
      <c r="K10" s="21">
        <v>8</v>
      </c>
      <c r="L10" s="21" t="s">
        <v>46</v>
      </c>
      <c r="M10" s="21">
        <v>14</v>
      </c>
      <c r="N10" s="45">
        <f t="shared" si="0"/>
        <v>8.4699935343560809E-2</v>
      </c>
      <c r="O10" s="22"/>
      <c r="P10" s="22"/>
    </row>
    <row r="11" spans="1:16" ht="22" customHeight="1" x14ac:dyDescent="0.2">
      <c r="A11" s="11"/>
      <c r="B11" s="11"/>
      <c r="C11" s="11"/>
      <c r="D11" s="11"/>
      <c r="E11" s="11"/>
      <c r="F11" s="17"/>
      <c r="G11" s="21"/>
      <c r="H11" s="21"/>
      <c r="I11" s="21"/>
      <c r="J11" s="21"/>
      <c r="K11" s="21"/>
      <c r="L11" s="21"/>
      <c r="M11" s="21"/>
      <c r="N11" s="11"/>
      <c r="O11" s="23"/>
      <c r="P11" s="22"/>
    </row>
    <row r="12" spans="1:16" ht="22" customHeight="1" x14ac:dyDescent="0.2">
      <c r="A12" s="11" t="s">
        <v>14</v>
      </c>
      <c r="B12" s="11" t="s">
        <v>5</v>
      </c>
      <c r="C12" s="11" t="s">
        <v>18</v>
      </c>
      <c r="D12" s="11" t="s">
        <v>10</v>
      </c>
      <c r="E12" s="11"/>
      <c r="F12" s="17">
        <f>'Raw reads'!G12</f>
        <v>3536</v>
      </c>
      <c r="G12" s="21">
        <v>1240</v>
      </c>
      <c r="H12" s="21">
        <f>143+62</f>
        <v>205</v>
      </c>
      <c r="I12" s="21">
        <v>766</v>
      </c>
      <c r="J12" s="21" t="s">
        <v>45</v>
      </c>
      <c r="K12" s="21">
        <v>1</v>
      </c>
      <c r="L12" s="21" t="s">
        <v>46</v>
      </c>
      <c r="M12" s="21">
        <v>6</v>
      </c>
      <c r="N12" s="45">
        <f t="shared" si="0"/>
        <v>0.40865384615384615</v>
      </c>
      <c r="O12" s="22"/>
      <c r="P12" s="22"/>
    </row>
    <row r="13" spans="1:16" ht="22" customHeight="1" x14ac:dyDescent="0.2">
      <c r="A13" s="11" t="s">
        <v>1</v>
      </c>
      <c r="B13" s="11" t="s">
        <v>5</v>
      </c>
      <c r="C13" s="11" t="s">
        <v>7</v>
      </c>
      <c r="D13" s="11" t="s">
        <v>10</v>
      </c>
      <c r="E13" s="11"/>
      <c r="F13" s="17">
        <f>'Raw reads'!G13</f>
        <v>3596</v>
      </c>
      <c r="G13" s="21">
        <v>1095</v>
      </c>
      <c r="H13" s="74">
        <f>59+77</f>
        <v>136</v>
      </c>
      <c r="I13" s="21">
        <v>804</v>
      </c>
      <c r="J13" s="21" t="s">
        <v>45</v>
      </c>
      <c r="K13" s="21">
        <v>3</v>
      </c>
      <c r="L13" s="21" t="s">
        <v>46</v>
      </c>
      <c r="M13" s="21">
        <v>6</v>
      </c>
      <c r="N13" s="45">
        <f t="shared" si="0"/>
        <v>0.34232480533926585</v>
      </c>
      <c r="O13" s="22"/>
      <c r="P13" s="23"/>
    </row>
    <row r="14" spans="1:16" ht="22" customHeight="1" x14ac:dyDescent="0.2">
      <c r="A14" s="11" t="s">
        <v>2</v>
      </c>
      <c r="B14" s="11" t="s">
        <v>5</v>
      </c>
      <c r="C14" s="11" t="s">
        <v>8</v>
      </c>
      <c r="D14" s="11" t="s">
        <v>10</v>
      </c>
      <c r="E14" s="11"/>
      <c r="F14" s="17">
        <f>'Raw reads'!G14</f>
        <v>3204</v>
      </c>
      <c r="G14" s="21">
        <v>1123</v>
      </c>
      <c r="H14" s="74">
        <f>78+94</f>
        <v>172</v>
      </c>
      <c r="I14" s="21">
        <v>902</v>
      </c>
      <c r="J14" s="21" t="s">
        <v>45</v>
      </c>
      <c r="K14" s="21">
        <v>3</v>
      </c>
      <c r="L14" s="21" t="s">
        <v>46</v>
      </c>
      <c r="M14" s="21">
        <v>9</v>
      </c>
      <c r="N14" s="45">
        <f t="shared" si="0"/>
        <v>0.40418227215980024</v>
      </c>
      <c r="O14" s="22"/>
      <c r="P14" s="22"/>
    </row>
    <row r="15" spans="1:16" ht="22" customHeight="1" x14ac:dyDescent="0.2">
      <c r="A15" s="11"/>
      <c r="B15" s="11"/>
      <c r="C15" s="11"/>
      <c r="D15" s="11"/>
      <c r="E15" s="11"/>
      <c r="F15" s="17"/>
      <c r="G15" s="21"/>
      <c r="H15" s="21"/>
      <c r="I15" s="21"/>
      <c r="J15" s="21"/>
      <c r="K15" s="21"/>
      <c r="L15" s="21"/>
      <c r="M15" s="21"/>
      <c r="N15" s="11"/>
      <c r="O15" s="23"/>
      <c r="P15" s="22"/>
    </row>
    <row r="16" spans="1:16" ht="22" customHeight="1" x14ac:dyDescent="0.2">
      <c r="A16" s="11" t="s">
        <v>20</v>
      </c>
      <c r="B16" s="11" t="s">
        <v>31</v>
      </c>
      <c r="C16" s="11" t="s">
        <v>18</v>
      </c>
      <c r="D16" s="11" t="s">
        <v>10</v>
      </c>
      <c r="E16" s="11"/>
      <c r="F16" s="17">
        <f>'Raw reads'!G16</f>
        <v>14106</v>
      </c>
      <c r="G16" s="21">
        <v>520</v>
      </c>
      <c r="H16" s="21">
        <f>58+235</f>
        <v>293</v>
      </c>
      <c r="I16" s="21">
        <f>24+264+228</f>
        <v>516</v>
      </c>
      <c r="J16" s="21" t="s">
        <v>75</v>
      </c>
      <c r="K16" s="21" t="s">
        <v>77</v>
      </c>
      <c r="L16" s="21" t="s">
        <v>77</v>
      </c>
      <c r="M16" s="21">
        <v>9</v>
      </c>
      <c r="N16" s="45">
        <f t="shared" si="0"/>
        <v>5.7635048915355168E-2</v>
      </c>
      <c r="O16" s="22"/>
      <c r="P16" s="22"/>
    </row>
    <row r="17" spans="1:16" ht="22" customHeight="1" x14ac:dyDescent="0.2">
      <c r="A17" s="11" t="s">
        <v>21</v>
      </c>
      <c r="B17" s="11" t="s">
        <v>32</v>
      </c>
      <c r="C17" s="11" t="s">
        <v>18</v>
      </c>
      <c r="D17" s="11" t="s">
        <v>10</v>
      </c>
      <c r="E17" s="11"/>
      <c r="F17" s="17">
        <f>'Raw reads'!G17</f>
        <v>7297</v>
      </c>
      <c r="G17" s="21">
        <v>126</v>
      </c>
      <c r="H17" s="21">
        <f>15+27</f>
        <v>42</v>
      </c>
      <c r="I17" s="21">
        <f>2+8+6</f>
        <v>16</v>
      </c>
      <c r="J17" s="21" t="s">
        <v>76</v>
      </c>
      <c r="K17" s="21" t="s">
        <v>77</v>
      </c>
      <c r="L17" s="21" t="s">
        <v>77</v>
      </c>
      <c r="M17" s="21">
        <v>1</v>
      </c>
      <c r="N17" s="45">
        <f t="shared" si="0"/>
        <v>2.3023160202823079E-2</v>
      </c>
      <c r="O17" s="22"/>
      <c r="P17" s="23"/>
    </row>
    <row r="18" spans="1:16" ht="22" customHeight="1" x14ac:dyDescent="0.2">
      <c r="A18" s="11" t="s">
        <v>23</v>
      </c>
      <c r="B18" s="2" t="s">
        <v>80</v>
      </c>
      <c r="C18" s="11" t="s">
        <v>18</v>
      </c>
      <c r="D18" s="11" t="s">
        <v>10</v>
      </c>
      <c r="E18" s="11"/>
      <c r="F18" s="17">
        <f>'Raw reads'!G18</f>
        <v>2271</v>
      </c>
      <c r="G18" s="21">
        <v>914</v>
      </c>
      <c r="H18" s="21">
        <f>68+80</f>
        <v>148</v>
      </c>
      <c r="I18" s="21">
        <v>23</v>
      </c>
      <c r="J18" s="21" t="s">
        <v>51</v>
      </c>
      <c r="K18" s="21">
        <v>109</v>
      </c>
      <c r="L18" s="21" t="s">
        <v>78</v>
      </c>
      <c r="M18" s="21">
        <f>115-109</f>
        <v>6</v>
      </c>
      <c r="N18" s="45">
        <f t="shared" si="0"/>
        <v>0.4676354029062087</v>
      </c>
      <c r="O18" s="22"/>
      <c r="P18" s="22"/>
    </row>
    <row r="19" spans="1:16" ht="22" customHeight="1" x14ac:dyDescent="0.2">
      <c r="A19" s="11" t="s">
        <v>22</v>
      </c>
      <c r="B19" s="2" t="s">
        <v>81</v>
      </c>
      <c r="C19" s="11" t="s">
        <v>18</v>
      </c>
      <c r="D19" s="11" t="s">
        <v>10</v>
      </c>
      <c r="E19" s="11"/>
      <c r="F19" s="17">
        <f>'Raw reads'!G19</f>
        <v>12513</v>
      </c>
      <c r="G19" s="21">
        <v>2254</v>
      </c>
      <c r="H19" s="21">
        <f>232+488</f>
        <v>720</v>
      </c>
      <c r="I19" s="21">
        <f>9+1279</f>
        <v>1288</v>
      </c>
      <c r="J19" s="21" t="s">
        <v>51</v>
      </c>
      <c r="K19" s="21">
        <v>4481</v>
      </c>
      <c r="L19" s="21" t="s">
        <v>78</v>
      </c>
      <c r="M19" s="21">
        <f>4511-4481</f>
        <v>30</v>
      </c>
      <c r="N19" s="45">
        <f t="shared" si="0"/>
        <v>0.23767282026692241</v>
      </c>
      <c r="O19" s="22"/>
      <c r="P19" s="22"/>
    </row>
    <row r="20" spans="1:16" ht="22" customHeight="1" x14ac:dyDescent="0.2">
      <c r="A20" s="11"/>
      <c r="B20" s="11"/>
      <c r="C20" s="11"/>
      <c r="D20" s="11"/>
      <c r="E20" s="11"/>
      <c r="F20" s="17"/>
      <c r="G20" s="22"/>
      <c r="H20" s="22"/>
      <c r="I20" s="22"/>
      <c r="J20" s="21"/>
      <c r="K20" s="22"/>
      <c r="L20" s="21"/>
      <c r="M20" s="22"/>
      <c r="N20" s="11"/>
      <c r="O20" s="23"/>
      <c r="P20" s="22"/>
    </row>
    <row r="21" spans="1:16" ht="22" customHeight="1" x14ac:dyDescent="0.2">
      <c r="A21" s="11" t="s">
        <v>3</v>
      </c>
      <c r="B21" s="11" t="s">
        <v>5</v>
      </c>
      <c r="C21" s="11" t="s">
        <v>18</v>
      </c>
      <c r="D21" s="11" t="s">
        <v>9</v>
      </c>
      <c r="E21" s="11"/>
      <c r="F21" s="17">
        <f>'Raw reads'!G21</f>
        <v>110029</v>
      </c>
      <c r="G21" s="21">
        <v>33742</v>
      </c>
      <c r="H21" s="21">
        <f>3506+1248</f>
        <v>4754</v>
      </c>
      <c r="I21" s="21">
        <v>41702</v>
      </c>
      <c r="J21" s="21" t="s">
        <v>45</v>
      </c>
      <c r="K21" s="21">
        <v>55</v>
      </c>
      <c r="L21" s="21" t="s">
        <v>46</v>
      </c>
      <c r="M21" s="21">
        <v>261</v>
      </c>
      <c r="N21" s="45">
        <f t="shared" si="0"/>
        <v>0.34987139754064839</v>
      </c>
      <c r="O21" s="22"/>
      <c r="P21" s="22"/>
    </row>
    <row r="22" spans="1:16" ht="22" customHeight="1" x14ac:dyDescent="0.2">
      <c r="G22" s="25"/>
      <c r="H22" s="25"/>
      <c r="I22" s="25"/>
      <c r="J22" s="25"/>
      <c r="K22" s="25"/>
      <c r="L22" s="25"/>
      <c r="M22" s="25"/>
      <c r="N22" s="47"/>
      <c r="O22" s="25"/>
      <c r="P22" s="23"/>
    </row>
    <row r="23" spans="1:16" ht="22" customHeight="1" x14ac:dyDescent="0.2">
      <c r="A23" s="48" t="s">
        <v>19</v>
      </c>
      <c r="B23" s="48" t="s">
        <v>5</v>
      </c>
      <c r="C23" s="48" t="s">
        <v>39</v>
      </c>
      <c r="D23" s="48" t="s">
        <v>92</v>
      </c>
      <c r="E23" s="48"/>
      <c r="F23" s="36">
        <f>'Raw reads'!G23</f>
        <v>479775</v>
      </c>
      <c r="G23" s="34">
        <f>G24+G25+G26+G27</f>
        <v>90211</v>
      </c>
      <c r="H23" s="34">
        <f>H24+H25+H26+H27</f>
        <v>13102</v>
      </c>
      <c r="I23" s="34">
        <f>I24+I25+I26+I27</f>
        <v>54774</v>
      </c>
      <c r="J23" s="34" t="s">
        <v>45</v>
      </c>
      <c r="K23" s="34">
        <f>K24+K25+K26+K27</f>
        <v>151</v>
      </c>
      <c r="L23" s="34" t="s">
        <v>46</v>
      </c>
      <c r="M23" s="34">
        <f>M24+M25+M26+M27</f>
        <v>734</v>
      </c>
      <c r="N23" s="35">
        <f t="shared" ref="N23:N27" si="1">(G23+H23)/F23</f>
        <v>0.21533635558334635</v>
      </c>
      <c r="O23" s="35"/>
      <c r="P23" s="22"/>
    </row>
    <row r="24" spans="1:16" ht="22" customHeight="1" x14ac:dyDescent="0.2">
      <c r="A24" s="11"/>
      <c r="B24" s="11"/>
      <c r="C24" s="11" t="s">
        <v>18</v>
      </c>
      <c r="D24" s="11"/>
      <c r="E24" s="11"/>
      <c r="F24" s="17">
        <f>'Raw reads'!G24</f>
        <v>74171</v>
      </c>
      <c r="G24" s="21">
        <v>22578</v>
      </c>
      <c r="H24" s="74">
        <f>2377+684</f>
        <v>3061</v>
      </c>
      <c r="I24" s="21">
        <v>12535</v>
      </c>
      <c r="J24" s="21"/>
      <c r="K24" s="21">
        <v>24</v>
      </c>
      <c r="L24" s="21"/>
      <c r="M24" s="21">
        <v>167</v>
      </c>
      <c r="N24" s="45">
        <f t="shared" si="1"/>
        <v>0.34567418532849764</v>
      </c>
      <c r="O24" s="11" t="s">
        <v>34</v>
      </c>
      <c r="P24" s="22"/>
    </row>
    <row r="25" spans="1:16" ht="22" customHeight="1" x14ac:dyDescent="0.2">
      <c r="A25" s="11"/>
      <c r="B25" s="11"/>
      <c r="C25" s="11" t="s">
        <v>7</v>
      </c>
      <c r="D25" s="11"/>
      <c r="E25" s="11"/>
      <c r="F25" s="17">
        <f>'Raw reads'!G25</f>
        <v>160641</v>
      </c>
      <c r="G25" s="21">
        <v>21684</v>
      </c>
      <c r="H25" s="21">
        <f>1248+1766</f>
        <v>3014</v>
      </c>
      <c r="I25" s="21">
        <v>14253</v>
      </c>
      <c r="J25" s="21"/>
      <c r="K25" s="21">
        <v>41</v>
      </c>
      <c r="L25" s="21"/>
      <c r="M25" s="21">
        <v>183</v>
      </c>
      <c r="N25" s="45">
        <f t="shared" si="1"/>
        <v>0.15374655287255434</v>
      </c>
      <c r="O25" s="11" t="s">
        <v>35</v>
      </c>
      <c r="P25" s="22"/>
    </row>
    <row r="26" spans="1:16" ht="22" customHeight="1" x14ac:dyDescent="0.2">
      <c r="A26" s="11"/>
      <c r="B26" s="11"/>
      <c r="C26" s="11" t="s">
        <v>8</v>
      </c>
      <c r="D26" s="11"/>
      <c r="E26" s="11"/>
      <c r="F26" s="17">
        <f>'Raw reads'!G26</f>
        <v>101294</v>
      </c>
      <c r="G26" s="21">
        <v>38280</v>
      </c>
      <c r="H26" s="21">
        <f>2572+3272</f>
        <v>5844</v>
      </c>
      <c r="I26" s="21">
        <v>21485</v>
      </c>
      <c r="J26" s="21"/>
      <c r="K26" s="21">
        <v>58</v>
      </c>
      <c r="L26" s="21"/>
      <c r="M26" s="21">
        <v>308</v>
      </c>
      <c r="N26" s="45">
        <f t="shared" si="1"/>
        <v>0.43560329338361603</v>
      </c>
      <c r="O26" s="11" t="s">
        <v>36</v>
      </c>
      <c r="P26" s="22"/>
    </row>
    <row r="27" spans="1:16" ht="22" customHeight="1" x14ac:dyDescent="0.2">
      <c r="A27" s="11"/>
      <c r="B27" s="11"/>
      <c r="C27" s="11"/>
      <c r="D27" s="11"/>
      <c r="E27" s="11"/>
      <c r="F27" s="17">
        <f>'Raw reads'!G27</f>
        <v>143669</v>
      </c>
      <c r="G27" s="21">
        <v>7669</v>
      </c>
      <c r="H27" s="21">
        <f>760+423</f>
        <v>1183</v>
      </c>
      <c r="I27" s="21">
        <v>6501</v>
      </c>
      <c r="J27" s="21"/>
      <c r="K27" s="21">
        <v>28</v>
      </c>
      <c r="L27" s="21"/>
      <c r="M27" s="21">
        <v>76</v>
      </c>
      <c r="N27" s="45">
        <f t="shared" si="1"/>
        <v>6.1613848498980293E-2</v>
      </c>
      <c r="O27" s="11" t="s">
        <v>37</v>
      </c>
      <c r="P27" s="22"/>
    </row>
    <row r="28" spans="1:16" ht="22" customHeight="1" x14ac:dyDescent="0.2">
      <c r="A28" s="11"/>
      <c r="B28" s="11"/>
      <c r="C28" s="11"/>
      <c r="D28" s="11"/>
      <c r="E28" s="11"/>
      <c r="F28" s="17"/>
      <c r="G28" s="21"/>
      <c r="H28" s="21"/>
      <c r="I28" s="21"/>
      <c r="J28" s="21"/>
      <c r="K28" s="21"/>
      <c r="L28" s="21"/>
      <c r="M28" s="21"/>
      <c r="N28" s="45"/>
      <c r="O28" s="11"/>
      <c r="P28" s="22"/>
    </row>
    <row r="29" spans="1:16" ht="22" customHeight="1" x14ac:dyDescent="0.2">
      <c r="A29" s="48" t="s">
        <v>24</v>
      </c>
      <c r="B29" s="48" t="s">
        <v>39</v>
      </c>
      <c r="C29" s="48" t="s">
        <v>18</v>
      </c>
      <c r="D29" s="48" t="s">
        <v>9</v>
      </c>
      <c r="E29" s="48"/>
      <c r="F29" s="36">
        <f>'Raw reads'!G29</f>
        <v>105340</v>
      </c>
      <c r="G29" s="34">
        <f>G30+G31+G33</f>
        <v>21144</v>
      </c>
      <c r="H29" s="34">
        <f>H30+H31+H33</f>
        <v>3424</v>
      </c>
      <c r="I29" s="34">
        <f>I30+I31+I33</f>
        <v>40468</v>
      </c>
      <c r="J29" s="34"/>
      <c r="K29" s="34">
        <f>K30+K31</f>
        <v>15009</v>
      </c>
      <c r="L29" s="34"/>
      <c r="M29" s="34">
        <f>M30+M31+M33</f>
        <v>353</v>
      </c>
      <c r="N29" s="35">
        <f t="shared" ref="N29" si="2">(G29+H29)/F29</f>
        <v>0.23322574520599962</v>
      </c>
      <c r="O29" s="35"/>
      <c r="P29" s="22"/>
    </row>
    <row r="30" spans="1:16" ht="22" customHeight="1" x14ac:dyDescent="0.2">
      <c r="A30" s="11"/>
      <c r="B30" s="11" t="s">
        <v>5</v>
      </c>
      <c r="C30" s="11"/>
      <c r="D30" s="11"/>
      <c r="E30" s="11"/>
      <c r="F30" s="17"/>
      <c r="G30" s="21">
        <v>9410</v>
      </c>
      <c r="H30" s="21">
        <f>1087+627</f>
        <v>1714</v>
      </c>
      <c r="I30" s="21">
        <v>35712</v>
      </c>
      <c r="J30" s="21" t="s">
        <v>45</v>
      </c>
      <c r="K30" s="21">
        <v>59</v>
      </c>
      <c r="L30" s="21" t="s">
        <v>46</v>
      </c>
      <c r="M30" s="21">
        <v>143</v>
      </c>
      <c r="N30" s="45"/>
      <c r="O30" s="22"/>
      <c r="P30" s="22"/>
    </row>
    <row r="31" spans="1:16" ht="22" customHeight="1" x14ac:dyDescent="0.2">
      <c r="A31" s="11"/>
      <c r="B31" s="11" t="s">
        <v>28</v>
      </c>
      <c r="C31" s="11"/>
      <c r="D31" s="11"/>
      <c r="E31" s="11"/>
      <c r="F31" s="17"/>
      <c r="G31" s="21">
        <f>7385+2943</f>
        <v>10328</v>
      </c>
      <c r="H31" s="21">
        <f>830+474</f>
        <v>1304</v>
      </c>
      <c r="I31" s="21">
        <v>3380</v>
      </c>
      <c r="J31" s="21" t="s">
        <v>51</v>
      </c>
      <c r="K31" s="21">
        <v>14950</v>
      </c>
      <c r="L31" s="21" t="s">
        <v>78</v>
      </c>
      <c r="M31" s="21">
        <f>15146-14950</f>
        <v>196</v>
      </c>
      <c r="N31" s="11"/>
      <c r="O31" s="23"/>
      <c r="P31" s="22"/>
    </row>
    <row r="32" spans="1:16" ht="22" customHeight="1" x14ac:dyDescent="0.2">
      <c r="A32" s="11"/>
      <c r="B32" s="11"/>
      <c r="C32" s="11"/>
      <c r="D32" s="11"/>
      <c r="E32" s="11"/>
      <c r="F32" s="49"/>
      <c r="G32" s="17" t="s">
        <v>95</v>
      </c>
      <c r="H32" s="21"/>
      <c r="I32" s="17"/>
      <c r="J32" s="21"/>
      <c r="K32" s="21"/>
      <c r="L32" s="21"/>
      <c r="M32" s="21"/>
      <c r="N32" s="23"/>
      <c r="O32" s="23"/>
      <c r="P32" s="22"/>
    </row>
    <row r="33" spans="1:16" ht="22" customHeight="1" x14ac:dyDescent="0.2">
      <c r="A33" s="11"/>
      <c r="B33" s="11" t="s">
        <v>29</v>
      </c>
      <c r="C33" s="11"/>
      <c r="D33" s="11"/>
      <c r="E33" s="11"/>
      <c r="F33" s="17"/>
      <c r="G33" s="21">
        <f>1237+169</f>
        <v>1406</v>
      </c>
      <c r="H33" s="21">
        <f>131+275</f>
        <v>406</v>
      </c>
      <c r="I33" s="21">
        <f>744+632</f>
        <v>1376</v>
      </c>
      <c r="J33" s="21" t="s">
        <v>79</v>
      </c>
      <c r="K33" s="21" t="s">
        <v>77</v>
      </c>
      <c r="L33" s="21" t="s">
        <v>77</v>
      </c>
      <c r="M33" s="21">
        <v>14</v>
      </c>
      <c r="N33" s="11"/>
      <c r="O33" s="23"/>
      <c r="P33" s="23"/>
    </row>
    <row r="34" spans="1:16" ht="22" customHeight="1" x14ac:dyDescent="0.2">
      <c r="A34" s="23"/>
      <c r="B34" s="23"/>
      <c r="C34" s="23"/>
      <c r="D34" s="23"/>
      <c r="E34" s="23"/>
      <c r="F34" s="21"/>
      <c r="G34" s="21" t="s">
        <v>93</v>
      </c>
      <c r="H34" s="21"/>
      <c r="I34" s="21"/>
      <c r="J34" s="21"/>
      <c r="K34" s="21"/>
      <c r="L34" s="21"/>
      <c r="M34" s="21"/>
      <c r="N34" s="22"/>
      <c r="O34" s="22"/>
      <c r="P34" s="46"/>
    </row>
    <row r="35" spans="1:16" ht="22" customHeight="1" x14ac:dyDescent="0.2">
      <c r="A35" s="23"/>
      <c r="B35" s="23"/>
      <c r="C35" s="23"/>
      <c r="D35" s="23"/>
      <c r="E35" s="23"/>
      <c r="F35" s="21"/>
      <c r="G35" s="21"/>
      <c r="H35" s="21"/>
      <c r="I35" s="21"/>
      <c r="J35" s="21"/>
      <c r="K35" s="21"/>
      <c r="L35" s="21"/>
      <c r="M35" s="21"/>
      <c r="N35" s="22"/>
      <c r="O35" s="22"/>
      <c r="P35" s="46"/>
    </row>
    <row r="36" spans="1:16" ht="22" customHeight="1" x14ac:dyDescent="0.2">
      <c r="A36" s="30" t="s">
        <v>108</v>
      </c>
      <c r="B36" s="48" t="s">
        <v>39</v>
      </c>
      <c r="C36" s="48" t="s">
        <v>18</v>
      </c>
      <c r="D36" s="48" t="s">
        <v>9</v>
      </c>
      <c r="E36" s="48"/>
      <c r="F36" s="36">
        <f>'Raw reads'!G34</f>
        <v>150932</v>
      </c>
      <c r="G36" s="34">
        <f>G37+G38+G40</f>
        <v>28993</v>
      </c>
      <c r="H36" s="34">
        <f>H37+H38+H40</f>
        <v>3851</v>
      </c>
      <c r="I36" s="34">
        <f>I37+I38+I40</f>
        <v>23417</v>
      </c>
      <c r="J36" s="34"/>
      <c r="K36" s="34">
        <f>K37+K38</f>
        <v>14780</v>
      </c>
      <c r="L36" s="34"/>
      <c r="M36" s="34">
        <f>M37+M38+M40</f>
        <v>402</v>
      </c>
      <c r="N36" s="35">
        <f t="shared" ref="N36" si="3">(G36+H36)/F36</f>
        <v>0.2176079293986696</v>
      </c>
      <c r="O36" s="35"/>
      <c r="P36" s="22"/>
    </row>
    <row r="37" spans="1:16" ht="22" customHeight="1" x14ac:dyDescent="0.2">
      <c r="A37" s="11"/>
      <c r="B37" s="11" t="s">
        <v>5</v>
      </c>
      <c r="C37" s="11"/>
      <c r="D37" s="11"/>
      <c r="E37" s="11"/>
      <c r="F37" s="17"/>
      <c r="G37" s="21">
        <v>13753</v>
      </c>
      <c r="H37" s="21">
        <f>1423+488</f>
        <v>1911</v>
      </c>
      <c r="I37" s="21">
        <v>20562</v>
      </c>
      <c r="J37" s="21" t="s">
        <v>45</v>
      </c>
      <c r="K37" s="21">
        <v>25</v>
      </c>
      <c r="L37" s="21" t="s">
        <v>46</v>
      </c>
      <c r="M37" s="21">
        <v>100</v>
      </c>
      <c r="N37" s="45"/>
      <c r="O37" s="22"/>
      <c r="P37" s="22"/>
    </row>
    <row r="38" spans="1:16" ht="22" customHeight="1" x14ac:dyDescent="0.2">
      <c r="A38" s="11"/>
      <c r="B38" s="11" t="s">
        <v>28</v>
      </c>
      <c r="C38" s="11"/>
      <c r="D38" s="11"/>
      <c r="E38" s="11"/>
      <c r="F38" s="17"/>
      <c r="G38" s="21">
        <f>14183+626</f>
        <v>14809</v>
      </c>
      <c r="H38" s="21">
        <f>1029+781</f>
        <v>1810</v>
      </c>
      <c r="I38" s="21">
        <v>2648</v>
      </c>
      <c r="J38" s="21" t="s">
        <v>51</v>
      </c>
      <c r="K38" s="21">
        <v>14755</v>
      </c>
      <c r="L38" s="21" t="s">
        <v>78</v>
      </c>
      <c r="M38" s="21">
        <f>15023-14755</f>
        <v>268</v>
      </c>
      <c r="N38" s="11"/>
      <c r="O38" s="23"/>
      <c r="P38" s="22"/>
    </row>
    <row r="39" spans="1:16" ht="22" customHeight="1" x14ac:dyDescent="0.2">
      <c r="A39" s="11"/>
      <c r="B39" s="11"/>
      <c r="C39" s="11"/>
      <c r="D39" s="11"/>
      <c r="E39" s="11"/>
      <c r="F39" s="49"/>
      <c r="G39" s="17" t="s">
        <v>109</v>
      </c>
      <c r="H39" s="21"/>
      <c r="I39" s="17"/>
      <c r="J39" s="21"/>
      <c r="K39" s="21"/>
      <c r="L39" s="21"/>
      <c r="M39" s="21"/>
      <c r="N39" s="23"/>
      <c r="O39" s="23"/>
      <c r="P39" s="22"/>
    </row>
    <row r="40" spans="1:16" ht="22" customHeight="1" x14ac:dyDescent="0.2">
      <c r="A40" s="11"/>
      <c r="B40" s="11" t="s">
        <v>29</v>
      </c>
      <c r="C40" s="11"/>
      <c r="D40" s="11"/>
      <c r="E40" s="11"/>
      <c r="F40" s="17"/>
      <c r="G40" s="21">
        <f>26+405</f>
        <v>431</v>
      </c>
      <c r="H40" s="21">
        <f>35+95</f>
        <v>130</v>
      </c>
      <c r="I40" s="21">
        <f>109+98</f>
        <v>207</v>
      </c>
      <c r="J40" s="21" t="s">
        <v>79</v>
      </c>
      <c r="K40" s="21" t="s">
        <v>77</v>
      </c>
      <c r="L40" s="21" t="s">
        <v>77</v>
      </c>
      <c r="M40" s="21">
        <v>34</v>
      </c>
      <c r="N40" s="11"/>
      <c r="O40" s="23"/>
      <c r="P40" s="23"/>
    </row>
    <row r="41" spans="1:16" ht="22" customHeight="1" x14ac:dyDescent="0.2">
      <c r="A41" s="23"/>
      <c r="B41" s="23"/>
      <c r="C41" s="23"/>
      <c r="D41" s="23"/>
      <c r="E41" s="23"/>
      <c r="F41" s="21"/>
      <c r="G41" s="21" t="s">
        <v>112</v>
      </c>
      <c r="H41" s="21"/>
      <c r="I41" s="21"/>
      <c r="J41" s="21"/>
      <c r="K41" s="21"/>
      <c r="L41" s="21"/>
      <c r="M41" s="21"/>
      <c r="N41" s="22"/>
      <c r="O41" s="22"/>
      <c r="P41" s="46"/>
    </row>
    <row r="42" spans="1:16" ht="22" customHeight="1" thickBot="1" x14ac:dyDescent="0.25">
      <c r="A42" s="52"/>
      <c r="B42" s="52"/>
      <c r="C42" s="52"/>
      <c r="D42" s="52"/>
      <c r="E42" s="52"/>
      <c r="F42" s="53"/>
      <c r="G42" s="53"/>
      <c r="H42" s="53"/>
      <c r="I42" s="53"/>
      <c r="J42" s="53"/>
      <c r="K42" s="53"/>
      <c r="L42" s="53"/>
      <c r="M42" s="53"/>
      <c r="N42" s="54"/>
      <c r="O42" s="54"/>
      <c r="P42" s="46"/>
    </row>
    <row r="43" spans="1:16" ht="22" customHeight="1" x14ac:dyDescent="0.2">
      <c r="E43" s="11"/>
      <c r="F43" s="50">
        <v>105410</v>
      </c>
      <c r="N43" s="51"/>
      <c r="O43" s="25"/>
      <c r="P43" s="23"/>
    </row>
    <row r="44" spans="1:16" ht="22" customHeight="1" x14ac:dyDescent="0.2">
      <c r="A44" s="29" t="s">
        <v>118</v>
      </c>
      <c r="P44" s="25"/>
    </row>
    <row r="45" spans="1:16" ht="22" customHeight="1" x14ac:dyDescent="0.2">
      <c r="A45" s="29" t="s">
        <v>119</v>
      </c>
    </row>
    <row r="46" spans="1:16" ht="22" customHeight="1" x14ac:dyDescent="0.2">
      <c r="A46" s="29" t="s">
        <v>120</v>
      </c>
    </row>
  </sheetData>
  <mergeCells count="5">
    <mergeCell ref="I3:J3"/>
    <mergeCell ref="K3:L3"/>
    <mergeCell ref="G2:H2"/>
    <mergeCell ref="I2:J2"/>
    <mergeCell ref="K2:M2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B6F9-D9A8-B845-B44A-A2D4FBD846EB}">
  <dimension ref="A2:P43"/>
  <sheetViews>
    <sheetView tabSelected="1" topLeftCell="C1" zoomScaleNormal="100" workbookViewId="0">
      <selection activeCell="G32" sqref="G32"/>
    </sheetView>
  </sheetViews>
  <sheetFormatPr baseColWidth="10" defaultColWidth="32.33203125" defaultRowHeight="22" customHeight="1" x14ac:dyDescent="0.2"/>
  <cols>
    <col min="1" max="1" width="15.1640625" style="1" customWidth="1"/>
    <col min="2" max="5" width="19.1640625" style="1" customWidth="1"/>
    <col min="6" max="6" width="17.33203125" style="39" customWidth="1"/>
    <col min="7" max="7" width="19.83203125" style="5" bestFit="1" customWidth="1"/>
    <col min="8" max="8" width="32.83203125" style="24" bestFit="1" customWidth="1"/>
    <col min="9" max="9" width="28" style="18" bestFit="1" customWidth="1"/>
    <col min="10" max="10" width="23" style="24" customWidth="1"/>
    <col min="11" max="11" width="20.83203125" style="24" bestFit="1" customWidth="1"/>
    <col min="12" max="12" width="23" style="24" customWidth="1"/>
    <col min="13" max="13" width="17" style="24" customWidth="1"/>
    <col min="14" max="14" width="14" style="26" bestFit="1" customWidth="1"/>
    <col min="15" max="15" width="20.33203125" style="26" customWidth="1"/>
    <col min="16" max="16" width="32.33203125" style="29"/>
    <col min="17" max="16384" width="32.33203125" style="1"/>
  </cols>
  <sheetData>
    <row r="2" spans="1:16" s="12" customFormat="1" ht="22" customHeight="1" x14ac:dyDescent="0.2">
      <c r="A2" s="61" t="s">
        <v>91</v>
      </c>
      <c r="B2" s="61" t="s">
        <v>4</v>
      </c>
      <c r="C2" s="61" t="s">
        <v>6</v>
      </c>
      <c r="D2" s="61" t="s">
        <v>0</v>
      </c>
      <c r="E2" s="61"/>
      <c r="F2" s="67" t="s">
        <v>30</v>
      </c>
      <c r="G2" s="81" t="s">
        <v>49</v>
      </c>
      <c r="H2" s="81"/>
      <c r="I2" s="81"/>
      <c r="J2" s="81" t="s">
        <v>83</v>
      </c>
      <c r="K2" s="81"/>
      <c r="L2" s="81" t="s">
        <v>50</v>
      </c>
      <c r="M2" s="81"/>
      <c r="N2" s="66" t="s">
        <v>33</v>
      </c>
      <c r="O2" s="20"/>
      <c r="P2" s="29"/>
    </row>
    <row r="3" spans="1:16" s="12" customFormat="1" ht="22" customHeight="1" x14ac:dyDescent="0.2">
      <c r="F3" s="37"/>
      <c r="G3" s="19" t="s">
        <v>47</v>
      </c>
      <c r="H3" s="19" t="s">
        <v>88</v>
      </c>
      <c r="I3" s="15" t="s">
        <v>48</v>
      </c>
      <c r="J3" s="80" t="s">
        <v>86</v>
      </c>
      <c r="K3" s="80"/>
      <c r="L3" s="80" t="s">
        <v>87</v>
      </c>
      <c r="M3" s="80"/>
      <c r="N3" s="20"/>
      <c r="O3" s="20"/>
      <c r="P3" s="29"/>
    </row>
    <row r="4" spans="1:16" s="12" customFormat="1" ht="22" customHeight="1" x14ac:dyDescent="0.2">
      <c r="F4" s="37"/>
      <c r="G4" s="13"/>
      <c r="H4" s="19"/>
      <c r="I4" s="15"/>
      <c r="J4" s="19"/>
      <c r="K4" s="19"/>
      <c r="L4" s="19"/>
      <c r="M4" s="19"/>
      <c r="N4" s="20"/>
      <c r="O4" s="20"/>
      <c r="P4" s="29"/>
    </row>
    <row r="5" spans="1:16" ht="22" customHeight="1" x14ac:dyDescent="0.2">
      <c r="A5" s="2" t="s">
        <v>11</v>
      </c>
      <c r="B5" s="2" t="s">
        <v>5</v>
      </c>
      <c r="C5" s="2" t="s">
        <v>18</v>
      </c>
      <c r="D5" s="2" t="s">
        <v>10</v>
      </c>
      <c r="E5" s="2"/>
      <c r="F5" s="49">
        <f>'Raw reads'!G5</f>
        <v>595</v>
      </c>
      <c r="G5" s="9">
        <v>158</v>
      </c>
      <c r="H5" s="21">
        <v>26</v>
      </c>
      <c r="I5" s="17">
        <v>11</v>
      </c>
      <c r="J5" s="21">
        <v>172</v>
      </c>
      <c r="K5" s="21" t="s">
        <v>45</v>
      </c>
      <c r="L5" s="21">
        <v>0</v>
      </c>
      <c r="M5" s="21" t="s">
        <v>46</v>
      </c>
      <c r="N5" s="22"/>
      <c r="O5" s="22"/>
    </row>
    <row r="6" spans="1:16" ht="22" customHeight="1" x14ac:dyDescent="0.2">
      <c r="A6" s="2" t="s">
        <v>16</v>
      </c>
      <c r="B6" s="2" t="s">
        <v>5</v>
      </c>
      <c r="C6" s="2" t="s">
        <v>18</v>
      </c>
      <c r="D6" s="2" t="s">
        <v>10</v>
      </c>
      <c r="E6" s="2"/>
      <c r="F6" s="49">
        <f>'Raw reads'!G6</f>
        <v>1034</v>
      </c>
      <c r="G6" s="9">
        <v>300</v>
      </c>
      <c r="H6" s="21">
        <v>36</v>
      </c>
      <c r="I6" s="17">
        <v>14</v>
      </c>
      <c r="J6" s="21">
        <v>246</v>
      </c>
      <c r="K6" s="21" t="s">
        <v>45</v>
      </c>
      <c r="L6" s="21">
        <v>2</v>
      </c>
      <c r="M6" s="21" t="s">
        <v>46</v>
      </c>
      <c r="N6" s="22"/>
      <c r="O6" s="22"/>
    </row>
    <row r="7" spans="1:16" ht="22" customHeight="1" x14ac:dyDescent="0.2">
      <c r="A7" s="2" t="s">
        <v>13</v>
      </c>
      <c r="B7" s="2" t="s">
        <v>5</v>
      </c>
      <c r="C7" s="2" t="s">
        <v>18</v>
      </c>
      <c r="D7" s="2" t="s">
        <v>10</v>
      </c>
      <c r="E7" s="2"/>
      <c r="F7" s="49">
        <f>'Raw reads'!G7</f>
        <v>2191</v>
      </c>
      <c r="G7" s="9">
        <v>578</v>
      </c>
      <c r="H7" s="21">
        <v>85</v>
      </c>
      <c r="I7" s="17">
        <v>25</v>
      </c>
      <c r="J7" s="21">
        <v>311</v>
      </c>
      <c r="K7" s="21" t="s">
        <v>45</v>
      </c>
      <c r="L7" s="21">
        <v>0</v>
      </c>
      <c r="M7" s="21" t="s">
        <v>46</v>
      </c>
      <c r="N7" s="22"/>
      <c r="O7" s="22"/>
    </row>
    <row r="8" spans="1:16" ht="22" customHeight="1" x14ac:dyDescent="0.2">
      <c r="A8" s="2" t="s">
        <v>12</v>
      </c>
      <c r="B8" s="2" t="s">
        <v>5</v>
      </c>
      <c r="C8" s="2" t="s">
        <v>18</v>
      </c>
      <c r="D8" s="2" t="s">
        <v>10</v>
      </c>
      <c r="E8" s="2"/>
      <c r="F8" s="49">
        <f>'Raw reads'!G8</f>
        <v>813</v>
      </c>
      <c r="G8" s="9">
        <v>334</v>
      </c>
      <c r="H8" s="21">
        <v>42</v>
      </c>
      <c r="I8" s="17">
        <v>5</v>
      </c>
      <c r="J8" s="21">
        <v>130</v>
      </c>
      <c r="K8" s="21" t="s">
        <v>45</v>
      </c>
      <c r="L8" s="21">
        <v>0</v>
      </c>
      <c r="M8" s="21" t="s">
        <v>46</v>
      </c>
      <c r="N8" s="22"/>
      <c r="O8" s="22"/>
    </row>
    <row r="9" spans="1:16" ht="22" customHeight="1" x14ac:dyDescent="0.2">
      <c r="A9" s="2" t="s">
        <v>15</v>
      </c>
      <c r="B9" s="2" t="s">
        <v>5</v>
      </c>
      <c r="C9" s="2" t="s">
        <v>18</v>
      </c>
      <c r="D9" s="2" t="s">
        <v>10</v>
      </c>
      <c r="E9" s="2"/>
      <c r="F9" s="49">
        <f>'Raw reads'!G9</f>
        <v>4102</v>
      </c>
      <c r="G9" s="9">
        <v>735</v>
      </c>
      <c r="H9" s="21">
        <v>114</v>
      </c>
      <c r="I9" s="17">
        <v>45</v>
      </c>
      <c r="J9" s="21">
        <v>420</v>
      </c>
      <c r="K9" s="21" t="s">
        <v>45</v>
      </c>
      <c r="L9" s="21">
        <v>1</v>
      </c>
      <c r="M9" s="21" t="s">
        <v>46</v>
      </c>
      <c r="N9" s="22"/>
      <c r="O9" s="22"/>
    </row>
    <row r="10" spans="1:16" ht="22" customHeight="1" x14ac:dyDescent="0.2">
      <c r="A10" s="2" t="s">
        <v>17</v>
      </c>
      <c r="B10" s="2" t="s">
        <v>5</v>
      </c>
      <c r="C10" s="2" t="s">
        <v>18</v>
      </c>
      <c r="D10" s="2" t="s">
        <v>10</v>
      </c>
      <c r="E10" s="2"/>
      <c r="F10" s="49">
        <f>'Raw reads'!G10</f>
        <v>17013</v>
      </c>
      <c r="G10" s="9">
        <v>612</v>
      </c>
      <c r="H10" s="21">
        <v>88</v>
      </c>
      <c r="I10" s="17">
        <v>52</v>
      </c>
      <c r="J10" s="21">
        <v>1484</v>
      </c>
      <c r="K10" s="21" t="s">
        <v>45</v>
      </c>
      <c r="L10" s="21">
        <v>8</v>
      </c>
      <c r="M10" s="21" t="s">
        <v>46</v>
      </c>
      <c r="N10" s="22"/>
      <c r="O10" s="22"/>
    </row>
    <row r="11" spans="1:16" ht="22" customHeight="1" x14ac:dyDescent="0.2">
      <c r="A11" s="2"/>
      <c r="B11" s="2"/>
      <c r="C11" s="2"/>
      <c r="D11" s="2"/>
      <c r="E11" s="2"/>
      <c r="F11" s="38"/>
      <c r="G11" s="9"/>
      <c r="H11" s="21"/>
      <c r="I11" s="17"/>
      <c r="J11" s="21"/>
      <c r="K11" s="21"/>
      <c r="L11" s="21"/>
      <c r="M11" s="21"/>
      <c r="N11" s="23"/>
      <c r="O11" s="23"/>
    </row>
    <row r="12" spans="1:16" ht="22" customHeight="1" x14ac:dyDescent="0.2">
      <c r="A12" s="2" t="s">
        <v>14</v>
      </c>
      <c r="B12" s="2" t="s">
        <v>5</v>
      </c>
      <c r="C12" s="2" t="s">
        <v>18</v>
      </c>
      <c r="D12" s="2" t="s">
        <v>10</v>
      </c>
      <c r="E12" s="2"/>
      <c r="F12" s="49">
        <f>'Raw reads'!G12</f>
        <v>3536</v>
      </c>
      <c r="G12" s="9">
        <v>621</v>
      </c>
      <c r="H12" s="21">
        <v>90</v>
      </c>
      <c r="I12" s="17">
        <v>57</v>
      </c>
      <c r="J12" s="21">
        <v>502</v>
      </c>
      <c r="K12" s="21" t="s">
        <v>45</v>
      </c>
      <c r="L12" s="21">
        <v>1</v>
      </c>
      <c r="M12" s="21" t="s">
        <v>46</v>
      </c>
      <c r="N12" s="22"/>
      <c r="O12" s="22"/>
    </row>
    <row r="13" spans="1:16" ht="22" customHeight="1" x14ac:dyDescent="0.2">
      <c r="A13" s="2" t="s">
        <v>1</v>
      </c>
      <c r="B13" s="2" t="s">
        <v>5</v>
      </c>
      <c r="C13" s="2" t="s">
        <v>7</v>
      </c>
      <c r="D13" s="2" t="s">
        <v>10</v>
      </c>
      <c r="E13" s="2"/>
      <c r="F13" s="49">
        <f>'Raw reads'!G13</f>
        <v>3596</v>
      </c>
      <c r="G13" s="5">
        <v>578</v>
      </c>
      <c r="H13" s="74" t="s">
        <v>99</v>
      </c>
      <c r="I13" s="74" t="s">
        <v>100</v>
      </c>
      <c r="J13" s="74">
        <v>568</v>
      </c>
      <c r="K13" s="21" t="s">
        <v>45</v>
      </c>
      <c r="L13" s="21">
        <v>2</v>
      </c>
      <c r="M13" s="21" t="s">
        <v>46</v>
      </c>
      <c r="N13" s="22"/>
      <c r="O13" s="22"/>
    </row>
    <row r="14" spans="1:16" ht="22" customHeight="1" x14ac:dyDescent="0.2">
      <c r="A14" s="2" t="s">
        <v>2</v>
      </c>
      <c r="B14" s="2" t="s">
        <v>5</v>
      </c>
      <c r="C14" s="2" t="s">
        <v>8</v>
      </c>
      <c r="D14" s="2" t="s">
        <v>10</v>
      </c>
      <c r="E14" s="2"/>
      <c r="F14" s="49">
        <f>'Raw reads'!G14</f>
        <v>3204</v>
      </c>
      <c r="G14" s="5">
        <v>581</v>
      </c>
      <c r="H14" s="74" t="s">
        <v>101</v>
      </c>
      <c r="I14" s="74" t="s">
        <v>102</v>
      </c>
      <c r="J14" s="74">
        <v>627</v>
      </c>
      <c r="K14" s="21" t="s">
        <v>45</v>
      </c>
      <c r="L14" s="21">
        <v>3</v>
      </c>
      <c r="M14" s="21" t="s">
        <v>46</v>
      </c>
      <c r="N14" s="22"/>
      <c r="O14" s="22"/>
    </row>
    <row r="15" spans="1:16" ht="22" customHeight="1" x14ac:dyDescent="0.2">
      <c r="A15" s="2"/>
      <c r="B15" s="2"/>
      <c r="C15" s="2"/>
      <c r="D15" s="2"/>
      <c r="E15" s="2"/>
      <c r="F15" s="49"/>
      <c r="G15" s="9"/>
      <c r="H15" s="21"/>
      <c r="I15" s="17"/>
      <c r="J15" s="21"/>
      <c r="K15" s="21"/>
      <c r="L15" s="21"/>
      <c r="M15" s="21"/>
      <c r="N15" s="23"/>
      <c r="O15" s="23"/>
    </row>
    <row r="16" spans="1:16" ht="22" customHeight="1" x14ac:dyDescent="0.2">
      <c r="A16" s="2" t="s">
        <v>20</v>
      </c>
      <c r="B16" s="2" t="s">
        <v>31</v>
      </c>
      <c r="C16" s="2" t="s">
        <v>18</v>
      </c>
      <c r="D16" s="2" t="s">
        <v>10</v>
      </c>
      <c r="E16" s="2"/>
      <c r="F16" s="49">
        <f>'Raw reads'!G16</f>
        <v>14106</v>
      </c>
      <c r="G16" s="9">
        <v>205</v>
      </c>
      <c r="H16" s="21">
        <f>22+2+2</f>
        <v>26</v>
      </c>
      <c r="I16" s="17">
        <v>199</v>
      </c>
      <c r="J16" s="21">
        <f>24+204+173</f>
        <v>401</v>
      </c>
      <c r="K16" s="21" t="s">
        <v>75</v>
      </c>
      <c r="L16" s="21" t="s">
        <v>77</v>
      </c>
      <c r="M16" s="21" t="s">
        <v>77</v>
      </c>
      <c r="N16" s="22"/>
      <c r="O16" s="22"/>
    </row>
    <row r="17" spans="1:15" ht="22" customHeight="1" x14ac:dyDescent="0.2">
      <c r="A17" s="2" t="s">
        <v>21</v>
      </c>
      <c r="B17" s="2" t="s">
        <v>32</v>
      </c>
      <c r="C17" s="2" t="s">
        <v>18</v>
      </c>
      <c r="D17" s="2" t="s">
        <v>10</v>
      </c>
      <c r="E17" s="2"/>
      <c r="F17" s="49">
        <f>'Raw reads'!G17</f>
        <v>7297</v>
      </c>
      <c r="G17" s="9">
        <v>77</v>
      </c>
      <c r="H17" s="21">
        <v>8</v>
      </c>
      <c r="I17" s="17">
        <v>25</v>
      </c>
      <c r="J17" s="21">
        <f>2+8+4</f>
        <v>14</v>
      </c>
      <c r="K17" s="21" t="s">
        <v>76</v>
      </c>
      <c r="L17" s="21" t="s">
        <v>77</v>
      </c>
      <c r="M17" s="21" t="s">
        <v>77</v>
      </c>
      <c r="N17" s="22"/>
      <c r="O17" s="22"/>
    </row>
    <row r="18" spans="1:15" ht="22" customHeight="1" x14ac:dyDescent="0.2">
      <c r="A18" s="2" t="s">
        <v>23</v>
      </c>
      <c r="B18" s="2" t="s">
        <v>80</v>
      </c>
      <c r="C18" s="2" t="s">
        <v>18</v>
      </c>
      <c r="D18" s="2" t="s">
        <v>10</v>
      </c>
      <c r="E18" s="2"/>
      <c r="F18" s="49">
        <f>'Raw reads'!G18</f>
        <v>2271</v>
      </c>
      <c r="G18" s="9">
        <v>733</v>
      </c>
      <c r="H18" s="21">
        <v>58</v>
      </c>
      <c r="I18" s="17">
        <v>79</v>
      </c>
      <c r="J18" s="21">
        <v>23</v>
      </c>
      <c r="K18" s="21" t="s">
        <v>51</v>
      </c>
      <c r="L18" s="21">
        <v>125</v>
      </c>
      <c r="M18" s="21" t="s">
        <v>78</v>
      </c>
      <c r="N18" s="22"/>
      <c r="O18" s="22"/>
    </row>
    <row r="19" spans="1:15" ht="22" customHeight="1" x14ac:dyDescent="0.2">
      <c r="A19" s="2" t="s">
        <v>22</v>
      </c>
      <c r="B19" s="2" t="s">
        <v>81</v>
      </c>
      <c r="C19" s="2" t="s">
        <v>18</v>
      </c>
      <c r="D19" s="2" t="s">
        <v>10</v>
      </c>
      <c r="E19" s="2"/>
      <c r="F19" s="49">
        <f>'Raw reads'!G19</f>
        <v>12513</v>
      </c>
      <c r="G19" s="9">
        <v>1609</v>
      </c>
      <c r="H19" s="21">
        <v>180</v>
      </c>
      <c r="I19" s="17">
        <v>482</v>
      </c>
      <c r="J19" s="21">
        <f>6 + 1005</f>
        <v>1011</v>
      </c>
      <c r="K19" s="21" t="s">
        <v>51</v>
      </c>
      <c r="L19" s="21">
        <v>4320</v>
      </c>
      <c r="M19" s="21" t="s">
        <v>78</v>
      </c>
      <c r="N19" s="22"/>
      <c r="O19" s="22"/>
    </row>
    <row r="20" spans="1:15" ht="22" customHeight="1" x14ac:dyDescent="0.2">
      <c r="A20" s="2"/>
      <c r="B20" s="2"/>
      <c r="C20" s="2"/>
      <c r="D20" s="2"/>
      <c r="E20" s="2"/>
      <c r="F20" s="49"/>
      <c r="G20" s="9"/>
      <c r="H20" s="21"/>
      <c r="I20" s="17"/>
      <c r="J20" s="21"/>
      <c r="K20" s="21"/>
      <c r="L20" s="21"/>
      <c r="M20" s="21"/>
      <c r="N20" s="23"/>
      <c r="O20" s="23"/>
    </row>
    <row r="21" spans="1:15" ht="22" customHeight="1" x14ac:dyDescent="0.2">
      <c r="A21" s="2" t="s">
        <v>3</v>
      </c>
      <c r="B21" s="2" t="s">
        <v>5</v>
      </c>
      <c r="C21" s="2" t="s">
        <v>18</v>
      </c>
      <c r="D21" s="2" t="s">
        <v>9</v>
      </c>
      <c r="E21" s="2"/>
      <c r="F21" s="49">
        <f>'Raw reads'!G21</f>
        <v>110029</v>
      </c>
      <c r="G21" s="9">
        <v>908</v>
      </c>
      <c r="H21" s="21">
        <f>156+16</f>
        <v>172</v>
      </c>
      <c r="I21" s="17">
        <v>615</v>
      </c>
      <c r="J21" s="21">
        <v>7417</v>
      </c>
      <c r="K21" s="21" t="s">
        <v>45</v>
      </c>
      <c r="L21" s="21">
        <v>23</v>
      </c>
      <c r="M21" s="21" t="s">
        <v>46</v>
      </c>
      <c r="N21" s="22"/>
      <c r="O21" s="22"/>
    </row>
    <row r="22" spans="1:15" ht="22" customHeight="1" x14ac:dyDescent="0.2">
      <c r="F22" s="72"/>
      <c r="N22" s="25"/>
      <c r="O22" s="25"/>
    </row>
    <row r="23" spans="1:15" ht="22" customHeight="1" x14ac:dyDescent="0.2">
      <c r="A23" s="30" t="s">
        <v>19</v>
      </c>
      <c r="B23" s="30" t="s">
        <v>5</v>
      </c>
      <c r="C23" s="30" t="s">
        <v>39</v>
      </c>
      <c r="D23" s="30" t="s">
        <v>9</v>
      </c>
      <c r="E23" s="30"/>
      <c r="F23" s="78">
        <f>'Raw reads'!G23</f>
        <v>479775</v>
      </c>
      <c r="G23" s="32"/>
      <c r="H23" s="34"/>
      <c r="I23" s="36"/>
      <c r="J23" s="34"/>
      <c r="K23" s="34"/>
      <c r="L23" s="34"/>
      <c r="M23" s="34"/>
      <c r="N23" s="35"/>
      <c r="O23" s="22"/>
    </row>
    <row r="24" spans="1:15" ht="22" customHeight="1" x14ac:dyDescent="0.2">
      <c r="A24" s="2"/>
      <c r="B24" s="2"/>
      <c r="C24" s="2" t="s">
        <v>18</v>
      </c>
      <c r="D24" s="2"/>
      <c r="E24" s="2"/>
      <c r="F24" s="49">
        <f>'Raw reads'!G24</f>
        <v>74171</v>
      </c>
      <c r="G24" s="5">
        <v>874</v>
      </c>
      <c r="H24" s="74">
        <v>170</v>
      </c>
      <c r="I24" s="5">
        <v>393</v>
      </c>
      <c r="J24" s="74">
        <v>2946</v>
      </c>
      <c r="K24" s="21" t="s">
        <v>45</v>
      </c>
      <c r="L24" s="21">
        <v>12</v>
      </c>
      <c r="M24" s="21" t="s">
        <v>46</v>
      </c>
      <c r="N24" s="2" t="s">
        <v>34</v>
      </c>
      <c r="O24" s="22"/>
    </row>
    <row r="25" spans="1:15" ht="22" customHeight="1" x14ac:dyDescent="0.2">
      <c r="A25" s="2"/>
      <c r="B25" s="2"/>
      <c r="C25" s="2" t="s">
        <v>7</v>
      </c>
      <c r="D25" s="2"/>
      <c r="E25" s="2"/>
      <c r="F25" s="49">
        <f>'Raw reads'!G25</f>
        <v>160641</v>
      </c>
      <c r="G25" s="5">
        <v>878</v>
      </c>
      <c r="H25" s="74" t="s">
        <v>106</v>
      </c>
      <c r="I25" s="5" t="s">
        <v>107</v>
      </c>
      <c r="J25" s="74">
        <v>4518</v>
      </c>
      <c r="K25" s="21" t="s">
        <v>45</v>
      </c>
      <c r="L25" s="21">
        <v>30</v>
      </c>
      <c r="M25" s="21" t="s">
        <v>46</v>
      </c>
      <c r="N25" s="2" t="s">
        <v>35</v>
      </c>
      <c r="O25" s="22"/>
    </row>
    <row r="26" spans="1:15" ht="22" customHeight="1" x14ac:dyDescent="0.2">
      <c r="A26" s="2"/>
      <c r="B26" s="2"/>
      <c r="C26" s="2" t="s">
        <v>8</v>
      </c>
      <c r="D26" s="2"/>
      <c r="E26" s="2"/>
      <c r="F26" s="49">
        <f>'Raw reads'!G26</f>
        <v>101294</v>
      </c>
      <c r="G26" s="5">
        <v>885</v>
      </c>
      <c r="H26" s="74" t="s">
        <v>103</v>
      </c>
      <c r="I26" s="5" t="s">
        <v>104</v>
      </c>
      <c r="J26" s="74">
        <v>4115</v>
      </c>
      <c r="K26" s="21" t="s">
        <v>45</v>
      </c>
      <c r="L26" s="21">
        <v>20</v>
      </c>
      <c r="M26" s="21" t="s">
        <v>46</v>
      </c>
      <c r="N26" s="2" t="s">
        <v>36</v>
      </c>
      <c r="O26" s="22"/>
    </row>
    <row r="27" spans="1:15" ht="22" customHeight="1" x14ac:dyDescent="0.2">
      <c r="A27" s="2"/>
      <c r="B27" s="2"/>
      <c r="C27" s="2"/>
      <c r="D27" s="2"/>
      <c r="E27" s="2"/>
      <c r="F27" s="38"/>
      <c r="G27" s="9"/>
      <c r="H27" s="21"/>
      <c r="I27" s="17"/>
      <c r="J27" s="21"/>
      <c r="K27" s="21"/>
      <c r="L27" s="21"/>
      <c r="M27" s="21"/>
      <c r="N27" s="22"/>
      <c r="O27" s="22"/>
    </row>
    <row r="28" spans="1:15" ht="22" customHeight="1" x14ac:dyDescent="0.2">
      <c r="A28" s="30" t="s">
        <v>24</v>
      </c>
      <c r="B28" s="30" t="s">
        <v>39</v>
      </c>
      <c r="C28" s="30" t="s">
        <v>18</v>
      </c>
      <c r="D28" s="30" t="s">
        <v>9</v>
      </c>
      <c r="E28" s="30"/>
      <c r="F28" s="78">
        <f>'Raw reads'!G29</f>
        <v>105340</v>
      </c>
      <c r="G28" s="32"/>
      <c r="H28" s="34"/>
      <c r="I28" s="36"/>
      <c r="J28" s="34"/>
      <c r="K28" s="34"/>
      <c r="L28" s="34"/>
      <c r="M28" s="34"/>
      <c r="N28" s="35"/>
      <c r="O28" s="22"/>
    </row>
    <row r="29" spans="1:15" ht="22" customHeight="1" x14ac:dyDescent="0.2">
      <c r="A29" s="2"/>
      <c r="B29" s="2" t="s">
        <v>5</v>
      </c>
      <c r="C29" s="2"/>
      <c r="D29" s="2"/>
      <c r="E29" s="2"/>
      <c r="F29" s="38"/>
      <c r="G29" s="9">
        <v>869</v>
      </c>
      <c r="H29" s="21">
        <f>151+17</f>
        <v>168</v>
      </c>
      <c r="I29" s="17">
        <v>440</v>
      </c>
      <c r="J29" s="21">
        <v>7198</v>
      </c>
      <c r="K29" s="21" t="s">
        <v>45</v>
      </c>
      <c r="L29" s="21">
        <v>27</v>
      </c>
      <c r="M29" s="21" t="s">
        <v>46</v>
      </c>
      <c r="N29" s="22"/>
      <c r="O29" s="22"/>
    </row>
    <row r="30" spans="1:15" ht="22" customHeight="1" x14ac:dyDescent="0.2">
      <c r="A30" s="2"/>
      <c r="B30" s="2" t="s">
        <v>28</v>
      </c>
      <c r="C30" s="2"/>
      <c r="D30" s="2"/>
      <c r="E30" s="2"/>
      <c r="F30" s="38"/>
      <c r="G30" s="9">
        <f>2103+1849</f>
        <v>3952</v>
      </c>
      <c r="H30" s="21">
        <v>441</v>
      </c>
      <c r="I30" s="17">
        <v>442</v>
      </c>
      <c r="J30" s="21">
        <v>2591</v>
      </c>
      <c r="K30" s="21" t="s">
        <v>51</v>
      </c>
      <c r="L30" s="21">
        <v>14013</v>
      </c>
      <c r="M30" s="21" t="s">
        <v>78</v>
      </c>
      <c r="N30" s="23"/>
      <c r="O30" s="23"/>
    </row>
    <row r="31" spans="1:15" ht="22" customHeight="1" x14ac:dyDescent="0.2">
      <c r="A31" s="2"/>
      <c r="B31" s="2"/>
      <c r="C31" s="2"/>
      <c r="D31" s="2"/>
      <c r="E31" s="2"/>
      <c r="F31" s="38"/>
      <c r="G31" s="9" t="s">
        <v>96</v>
      </c>
      <c r="H31" s="21" t="s">
        <v>97</v>
      </c>
      <c r="I31" s="17"/>
      <c r="J31" s="21"/>
      <c r="K31" s="21"/>
      <c r="L31" s="21"/>
      <c r="M31" s="21"/>
      <c r="N31" s="23"/>
      <c r="O31" s="23"/>
    </row>
    <row r="32" spans="1:15" ht="22" customHeight="1" x14ac:dyDescent="0.2">
      <c r="A32" s="2"/>
      <c r="B32" s="2" t="s">
        <v>29</v>
      </c>
      <c r="C32" s="2"/>
      <c r="D32" s="2"/>
      <c r="E32" s="2"/>
      <c r="F32" s="38"/>
      <c r="G32" s="9">
        <f>271+90</f>
        <v>361</v>
      </c>
      <c r="H32" s="21">
        <v>41</v>
      </c>
      <c r="I32" s="17">
        <v>156</v>
      </c>
      <c r="J32" s="21">
        <f>476+392</f>
        <v>868</v>
      </c>
      <c r="K32" s="21" t="s">
        <v>79</v>
      </c>
      <c r="L32" s="21" t="s">
        <v>77</v>
      </c>
      <c r="M32" s="21" t="s">
        <v>77</v>
      </c>
      <c r="N32" s="23"/>
      <c r="O32" s="23"/>
    </row>
    <row r="33" spans="1:16" s="75" customFormat="1" ht="22" customHeight="1" x14ac:dyDescent="0.2">
      <c r="F33" s="38"/>
      <c r="G33" s="76" t="s">
        <v>114</v>
      </c>
      <c r="H33" s="21" t="s">
        <v>94</v>
      </c>
      <c r="I33" s="21"/>
      <c r="J33" s="21"/>
      <c r="K33" s="21"/>
      <c r="L33" s="21"/>
      <c r="M33" s="21"/>
      <c r="N33" s="22"/>
      <c r="O33" s="22"/>
      <c r="P33" s="77"/>
    </row>
    <row r="34" spans="1:16" s="75" customFormat="1" ht="22" customHeight="1" x14ac:dyDescent="0.2">
      <c r="F34" s="38"/>
      <c r="G34" s="76"/>
      <c r="H34" s="21"/>
      <c r="I34" s="21"/>
      <c r="J34" s="21"/>
      <c r="K34" s="21"/>
      <c r="L34" s="21"/>
      <c r="M34" s="21"/>
      <c r="N34" s="22"/>
      <c r="O34" s="22"/>
      <c r="P34" s="77"/>
    </row>
    <row r="35" spans="1:16" ht="22" customHeight="1" x14ac:dyDescent="0.2">
      <c r="A35" s="30" t="s">
        <v>108</v>
      </c>
      <c r="B35" s="30" t="s">
        <v>39</v>
      </c>
      <c r="C35" s="30" t="s">
        <v>18</v>
      </c>
      <c r="D35" s="30" t="s">
        <v>9</v>
      </c>
      <c r="E35" s="30"/>
      <c r="F35" s="78">
        <f>'Raw reads'!G34</f>
        <v>150932</v>
      </c>
      <c r="G35" s="32"/>
      <c r="H35" s="34"/>
      <c r="I35" s="36"/>
      <c r="J35" s="34"/>
      <c r="K35" s="34"/>
      <c r="L35" s="34"/>
      <c r="M35" s="34"/>
      <c r="N35" s="35"/>
      <c r="O35" s="22"/>
    </row>
    <row r="36" spans="1:16" ht="22" customHeight="1" x14ac:dyDescent="0.2">
      <c r="A36" s="2"/>
      <c r="B36" s="2" t="s">
        <v>5</v>
      </c>
      <c r="C36" s="2"/>
      <c r="D36" s="2"/>
      <c r="E36" s="2"/>
      <c r="F36" s="38"/>
      <c r="G36" s="9">
        <v>855</v>
      </c>
      <c r="H36" s="21">
        <f>151+17</f>
        <v>168</v>
      </c>
      <c r="I36" s="17">
        <v>321</v>
      </c>
      <c r="J36" s="21">
        <v>6981</v>
      </c>
      <c r="K36" s="21" t="s">
        <v>45</v>
      </c>
      <c r="L36" s="21">
        <v>20</v>
      </c>
      <c r="M36" s="21" t="s">
        <v>46</v>
      </c>
      <c r="N36" s="22"/>
      <c r="O36" s="22"/>
    </row>
    <row r="37" spans="1:16" ht="22" customHeight="1" x14ac:dyDescent="0.2">
      <c r="A37" s="2"/>
      <c r="B37" s="2" t="s">
        <v>28</v>
      </c>
      <c r="C37" s="2"/>
      <c r="D37" s="2"/>
      <c r="E37" s="2"/>
      <c r="F37" s="38"/>
      <c r="G37" s="9">
        <f>2194+657</f>
        <v>2851</v>
      </c>
      <c r="H37" s="21">
        <v>299</v>
      </c>
      <c r="I37" s="17">
        <v>659</v>
      </c>
      <c r="J37" s="21">
        <v>2449</v>
      </c>
      <c r="K37" s="21" t="s">
        <v>51</v>
      </c>
      <c r="L37" s="21">
        <v>15300</v>
      </c>
      <c r="M37" s="21" t="s">
        <v>78</v>
      </c>
      <c r="N37" s="23"/>
      <c r="O37" s="23"/>
    </row>
    <row r="38" spans="1:16" ht="22" customHeight="1" x14ac:dyDescent="0.2">
      <c r="A38" s="2"/>
      <c r="B38" s="2"/>
      <c r="C38" s="2"/>
      <c r="D38" s="2"/>
      <c r="E38" s="2"/>
      <c r="F38" s="38"/>
      <c r="G38" s="9" t="s">
        <v>110</v>
      </c>
      <c r="H38" s="21" t="s">
        <v>111</v>
      </c>
      <c r="I38" s="17"/>
      <c r="J38" s="21"/>
      <c r="K38" s="21"/>
      <c r="L38" s="21"/>
      <c r="M38" s="21"/>
      <c r="N38" s="23"/>
      <c r="O38" s="23"/>
    </row>
    <row r="39" spans="1:16" ht="22" customHeight="1" x14ac:dyDescent="0.2">
      <c r="A39" s="2"/>
      <c r="B39" s="2" t="s">
        <v>29</v>
      </c>
      <c r="C39" s="2"/>
      <c r="D39" s="2"/>
      <c r="E39" s="2"/>
      <c r="F39" s="38"/>
      <c r="G39" s="9">
        <f>180+20</f>
        <v>200</v>
      </c>
      <c r="H39" s="21">
        <v>23</v>
      </c>
      <c r="I39" s="17">
        <v>77</v>
      </c>
      <c r="J39" s="21">
        <f>83+75</f>
        <v>158</v>
      </c>
      <c r="K39" s="21" t="s">
        <v>79</v>
      </c>
      <c r="L39" s="21" t="s">
        <v>77</v>
      </c>
      <c r="M39" s="21" t="s">
        <v>77</v>
      </c>
      <c r="N39" s="23"/>
      <c r="O39" s="23"/>
    </row>
    <row r="40" spans="1:16" s="75" customFormat="1" ht="22" customHeight="1" x14ac:dyDescent="0.2">
      <c r="F40" s="38"/>
      <c r="G40" s="76" t="s">
        <v>113</v>
      </c>
      <c r="H40" s="21" t="s">
        <v>115</v>
      </c>
      <c r="I40" s="21"/>
      <c r="J40" s="21"/>
      <c r="K40" s="21"/>
      <c r="L40" s="21"/>
      <c r="M40" s="21"/>
      <c r="N40" s="22"/>
      <c r="O40" s="22"/>
      <c r="P40" s="77"/>
    </row>
    <row r="41" spans="1:16" s="40" customFormat="1" ht="22" customHeight="1" thickBot="1" x14ac:dyDescent="0.25">
      <c r="A41" s="58"/>
      <c r="B41" s="58"/>
      <c r="C41" s="58"/>
      <c r="D41" s="58"/>
      <c r="E41" s="58"/>
      <c r="F41" s="73"/>
      <c r="G41" s="59"/>
      <c r="H41" s="53"/>
      <c r="I41" s="53"/>
      <c r="J41" s="53"/>
      <c r="K41" s="53"/>
      <c r="L41" s="53"/>
      <c r="M41" s="53"/>
      <c r="N41" s="54"/>
      <c r="O41" s="25"/>
      <c r="P41" s="41"/>
    </row>
    <row r="42" spans="1:16" ht="22" customHeight="1" x14ac:dyDescent="0.2">
      <c r="E42" s="2"/>
    </row>
    <row r="43" spans="1:16" ht="22" customHeight="1" x14ac:dyDescent="0.2">
      <c r="A43" s="29" t="s">
        <v>98</v>
      </c>
    </row>
  </sheetData>
  <mergeCells count="5">
    <mergeCell ref="J3:K3"/>
    <mergeCell ref="L3:M3"/>
    <mergeCell ref="G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reads</vt:lpstr>
      <vt:lpstr>Categorized reads</vt:lpstr>
      <vt:lpstr>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Zhou</dc:creator>
  <cp:lastModifiedBy>Arthur Zhou</cp:lastModifiedBy>
  <dcterms:created xsi:type="dcterms:W3CDTF">2020-12-01T16:45:37Z</dcterms:created>
  <dcterms:modified xsi:type="dcterms:W3CDTF">2021-02-04T02:30:03Z</dcterms:modified>
</cp:coreProperties>
</file>