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reutshalgi/Dropbox (Technion Dropbox)/Shalgi-Lab/PAPERS/Rescue_paper_2019/Nature Comm/revisions/final/excels for anatoly/FINAL FILES source data/"/>
    </mc:Choice>
  </mc:AlternateContent>
  <xr:revisionPtr revIDLastSave="0" documentId="13_ncr:1_{AF78452A-3596-C04B-8AF0-D2761FD27A85}" xr6:coauthVersionLast="36" xr6:coauthVersionMax="36" xr10:uidLastSave="{00000000-0000-0000-0000-000000000000}"/>
  <bookViews>
    <workbookView xWindow="0" yWindow="460" windowWidth="31940" windowHeight="24940" firstSheet="19" activeTab="22" xr2:uid="{00000000-000D-0000-FFFF-FFFF00000000}"/>
  </bookViews>
  <sheets>
    <sheet name="2B" sheetId="1" r:id="rId1"/>
    <sheet name="2D" sheetId="2" r:id="rId2"/>
    <sheet name="2E" sheetId="3" r:id="rId3"/>
    <sheet name="3A" sheetId="4" r:id="rId4"/>
    <sheet name="3B" sheetId="5" r:id="rId5"/>
    <sheet name="4B" sheetId="6" r:id="rId6"/>
    <sheet name="4D" sheetId="10" r:id="rId7"/>
    <sheet name="4G" sheetId="7" r:id="rId8"/>
    <sheet name="4H" sheetId="8" r:id="rId9"/>
    <sheet name="7D" sheetId="9" r:id="rId10"/>
    <sheet name="S3A" sheetId="11" r:id="rId11"/>
    <sheet name="S3B" sheetId="12" r:id="rId12"/>
    <sheet name="S5A" sheetId="13" r:id="rId13"/>
    <sheet name="S5G" sheetId="14" r:id="rId14"/>
    <sheet name="S5H" sheetId="15" r:id="rId15"/>
    <sheet name="S5K" sheetId="16" r:id="rId16"/>
    <sheet name="S6A" sheetId="17" r:id="rId17"/>
    <sheet name="S6C" sheetId="18" r:id="rId18"/>
    <sheet name="S6D" sheetId="38" r:id="rId19"/>
    <sheet name="S6E" sheetId="20" r:id="rId20"/>
    <sheet name="S6F" sheetId="21" r:id="rId21"/>
    <sheet name="S6G" sheetId="22" r:id="rId22"/>
    <sheet name="S6M" sheetId="23" r:id="rId23"/>
    <sheet name="S6P" sheetId="24" r:id="rId24"/>
    <sheet name="S6Q" sheetId="25" r:id="rId25"/>
    <sheet name="S6R" sheetId="26" r:id="rId26"/>
    <sheet name="S7A" sheetId="27" r:id="rId27"/>
    <sheet name="S7B" sheetId="29" r:id="rId28"/>
    <sheet name="S7C" sheetId="30" r:id="rId29"/>
    <sheet name="S8A" sheetId="28" r:id="rId30"/>
    <sheet name="S8B" sheetId="31" r:id="rId31"/>
    <sheet name="S8C" sheetId="32" r:id="rId32"/>
    <sheet name="S8D" sheetId="33" r:id="rId33"/>
    <sheet name="S9L" sheetId="34" r:id="rId34"/>
    <sheet name="S9M" sheetId="35" r:id="rId35"/>
    <sheet name="S10C" sheetId="36" r:id="rId36"/>
    <sheet name="S10F" sheetId="37" r:id="rId3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" i="34" l="1"/>
  <c r="P4" i="34"/>
  <c r="R4" i="34" s="1"/>
  <c r="I4" i="34"/>
  <c r="I37" i="20"/>
  <c r="J37" i="20" s="1"/>
  <c r="H37" i="20"/>
  <c r="E4" i="22" l="1"/>
  <c r="F4" i="20"/>
  <c r="C35" i="20" s="1"/>
  <c r="G35" i="16" l="1"/>
  <c r="H35" i="16" s="1"/>
  <c r="G34" i="16"/>
  <c r="H34" i="16" s="1"/>
  <c r="G33" i="16"/>
  <c r="H33" i="16" s="1"/>
  <c r="G32" i="16"/>
  <c r="H32" i="16" s="1"/>
  <c r="G31" i="16"/>
  <c r="H31" i="16" s="1"/>
  <c r="G30" i="16"/>
  <c r="H30" i="16" s="1"/>
  <c r="G29" i="16"/>
  <c r="H29" i="16" s="1"/>
  <c r="G28" i="16"/>
  <c r="H28" i="16" s="1"/>
  <c r="J28" i="16" l="1"/>
  <c r="J35" i="16" s="1"/>
  <c r="K35" i="16" s="1"/>
  <c r="J32" i="16" l="1"/>
  <c r="K32" i="16" s="1"/>
  <c r="J34" i="16"/>
  <c r="K34" i="16" s="1"/>
  <c r="J33" i="16"/>
  <c r="K33" i="16" s="1"/>
  <c r="H91" i="38"/>
  <c r="I91" i="38" s="1"/>
  <c r="H90" i="38"/>
  <c r="I90" i="38" s="1"/>
  <c r="H89" i="38"/>
  <c r="I89" i="38" s="1"/>
  <c r="H88" i="38"/>
  <c r="I88" i="38" s="1"/>
  <c r="H87" i="38"/>
  <c r="I87" i="38" s="1"/>
  <c r="K87" i="38" s="1"/>
  <c r="H84" i="38"/>
  <c r="I84" i="38" s="1"/>
  <c r="H83" i="38"/>
  <c r="I83" i="38" s="1"/>
  <c r="H82" i="38"/>
  <c r="I82" i="38" s="1"/>
  <c r="H81" i="38"/>
  <c r="I81" i="38" s="1"/>
  <c r="H80" i="38"/>
  <c r="I80" i="38" s="1"/>
  <c r="G77" i="38"/>
  <c r="H77" i="38" s="1"/>
  <c r="G76" i="38"/>
  <c r="H76" i="38" s="1"/>
  <c r="G75" i="38"/>
  <c r="H75" i="38" s="1"/>
  <c r="G74" i="38"/>
  <c r="H74" i="38" s="1"/>
  <c r="G71" i="38"/>
  <c r="H71" i="38" s="1"/>
  <c r="G70" i="38"/>
  <c r="H70" i="38" s="1"/>
  <c r="G69" i="38"/>
  <c r="H69" i="38" s="1"/>
  <c r="G68" i="38"/>
  <c r="H68" i="38" s="1"/>
  <c r="G65" i="38"/>
  <c r="H65" i="38" s="1"/>
  <c r="G64" i="38"/>
  <c r="H64" i="38" s="1"/>
  <c r="G63" i="38"/>
  <c r="H63" i="38" s="1"/>
  <c r="G62" i="38"/>
  <c r="H62" i="38" s="1"/>
  <c r="H59" i="38"/>
  <c r="I59" i="38" s="1"/>
  <c r="H58" i="38"/>
  <c r="I58" i="38" s="1"/>
  <c r="H57" i="38"/>
  <c r="I57" i="38" s="1"/>
  <c r="H56" i="38"/>
  <c r="I56" i="38" s="1"/>
  <c r="H55" i="38"/>
  <c r="I55" i="38" s="1"/>
  <c r="H54" i="38"/>
  <c r="I54" i="38" s="1"/>
  <c r="H53" i="38"/>
  <c r="I53" i="38" s="1"/>
  <c r="H52" i="38"/>
  <c r="I52" i="38" s="1"/>
  <c r="H51" i="38"/>
  <c r="I51" i="38" s="1"/>
  <c r="H50" i="38"/>
  <c r="I50" i="38" s="1"/>
  <c r="H49" i="38"/>
  <c r="I49" i="38" s="1"/>
  <c r="H48" i="38"/>
  <c r="I48" i="38" s="1"/>
  <c r="H47" i="38"/>
  <c r="I47" i="38" s="1"/>
  <c r="H46" i="38"/>
  <c r="I46" i="38" s="1"/>
  <c r="H43" i="38"/>
  <c r="I43" i="38" s="1"/>
  <c r="H42" i="38"/>
  <c r="I42" i="38" s="1"/>
  <c r="H41" i="38"/>
  <c r="I41" i="38" s="1"/>
  <c r="H40" i="38"/>
  <c r="I40" i="38" s="1"/>
  <c r="H39" i="38"/>
  <c r="I39" i="38" s="1"/>
  <c r="H38" i="38"/>
  <c r="I38" i="38" s="1"/>
  <c r="H37" i="38"/>
  <c r="I37" i="38" s="1"/>
  <c r="H36" i="38"/>
  <c r="I36" i="38" s="1"/>
  <c r="H35" i="38"/>
  <c r="I35" i="38" s="1"/>
  <c r="H34" i="38"/>
  <c r="I34" i="38" s="1"/>
  <c r="H33" i="38"/>
  <c r="I33" i="38" s="1"/>
  <c r="H32" i="38"/>
  <c r="I32" i="38" s="1"/>
  <c r="H29" i="38"/>
  <c r="I29" i="38" s="1"/>
  <c r="H28" i="38"/>
  <c r="I28" i="38" s="1"/>
  <c r="H27" i="38"/>
  <c r="I27" i="38" s="1"/>
  <c r="H26" i="38"/>
  <c r="I26" i="38" s="1"/>
  <c r="H25" i="38"/>
  <c r="I25" i="38" s="1"/>
  <c r="H24" i="38"/>
  <c r="I24" i="38" s="1"/>
  <c r="H23" i="38"/>
  <c r="I23" i="38" s="1"/>
  <c r="H22" i="38"/>
  <c r="I22" i="38" s="1"/>
  <c r="H21" i="38"/>
  <c r="I21" i="38" s="1"/>
  <c r="H20" i="38"/>
  <c r="I20" i="38" s="1"/>
  <c r="H19" i="38"/>
  <c r="I19" i="38" s="1"/>
  <c r="H18" i="38"/>
  <c r="I18" i="38" s="1"/>
  <c r="K18" i="38" s="1"/>
  <c r="H15" i="38"/>
  <c r="I15" i="38" s="1"/>
  <c r="H14" i="38"/>
  <c r="I14" i="38" s="1"/>
  <c r="H13" i="38"/>
  <c r="I13" i="38" s="1"/>
  <c r="H12" i="38"/>
  <c r="I12" i="38" s="1"/>
  <c r="H11" i="38"/>
  <c r="I11" i="38" s="1"/>
  <c r="H10" i="38"/>
  <c r="I10" i="38" s="1"/>
  <c r="H9" i="38"/>
  <c r="I9" i="38" s="1"/>
  <c r="H8" i="38"/>
  <c r="I8" i="38" s="1"/>
  <c r="H7" i="38"/>
  <c r="I7" i="38" s="1"/>
  <c r="H6" i="38"/>
  <c r="I6" i="38" s="1"/>
  <c r="H5" i="38"/>
  <c r="I5" i="38" s="1"/>
  <c r="H4" i="38"/>
  <c r="I4" i="38" s="1"/>
  <c r="K10" i="38" l="1"/>
  <c r="K38" i="38"/>
  <c r="K68" i="38"/>
  <c r="K71" i="38" s="1"/>
  <c r="L71" i="38" s="1"/>
  <c r="K4" i="38"/>
  <c r="K8" i="38" s="1"/>
  <c r="L8" i="38" s="1"/>
  <c r="K15" i="38"/>
  <c r="L15" i="38" s="1"/>
  <c r="K24" i="38"/>
  <c r="K27" i="38" s="1"/>
  <c r="L27" i="38" s="1"/>
  <c r="K84" i="38"/>
  <c r="L84" i="38" s="1"/>
  <c r="K62" i="38"/>
  <c r="K65" i="38" s="1"/>
  <c r="L65" i="38" s="1"/>
  <c r="K80" i="38"/>
  <c r="K83" i="38" s="1"/>
  <c r="L83" i="38" s="1"/>
  <c r="K40" i="38"/>
  <c r="L40" i="38" s="1"/>
  <c r="K13" i="38"/>
  <c r="L13" i="38" s="1"/>
  <c r="K12" i="38"/>
  <c r="L12" i="38" s="1"/>
  <c r="K42" i="38"/>
  <c r="L42" i="38" s="1"/>
  <c r="K46" i="38"/>
  <c r="K55" i="38" s="1"/>
  <c r="L55" i="38" s="1"/>
  <c r="K74" i="38"/>
  <c r="K77" i="38" s="1"/>
  <c r="L77" i="38" s="1"/>
  <c r="K90" i="38"/>
  <c r="L90" i="38" s="1"/>
  <c r="K20" i="38"/>
  <c r="L20" i="38" s="1"/>
  <c r="K41" i="38"/>
  <c r="L41" i="38" s="1"/>
  <c r="K21" i="38"/>
  <c r="L21" i="38" s="1"/>
  <c r="K22" i="38"/>
  <c r="L22" i="38" s="1"/>
  <c r="K43" i="38"/>
  <c r="L43" i="38" s="1"/>
  <c r="K89" i="38"/>
  <c r="L89" i="38" s="1"/>
  <c r="K23" i="38"/>
  <c r="L23" i="38" s="1"/>
  <c r="K14" i="38"/>
  <c r="L14" i="38" s="1"/>
  <c r="K32" i="38"/>
  <c r="K34" i="38" s="1"/>
  <c r="L34" i="38" s="1"/>
  <c r="K91" i="38"/>
  <c r="L91" i="38" s="1"/>
  <c r="K7" i="38" l="1"/>
  <c r="L7" i="38" s="1"/>
  <c r="R21" i="38"/>
  <c r="K6" i="38"/>
  <c r="L6" i="38" s="1"/>
  <c r="K9" i="38"/>
  <c r="L9" i="38" s="1"/>
  <c r="S18" i="38" s="1"/>
  <c r="T18" i="38" s="1"/>
  <c r="K54" i="38"/>
  <c r="L54" i="38" s="1"/>
  <c r="K58" i="38"/>
  <c r="L58" i="38" s="1"/>
  <c r="K82" i="38"/>
  <c r="L82" i="38" s="1"/>
  <c r="R22" i="38" s="1"/>
  <c r="K50" i="38"/>
  <c r="L50" i="38" s="1"/>
  <c r="K57" i="38"/>
  <c r="L57" i="38" s="1"/>
  <c r="K28" i="38"/>
  <c r="L28" i="38" s="1"/>
  <c r="K26" i="38"/>
  <c r="L26" i="38" s="1"/>
  <c r="R19" i="38" s="1"/>
  <c r="K53" i="38"/>
  <c r="L53" i="38" s="1"/>
  <c r="K29" i="38"/>
  <c r="L29" i="38" s="1"/>
  <c r="S20" i="38" s="1"/>
  <c r="T20" i="38" s="1"/>
  <c r="K35" i="38"/>
  <c r="L35" i="38" s="1"/>
  <c r="K59" i="38"/>
  <c r="L59" i="38" s="1"/>
  <c r="K37" i="38"/>
  <c r="L37" i="38" s="1"/>
  <c r="K56" i="38"/>
  <c r="L56" i="38" s="1"/>
  <c r="S21" i="38"/>
  <c r="T21" i="38" s="1"/>
  <c r="R20" i="38"/>
  <c r="K36" i="38"/>
  <c r="L36" i="38" s="1"/>
  <c r="K52" i="38"/>
  <c r="L52" i="38" s="1"/>
  <c r="K51" i="38"/>
  <c r="L51" i="38" s="1"/>
  <c r="S19" i="38"/>
  <c r="T19" i="38" s="1"/>
  <c r="R24" i="38" l="1"/>
  <c r="S24" i="38"/>
  <c r="T24" i="38" s="1"/>
  <c r="S22" i="38"/>
  <c r="T22" i="38" s="1"/>
  <c r="R18" i="38"/>
  <c r="R17" i="38"/>
  <c r="S23" i="38"/>
  <c r="T23" i="38" s="1"/>
  <c r="S17" i="38"/>
  <c r="T17" i="38" s="1"/>
  <c r="R23" i="38"/>
  <c r="F21" i="32"/>
  <c r="G40" i="33" l="1"/>
  <c r="H40" i="33" s="1"/>
  <c r="G39" i="33"/>
  <c r="H39" i="33" s="1"/>
  <c r="G38" i="33"/>
  <c r="H38" i="33" s="1"/>
  <c r="H37" i="33"/>
  <c r="G37" i="33"/>
  <c r="G36" i="33"/>
  <c r="H36" i="33" s="1"/>
  <c r="G33" i="33"/>
  <c r="H33" i="33" s="1"/>
  <c r="G32" i="33"/>
  <c r="H32" i="33" s="1"/>
  <c r="G31" i="33"/>
  <c r="H31" i="33" s="1"/>
  <c r="G30" i="33"/>
  <c r="H30" i="33" s="1"/>
  <c r="G27" i="33"/>
  <c r="H27" i="33" s="1"/>
  <c r="G26" i="33"/>
  <c r="H26" i="33" s="1"/>
  <c r="G25" i="33"/>
  <c r="H25" i="33" s="1"/>
  <c r="G24" i="33"/>
  <c r="H24" i="33" s="1"/>
  <c r="G23" i="33"/>
  <c r="H23" i="33" s="1"/>
  <c r="G20" i="33"/>
  <c r="H20" i="33" s="1"/>
  <c r="G19" i="33"/>
  <c r="H19" i="33" s="1"/>
  <c r="G18" i="33"/>
  <c r="H18" i="33" s="1"/>
  <c r="G17" i="33"/>
  <c r="H17" i="33" s="1"/>
  <c r="G16" i="33"/>
  <c r="H16" i="33" s="1"/>
  <c r="G13" i="33"/>
  <c r="H13" i="33" s="1"/>
  <c r="G12" i="33"/>
  <c r="H12" i="33" s="1"/>
  <c r="G11" i="33"/>
  <c r="H11" i="33" s="1"/>
  <c r="G10" i="33"/>
  <c r="H10" i="33" s="1"/>
  <c r="G9" i="33"/>
  <c r="H9" i="33" s="1"/>
  <c r="G8" i="33"/>
  <c r="H8" i="33" s="1"/>
  <c r="G7" i="33"/>
  <c r="H7" i="33" s="1"/>
  <c r="G6" i="33"/>
  <c r="H6" i="33" s="1"/>
  <c r="G5" i="33"/>
  <c r="H5" i="33" s="1"/>
  <c r="I30" i="33" l="1"/>
  <c r="J32" i="33" s="1"/>
  <c r="K32" i="33" s="1"/>
  <c r="I16" i="33"/>
  <c r="J20" i="33" s="1"/>
  <c r="K20" i="33" s="1"/>
  <c r="I36" i="33"/>
  <c r="J40" i="33" s="1"/>
  <c r="K40" i="33" s="1"/>
  <c r="J33" i="33"/>
  <c r="K33" i="33" s="1"/>
  <c r="I5" i="33"/>
  <c r="J9" i="33" s="1"/>
  <c r="K9" i="33" s="1"/>
  <c r="I23" i="33"/>
  <c r="J27" i="33" l="1"/>
  <c r="K27" i="33" s="1"/>
  <c r="J10" i="33"/>
  <c r="K10" i="33" s="1"/>
  <c r="J8" i="33"/>
  <c r="K8" i="33" s="1"/>
  <c r="J11" i="33"/>
  <c r="K11" i="33" s="1"/>
  <c r="J12" i="33"/>
  <c r="K12" i="33" s="1"/>
  <c r="P6" i="33" s="1"/>
  <c r="J13" i="33"/>
  <c r="K13" i="33" s="1"/>
  <c r="P8" i="33" l="1"/>
  <c r="O7" i="33"/>
  <c r="P7" i="33"/>
  <c r="O6" i="33"/>
  <c r="O8" i="33"/>
  <c r="H4" i="29"/>
  <c r="F20" i="20" l="1"/>
  <c r="F35" i="20" s="1"/>
  <c r="F23" i="20"/>
  <c r="F22" i="20"/>
  <c r="F21" i="20"/>
  <c r="F36" i="20" l="1"/>
  <c r="F38" i="20"/>
  <c r="F7" i="20"/>
  <c r="C36" i="20" s="1"/>
  <c r="S45" i="37" l="1"/>
  <c r="R45" i="37"/>
  <c r="Q45" i="37"/>
  <c r="S44" i="37"/>
  <c r="R44" i="37"/>
  <c r="Q44" i="37"/>
  <c r="T43" i="37"/>
  <c r="S43" i="37"/>
  <c r="R43" i="37"/>
  <c r="Q43" i="37"/>
  <c r="T42" i="37"/>
  <c r="S42" i="37"/>
  <c r="R42" i="37"/>
  <c r="Q42" i="37"/>
  <c r="T41" i="37"/>
  <c r="S41" i="37"/>
  <c r="R41" i="37"/>
  <c r="I41" i="37"/>
  <c r="Q41" i="37" s="1"/>
  <c r="S40" i="37"/>
  <c r="R40" i="37"/>
  <c r="Q40" i="37"/>
  <c r="T39" i="37"/>
  <c r="S39" i="37"/>
  <c r="R39" i="37"/>
  <c r="Q39" i="37"/>
  <c r="T38" i="37"/>
  <c r="S38" i="37"/>
  <c r="R38" i="37"/>
  <c r="Q38" i="37"/>
  <c r="T37" i="37"/>
  <c r="S37" i="37"/>
  <c r="R37" i="37"/>
  <c r="Q37" i="37"/>
  <c r="T36" i="37"/>
  <c r="S36" i="37"/>
  <c r="R36" i="37"/>
  <c r="Q36" i="37"/>
  <c r="S35" i="37"/>
  <c r="R35" i="37"/>
  <c r="Q35" i="37"/>
  <c r="T34" i="37"/>
  <c r="S34" i="37"/>
  <c r="R34" i="37"/>
  <c r="Q34" i="37"/>
  <c r="S33" i="37"/>
  <c r="R33" i="37"/>
  <c r="Q33" i="37"/>
  <c r="T32" i="37"/>
  <c r="S32" i="37"/>
  <c r="J32" i="37"/>
  <c r="R32" i="37" s="1"/>
  <c r="I32" i="37"/>
  <c r="Q32" i="37" s="1"/>
  <c r="T31" i="37"/>
  <c r="S31" i="37"/>
  <c r="R31" i="37"/>
  <c r="Q31" i="37"/>
  <c r="S30" i="37"/>
  <c r="R30" i="37"/>
  <c r="Q30" i="37"/>
  <c r="T29" i="37"/>
  <c r="S29" i="37"/>
  <c r="R29" i="37"/>
  <c r="Q29" i="37"/>
  <c r="T28" i="37"/>
  <c r="R28" i="37"/>
  <c r="Q28" i="37"/>
  <c r="K28" i="37"/>
  <c r="S28" i="37" s="1"/>
  <c r="L27" i="37"/>
  <c r="T27" i="37" s="1"/>
  <c r="K27" i="37"/>
  <c r="S27" i="37" s="1"/>
  <c r="J27" i="37"/>
  <c r="R27" i="37" s="1"/>
  <c r="I27" i="37"/>
  <c r="Q27" i="37" s="1"/>
  <c r="L26" i="37"/>
  <c r="T26" i="37" s="1"/>
  <c r="K26" i="37"/>
  <c r="S26" i="37" s="1"/>
  <c r="J26" i="37"/>
  <c r="R26" i="37" s="1"/>
  <c r="I26" i="37"/>
  <c r="Q26" i="37" s="1"/>
  <c r="V20" i="37"/>
  <c r="U20" i="37"/>
  <c r="T20" i="37"/>
  <c r="S20" i="37"/>
  <c r="R20" i="37"/>
  <c r="Q20" i="37"/>
  <c r="V19" i="37"/>
  <c r="U19" i="37"/>
  <c r="T19" i="37"/>
  <c r="S19" i="37"/>
  <c r="R19" i="37"/>
  <c r="Q19" i="37"/>
  <c r="V18" i="37"/>
  <c r="U18" i="37"/>
  <c r="T18" i="37"/>
  <c r="S18" i="37"/>
  <c r="R18" i="37"/>
  <c r="Q18" i="37"/>
  <c r="V17" i="37"/>
  <c r="U17" i="37"/>
  <c r="T17" i="37"/>
  <c r="S17" i="37"/>
  <c r="R17" i="37"/>
  <c r="Q17" i="37"/>
  <c r="V16" i="37"/>
  <c r="U16" i="37"/>
  <c r="T16" i="37"/>
  <c r="S16" i="37"/>
  <c r="R16" i="37"/>
  <c r="Q16" i="37"/>
  <c r="V15" i="37"/>
  <c r="U15" i="37"/>
  <c r="T15" i="37"/>
  <c r="S15" i="37"/>
  <c r="R15" i="37"/>
  <c r="Q15" i="37"/>
  <c r="V8" i="37"/>
  <c r="U8" i="37"/>
  <c r="T8" i="37"/>
  <c r="S8" i="37"/>
  <c r="R8" i="37"/>
  <c r="Q8" i="37"/>
  <c r="V7" i="37"/>
  <c r="U7" i="37"/>
  <c r="T7" i="37"/>
  <c r="S7" i="37"/>
  <c r="R7" i="37"/>
  <c r="Q7" i="37"/>
  <c r="V6" i="37"/>
  <c r="U6" i="37"/>
  <c r="T6" i="37"/>
  <c r="S6" i="37"/>
  <c r="R6" i="37"/>
  <c r="Q6" i="37"/>
  <c r="V5" i="37"/>
  <c r="U5" i="37"/>
  <c r="T5" i="37"/>
  <c r="S5" i="37"/>
  <c r="R5" i="37"/>
  <c r="Q5" i="37"/>
  <c r="Y7" i="37" l="1"/>
  <c r="AB7" i="37" s="1"/>
  <c r="Y15" i="37"/>
  <c r="AA17" i="37" s="1"/>
  <c r="Y36" i="37"/>
  <c r="AB28" i="37" s="1"/>
  <c r="Y18" i="37"/>
  <c r="AB17" i="37" s="1"/>
  <c r="Y5" i="37"/>
  <c r="AA7" i="37" s="1"/>
  <c r="Y26" i="37"/>
  <c r="AA28" i="37" s="1"/>
  <c r="X26" i="37"/>
  <c r="AA27" i="37" s="1"/>
  <c r="X5" i="37"/>
  <c r="AA6" i="37" s="1"/>
  <c r="X7" i="37"/>
  <c r="AB6" i="37" s="1"/>
  <c r="X15" i="37"/>
  <c r="AA16" i="37" s="1"/>
  <c r="X18" i="37"/>
  <c r="AB16" i="37" s="1"/>
  <c r="X36" i="37"/>
  <c r="AB27" i="37" s="1"/>
  <c r="P33" i="36" l="1"/>
  <c r="O33" i="36"/>
  <c r="N33" i="36"/>
  <c r="M33" i="36"/>
  <c r="P32" i="36"/>
  <c r="O32" i="36"/>
  <c r="N32" i="36"/>
  <c r="M32" i="36"/>
  <c r="P31" i="36"/>
  <c r="O31" i="36"/>
  <c r="N31" i="36"/>
  <c r="M31" i="36"/>
  <c r="P30" i="36"/>
  <c r="O30" i="36"/>
  <c r="N30" i="36"/>
  <c r="M30" i="36"/>
  <c r="P29" i="36"/>
  <c r="O29" i="36"/>
  <c r="N29" i="36"/>
  <c r="M29" i="36"/>
  <c r="P28" i="36"/>
  <c r="O28" i="36"/>
  <c r="N28" i="36"/>
  <c r="M28" i="36"/>
  <c r="P27" i="36"/>
  <c r="O27" i="36"/>
  <c r="N27" i="36"/>
  <c r="M27" i="36"/>
  <c r="P26" i="36"/>
  <c r="O26" i="36"/>
  <c r="N26" i="36"/>
  <c r="M26" i="36"/>
  <c r="P23" i="36"/>
  <c r="O23" i="36"/>
  <c r="N23" i="36"/>
  <c r="M23" i="36"/>
  <c r="P22" i="36"/>
  <c r="O22" i="36"/>
  <c r="N22" i="36"/>
  <c r="M22" i="36"/>
  <c r="P21" i="36"/>
  <c r="O21" i="36"/>
  <c r="N21" i="36"/>
  <c r="M21" i="36"/>
  <c r="P20" i="36"/>
  <c r="O20" i="36"/>
  <c r="N20" i="36"/>
  <c r="M20" i="36"/>
  <c r="P19" i="36"/>
  <c r="O19" i="36"/>
  <c r="N19" i="36"/>
  <c r="M19" i="36"/>
  <c r="P18" i="36"/>
  <c r="O18" i="36"/>
  <c r="N18" i="36"/>
  <c r="M18" i="36"/>
  <c r="P17" i="36"/>
  <c r="O17" i="36"/>
  <c r="N17" i="36"/>
  <c r="M17" i="36"/>
  <c r="P16" i="36"/>
  <c r="O16" i="36"/>
  <c r="N16" i="36"/>
  <c r="M16" i="36"/>
  <c r="P13" i="36"/>
  <c r="O13" i="36"/>
  <c r="N13" i="36"/>
  <c r="M13" i="36"/>
  <c r="P12" i="36"/>
  <c r="O12" i="36"/>
  <c r="N12" i="36"/>
  <c r="M12" i="36"/>
  <c r="P11" i="36"/>
  <c r="O11" i="36"/>
  <c r="N11" i="36"/>
  <c r="M11" i="36"/>
  <c r="P10" i="36"/>
  <c r="O10" i="36"/>
  <c r="N10" i="36"/>
  <c r="M10" i="36"/>
  <c r="P9" i="36"/>
  <c r="O9" i="36"/>
  <c r="N9" i="36"/>
  <c r="M9" i="36"/>
  <c r="P8" i="36"/>
  <c r="O8" i="36"/>
  <c r="N8" i="36"/>
  <c r="M8" i="36"/>
  <c r="P7" i="36"/>
  <c r="O7" i="36"/>
  <c r="N7" i="36"/>
  <c r="M7" i="36"/>
  <c r="P6" i="36"/>
  <c r="O6" i="36"/>
  <c r="N6" i="36"/>
  <c r="M6" i="36"/>
  <c r="R6" i="36" s="1"/>
  <c r="V7" i="36" s="1"/>
  <c r="R26" i="36" l="1"/>
  <c r="V27" i="36" s="1"/>
  <c r="S6" i="36"/>
  <c r="V8" i="36" s="1"/>
  <c r="S10" i="36"/>
  <c r="W8" i="36" s="1"/>
  <c r="S26" i="36"/>
  <c r="V28" i="36" s="1"/>
  <c r="S30" i="36"/>
  <c r="W28" i="36" s="1"/>
  <c r="S16" i="36"/>
  <c r="V18" i="36" s="1"/>
  <c r="S20" i="36"/>
  <c r="W18" i="36" s="1"/>
  <c r="R10" i="36"/>
  <c r="W7" i="36" s="1"/>
  <c r="R30" i="36"/>
  <c r="W27" i="36" s="1"/>
  <c r="R16" i="36"/>
  <c r="V17" i="36" s="1"/>
  <c r="R20" i="36"/>
  <c r="W17" i="36" s="1"/>
  <c r="G36" i="35" l="1"/>
  <c r="H36" i="35" s="1"/>
  <c r="G35" i="35"/>
  <c r="H35" i="35" s="1"/>
  <c r="G34" i="35"/>
  <c r="H34" i="35" s="1"/>
  <c r="J34" i="35" s="1"/>
  <c r="G31" i="35"/>
  <c r="H31" i="35" s="1"/>
  <c r="G30" i="35"/>
  <c r="H30" i="35" s="1"/>
  <c r="G29" i="35"/>
  <c r="H29" i="35" s="1"/>
  <c r="G28" i="35"/>
  <c r="H28" i="35" s="1"/>
  <c r="G25" i="35"/>
  <c r="H25" i="35" s="1"/>
  <c r="G24" i="35"/>
  <c r="H24" i="35" s="1"/>
  <c r="G23" i="35"/>
  <c r="H23" i="35" s="1"/>
  <c r="G22" i="35"/>
  <c r="H22" i="35" s="1"/>
  <c r="G18" i="35"/>
  <c r="H18" i="35" s="1"/>
  <c r="G17" i="35"/>
  <c r="H17" i="35" s="1"/>
  <c r="G16" i="35"/>
  <c r="H16" i="35" s="1"/>
  <c r="G15" i="35"/>
  <c r="H15" i="35" s="1"/>
  <c r="G14" i="35"/>
  <c r="H14" i="35" s="1"/>
  <c r="G13" i="35"/>
  <c r="H13" i="35" s="1"/>
  <c r="G12" i="35"/>
  <c r="H12" i="35" s="1"/>
  <c r="G11" i="35"/>
  <c r="H11" i="35" s="1"/>
  <c r="G10" i="35"/>
  <c r="H10" i="35" s="1"/>
  <c r="G9" i="35"/>
  <c r="H9" i="35" s="1"/>
  <c r="G8" i="35"/>
  <c r="H8" i="35" s="1"/>
  <c r="G7" i="35"/>
  <c r="H7" i="35" s="1"/>
  <c r="G6" i="35"/>
  <c r="H6" i="35" s="1"/>
  <c r="J28" i="35" l="1"/>
  <c r="J31" i="35" s="1"/>
  <c r="K31" i="35" s="1"/>
  <c r="J6" i="35"/>
  <c r="J16" i="35" s="1"/>
  <c r="K16" i="35" s="1"/>
  <c r="J22" i="35"/>
  <c r="J25" i="35" s="1"/>
  <c r="K25" i="35" s="1"/>
  <c r="J35" i="35"/>
  <c r="K35" i="35" s="1"/>
  <c r="J30" i="35"/>
  <c r="K30" i="35" s="1"/>
  <c r="J36" i="35"/>
  <c r="K36" i="35" s="1"/>
  <c r="J10" i="35" l="1"/>
  <c r="K10" i="35" s="1"/>
  <c r="J11" i="35"/>
  <c r="K11" i="35" s="1"/>
  <c r="J15" i="35"/>
  <c r="K15" i="35" s="1"/>
  <c r="J9" i="35"/>
  <c r="K9" i="35" s="1"/>
  <c r="J14" i="35"/>
  <c r="K14" i="35" s="1"/>
  <c r="J18" i="35"/>
  <c r="K18" i="35" s="1"/>
  <c r="J13" i="35"/>
  <c r="K13" i="35" s="1"/>
  <c r="J24" i="35"/>
  <c r="K24" i="35" s="1"/>
  <c r="S7" i="35" s="1"/>
  <c r="J17" i="35"/>
  <c r="K17" i="35" s="1"/>
  <c r="J12" i="35"/>
  <c r="K12" i="35" s="1"/>
  <c r="S8" i="35" l="1"/>
  <c r="S9" i="35"/>
  <c r="T9" i="35"/>
  <c r="T7" i="35"/>
  <c r="T8" i="35"/>
  <c r="S20" i="34"/>
  <c r="P20" i="34"/>
  <c r="R20" i="34" s="1"/>
  <c r="X20" i="34" s="1"/>
  <c r="I20" i="34"/>
  <c r="F20" i="34"/>
  <c r="H20" i="34" s="1"/>
  <c r="S18" i="34"/>
  <c r="P18" i="34"/>
  <c r="R18" i="34" s="1"/>
  <c r="X18" i="34" s="1"/>
  <c r="I18" i="34"/>
  <c r="F18" i="34"/>
  <c r="H18" i="34" s="1"/>
  <c r="S16" i="34"/>
  <c r="P16" i="34"/>
  <c r="R16" i="34" s="1"/>
  <c r="X16" i="34" s="1"/>
  <c r="I16" i="34"/>
  <c r="F16" i="34"/>
  <c r="H16" i="34" s="1"/>
  <c r="S14" i="34"/>
  <c r="P14" i="34"/>
  <c r="R14" i="34" s="1"/>
  <c r="X14" i="34" s="1"/>
  <c r="I14" i="34"/>
  <c r="F14" i="34"/>
  <c r="H14" i="34" s="1"/>
  <c r="S12" i="34"/>
  <c r="P12" i="34"/>
  <c r="R12" i="34" s="1"/>
  <c r="X12" i="34" s="1"/>
  <c r="I12" i="34"/>
  <c r="F12" i="34"/>
  <c r="H12" i="34" s="1"/>
  <c r="S10" i="34"/>
  <c r="P10" i="34"/>
  <c r="R10" i="34" s="1"/>
  <c r="X10" i="34" s="1"/>
  <c r="I10" i="34"/>
  <c r="F10" i="34"/>
  <c r="H10" i="34" s="1"/>
  <c r="S8" i="34"/>
  <c r="P8" i="34"/>
  <c r="R8" i="34" s="1"/>
  <c r="X8" i="34" s="1"/>
  <c r="I8" i="34"/>
  <c r="F8" i="34"/>
  <c r="H8" i="34" s="1"/>
  <c r="S6" i="34"/>
  <c r="P6" i="34"/>
  <c r="R6" i="34" s="1"/>
  <c r="X6" i="34" s="1"/>
  <c r="I6" i="34"/>
  <c r="F6" i="34"/>
  <c r="H6" i="34" s="1"/>
  <c r="F4" i="34"/>
  <c r="H4" i="34" l="1"/>
  <c r="J4" i="34"/>
  <c r="W6" i="34"/>
  <c r="T4" i="34"/>
  <c r="T6" i="34"/>
  <c r="T8" i="34"/>
  <c r="T10" i="34"/>
  <c r="T12" i="34"/>
  <c r="T14" i="34"/>
  <c r="T16" i="34"/>
  <c r="T18" i="34"/>
  <c r="T20" i="34"/>
  <c r="W8" i="34"/>
  <c r="W10" i="34"/>
  <c r="W12" i="34"/>
  <c r="W14" i="34"/>
  <c r="W16" i="34"/>
  <c r="W18" i="34"/>
  <c r="W20" i="34"/>
  <c r="J6" i="34"/>
  <c r="J8" i="34"/>
  <c r="J10" i="34"/>
  <c r="J12" i="34"/>
  <c r="J14" i="34"/>
  <c r="J16" i="34"/>
  <c r="J18" i="34"/>
  <c r="J20" i="34"/>
  <c r="W4" i="34" l="1"/>
  <c r="X4" i="34"/>
  <c r="D19" i="32"/>
  <c r="D17" i="32"/>
  <c r="D15" i="32"/>
  <c r="D10" i="32"/>
  <c r="D8" i="32"/>
  <c r="D6" i="32"/>
  <c r="D4" i="32"/>
  <c r="D15" i="31"/>
  <c r="D13" i="31"/>
  <c r="D11" i="31"/>
  <c r="D9" i="31"/>
  <c r="D7" i="31"/>
  <c r="D5" i="31"/>
  <c r="G5" i="31" s="1"/>
  <c r="F15" i="32" l="1"/>
  <c r="H17" i="32" s="1"/>
  <c r="F4" i="32"/>
  <c r="F8" i="32"/>
  <c r="H4" i="32" s="1"/>
  <c r="H5" i="31"/>
  <c r="H6" i="31"/>
  <c r="G6" i="31"/>
  <c r="H7" i="31"/>
  <c r="G7" i="31"/>
  <c r="M4" i="32" l="1"/>
  <c r="G4" i="32"/>
  <c r="H19" i="32"/>
  <c r="H15" i="32"/>
  <c r="H10" i="32"/>
  <c r="H6" i="32"/>
  <c r="H8" i="32"/>
  <c r="H23" i="32"/>
  <c r="H21" i="32"/>
  <c r="N4" i="32" s="1"/>
  <c r="G15" i="32"/>
  <c r="E27" i="30"/>
  <c r="E26" i="30"/>
  <c r="E25" i="30"/>
  <c r="E24" i="30"/>
  <c r="E23" i="30"/>
  <c r="E22" i="30"/>
  <c r="E21" i="30"/>
  <c r="E20" i="30"/>
  <c r="E19" i="30"/>
  <c r="E18" i="30"/>
  <c r="E17" i="30"/>
  <c r="E16" i="30"/>
  <c r="E15" i="30"/>
  <c r="E14" i="30"/>
  <c r="E13" i="30"/>
  <c r="E12" i="30"/>
  <c r="E11" i="30"/>
  <c r="E10" i="30"/>
  <c r="E9" i="30"/>
  <c r="E8" i="30"/>
  <c r="E7" i="30"/>
  <c r="E6" i="30"/>
  <c r="E5" i="30"/>
  <c r="E4" i="30"/>
  <c r="E3" i="30"/>
  <c r="M5" i="32" l="1"/>
  <c r="N5" i="32"/>
  <c r="F23" i="30"/>
  <c r="F10" i="30"/>
  <c r="G5" i="30"/>
  <c r="G13" i="30"/>
  <c r="G21" i="30"/>
  <c r="G23" i="30"/>
  <c r="G10" i="30"/>
  <c r="G18" i="30"/>
  <c r="G15" i="30"/>
  <c r="G8" i="30"/>
  <c r="F15" i="30"/>
  <c r="G3" i="30"/>
  <c r="F18" i="30"/>
  <c r="G25" i="30"/>
  <c r="M15" i="30" s="1"/>
  <c r="F3" i="30"/>
  <c r="F8" i="30"/>
  <c r="F13" i="30"/>
  <c r="F21" i="30"/>
  <c r="F25" i="30"/>
  <c r="L15" i="30" s="1"/>
  <c r="F5" i="30"/>
  <c r="H20" i="29" l="1"/>
  <c r="H18" i="29"/>
  <c r="H16" i="29"/>
  <c r="H14" i="29"/>
  <c r="H12" i="29"/>
  <c r="H10" i="29"/>
  <c r="H8" i="29"/>
  <c r="H6" i="29"/>
  <c r="K4" i="29" l="1"/>
  <c r="L4" i="29"/>
  <c r="L5" i="29"/>
  <c r="K5" i="29"/>
  <c r="K6" i="29"/>
  <c r="L6" i="29"/>
  <c r="D13" i="26"/>
  <c r="D7" i="26"/>
  <c r="D12" i="26"/>
  <c r="D6" i="26"/>
  <c r="D11" i="26"/>
  <c r="D5" i="26"/>
  <c r="D10" i="26"/>
  <c r="D4" i="26"/>
  <c r="G5" i="26" l="1"/>
  <c r="H5" i="26"/>
  <c r="G7" i="26"/>
  <c r="H7" i="26"/>
  <c r="E42" i="23"/>
  <c r="E41" i="23"/>
  <c r="E40" i="23"/>
  <c r="E39" i="23"/>
  <c r="E38" i="23"/>
  <c r="E37" i="23"/>
  <c r="E36" i="23"/>
  <c r="E35" i="23"/>
  <c r="E34" i="23"/>
  <c r="E33" i="23"/>
  <c r="E32" i="23"/>
  <c r="E31" i="23"/>
  <c r="E30" i="23"/>
  <c r="E29" i="23"/>
  <c r="E28" i="23"/>
  <c r="E27" i="23"/>
  <c r="E26" i="23"/>
  <c r="E25" i="23"/>
  <c r="E24" i="23"/>
  <c r="E23" i="23"/>
  <c r="E18" i="23"/>
  <c r="E17" i="23"/>
  <c r="E16" i="23"/>
  <c r="E15" i="23"/>
  <c r="E14" i="23"/>
  <c r="E13" i="23"/>
  <c r="E12" i="23"/>
  <c r="E11" i="23"/>
  <c r="E10" i="23"/>
  <c r="E9" i="23"/>
  <c r="E8" i="23"/>
  <c r="E7" i="23"/>
  <c r="E6" i="23"/>
  <c r="E5" i="23"/>
  <c r="E4" i="23"/>
  <c r="E3" i="23"/>
  <c r="G5" i="23" l="1"/>
  <c r="G13" i="23"/>
  <c r="G35" i="23"/>
  <c r="M29" i="23" s="1"/>
  <c r="G10" i="23"/>
  <c r="M9" i="23" s="1"/>
  <c r="F10" i="23"/>
  <c r="L9" i="23" s="1"/>
  <c r="G29" i="23"/>
  <c r="M28" i="23" s="1"/>
  <c r="G8" i="23"/>
  <c r="F3" i="23"/>
  <c r="L6" i="23" s="1"/>
  <c r="G23" i="23"/>
  <c r="M27" i="23" s="1"/>
  <c r="G3" i="23"/>
  <c r="M6" i="23" s="1"/>
  <c r="F13" i="23"/>
  <c r="G16" i="23"/>
  <c r="M11" i="23" s="1"/>
  <c r="F35" i="23"/>
  <c r="L29" i="23" s="1"/>
  <c r="F23" i="23"/>
  <c r="L27" i="23" s="1"/>
  <c r="F8" i="23"/>
  <c r="F5" i="23"/>
  <c r="F16" i="23"/>
  <c r="L11" i="23" s="1"/>
  <c r="F29" i="23"/>
  <c r="L28" i="23" s="1"/>
  <c r="E25" i="22" l="1"/>
  <c r="E24" i="22"/>
  <c r="E23" i="22"/>
  <c r="E22" i="22"/>
  <c r="E19" i="22"/>
  <c r="E18" i="22"/>
  <c r="E17" i="22"/>
  <c r="E16" i="22"/>
  <c r="E13" i="22"/>
  <c r="E12" i="22"/>
  <c r="E11" i="22"/>
  <c r="E10" i="22"/>
  <c r="D29" i="22" s="1"/>
  <c r="E7" i="22"/>
  <c r="E6" i="22"/>
  <c r="E5" i="22"/>
  <c r="C32" i="22" l="1"/>
  <c r="E32" i="22"/>
  <c r="E30" i="22"/>
  <c r="D30" i="22"/>
  <c r="F30" i="22"/>
  <c r="D31" i="22"/>
  <c r="D32" i="22"/>
  <c r="F32" i="22"/>
  <c r="C30" i="22"/>
  <c r="C31" i="22"/>
  <c r="E31" i="22"/>
  <c r="C29" i="22"/>
  <c r="E29" i="22"/>
  <c r="H31" i="22" l="1"/>
  <c r="I31" i="22" s="1"/>
  <c r="G31" i="22"/>
  <c r="H32" i="22"/>
  <c r="I32" i="22" s="1"/>
  <c r="G32" i="22"/>
  <c r="G30" i="22"/>
  <c r="H30" i="22"/>
  <c r="I30" i="22" s="1"/>
  <c r="H29" i="22"/>
  <c r="G29" i="22"/>
  <c r="I29" i="22" s="1"/>
  <c r="F29" i="20"/>
  <c r="F28" i="20"/>
  <c r="F27" i="20"/>
  <c r="F26" i="20"/>
  <c r="G35" i="20" s="1"/>
  <c r="F17" i="20"/>
  <c r="E38" i="20" s="1"/>
  <c r="F16" i="20"/>
  <c r="F15" i="20"/>
  <c r="F14" i="20"/>
  <c r="E35" i="20" s="1"/>
  <c r="F11" i="20"/>
  <c r="D35" i="20" s="1"/>
  <c r="F10" i="20"/>
  <c r="F6" i="20"/>
  <c r="F5" i="20"/>
  <c r="C38" i="20" s="1"/>
  <c r="D36" i="20" l="1"/>
  <c r="I38" i="20"/>
  <c r="J38" i="20" s="1"/>
  <c r="I35" i="20"/>
  <c r="H35" i="20"/>
  <c r="G36" i="20"/>
  <c r="G38" i="20"/>
  <c r="H38" i="20" s="1"/>
  <c r="E36" i="20"/>
  <c r="I36" i="20" l="1"/>
  <c r="J36" i="20" s="1"/>
  <c r="H36" i="20"/>
  <c r="H27" i="17"/>
  <c r="I27" i="17" s="1"/>
  <c r="H26" i="17"/>
  <c r="I26" i="17" s="1"/>
  <c r="H25" i="17"/>
  <c r="I25" i="17" s="1"/>
  <c r="H24" i="17"/>
  <c r="I24" i="17" s="1"/>
  <c r="H23" i="17"/>
  <c r="I23" i="17" s="1"/>
  <c r="H22" i="17"/>
  <c r="I22" i="17" s="1"/>
  <c r="H21" i="17"/>
  <c r="I21" i="17" s="1"/>
  <c r="H20" i="17"/>
  <c r="I20" i="17" s="1"/>
  <c r="H17" i="17"/>
  <c r="I17" i="17" s="1"/>
  <c r="H16" i="17"/>
  <c r="I16" i="17" s="1"/>
  <c r="H15" i="17"/>
  <c r="I15" i="17" s="1"/>
  <c r="H14" i="17"/>
  <c r="I14" i="17" s="1"/>
  <c r="H13" i="17"/>
  <c r="I13" i="17" s="1"/>
  <c r="H12" i="17"/>
  <c r="I12" i="17" s="1"/>
  <c r="H9" i="17"/>
  <c r="I9" i="17" s="1"/>
  <c r="H8" i="17"/>
  <c r="I8" i="17" s="1"/>
  <c r="H7" i="17"/>
  <c r="I7" i="17" s="1"/>
  <c r="H6" i="17"/>
  <c r="I6" i="17" s="1"/>
  <c r="K6" i="17" l="1"/>
  <c r="K20" i="17"/>
  <c r="K24" i="17" s="1"/>
  <c r="L24" i="17" s="1"/>
  <c r="K12" i="17"/>
  <c r="K17" i="17" s="1"/>
  <c r="L17" i="17" s="1"/>
  <c r="K8" i="17"/>
  <c r="L8" i="17" s="1"/>
  <c r="K9" i="17"/>
  <c r="L9" i="17" s="1"/>
  <c r="K26" i="17" l="1"/>
  <c r="L26" i="17" s="1"/>
  <c r="K23" i="17"/>
  <c r="L23" i="17" s="1"/>
  <c r="K25" i="17"/>
  <c r="L25" i="17" s="1"/>
  <c r="K22" i="17"/>
  <c r="L22" i="17" s="1"/>
  <c r="K27" i="17"/>
  <c r="L27" i="17" s="1"/>
  <c r="K16" i="17"/>
  <c r="L16" i="17" s="1"/>
  <c r="K15" i="17"/>
  <c r="L15" i="17" s="1"/>
  <c r="Q11" i="17" l="1"/>
  <c r="Q10" i="17"/>
  <c r="P11" i="17"/>
  <c r="P10" i="17"/>
  <c r="E8" i="18"/>
  <c r="E7" i="18" s="1"/>
  <c r="F7" i="18" s="1"/>
  <c r="E3" i="18" l="1"/>
  <c r="F3" i="18" s="1"/>
  <c r="E5" i="18"/>
  <c r="F5" i="18" s="1"/>
  <c r="E6" i="18"/>
  <c r="F6" i="18" s="1"/>
  <c r="E4" i="18"/>
  <c r="F4" i="18" s="1"/>
  <c r="G25" i="16"/>
  <c r="H25" i="16" s="1"/>
  <c r="G24" i="16"/>
  <c r="H24" i="16" s="1"/>
  <c r="G23" i="16"/>
  <c r="H23" i="16" s="1"/>
  <c r="G22" i="16"/>
  <c r="H22" i="16" s="1"/>
  <c r="G21" i="16"/>
  <c r="H21" i="16" s="1"/>
  <c r="G20" i="16"/>
  <c r="H20" i="16" s="1"/>
  <c r="G18" i="16"/>
  <c r="H18" i="16" s="1"/>
  <c r="G17" i="16"/>
  <c r="H17" i="16" s="1"/>
  <c r="G16" i="16"/>
  <c r="H16" i="16" s="1"/>
  <c r="G15" i="16"/>
  <c r="H15" i="16" s="1"/>
  <c r="G14" i="16"/>
  <c r="H14" i="16" s="1"/>
  <c r="G13" i="16"/>
  <c r="H13" i="16" s="1"/>
  <c r="G11" i="16"/>
  <c r="H11" i="16" s="1"/>
  <c r="G10" i="16"/>
  <c r="H10" i="16" s="1"/>
  <c r="G9" i="16"/>
  <c r="H9" i="16" s="1"/>
  <c r="G8" i="16"/>
  <c r="H8" i="16" s="1"/>
  <c r="G7" i="16"/>
  <c r="H7" i="16" s="1"/>
  <c r="G6" i="16"/>
  <c r="H6" i="16" s="1"/>
  <c r="H3" i="18" l="1"/>
  <c r="H5" i="18"/>
  <c r="J20" i="16"/>
  <c r="J24" i="16" s="1"/>
  <c r="K24" i="16" s="1"/>
  <c r="G5" i="18"/>
  <c r="J13" i="16"/>
  <c r="J17" i="16" s="1"/>
  <c r="K17" i="16" s="1"/>
  <c r="J6" i="16"/>
  <c r="J11" i="16" s="1"/>
  <c r="K11" i="16" s="1"/>
  <c r="G3" i="18"/>
  <c r="J25" i="16" l="1"/>
  <c r="K25" i="16" s="1"/>
  <c r="J23" i="16"/>
  <c r="K23" i="16" s="1"/>
  <c r="J9" i="16"/>
  <c r="K9" i="16" s="1"/>
  <c r="J10" i="16"/>
  <c r="K10" i="16" s="1"/>
  <c r="J18" i="16"/>
  <c r="K18" i="16" s="1"/>
  <c r="S7" i="16" s="1"/>
  <c r="J16" i="16"/>
  <c r="K16" i="16" s="1"/>
  <c r="T7" i="16" l="1"/>
  <c r="S8" i="16"/>
  <c r="T8" i="16"/>
  <c r="T9" i="16"/>
  <c r="S9" i="16"/>
  <c r="D202" i="15"/>
  <c r="D206" i="15" s="1"/>
  <c r="D195" i="15"/>
  <c r="D199" i="15" s="1"/>
  <c r="D190" i="15"/>
  <c r="D192" i="15" s="1"/>
  <c r="D185" i="15"/>
  <c r="D187" i="15" s="1"/>
  <c r="D177" i="15"/>
  <c r="D182" i="15" s="1"/>
  <c r="D169" i="15"/>
  <c r="D174" i="15" s="1"/>
  <c r="D161" i="15"/>
  <c r="D166" i="15" s="1"/>
  <c r="D153" i="15"/>
  <c r="D158" i="15" s="1"/>
  <c r="D146" i="15"/>
  <c r="D150" i="15" s="1"/>
  <c r="D139" i="15"/>
  <c r="D143" i="15" s="1"/>
  <c r="D135" i="15"/>
  <c r="D136" i="15" s="1"/>
  <c r="D131" i="15"/>
  <c r="D132" i="15" s="1"/>
  <c r="D125" i="15"/>
  <c r="D128" i="15" s="1"/>
  <c r="D119" i="15"/>
  <c r="D122" i="15" s="1"/>
  <c r="D113" i="15"/>
  <c r="D116" i="15" s="1"/>
  <c r="D105" i="15"/>
  <c r="D110" i="15" s="1"/>
  <c r="D95" i="15"/>
  <c r="D100" i="15" s="1"/>
  <c r="D88" i="15"/>
  <c r="D92" i="15" s="1"/>
  <c r="D80" i="15"/>
  <c r="D85" i="15" s="1"/>
  <c r="D72" i="15"/>
  <c r="D76" i="15" s="1"/>
  <c r="D64" i="15"/>
  <c r="D68" i="15" s="1"/>
  <c r="D56" i="15"/>
  <c r="D60" i="15" s="1"/>
  <c r="D48" i="15"/>
  <c r="D53" i="15" s="1"/>
  <c r="D40" i="15"/>
  <c r="D45" i="15" s="1"/>
  <c r="D33" i="15"/>
  <c r="D37" i="15" s="1"/>
  <c r="D26" i="15"/>
  <c r="D30" i="15" s="1"/>
  <c r="D19" i="15"/>
  <c r="D23" i="15" s="1"/>
  <c r="D12" i="15"/>
  <c r="D16" i="15" s="1"/>
  <c r="D5" i="15"/>
  <c r="D9" i="15" s="1"/>
  <c r="D84" i="15" l="1"/>
  <c r="D101" i="15"/>
  <c r="D61" i="15"/>
  <c r="K7" i="15" s="1"/>
  <c r="D165" i="15"/>
  <c r="D102" i="15"/>
  <c r="K6" i="15"/>
  <c r="L6" i="15"/>
  <c r="M6" i="15" s="1"/>
  <c r="L10" i="15"/>
  <c r="M10" i="15" s="1"/>
  <c r="K10" i="15"/>
  <c r="L13" i="15"/>
  <c r="M13" i="15" s="1"/>
  <c r="K13" i="15"/>
  <c r="L11" i="15"/>
  <c r="M11" i="15" s="1"/>
  <c r="K11" i="15"/>
  <c r="K12" i="15"/>
  <c r="L12" i="15"/>
  <c r="M12" i="15" s="1"/>
  <c r="D44" i="15"/>
  <c r="D69" i="15"/>
  <c r="D52" i="15"/>
  <c r="D93" i="15"/>
  <c r="D157" i="15"/>
  <c r="D77" i="15"/>
  <c r="D181" i="15"/>
  <c r="D108" i="15"/>
  <c r="D173" i="15"/>
  <c r="D109" i="15"/>
  <c r="D99" i="15"/>
  <c r="L7" i="15" l="1"/>
  <c r="M7" i="15" s="1"/>
  <c r="L8" i="15"/>
  <c r="M8" i="15" s="1"/>
  <c r="L9" i="15"/>
  <c r="M9" i="15" s="1"/>
  <c r="K9" i="15"/>
  <c r="K8" i="15"/>
  <c r="L14" i="15"/>
  <c r="M14" i="15" s="1"/>
  <c r="K14" i="15"/>
  <c r="D35" i="14" l="1"/>
  <c r="D48" i="14" s="1"/>
  <c r="D25" i="14"/>
  <c r="D29" i="14" s="1"/>
  <c r="D5" i="14"/>
  <c r="D18" i="14" s="1"/>
  <c r="D11" i="14" l="1"/>
  <c r="D9" i="14"/>
  <c r="D19" i="14"/>
  <c r="D20" i="14"/>
  <c r="D30" i="14"/>
  <c r="D41" i="14"/>
  <c r="D12" i="14"/>
  <c r="D21" i="14"/>
  <c r="D31" i="14"/>
  <c r="D42" i="14"/>
  <c r="D14" i="14"/>
  <c r="D22" i="14"/>
  <c r="D32" i="14"/>
  <c r="D43" i="14"/>
  <c r="D45" i="14"/>
  <c r="D10" i="14"/>
  <c r="D16" i="14"/>
  <c r="D27" i="14"/>
  <c r="D38" i="14"/>
  <c r="D46" i="14"/>
  <c r="D44" i="14"/>
  <c r="D7" i="14"/>
  <c r="D13" i="14"/>
  <c r="D17" i="14"/>
  <c r="D28" i="14"/>
  <c r="D39" i="14"/>
  <c r="D47" i="14"/>
  <c r="D15" i="14"/>
  <c r="D37" i="14"/>
  <c r="D8" i="14"/>
  <c r="D40" i="14"/>
  <c r="K10" i="14" l="1"/>
  <c r="J14" i="14"/>
  <c r="K9" i="14"/>
  <c r="J10" i="14"/>
  <c r="K14" i="14"/>
  <c r="K13" i="14"/>
  <c r="K11" i="14"/>
  <c r="J11" i="14"/>
  <c r="K8" i="14"/>
  <c r="J8" i="14"/>
  <c r="J9" i="14"/>
  <c r="J13" i="14"/>
  <c r="J12" i="14"/>
  <c r="K12" i="14"/>
  <c r="F43" i="13" l="1"/>
  <c r="G43" i="13" s="1"/>
  <c r="F42" i="13"/>
  <c r="G42" i="13" s="1"/>
  <c r="F41" i="13"/>
  <c r="G41" i="13" s="1"/>
  <c r="F40" i="13"/>
  <c r="G40" i="13" s="1"/>
  <c r="F39" i="13"/>
  <c r="G39" i="13" s="1"/>
  <c r="F38" i="13"/>
  <c r="G38" i="13" s="1"/>
  <c r="F37" i="13"/>
  <c r="G37" i="13" s="1"/>
  <c r="F36" i="13"/>
  <c r="G36" i="13" s="1"/>
  <c r="F35" i="13"/>
  <c r="G35" i="13" s="1"/>
  <c r="F34" i="13"/>
  <c r="G34" i="13" s="1"/>
  <c r="F33" i="13"/>
  <c r="G33" i="13" s="1"/>
  <c r="F32" i="13"/>
  <c r="G32" i="13" s="1"/>
  <c r="F22" i="13"/>
  <c r="G22" i="13" s="1"/>
  <c r="F21" i="13"/>
  <c r="G21" i="13" s="1"/>
  <c r="F20" i="13"/>
  <c r="G20" i="13" s="1"/>
  <c r="F19" i="13"/>
  <c r="G19" i="13" s="1"/>
  <c r="F18" i="13"/>
  <c r="G18" i="13" s="1"/>
  <c r="F17" i="13"/>
  <c r="G17" i="13" s="1"/>
  <c r="F12" i="13"/>
  <c r="G12" i="13" s="1"/>
  <c r="F11" i="13"/>
  <c r="G11" i="13" s="1"/>
  <c r="F10" i="13"/>
  <c r="G10" i="13" s="1"/>
  <c r="F9" i="13"/>
  <c r="G9" i="13" s="1"/>
  <c r="F8" i="13"/>
  <c r="G8" i="13" s="1"/>
  <c r="F7" i="13"/>
  <c r="G7" i="13" s="1"/>
  <c r="F6" i="13"/>
  <c r="G6" i="13" s="1"/>
  <c r="F5" i="13"/>
  <c r="G5" i="13" s="1"/>
  <c r="J15" i="13" l="1"/>
  <c r="J20" i="13" s="1"/>
  <c r="K20" i="13" s="1"/>
  <c r="J3" i="13"/>
  <c r="J8" i="13" s="1"/>
  <c r="K8" i="13" s="1"/>
  <c r="J31" i="13"/>
  <c r="J36" i="13" s="1"/>
  <c r="K36" i="13" s="1"/>
  <c r="J35" i="13" l="1"/>
  <c r="K35" i="13" s="1"/>
  <c r="J19" i="13"/>
  <c r="K19" i="13" s="1"/>
  <c r="J22" i="13"/>
  <c r="K22" i="13" s="1"/>
  <c r="J41" i="13"/>
  <c r="K41" i="13" s="1"/>
  <c r="J38" i="13"/>
  <c r="K38" i="13" s="1"/>
  <c r="J18" i="13"/>
  <c r="K18" i="13" s="1"/>
  <c r="J21" i="13"/>
  <c r="K21" i="13" s="1"/>
  <c r="J33" i="13"/>
  <c r="K33" i="13" s="1"/>
  <c r="J40" i="13"/>
  <c r="K40" i="13" s="1"/>
  <c r="J34" i="13"/>
  <c r="K34" i="13" s="1"/>
  <c r="J39" i="13"/>
  <c r="K39" i="13" s="1"/>
  <c r="J42" i="13"/>
  <c r="K42" i="13" s="1"/>
  <c r="J10" i="13"/>
  <c r="K10" i="13" s="1"/>
  <c r="J5" i="13"/>
  <c r="K5" i="13" s="1"/>
  <c r="J12" i="13"/>
  <c r="K12" i="13" s="1"/>
  <c r="J7" i="13"/>
  <c r="K7" i="13" s="1"/>
  <c r="J9" i="13"/>
  <c r="K9" i="13" s="1"/>
  <c r="J6" i="13"/>
  <c r="K6" i="13" s="1"/>
  <c r="J17" i="13"/>
  <c r="K17" i="13" s="1"/>
  <c r="J37" i="13"/>
  <c r="K37" i="13" s="1"/>
  <c r="J43" i="13"/>
  <c r="K43" i="13" s="1"/>
  <c r="J32" i="13"/>
  <c r="K32" i="13" s="1"/>
  <c r="J11" i="13"/>
  <c r="K11" i="13" s="1"/>
  <c r="O39" i="13" l="1"/>
  <c r="U8" i="13"/>
  <c r="U7" i="13"/>
  <c r="T7" i="13"/>
  <c r="N39" i="13"/>
  <c r="O38" i="13"/>
  <c r="N38" i="13"/>
  <c r="T8" i="13"/>
  <c r="G8" i="12" l="1"/>
  <c r="H8" i="12" s="1"/>
  <c r="G7" i="12"/>
  <c r="H7" i="12" s="1"/>
  <c r="G6" i="12"/>
  <c r="H6" i="12" s="1"/>
  <c r="G5" i="12"/>
  <c r="H5" i="12" s="1"/>
  <c r="I5" i="12" l="1"/>
  <c r="K6" i="12" s="1"/>
  <c r="L6" i="12" s="1"/>
  <c r="K7" i="12" l="1"/>
  <c r="L7" i="12" s="1"/>
  <c r="K5" i="12"/>
  <c r="L5" i="12" s="1"/>
  <c r="R5" i="12" s="1"/>
  <c r="K8" i="12"/>
  <c r="L8" i="12" s="1"/>
  <c r="S6" i="12"/>
  <c r="S5" i="12" l="1"/>
  <c r="R6" i="12"/>
  <c r="F13" i="11"/>
  <c r="G13" i="11" s="1"/>
  <c r="F12" i="11"/>
  <c r="G12" i="11" s="1"/>
  <c r="F11" i="11"/>
  <c r="G11" i="11" s="1"/>
  <c r="F10" i="11"/>
  <c r="G10" i="11" s="1"/>
  <c r="F7" i="11"/>
  <c r="G7" i="11" s="1"/>
  <c r="F6" i="11"/>
  <c r="G6" i="11" s="1"/>
  <c r="F5" i="11"/>
  <c r="G5" i="11" s="1"/>
  <c r="H5" i="11" l="1"/>
  <c r="J7" i="11" s="1"/>
  <c r="K7" i="11" s="1"/>
  <c r="H10" i="11"/>
  <c r="J13" i="11" s="1"/>
  <c r="K13" i="11" s="1"/>
  <c r="J11" i="11" l="1"/>
  <c r="K11" i="11" s="1"/>
  <c r="J10" i="11"/>
  <c r="K10" i="11" s="1"/>
  <c r="J6" i="11"/>
  <c r="K6" i="11" s="1"/>
  <c r="J5" i="11"/>
  <c r="K5" i="11" s="1"/>
  <c r="J12" i="11"/>
  <c r="K12" i="11" s="1"/>
  <c r="R6" i="11" s="1"/>
  <c r="Q6" i="11" l="1"/>
  <c r="R5" i="11"/>
  <c r="Q5" i="11"/>
  <c r="S45" i="9" l="1"/>
  <c r="R45" i="9"/>
  <c r="Q45" i="9"/>
  <c r="S44" i="9"/>
  <c r="R44" i="9"/>
  <c r="Q44" i="9"/>
  <c r="T43" i="9"/>
  <c r="S43" i="9"/>
  <c r="R43" i="9"/>
  <c r="Q43" i="9"/>
  <c r="T42" i="9"/>
  <c r="S42" i="9"/>
  <c r="R42" i="9"/>
  <c r="Q42" i="9"/>
  <c r="T41" i="9"/>
  <c r="S41" i="9"/>
  <c r="R41" i="9"/>
  <c r="I41" i="9"/>
  <c r="Q41" i="9" s="1"/>
  <c r="S40" i="9"/>
  <c r="R40" i="9"/>
  <c r="Q40" i="9"/>
  <c r="T39" i="9"/>
  <c r="S39" i="9"/>
  <c r="R39" i="9"/>
  <c r="Q39" i="9"/>
  <c r="T38" i="9"/>
  <c r="S38" i="9"/>
  <c r="R38" i="9"/>
  <c r="Q38" i="9"/>
  <c r="T37" i="9"/>
  <c r="S37" i="9"/>
  <c r="R37" i="9"/>
  <c r="Q37" i="9"/>
  <c r="T36" i="9"/>
  <c r="S36" i="9"/>
  <c r="R36" i="9"/>
  <c r="Q36" i="9"/>
  <c r="S35" i="9"/>
  <c r="R35" i="9"/>
  <c r="Q35" i="9"/>
  <c r="T34" i="9"/>
  <c r="S34" i="9"/>
  <c r="R34" i="9"/>
  <c r="Q34" i="9"/>
  <c r="S33" i="9"/>
  <c r="R33" i="9"/>
  <c r="Q33" i="9"/>
  <c r="T32" i="9"/>
  <c r="S32" i="9"/>
  <c r="J32" i="9"/>
  <c r="R32" i="9" s="1"/>
  <c r="I32" i="9"/>
  <c r="Q32" i="9" s="1"/>
  <c r="T31" i="9"/>
  <c r="S31" i="9"/>
  <c r="R31" i="9"/>
  <c r="Q31" i="9"/>
  <c r="S30" i="9"/>
  <c r="R30" i="9"/>
  <c r="Q30" i="9"/>
  <c r="T29" i="9"/>
  <c r="S29" i="9"/>
  <c r="R29" i="9"/>
  <c r="Q29" i="9"/>
  <c r="T28" i="9"/>
  <c r="R28" i="9"/>
  <c r="Q28" i="9"/>
  <c r="K28" i="9"/>
  <c r="S28" i="9" s="1"/>
  <c r="L27" i="9"/>
  <c r="T27" i="9" s="1"/>
  <c r="K27" i="9"/>
  <c r="S27" i="9" s="1"/>
  <c r="J27" i="9"/>
  <c r="R27" i="9" s="1"/>
  <c r="I27" i="9"/>
  <c r="Q27" i="9" s="1"/>
  <c r="L26" i="9"/>
  <c r="T26" i="9" s="1"/>
  <c r="K26" i="9"/>
  <c r="S26" i="9" s="1"/>
  <c r="J26" i="9"/>
  <c r="R26" i="9" s="1"/>
  <c r="I26" i="9"/>
  <c r="Q26" i="9" s="1"/>
  <c r="V20" i="9"/>
  <c r="U20" i="9"/>
  <c r="T20" i="9"/>
  <c r="S20" i="9"/>
  <c r="R20" i="9"/>
  <c r="Q20" i="9"/>
  <c r="V19" i="9"/>
  <c r="U19" i="9"/>
  <c r="T19" i="9"/>
  <c r="S19" i="9"/>
  <c r="R19" i="9"/>
  <c r="Q19" i="9"/>
  <c r="V18" i="9"/>
  <c r="U18" i="9"/>
  <c r="T18" i="9"/>
  <c r="S18" i="9"/>
  <c r="R18" i="9"/>
  <c r="Q18" i="9"/>
  <c r="V17" i="9"/>
  <c r="U17" i="9"/>
  <c r="T17" i="9"/>
  <c r="S17" i="9"/>
  <c r="R17" i="9"/>
  <c r="Q17" i="9"/>
  <c r="V16" i="9"/>
  <c r="U16" i="9"/>
  <c r="T16" i="9"/>
  <c r="S16" i="9"/>
  <c r="R16" i="9"/>
  <c r="Q16" i="9"/>
  <c r="V15" i="9"/>
  <c r="U15" i="9"/>
  <c r="T15" i="9"/>
  <c r="S15" i="9"/>
  <c r="R15" i="9"/>
  <c r="Q15" i="9"/>
  <c r="V8" i="9"/>
  <c r="U8" i="9"/>
  <c r="T8" i="9"/>
  <c r="S8" i="9"/>
  <c r="R8" i="9"/>
  <c r="Q8" i="9"/>
  <c r="V7" i="9"/>
  <c r="U7" i="9"/>
  <c r="T7" i="9"/>
  <c r="S7" i="9"/>
  <c r="R7" i="9"/>
  <c r="Q7" i="9"/>
  <c r="V6" i="9"/>
  <c r="U6" i="9"/>
  <c r="T6" i="9"/>
  <c r="S6" i="9"/>
  <c r="R6" i="9"/>
  <c r="Q6" i="9"/>
  <c r="V5" i="9"/>
  <c r="U5" i="9"/>
  <c r="T5" i="9"/>
  <c r="S5" i="9"/>
  <c r="R5" i="9"/>
  <c r="Q5" i="9"/>
  <c r="X15" i="9" l="1"/>
  <c r="AD19" i="9" s="1"/>
  <c r="X5" i="9"/>
  <c r="AC6" i="9" s="1"/>
  <c r="X26" i="9"/>
  <c r="Z37" i="9" s="1"/>
  <c r="AA18" i="9" l="1"/>
  <c r="Z20" i="9"/>
  <c r="Z15" i="9"/>
  <c r="AA17" i="9"/>
  <c r="AD18" i="9"/>
  <c r="AE18" i="9"/>
  <c r="AC19" i="9"/>
  <c r="AB16" i="9"/>
  <c r="AD20" i="9"/>
  <c r="AC15" i="9"/>
  <c r="AB19" i="9"/>
  <c r="AA20" i="9"/>
  <c r="AE19" i="9"/>
  <c r="AB15" i="9"/>
  <c r="Z18" i="9"/>
  <c r="Z17" i="9"/>
  <c r="AB18" i="9"/>
  <c r="AC20" i="9"/>
  <c r="AA16" i="9"/>
  <c r="AC16" i="9"/>
  <c r="AE20" i="9"/>
  <c r="AE15" i="9"/>
  <c r="AE16" i="9"/>
  <c r="AB20" i="9"/>
  <c r="AD17" i="9"/>
  <c r="AB17" i="9"/>
  <c r="Z19" i="9"/>
  <c r="AA19" i="9"/>
  <c r="AC17" i="9"/>
  <c r="Z16" i="9"/>
  <c r="AA15" i="9"/>
  <c r="AE17" i="9"/>
  <c r="AD16" i="9"/>
  <c r="AD15" i="9"/>
  <c r="AC18" i="9"/>
  <c r="AA42" i="9"/>
  <c r="AC36" i="9"/>
  <c r="Z40" i="9"/>
  <c r="AE8" i="9"/>
  <c r="Z5" i="9"/>
  <c r="AB44" i="9"/>
  <c r="AA35" i="9"/>
  <c r="Z34" i="9"/>
  <c r="AB35" i="9"/>
  <c r="AA41" i="9"/>
  <c r="AB5" i="9"/>
  <c r="AC5" i="9"/>
  <c r="AB32" i="9"/>
  <c r="AC28" i="9"/>
  <c r="AA38" i="9"/>
  <c r="AC34" i="9"/>
  <c r="Z29" i="9"/>
  <c r="Z32" i="9"/>
  <c r="AC29" i="9"/>
  <c r="AA34" i="9"/>
  <c r="AB30" i="9"/>
  <c r="AB28" i="9"/>
  <c r="Z41" i="9"/>
  <c r="AA43" i="9"/>
  <c r="AA6" i="9"/>
  <c r="Z44" i="9"/>
  <c r="AB45" i="9"/>
  <c r="Z38" i="9"/>
  <c r="AB40" i="9"/>
  <c r="AB34" i="9"/>
  <c r="Z26" i="9"/>
  <c r="Z42" i="9"/>
  <c r="AB36" i="9"/>
  <c r="AA37" i="9"/>
  <c r="Z35" i="9"/>
  <c r="AA45" i="9"/>
  <c r="AB31" i="9"/>
  <c r="AA39" i="9"/>
  <c r="AA44" i="9"/>
  <c r="AA33" i="9"/>
  <c r="AB7" i="9"/>
  <c r="AD8" i="9"/>
  <c r="AA26" i="9"/>
  <c r="AC27" i="9"/>
  <c r="AC31" i="9"/>
  <c r="Z45" i="9"/>
  <c r="Z43" i="9"/>
  <c r="Z6" i="9"/>
  <c r="AB6" i="9"/>
  <c r="AB29" i="9"/>
  <c r="AA29" i="9"/>
  <c r="AA40" i="9"/>
  <c r="Z30" i="9"/>
  <c r="AA31" i="9"/>
  <c r="AB33" i="9"/>
  <c r="AC45" i="9"/>
  <c r="AC33" i="9"/>
  <c r="AC35" i="9"/>
  <c r="AC30" i="9"/>
  <c r="Z36" i="9"/>
  <c r="AB43" i="9"/>
  <c r="AC32" i="9"/>
  <c r="AB37" i="9"/>
  <c r="AB41" i="9"/>
  <c r="Z28" i="9"/>
  <c r="AC26" i="9"/>
  <c r="AB26" i="9"/>
  <c r="AB42" i="9"/>
  <c r="AC43" i="9"/>
  <c r="AB39" i="9"/>
  <c r="Z31" i="9"/>
  <c r="AC40" i="9"/>
  <c r="AC37" i="9"/>
  <c r="AC44" i="9"/>
  <c r="AC41" i="9"/>
  <c r="AA28" i="9"/>
  <c r="AC38" i="9"/>
  <c r="AB27" i="9"/>
  <c r="AC42" i="9"/>
  <c r="AB38" i="9"/>
  <c r="AA27" i="9"/>
  <c r="AC39" i="9"/>
  <c r="AC8" i="9"/>
  <c r="AA7" i="9"/>
  <c r="AB8" i="9"/>
  <c r="AE5" i="9"/>
  <c r="Z7" i="9"/>
  <c r="AD5" i="9"/>
  <c r="AA5" i="9"/>
  <c r="Z8" i="9"/>
  <c r="AE7" i="9"/>
  <c r="AE6" i="9"/>
  <c r="AD7" i="9"/>
  <c r="AD6" i="9"/>
  <c r="AA8" i="9"/>
  <c r="AC7" i="9"/>
  <c r="AA36" i="9"/>
  <c r="Z27" i="9"/>
  <c r="Z39" i="9"/>
  <c r="AA30" i="9"/>
  <c r="Z33" i="9"/>
  <c r="AA32" i="9"/>
  <c r="AG18" i="9" l="1"/>
  <c r="AH18" i="9" s="1"/>
  <c r="AN17" i="9" s="1"/>
  <c r="AF18" i="9"/>
  <c r="AN16" i="9" s="1"/>
  <c r="AG26" i="9"/>
  <c r="AH26" i="9" s="1"/>
  <c r="AM28" i="9" s="1"/>
  <c r="AG15" i="9"/>
  <c r="AH15" i="9" s="1"/>
  <c r="AM17" i="9" s="1"/>
  <c r="AF15" i="9"/>
  <c r="AM16" i="9" s="1"/>
  <c r="AI26" i="9"/>
  <c r="AF26" i="9"/>
  <c r="AM27" i="9" s="1"/>
  <c r="AG5" i="9"/>
  <c r="AH5" i="9" s="1"/>
  <c r="AM7" i="9" s="1"/>
  <c r="AF5" i="9"/>
  <c r="AM6" i="9" s="1"/>
  <c r="AG8" i="9"/>
  <c r="AH8" i="9" s="1"/>
  <c r="AN7" i="9" s="1"/>
  <c r="AF8" i="9"/>
  <c r="AN6" i="9" s="1"/>
  <c r="AF36" i="9"/>
  <c r="AN27" i="9" s="1"/>
  <c r="AG36" i="9"/>
  <c r="AH36" i="9" s="1"/>
  <c r="AN28" i="9" s="1"/>
  <c r="G21" i="8" l="1"/>
  <c r="H21" i="8" s="1"/>
  <c r="G20" i="8"/>
  <c r="H20" i="8" s="1"/>
  <c r="G19" i="8"/>
  <c r="H19" i="8" s="1"/>
  <c r="G18" i="8"/>
  <c r="H18" i="8" s="1"/>
  <c r="G17" i="8"/>
  <c r="H17" i="8" s="1"/>
  <c r="G16" i="8"/>
  <c r="H16" i="8" s="1"/>
  <c r="G15" i="8"/>
  <c r="H15" i="8" s="1"/>
  <c r="G12" i="8"/>
  <c r="H12" i="8" s="1"/>
  <c r="G11" i="8"/>
  <c r="H11" i="8" s="1"/>
  <c r="G10" i="8"/>
  <c r="H10" i="8" s="1"/>
  <c r="G9" i="8"/>
  <c r="H9" i="8" s="1"/>
  <c r="G8" i="8"/>
  <c r="H8" i="8" s="1"/>
  <c r="G7" i="8"/>
  <c r="H7" i="8" s="1"/>
  <c r="G6" i="8"/>
  <c r="H6" i="8" s="1"/>
  <c r="G5" i="8"/>
  <c r="H5" i="8" s="1"/>
  <c r="K5" i="8" l="1"/>
  <c r="K12" i="8" s="1"/>
  <c r="L12" i="8" s="1"/>
  <c r="K15" i="8"/>
  <c r="K19" i="8" s="1"/>
  <c r="L19" i="8" s="1"/>
  <c r="K10" i="8" l="1"/>
  <c r="L10" i="8" s="1"/>
  <c r="K8" i="8"/>
  <c r="L8" i="8" s="1"/>
  <c r="K21" i="8"/>
  <c r="L21" i="8" s="1"/>
  <c r="K17" i="8"/>
  <c r="L17" i="8" s="1"/>
  <c r="K11" i="8"/>
  <c r="L11" i="8" s="1"/>
  <c r="K9" i="8"/>
  <c r="L9" i="8" s="1"/>
  <c r="K7" i="8"/>
  <c r="L7" i="8" s="1"/>
  <c r="K20" i="8"/>
  <c r="L20" i="8" s="1"/>
  <c r="K18" i="8"/>
  <c r="L18" i="8" s="1"/>
  <c r="R8" i="8" l="1"/>
  <c r="R7" i="8"/>
  <c r="S8" i="8"/>
  <c r="S7" i="8"/>
  <c r="G19" i="7"/>
  <c r="G18" i="7"/>
  <c r="G17" i="7"/>
  <c r="G16" i="7"/>
  <c r="G14" i="7"/>
  <c r="G13" i="7"/>
  <c r="G12" i="7"/>
  <c r="G11" i="7"/>
  <c r="G9" i="7"/>
  <c r="J9" i="7" s="1"/>
  <c r="G8" i="7"/>
  <c r="J8" i="7" s="1"/>
  <c r="G7" i="7"/>
  <c r="G6" i="7"/>
  <c r="J6" i="7" s="1"/>
  <c r="K7" i="7" l="1"/>
  <c r="J7" i="7"/>
  <c r="K8" i="7"/>
  <c r="K9" i="7"/>
  <c r="K6" i="7"/>
  <c r="F88" i="6" l="1"/>
  <c r="G88" i="6" s="1"/>
  <c r="F87" i="6"/>
  <c r="G87" i="6" s="1"/>
  <c r="F86" i="6"/>
  <c r="G86" i="6" s="1"/>
  <c r="F85" i="6"/>
  <c r="G85" i="6" s="1"/>
  <c r="I85" i="6" s="1"/>
  <c r="F80" i="6"/>
  <c r="G80" i="6" s="1"/>
  <c r="F79" i="6"/>
  <c r="G79" i="6" s="1"/>
  <c r="F78" i="6"/>
  <c r="G78" i="6" s="1"/>
  <c r="F77" i="6"/>
  <c r="G77" i="6" s="1"/>
  <c r="F71" i="6"/>
  <c r="G71" i="6" s="1"/>
  <c r="F70" i="6"/>
  <c r="G70" i="6" s="1"/>
  <c r="F69" i="6"/>
  <c r="G69" i="6" s="1"/>
  <c r="F68" i="6"/>
  <c r="G68" i="6" s="1"/>
  <c r="F67" i="6"/>
  <c r="G67" i="6" s="1"/>
  <c r="F66" i="6"/>
  <c r="G66" i="6" s="1"/>
  <c r="F61" i="6"/>
  <c r="G61" i="6" s="1"/>
  <c r="F60" i="6"/>
  <c r="G60" i="6" s="1"/>
  <c r="F59" i="6"/>
  <c r="G59" i="6" s="1"/>
  <c r="F58" i="6"/>
  <c r="G58" i="6" s="1"/>
  <c r="F57" i="6"/>
  <c r="G57" i="6" s="1"/>
  <c r="F56" i="6"/>
  <c r="G56" i="6" s="1"/>
  <c r="F51" i="6"/>
  <c r="G51" i="6" s="1"/>
  <c r="F50" i="6"/>
  <c r="G50" i="6" s="1"/>
  <c r="F49" i="6"/>
  <c r="G49" i="6" s="1"/>
  <c r="F48" i="6"/>
  <c r="G48" i="6" s="1"/>
  <c r="F43" i="6"/>
  <c r="G43" i="6" s="1"/>
  <c r="F42" i="6"/>
  <c r="G42" i="6" s="1"/>
  <c r="F41" i="6"/>
  <c r="G41" i="6" s="1"/>
  <c r="F40" i="6"/>
  <c r="G40" i="6" s="1"/>
  <c r="F39" i="6"/>
  <c r="G39" i="6" s="1"/>
  <c r="F38" i="6"/>
  <c r="G38" i="6" s="1"/>
  <c r="F32" i="6"/>
  <c r="G32" i="6" s="1"/>
  <c r="F31" i="6"/>
  <c r="G31" i="6" s="1"/>
  <c r="F30" i="6"/>
  <c r="G30" i="6" s="1"/>
  <c r="F29" i="6"/>
  <c r="G29" i="6" s="1"/>
  <c r="F28" i="6"/>
  <c r="G28" i="6" s="1"/>
  <c r="F27" i="6"/>
  <c r="G27" i="6" s="1"/>
  <c r="F26" i="6"/>
  <c r="G26" i="6" s="1"/>
  <c r="F21" i="6"/>
  <c r="G21" i="6" s="1"/>
  <c r="F20" i="6"/>
  <c r="G20" i="6" s="1"/>
  <c r="F19" i="6"/>
  <c r="G19" i="6" s="1"/>
  <c r="F18" i="6"/>
  <c r="G18" i="6" s="1"/>
  <c r="F17" i="6"/>
  <c r="G17" i="6" s="1"/>
  <c r="F16" i="6"/>
  <c r="G16" i="6" s="1"/>
  <c r="F15" i="6"/>
  <c r="G15" i="6" s="1"/>
  <c r="F10" i="6"/>
  <c r="G10" i="6" s="1"/>
  <c r="F9" i="6"/>
  <c r="G9" i="6" s="1"/>
  <c r="F8" i="6"/>
  <c r="G8" i="6" s="1"/>
  <c r="F7" i="6"/>
  <c r="G7" i="6" s="1"/>
  <c r="F6" i="6"/>
  <c r="G6" i="6" s="1"/>
  <c r="F5" i="6"/>
  <c r="G5" i="6" s="1"/>
  <c r="F4" i="6"/>
  <c r="G4" i="6" s="1"/>
  <c r="I56" i="6" l="1"/>
  <c r="I61" i="6" s="1"/>
  <c r="J61" i="6" s="1"/>
  <c r="I38" i="6"/>
  <c r="I42" i="6" s="1"/>
  <c r="J42" i="6" s="1"/>
  <c r="I48" i="6"/>
  <c r="I50" i="6" s="1"/>
  <c r="J50" i="6" s="1"/>
  <c r="I66" i="6"/>
  <c r="I70" i="6" s="1"/>
  <c r="J70" i="6" s="1"/>
  <c r="I26" i="6"/>
  <c r="I29" i="6" s="1"/>
  <c r="J29" i="6" s="1"/>
  <c r="I60" i="6"/>
  <c r="J60" i="6" s="1"/>
  <c r="I77" i="6"/>
  <c r="I80" i="6" s="1"/>
  <c r="J80" i="6" s="1"/>
  <c r="I88" i="6"/>
  <c r="J88" i="6" s="1"/>
  <c r="I15" i="6"/>
  <c r="I20" i="6"/>
  <c r="J20" i="6" s="1"/>
  <c r="I18" i="6"/>
  <c r="J18" i="6" s="1"/>
  <c r="I21" i="6"/>
  <c r="J21" i="6" s="1"/>
  <c r="I19" i="6"/>
  <c r="J19" i="6" s="1"/>
  <c r="I4" i="6"/>
  <c r="I10" i="6" s="1"/>
  <c r="J10" i="6" s="1"/>
  <c r="I87" i="6"/>
  <c r="J87" i="6" s="1"/>
  <c r="I43" i="6" l="1"/>
  <c r="J43" i="6" s="1"/>
  <c r="I59" i="6"/>
  <c r="J59" i="6" s="1"/>
  <c r="I30" i="6"/>
  <c r="J30" i="6" s="1"/>
  <c r="I51" i="6"/>
  <c r="J51" i="6" s="1"/>
  <c r="I32" i="6"/>
  <c r="J32" i="6" s="1"/>
  <c r="O14" i="6" s="1"/>
  <c r="I31" i="6"/>
  <c r="J31" i="6" s="1"/>
  <c r="I79" i="6"/>
  <c r="J79" i="6" s="1"/>
  <c r="O16" i="6" s="1"/>
  <c r="I7" i="6"/>
  <c r="J7" i="6" s="1"/>
  <c r="N11" i="6" s="1"/>
  <c r="I69" i="6"/>
  <c r="J69" i="6" s="1"/>
  <c r="I71" i="6"/>
  <c r="J71" i="6" s="1"/>
  <c r="I9" i="6"/>
  <c r="J9" i="6" s="1"/>
  <c r="I8" i="6"/>
  <c r="J8" i="6" s="1"/>
  <c r="O12" i="6" s="1"/>
  <c r="N14" i="6"/>
  <c r="O15" i="6" l="1"/>
  <c r="O11" i="6"/>
  <c r="N15" i="6"/>
  <c r="N12" i="6"/>
  <c r="N16" i="6"/>
  <c r="N13" i="6"/>
  <c r="O13" i="6"/>
  <c r="G72" i="5"/>
  <c r="H72" i="5" s="1"/>
  <c r="G71" i="5"/>
  <c r="H71" i="5" s="1"/>
  <c r="G70" i="5"/>
  <c r="H70" i="5" s="1"/>
  <c r="G68" i="5"/>
  <c r="H68" i="5" s="1"/>
  <c r="G67" i="5"/>
  <c r="H67" i="5" s="1"/>
  <c r="G66" i="5"/>
  <c r="H66" i="5" s="1"/>
  <c r="G63" i="5"/>
  <c r="H63" i="5" s="1"/>
  <c r="G62" i="5"/>
  <c r="H62" i="5" s="1"/>
  <c r="G61" i="5"/>
  <c r="H61" i="5" s="1"/>
  <c r="G59" i="5"/>
  <c r="H59" i="5" s="1"/>
  <c r="G58" i="5"/>
  <c r="H58" i="5" s="1"/>
  <c r="G57" i="5"/>
  <c r="H57" i="5" s="1"/>
  <c r="G54" i="5"/>
  <c r="H54" i="5" s="1"/>
  <c r="G53" i="5"/>
  <c r="H53" i="5" s="1"/>
  <c r="G52" i="5"/>
  <c r="H52" i="5" s="1"/>
  <c r="G50" i="5"/>
  <c r="H50" i="5" s="1"/>
  <c r="G49" i="5"/>
  <c r="H49" i="5" s="1"/>
  <c r="G48" i="5"/>
  <c r="H48" i="5" s="1"/>
  <c r="G45" i="5"/>
  <c r="H45" i="5" s="1"/>
  <c r="G44" i="5"/>
  <c r="H44" i="5" s="1"/>
  <c r="G43" i="5"/>
  <c r="H43" i="5" s="1"/>
  <c r="G41" i="5"/>
  <c r="H41" i="5" s="1"/>
  <c r="G40" i="5"/>
  <c r="H40" i="5" s="1"/>
  <c r="G39" i="5"/>
  <c r="H39" i="5" s="1"/>
  <c r="G36" i="5"/>
  <c r="H36" i="5" s="1"/>
  <c r="G35" i="5"/>
  <c r="H35" i="5" s="1"/>
  <c r="G34" i="5"/>
  <c r="H34" i="5" s="1"/>
  <c r="G32" i="5"/>
  <c r="H32" i="5" s="1"/>
  <c r="G31" i="5"/>
  <c r="H31" i="5" s="1"/>
  <c r="G30" i="5"/>
  <c r="H30" i="5" s="1"/>
  <c r="G27" i="5"/>
  <c r="H27" i="5" s="1"/>
  <c r="G26" i="5"/>
  <c r="H26" i="5" s="1"/>
  <c r="G25" i="5"/>
  <c r="H25" i="5" s="1"/>
  <c r="G23" i="5"/>
  <c r="H23" i="5" s="1"/>
  <c r="G22" i="5"/>
  <c r="H22" i="5" s="1"/>
  <c r="G21" i="5"/>
  <c r="H21" i="5" s="1"/>
  <c r="G18" i="5"/>
  <c r="H18" i="5" s="1"/>
  <c r="G17" i="5"/>
  <c r="H17" i="5" s="1"/>
  <c r="G16" i="5"/>
  <c r="H16" i="5" s="1"/>
  <c r="G14" i="5"/>
  <c r="H14" i="5" s="1"/>
  <c r="G13" i="5"/>
  <c r="H13" i="5" s="1"/>
  <c r="G12" i="5"/>
  <c r="H12" i="5" s="1"/>
  <c r="G9" i="5"/>
  <c r="H9" i="5" s="1"/>
  <c r="G8" i="5"/>
  <c r="H8" i="5" s="1"/>
  <c r="G7" i="5"/>
  <c r="H7" i="5" s="1"/>
  <c r="G5" i="5"/>
  <c r="H5" i="5" s="1"/>
  <c r="G4" i="5"/>
  <c r="H4" i="5" s="1"/>
  <c r="G3" i="5"/>
  <c r="H3" i="5" s="1"/>
  <c r="J34" i="5" l="1"/>
  <c r="K34" i="5" s="1"/>
  <c r="J14" i="5"/>
  <c r="K14" i="5" s="1"/>
  <c r="J25" i="5"/>
  <c r="K25" i="5" s="1"/>
  <c r="J16" i="5"/>
  <c r="K16" i="5" s="1"/>
  <c r="J71" i="5"/>
  <c r="K71" i="5" s="1"/>
  <c r="J17" i="5"/>
  <c r="K17" i="5" s="1"/>
  <c r="J66" i="5"/>
  <c r="K66" i="5" s="1"/>
  <c r="J62" i="5"/>
  <c r="K62" i="5" s="1"/>
  <c r="J53" i="5"/>
  <c r="K53" i="5" s="1"/>
  <c r="J44" i="5"/>
  <c r="K44" i="5" s="1"/>
  <c r="J50" i="5"/>
  <c r="K50" i="5" s="1"/>
  <c r="J49" i="5"/>
  <c r="K49" i="5" s="1"/>
  <c r="J67" i="5"/>
  <c r="K67" i="5" s="1"/>
  <c r="J48" i="5"/>
  <c r="K48" i="5" s="1"/>
  <c r="J45" i="5"/>
  <c r="K45" i="5" s="1"/>
  <c r="J8" i="5"/>
  <c r="K8" i="5" s="1"/>
  <c r="J70" i="5"/>
  <c r="K70" i="5" s="1"/>
  <c r="J54" i="5"/>
  <c r="K54" i="5" s="1"/>
  <c r="J13" i="5"/>
  <c r="K13" i="5" s="1"/>
  <c r="J7" i="5"/>
  <c r="K7" i="5" s="1"/>
  <c r="J61" i="5"/>
  <c r="K61" i="5" s="1"/>
  <c r="J9" i="5"/>
  <c r="K9" i="5" s="1"/>
  <c r="J35" i="5"/>
  <c r="K35" i="5" s="1"/>
  <c r="J43" i="5"/>
  <c r="K43" i="5" s="1"/>
  <c r="J12" i="5"/>
  <c r="K12" i="5" s="1"/>
  <c r="J18" i="5"/>
  <c r="K18" i="5" s="1"/>
  <c r="J27" i="5"/>
  <c r="K27" i="5" s="1"/>
  <c r="J63" i="5"/>
  <c r="K63" i="5" s="1"/>
  <c r="J52" i="5"/>
  <c r="K52" i="5" s="1"/>
  <c r="J31" i="5"/>
  <c r="K31" i="5" s="1"/>
  <c r="J32" i="5"/>
  <c r="K32" i="5" s="1"/>
  <c r="J68" i="5"/>
  <c r="K68" i="5" s="1"/>
  <c r="J26" i="5"/>
  <c r="K26" i="5" s="1"/>
  <c r="J30" i="5"/>
  <c r="K30" i="5" s="1"/>
  <c r="J36" i="5"/>
  <c r="K36" i="5" s="1"/>
  <c r="J72" i="5"/>
  <c r="K72" i="5" s="1"/>
  <c r="W16" i="5" l="1"/>
  <c r="W8" i="5"/>
  <c r="X16" i="5"/>
  <c r="Y16" i="5" s="1"/>
  <c r="W12" i="5"/>
  <c r="X17" i="5"/>
  <c r="Y17" i="5" s="1"/>
  <c r="X11" i="5"/>
  <c r="Y11" i="5" s="1"/>
  <c r="X8" i="5"/>
  <c r="Y8" i="5" s="1"/>
  <c r="W7" i="5"/>
  <c r="W15" i="5"/>
  <c r="X15" i="5"/>
  <c r="Y15" i="5" s="1"/>
  <c r="W17" i="5"/>
  <c r="X12" i="5"/>
  <c r="Y12" i="5" s="1"/>
  <c r="W11" i="5"/>
  <c r="X7" i="5"/>
  <c r="Y7" i="5" s="1"/>
  <c r="X13" i="5"/>
  <c r="Y13" i="5" s="1"/>
  <c r="W13" i="5"/>
  <c r="W9" i="5"/>
  <c r="X9" i="5"/>
  <c r="Y9" i="5" s="1"/>
  <c r="E14" i="3" l="1"/>
  <c r="E12" i="3"/>
  <c r="E10" i="3"/>
  <c r="E8" i="3"/>
  <c r="E6" i="3"/>
  <c r="E4" i="3"/>
  <c r="I5" i="3" l="1"/>
  <c r="H4" i="3"/>
  <c r="H5" i="3"/>
  <c r="I4" i="3"/>
</calcChain>
</file>

<file path=xl/sharedStrings.xml><?xml version="1.0" encoding="utf-8"?>
<sst xmlns="http://schemas.openxmlformats.org/spreadsheetml/2006/main" count="2229" uniqueCount="286">
  <si>
    <t>chaperone</t>
  </si>
  <si>
    <t>raw FACS percent</t>
  </si>
  <si>
    <t>FACS percent - stdandardized to 100 percent</t>
  </si>
  <si>
    <t>AGG+(chaperone)/AGG+(DsRed)</t>
  </si>
  <si>
    <t>log2(AGG+(chaperone)/AGG+(DsRed))</t>
  </si>
  <si>
    <t>agg-plus</t>
  </si>
  <si>
    <t>agg-minus</t>
  </si>
  <si>
    <t>gfp-minus</t>
  </si>
  <si>
    <t>BAG1</t>
  </si>
  <si>
    <t>BAG2</t>
  </si>
  <si>
    <t>BAG3</t>
  </si>
  <si>
    <t>BAG5</t>
  </si>
  <si>
    <t>BAG6</t>
  </si>
  <si>
    <t>DNAJA1</t>
  </si>
  <si>
    <t>DNAJA2</t>
  </si>
  <si>
    <t>DNAJA3</t>
  </si>
  <si>
    <t>DNAJA4</t>
  </si>
  <si>
    <t>DNAJB1</t>
  </si>
  <si>
    <t>DNAJB11</t>
  </si>
  <si>
    <t>DNAJB3</t>
  </si>
  <si>
    <t>DNAJB4</t>
  </si>
  <si>
    <t>DNAJB5</t>
  </si>
  <si>
    <t>DNAJB8</t>
  </si>
  <si>
    <t>DNAJB9</t>
  </si>
  <si>
    <t>DNAJC1</t>
  </si>
  <si>
    <t>DNAJC10</t>
  </si>
  <si>
    <t>DNAJC11</t>
  </si>
  <si>
    <t>DNAJC12</t>
  </si>
  <si>
    <t>DNAJC14</t>
  </si>
  <si>
    <t>DNAJC15</t>
  </si>
  <si>
    <t>DNAJC16</t>
  </si>
  <si>
    <t>DNAJC17</t>
  </si>
  <si>
    <t>dsred</t>
  </si>
  <si>
    <t>DNAJB2b</t>
  </si>
  <si>
    <t>DNAJC18</t>
  </si>
  <si>
    <t>DNAJC19</t>
  </si>
  <si>
    <t>DNAJC22</t>
  </si>
  <si>
    <t>DNAJC24</t>
  </si>
  <si>
    <t>DNAJC28</t>
  </si>
  <si>
    <t>DNAJC3</t>
  </si>
  <si>
    <t>DNAJC30</t>
  </si>
  <si>
    <t>DNAJC4</t>
  </si>
  <si>
    <t>DNAJC5</t>
  </si>
  <si>
    <t>DNAJC5B</t>
  </si>
  <si>
    <t>DNAJC6</t>
  </si>
  <si>
    <t>DNAJC7</t>
  </si>
  <si>
    <t>DNAJC8</t>
  </si>
  <si>
    <t>HIP1</t>
  </si>
  <si>
    <t>HSP90AA1</t>
  </si>
  <si>
    <t>HSP90B1</t>
  </si>
  <si>
    <t>HSPA14</t>
  </si>
  <si>
    <t>HSPBP1</t>
  </si>
  <si>
    <t>BAG4</t>
  </si>
  <si>
    <t>BTF3</t>
  </si>
  <si>
    <t>DNAJB12-short</t>
  </si>
  <si>
    <t>DNAJB14</t>
  </si>
  <si>
    <t>DNAJB6-FL</t>
  </si>
  <si>
    <t>DNAJC25</t>
  </si>
  <si>
    <t>DNAJC27</t>
  </si>
  <si>
    <t>HSF1</t>
  </si>
  <si>
    <t>HSPA1A</t>
  </si>
  <si>
    <t>HSPA2</t>
  </si>
  <si>
    <t>HSPA4</t>
  </si>
  <si>
    <t>HSPA4L</t>
  </si>
  <si>
    <t>HSPA9</t>
  </si>
  <si>
    <t>HSPB2</t>
  </si>
  <si>
    <t>HSPB7</t>
  </si>
  <si>
    <t>HSPH1</t>
  </si>
  <si>
    <t>NACA</t>
  </si>
  <si>
    <t>NACA2</t>
  </si>
  <si>
    <t>STUB1</t>
  </si>
  <si>
    <t xml:space="preserve">HSP90AB1 </t>
  </si>
  <si>
    <t>HSPA6</t>
  </si>
  <si>
    <t>DNAJB6-short</t>
  </si>
  <si>
    <t>DNAJB12-FL</t>
  </si>
  <si>
    <t xml:space="preserve">2d </t>
  </si>
  <si>
    <t>HSP70</t>
  </si>
  <si>
    <t>AV</t>
  </si>
  <si>
    <t>ST</t>
  </si>
  <si>
    <t>FLAG</t>
  </si>
  <si>
    <t xml:space="preserve"> DNAJB12-short</t>
  </si>
  <si>
    <t>HSP90AB1</t>
  </si>
  <si>
    <t>Hsph1</t>
  </si>
  <si>
    <t>Dsred</t>
  </si>
  <si>
    <t>4:1</t>
  </si>
  <si>
    <t>1:1</t>
  </si>
  <si>
    <t>1:2.5</t>
  </si>
  <si>
    <t>avg</t>
  </si>
  <si>
    <t>std</t>
  </si>
  <si>
    <t>stderr</t>
  </si>
  <si>
    <t>DNAJB14-FL</t>
  </si>
  <si>
    <t>CI+</t>
  </si>
  <si>
    <t>CI-</t>
  </si>
  <si>
    <t>DNAJB14-Short</t>
  </si>
  <si>
    <t>DNAJB14-HPDmut1</t>
  </si>
  <si>
    <t>DNAJB14-HPDmut2</t>
  </si>
  <si>
    <t>AVG</t>
  </si>
  <si>
    <t>STE</t>
  </si>
  <si>
    <t>CI</t>
  </si>
  <si>
    <t xml:space="preserve">DNAJB14-ΔDUF    </t>
  </si>
  <si>
    <t>DNAJB14-Δshort</t>
  </si>
  <si>
    <t>DNAJB14-short</t>
  </si>
  <si>
    <t>DNAJB14-△DUF</t>
  </si>
  <si>
    <t>siControl+DNAJB14-FL</t>
  </si>
  <si>
    <t>siDNAJB12+DNAJB14-FL</t>
  </si>
  <si>
    <t>tile 1</t>
  </si>
  <si>
    <t>tile 2</t>
  </si>
  <si>
    <t>tile 3</t>
  </si>
  <si>
    <t>tile 4</t>
  </si>
  <si>
    <t>tile 5</t>
  </si>
  <si>
    <t>tile 6</t>
  </si>
  <si>
    <t>Cells per img01</t>
  </si>
  <si>
    <t>Cells per img02</t>
  </si>
  <si>
    <t>Cells per img03</t>
  </si>
  <si>
    <t>Cells per img04</t>
  </si>
  <si>
    <t>Cells per img06</t>
  </si>
  <si>
    <t xml:space="preserve">% AGG/ number of cells </t>
  </si>
  <si>
    <t>TOTAL AVG</t>
  </si>
  <si>
    <t>norm to AVG</t>
  </si>
  <si>
    <t>average</t>
  </si>
  <si>
    <t>STDev</t>
  </si>
  <si>
    <t>STDerr</t>
  </si>
  <si>
    <t>FUS-R521H-YFP + DNAJB14-FL</t>
  </si>
  <si>
    <t>FUS-R521H-YFP + DNAJB14-short</t>
  </si>
  <si>
    <t>mean</t>
  </si>
  <si>
    <t>ttest pv</t>
  </si>
  <si>
    <t>FUS-R521H-YFP+DNAJB14-FL</t>
  </si>
  <si>
    <t>FUS-R521H-YFP+DNAJB14-short</t>
  </si>
  <si>
    <t>4D</t>
  </si>
  <si>
    <t>av</t>
  </si>
  <si>
    <t>sd</t>
  </si>
  <si>
    <t>dsRed</t>
  </si>
  <si>
    <t xml:space="preserve">pcdna3 luciferase </t>
  </si>
  <si>
    <t>HTT-134Q</t>
  </si>
  <si>
    <t>DsRed</t>
  </si>
  <si>
    <t>FUS-R521H</t>
  </si>
  <si>
    <t>DAPI(chaperone)/DAPI(DsRed)</t>
  </si>
  <si>
    <t xml:space="preserve">DAPI </t>
  </si>
  <si>
    <t>Chaperone</t>
  </si>
  <si>
    <t xml:space="preserve"> avg Viability change (DAPI- Chaperone/DAPI- DsRed) </t>
  </si>
  <si>
    <t xml:space="preserve">HSF1 </t>
  </si>
  <si>
    <t>green all</t>
  </si>
  <si>
    <t>agg</t>
  </si>
  <si>
    <t>agg %</t>
  </si>
  <si>
    <t>rescue %</t>
  </si>
  <si>
    <t>stderror</t>
  </si>
  <si>
    <t xml:space="preserve"> DNAJB14-FL </t>
  </si>
  <si>
    <t xml:space="preserve"> DNAJB14-Short </t>
  </si>
  <si>
    <t xml:space="preserve">ci </t>
  </si>
  <si>
    <t>R495X +DsRed</t>
  </si>
  <si>
    <t>R495X+B14 short</t>
  </si>
  <si>
    <t>R495X+B14 FL</t>
  </si>
  <si>
    <t>R521C+B14 short</t>
  </si>
  <si>
    <t>R521C+B14 FL</t>
  </si>
  <si>
    <t>av  exp</t>
  </si>
  <si>
    <t>st  exp</t>
  </si>
  <si>
    <t>ste</t>
  </si>
  <si>
    <t>R518K+B14 short</t>
  </si>
  <si>
    <t>R518K+DsRed</t>
  </si>
  <si>
    <t>R495EfsX527 +DsRed</t>
  </si>
  <si>
    <t>R495EfsX527 + B14 short</t>
  </si>
  <si>
    <t>R495EfsX527 +B14 short</t>
  </si>
  <si>
    <t>FL</t>
  </si>
  <si>
    <t>Δshort</t>
  </si>
  <si>
    <t>short</t>
  </si>
  <si>
    <t>YFP</t>
  </si>
  <si>
    <t>IgG</t>
  </si>
  <si>
    <t xml:space="preserve">FL </t>
  </si>
  <si>
    <t xml:space="preserve">short </t>
  </si>
  <si>
    <t xml:space="preserve">Δshort </t>
  </si>
  <si>
    <t>DNAJB14 - Cells with DJ Structure</t>
  </si>
  <si>
    <t>DJ</t>
  </si>
  <si>
    <t>Cells #</t>
  </si>
  <si>
    <t>DJ %</t>
  </si>
  <si>
    <t>FUS-WT</t>
  </si>
  <si>
    <t>DNAJB12 - Cells with DJ Structure</t>
  </si>
  <si>
    <t>DNAJB12-Short</t>
  </si>
  <si>
    <t>S6P</t>
  </si>
  <si>
    <t xml:space="preserve">HSP70 RUN ON A DIFFERENT GEL. </t>
  </si>
  <si>
    <t>ACTIN OF THE SAME SAMPLE</t>
  </si>
  <si>
    <t>FIG S7A</t>
  </si>
  <si>
    <t>FIG S8A</t>
  </si>
  <si>
    <t>RFP/FLAG</t>
  </si>
  <si>
    <t>hsp70</t>
  </si>
  <si>
    <t>flag</t>
  </si>
  <si>
    <t xml:space="preserve">DNAJB14-short </t>
  </si>
  <si>
    <t xml:space="preserve">DNAJB14-FL </t>
  </si>
  <si>
    <t xml:space="preserve">DNAJB14-Short </t>
  </si>
  <si>
    <t xml:space="preserve">DNAJB14-ΔDUF </t>
  </si>
  <si>
    <t xml:space="preserve">DsRed </t>
  </si>
  <si>
    <t>DNAJB12</t>
  </si>
  <si>
    <t>GADPH</t>
  </si>
  <si>
    <t>NORM to siC B14</t>
  </si>
  <si>
    <t>siDNAJB12+DNAJB14</t>
  </si>
  <si>
    <t>siControl +DNAJB14</t>
  </si>
  <si>
    <t>DNAJB12-FL+DNAJB14-FL</t>
  </si>
  <si>
    <t>HPRT</t>
  </si>
  <si>
    <t>AV HPRT</t>
  </si>
  <si>
    <t>SD</t>
  </si>
  <si>
    <t>sd a1a/avg hprt</t>
  </si>
  <si>
    <t>AVARG2</t>
  </si>
  <si>
    <t>Background</t>
  </si>
  <si>
    <t>DNAJB2</t>
  </si>
  <si>
    <t>HS 44 degrees 1.5h + 18h recovery</t>
  </si>
  <si>
    <t xml:space="preserve">HS 44 degrees 2h </t>
  </si>
  <si>
    <t>HS 42 degrees 8h</t>
  </si>
  <si>
    <t>hsp70/flag</t>
  </si>
  <si>
    <t xml:space="preserve">Densitometry value </t>
  </si>
  <si>
    <t xml:space="preserve">chaprone </t>
  </si>
  <si>
    <t>Densitometry value RFP</t>
  </si>
  <si>
    <t>Densitometry value FLAG</t>
  </si>
  <si>
    <t>AGG+(chaperone)/AGG+(DsRedRed)</t>
  </si>
  <si>
    <t>log2(AGG+(chaperone)/AGG+(DsRedRed))</t>
  </si>
  <si>
    <t>Densitometry value input FLAG</t>
  </si>
  <si>
    <t>Densitometry value IP FLAG</t>
  </si>
  <si>
    <t>IP/INPUT</t>
  </si>
  <si>
    <t>STD</t>
  </si>
  <si>
    <t xml:space="preserve">DNAJB12-FL </t>
  </si>
  <si>
    <t xml:space="preserve">DNAJB12-Short </t>
  </si>
  <si>
    <t>Densitometry value</t>
  </si>
  <si>
    <t>Mean DsRed AGG+</t>
  </si>
  <si>
    <t>FUS-WT-YFP + DNAJB14-FL</t>
  </si>
  <si>
    <t>FUS-WT-YFP + DNAJB14-short</t>
  </si>
  <si>
    <t>FUS-WT-YFP+DNAJB14-FL</t>
  </si>
  <si>
    <t>FUS-WT-YFP+DNAJB14-short</t>
  </si>
  <si>
    <t>agg+</t>
  </si>
  <si>
    <t>agg-</t>
  </si>
  <si>
    <t>gfp-</t>
  </si>
  <si>
    <t>DNAJB12 FL</t>
  </si>
  <si>
    <t>DNAJB12/GADPH</t>
  </si>
  <si>
    <t>AV HSPA1A</t>
  </si>
  <si>
    <t>sd HSPA1A/avg hprt</t>
  </si>
  <si>
    <t>empty plasmid</t>
  </si>
  <si>
    <t>\</t>
  </si>
  <si>
    <t>IP</t>
  </si>
  <si>
    <t>input</t>
  </si>
  <si>
    <t>hc=heavy chain</t>
  </si>
  <si>
    <t>lc-light chain</t>
  </si>
  <si>
    <t xml:space="preserve"> 134Q+ DNAJB12-FL</t>
  </si>
  <si>
    <t xml:space="preserve"> 134Q+  DNAJB12-short</t>
  </si>
  <si>
    <t xml:space="preserve"> 17Q+  DNAJB12-FL</t>
  </si>
  <si>
    <t xml:space="preserve"> 17Q+  DNAJB12-short</t>
  </si>
  <si>
    <t>FUS-R521H+siControl+DsRed</t>
  </si>
  <si>
    <t>FUS-R521H+siControl+DNAJB14-FL</t>
  </si>
  <si>
    <t>FUS-R521H+siDNAJB12+DNAJB14-FL</t>
  </si>
  <si>
    <t>FUS-R521H-YFP+</t>
  </si>
  <si>
    <t>FUS-WT-YFP+</t>
  </si>
  <si>
    <t xml:space="preserve"> DsRed  </t>
  </si>
  <si>
    <t xml:space="preserve">DsRed  </t>
  </si>
  <si>
    <t>FUS-R521H+ DNAJB14-△DUF</t>
  </si>
  <si>
    <t>FUS-WT+DNAJB14-△DUF</t>
  </si>
  <si>
    <t>FUS-R521H+DNAJB14 short</t>
  </si>
  <si>
    <t>FUS-R521H+DNAJB14 FL</t>
  </si>
  <si>
    <t>FUS-WT+DNAJB14 short</t>
  </si>
  <si>
    <t>FUS-WT+DNAJB14 FL</t>
  </si>
  <si>
    <t>FUS-R521H-YFP+DsRed</t>
  </si>
  <si>
    <t>37 degrees</t>
  </si>
  <si>
    <t>HTT-134Q-GFP+</t>
  </si>
  <si>
    <t>FUS-R521H-YFP</t>
  </si>
  <si>
    <t xml:space="preserve">FUS-R521H-YFP+pcdna3 luciferase </t>
  </si>
  <si>
    <t>FUS-R518H-YFP+</t>
  </si>
  <si>
    <t>Log2</t>
  </si>
  <si>
    <t>avg log 2</t>
  </si>
  <si>
    <t>avg log2</t>
  </si>
  <si>
    <t>DNAJB14-</t>
  </si>
  <si>
    <t>IgG+</t>
  </si>
  <si>
    <t>IP:</t>
  </si>
  <si>
    <t>R518K+B14-FL</t>
  </si>
  <si>
    <t>R495EfsX527 +B14-FL</t>
  </si>
  <si>
    <t>R495X+B14-short</t>
  </si>
  <si>
    <t>R495X+B14-FL</t>
  </si>
  <si>
    <t>R521C+B14-short</t>
  </si>
  <si>
    <t>R521C+B14-FL</t>
  </si>
  <si>
    <t>R495EfsX527 +B14-short</t>
  </si>
  <si>
    <t>R518K+B14-short</t>
  </si>
  <si>
    <t>R521C +DsRed</t>
  </si>
  <si>
    <t>HSPA1A/HPRT exp 1</t>
  </si>
  <si>
    <t>HSPA1A/HPRT exp 2</t>
  </si>
  <si>
    <t>std2</t>
  </si>
  <si>
    <t xml:space="preserve">FUS-R521H-YFP+ chaperone (untagged) </t>
  </si>
  <si>
    <t xml:space="preserve">FUS-R521H-YFP+DNAJB14-FL </t>
  </si>
  <si>
    <t xml:space="preserve">FUS-R521H-YFP+DNAJB14-short </t>
  </si>
  <si>
    <t xml:space="preserve">FUS-R521H-YFP+DNAJB14-HPDmut1 </t>
  </si>
  <si>
    <t>FUS-WT-YFP+DNAJB14-FL WT</t>
  </si>
  <si>
    <t xml:space="preserve">FUS-WT-YFP+DNAJB14-short </t>
  </si>
  <si>
    <t>FUS-WT-YFP+DNAJB14-HPDmut1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</si>
</sst>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00000"/>
    <numFmt numFmtId="167" formatCode="0.00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rgb="FF000000"/>
      <name val="Arial"/>
      <family val="2"/>
    </font>
    <font>
      <sz val="12"/>
      <color rgb="FF000000"/>
      <name val="Times New Roman"/>
      <family val="1"/>
    </font>
    <font>
      <sz val="12"/>
      <color rgb="FF000000"/>
      <name val="Calibri"/>
      <family val="2"/>
      <scheme val="minor"/>
    </font>
    <font>
      <sz val="9"/>
      <color theme="1"/>
      <name val="Times New Roman"/>
      <family val="1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sz val="12"/>
      <color indexed="8"/>
      <name val="Calibri"/>
      <family val="2"/>
    </font>
    <font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FFCC99"/>
      </patternFill>
    </fill>
  </fills>
  <borders count="3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1" applyNumberFormat="0" applyFont="0" applyAlignment="0" applyProtection="0"/>
    <xf numFmtId="0" fontId="11" fillId="0" borderId="0"/>
    <xf numFmtId="0" fontId="14" fillId="7" borderId="0" applyNumberFormat="0" applyBorder="0" applyAlignment="0" applyProtection="0"/>
    <xf numFmtId="0" fontId="15" fillId="8" borderId="20" applyNumberFormat="0" applyAlignment="0" applyProtection="0"/>
  </cellStyleXfs>
  <cellXfs count="141">
    <xf numFmtId="0" fontId="0" fillId="0" borderId="0" xfId="0"/>
    <xf numFmtId="0" fontId="0" fillId="5" borderId="0" xfId="0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5" fillId="0" borderId="0" xfId="0" applyNumberFormat="1" applyFont="1"/>
    <xf numFmtId="49" fontId="0" fillId="0" borderId="0" xfId="0" applyNumberFormat="1"/>
    <xf numFmtId="0" fontId="0" fillId="0" borderId="0" xfId="0" applyNumberFormat="1"/>
    <xf numFmtId="49" fontId="5" fillId="0" borderId="0" xfId="0" applyNumberFormat="1" applyFont="1" applyBorder="1"/>
    <xf numFmtId="49" fontId="0" fillId="0" borderId="0" xfId="0" applyNumberFormat="1" applyBorder="1"/>
    <xf numFmtId="0" fontId="0" fillId="0" borderId="0" xfId="0" applyNumberFormat="1" applyBorder="1"/>
    <xf numFmtId="0" fontId="6" fillId="0" borderId="8" xfId="0" applyFont="1" applyBorder="1"/>
    <xf numFmtId="0" fontId="0" fillId="0" borderId="0" xfId="0" applyAlignment="1">
      <alignment horizontal="center" vertical="center"/>
    </xf>
    <xf numFmtId="0" fontId="6" fillId="0" borderId="0" xfId="0" applyFont="1"/>
    <xf numFmtId="0" fontId="4" fillId="5" borderId="0" xfId="0" applyFont="1" applyFill="1"/>
    <xf numFmtId="164" fontId="0" fillId="0" borderId="0" xfId="0" applyNumberFormat="1"/>
    <xf numFmtId="164" fontId="0" fillId="0" borderId="0" xfId="0" applyNumberFormat="1" applyFill="1" applyBorder="1"/>
    <xf numFmtId="0" fontId="0" fillId="0" borderId="0" xfId="0" applyFill="1" applyBorder="1"/>
    <xf numFmtId="164" fontId="0" fillId="0" borderId="0" xfId="0" applyNumberFormat="1" applyBorder="1"/>
    <xf numFmtId="0" fontId="0" fillId="0" borderId="2" xfId="0" applyFill="1" applyBorder="1"/>
    <xf numFmtId="164" fontId="0" fillId="0" borderId="3" xfId="0" applyNumberFormat="1" applyFill="1" applyBorder="1"/>
    <xf numFmtId="164" fontId="0" fillId="0" borderId="4" xfId="0" applyNumberFormat="1" applyFill="1" applyBorder="1"/>
    <xf numFmtId="0" fontId="0" fillId="0" borderId="5" xfId="0" applyFill="1" applyBorder="1"/>
    <xf numFmtId="164" fontId="0" fillId="0" borderId="6" xfId="0" applyNumberFormat="1" applyFill="1" applyBorder="1"/>
    <xf numFmtId="164" fontId="0" fillId="0" borderId="5" xfId="0" applyNumberFormat="1" applyFill="1" applyBorder="1"/>
    <xf numFmtId="164" fontId="4" fillId="5" borderId="0" xfId="0" applyNumberFormat="1" applyFont="1" applyFill="1"/>
    <xf numFmtId="0" fontId="0" fillId="0" borderId="7" xfId="0" applyFill="1" applyBorder="1"/>
    <xf numFmtId="164" fontId="0" fillId="0" borderId="8" xfId="0" applyNumberFormat="1" applyFill="1" applyBorder="1"/>
    <xf numFmtId="164" fontId="0" fillId="0" borderId="9" xfId="0" applyNumberFormat="1" applyFill="1" applyBorder="1"/>
    <xf numFmtId="164" fontId="0" fillId="5" borderId="0" xfId="0" applyNumberFormat="1" applyFill="1"/>
    <xf numFmtId="0" fontId="4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7" fillId="0" borderId="0" xfId="0" applyFont="1" applyAlignment="1">
      <alignment horizontal="left" vertical="top" readingOrder="1"/>
    </xf>
    <xf numFmtId="0" fontId="0" fillId="0" borderId="0" xfId="0" applyFont="1" applyAlignment="1">
      <alignment horizontal="left" vertical="top" readingOrder="1"/>
    </xf>
    <xf numFmtId="0" fontId="0" fillId="0" borderId="0" xfId="0" applyAlignment="1">
      <alignment horizontal="left" vertical="top" readingOrder="1"/>
    </xf>
    <xf numFmtId="0" fontId="4" fillId="0" borderId="0" xfId="0" applyFont="1"/>
    <xf numFmtId="0" fontId="0" fillId="6" borderId="0" xfId="0" applyFill="1"/>
    <xf numFmtId="164" fontId="4" fillId="0" borderId="0" xfId="0" applyNumberFormat="1" applyFont="1"/>
    <xf numFmtId="165" fontId="0" fillId="0" borderId="0" xfId="0" applyNumberFormat="1" applyFill="1" applyBorder="1"/>
    <xf numFmtId="0" fontId="0" fillId="0" borderId="10" xfId="0" applyBorder="1"/>
    <xf numFmtId="0" fontId="8" fillId="0" borderId="10" xfId="0" applyFont="1" applyBorder="1"/>
    <xf numFmtId="0" fontId="2" fillId="0" borderId="0" xfId="1" applyFill="1"/>
    <xf numFmtId="2" fontId="0" fillId="0" borderId="10" xfId="0" applyNumberFormat="1" applyFill="1" applyBorder="1"/>
    <xf numFmtId="164" fontId="0" fillId="0" borderId="10" xfId="0" applyNumberFormat="1" applyFill="1" applyBorder="1"/>
    <xf numFmtId="0" fontId="0" fillId="0" borderId="0" xfId="0" applyAlignment="1">
      <alignment vertical="center"/>
    </xf>
    <xf numFmtId="2" fontId="2" fillId="6" borderId="0" xfId="1" applyNumberFormat="1" applyFill="1"/>
    <xf numFmtId="0" fontId="0" fillId="0" borderId="0" xfId="0" applyFont="1"/>
    <xf numFmtId="2" fontId="2" fillId="5" borderId="0" xfId="1" applyNumberFormat="1" applyFill="1"/>
    <xf numFmtId="0" fontId="3" fillId="0" borderId="0" xfId="2" applyFill="1"/>
    <xf numFmtId="2" fontId="3" fillId="0" borderId="0" xfId="2" applyNumberFormat="1" applyFill="1"/>
    <xf numFmtId="0" fontId="0" fillId="0" borderId="10" xfId="0" applyFill="1" applyBorder="1"/>
    <xf numFmtId="0" fontId="0" fillId="0" borderId="7" xfId="0" applyFont="1" applyBorder="1"/>
    <xf numFmtId="2" fontId="0" fillId="0" borderId="0" xfId="0" applyNumberFormat="1"/>
    <xf numFmtId="0" fontId="9" fillId="0" borderId="0" xfId="0" applyFont="1" applyAlignment="1">
      <alignment horizontal="left"/>
    </xf>
    <xf numFmtId="165" fontId="0" fillId="0" borderId="0" xfId="0" applyNumberFormat="1"/>
    <xf numFmtId="0" fontId="9" fillId="0" borderId="0" xfId="0" applyFont="1"/>
    <xf numFmtId="0" fontId="9" fillId="0" borderId="7" xfId="0" applyFont="1" applyBorder="1"/>
    <xf numFmtId="0" fontId="0" fillId="0" borderId="1" xfId="3" applyFont="1" applyFill="1"/>
    <xf numFmtId="2" fontId="4" fillId="0" borderId="0" xfId="0" applyNumberFormat="1" applyFont="1" applyBorder="1"/>
    <xf numFmtId="2" fontId="4" fillId="0" borderId="0" xfId="0" applyNumberFormat="1" applyFont="1" applyFill="1" applyBorder="1"/>
    <xf numFmtId="2" fontId="0" fillId="0" borderId="0" xfId="0" applyNumberFormat="1" applyBorder="1"/>
    <xf numFmtId="2" fontId="0" fillId="0" borderId="8" xfId="0" applyNumberFormat="1" applyBorder="1"/>
    <xf numFmtId="2" fontId="0" fillId="0" borderId="0" xfId="0" applyNumberFormat="1" applyAlignment="1">
      <alignment vertical="center"/>
    </xf>
    <xf numFmtId="0" fontId="2" fillId="2" borderId="0" xfId="1"/>
    <xf numFmtId="0" fontId="2" fillId="2" borderId="0" xfId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Alignmen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0" xfId="0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0" fillId="0" borderId="0" xfId="0" applyAlignment="1">
      <alignment readingOrder="1"/>
    </xf>
    <xf numFmtId="0" fontId="16" fillId="0" borderId="0" xfId="0" applyFont="1" applyBorder="1"/>
    <xf numFmtId="0" fontId="15" fillId="8" borderId="0" xfId="6" applyBorder="1"/>
    <xf numFmtId="0" fontId="17" fillId="0" borderId="0" xfId="5" applyFont="1" applyFill="1"/>
    <xf numFmtId="0" fontId="18" fillId="0" borderId="0" xfId="0" applyFont="1"/>
    <xf numFmtId="166" fontId="0" fillId="0" borderId="0" xfId="0" applyNumberFormat="1"/>
    <xf numFmtId="167" fontId="0" fillId="0" borderId="0" xfId="0" applyNumberFormat="1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0" fontId="19" fillId="0" borderId="10" xfId="0" applyFont="1" applyBorder="1"/>
    <xf numFmtId="2" fontId="0" fillId="0" borderId="10" xfId="0" applyNumberFormat="1" applyBorder="1"/>
    <xf numFmtId="2" fontId="0" fillId="6" borderId="0" xfId="0" applyNumberFormat="1" applyFill="1"/>
    <xf numFmtId="2" fontId="0" fillId="5" borderId="0" xfId="0" applyNumberFormat="1" applyFill="1"/>
    <xf numFmtId="0" fontId="7" fillId="0" borderId="5" xfId="0" applyFont="1" applyBorder="1" applyAlignment="1">
      <alignment horizontal="left" vertical="top" readingOrder="1"/>
    </xf>
    <xf numFmtId="0" fontId="0" fillId="0" borderId="5" xfId="0" applyFont="1" applyBorder="1" applyAlignment="1">
      <alignment horizontal="left" vertical="top" readingOrder="1"/>
    </xf>
    <xf numFmtId="0" fontId="0" fillId="0" borderId="7" xfId="0" applyFont="1" applyBorder="1" applyAlignment="1">
      <alignment horizontal="left" vertical="top" readingOrder="1"/>
    </xf>
    <xf numFmtId="0" fontId="0" fillId="0" borderId="21" xfId="3" applyFont="1" applyFill="1" applyBorder="1"/>
    <xf numFmtId="0" fontId="0" fillId="0" borderId="22" xfId="3" applyFont="1" applyFill="1" applyBorder="1"/>
    <xf numFmtId="0" fontId="0" fillId="0" borderId="23" xfId="3" applyFont="1" applyFill="1" applyBorder="1"/>
    <xf numFmtId="0" fontId="10" fillId="0" borderId="0" xfId="1" applyFont="1" applyFill="1"/>
    <xf numFmtId="0" fontId="10" fillId="0" borderId="1" xfId="1" applyFont="1" applyFill="1" applyBorder="1"/>
    <xf numFmtId="0" fontId="10" fillId="0" borderId="0" xfId="1" applyFont="1" applyFill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167" fontId="0" fillId="0" borderId="0" xfId="0" applyNumberFormat="1" applyBorder="1"/>
    <xf numFmtId="167" fontId="0" fillId="0" borderId="6" xfId="0" applyNumberFormat="1" applyBorder="1"/>
    <xf numFmtId="0" fontId="0" fillId="5" borderId="0" xfId="0" applyFont="1" applyFill="1"/>
    <xf numFmtId="0" fontId="0" fillId="6" borderId="0" xfId="0" applyFont="1" applyFill="1"/>
    <xf numFmtId="2" fontId="0" fillId="0" borderId="0" xfId="0" applyNumberFormat="1" applyFont="1" applyBorder="1"/>
    <xf numFmtId="0" fontId="0" fillId="0" borderId="6" xfId="0" applyFill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19" xfId="0" applyBorder="1"/>
    <xf numFmtId="0" fontId="0" fillId="0" borderId="30" xfId="0" applyBorder="1"/>
    <xf numFmtId="2" fontId="0" fillId="0" borderId="0" xfId="0" applyNumberFormat="1" applyFont="1" applyFill="1" applyBorder="1"/>
    <xf numFmtId="2" fontId="17" fillId="0" borderId="0" xfId="0" applyNumberFormat="1" applyFont="1" applyBorder="1"/>
    <xf numFmtId="0" fontId="21" fillId="0" borderId="0" xfId="4" applyFont="1" applyBorder="1"/>
    <xf numFmtId="0" fontId="12" fillId="0" borderId="5" xfId="0" applyFont="1" applyBorder="1"/>
    <xf numFmtId="2" fontId="0" fillId="0" borderId="27" xfId="0" applyNumberFormat="1" applyBorder="1" applyAlignment="1">
      <alignment vertical="center"/>
    </xf>
    <xf numFmtId="2" fontId="0" fillId="0" borderId="28" xfId="0" applyNumberFormat="1" applyBorder="1"/>
    <xf numFmtId="2" fontId="0" fillId="0" borderId="29" xfId="0" applyNumberFormat="1" applyBorder="1" applyAlignment="1">
      <alignment vertical="center"/>
    </xf>
    <xf numFmtId="2" fontId="0" fillId="0" borderId="19" xfId="0" applyNumberFormat="1" applyBorder="1"/>
    <xf numFmtId="2" fontId="0" fillId="0" borderId="30" xfId="0" applyNumberFormat="1" applyBorder="1"/>
    <xf numFmtId="166" fontId="4" fillId="0" borderId="0" xfId="0" applyNumberFormat="1" applyFont="1"/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/>
    </xf>
  </cellXfs>
  <cellStyles count="7">
    <cellStyle name="Bad" xfId="2" builtinId="27"/>
    <cellStyle name="Good" xfId="1" builtinId="26"/>
    <cellStyle name="Input" xfId="6" builtinId="20"/>
    <cellStyle name="Neutral" xfId="5" builtinId="28"/>
    <cellStyle name="Normal" xfId="0" builtinId="0"/>
    <cellStyle name="Normal 2" xfId="4" xr:uid="{00000000-0005-0000-0000-000005000000}"/>
    <cellStyle name="Note" xfId="3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g"/><Relationship Id="rId1" Type="http://schemas.openxmlformats.org/officeDocument/2006/relationships/image" Target="../media/image4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283830</xdr:colOff>
      <xdr:row>1</xdr:row>
      <xdr:rowOff>142875</xdr:rowOff>
    </xdr:from>
    <xdr:to>
      <xdr:col>2</xdr:col>
      <xdr:colOff>298737</xdr:colOff>
      <xdr:row>2</xdr:row>
      <xdr:rowOff>183207</xdr:rowOff>
    </xdr:to>
    <xdr:sp macro="" textlink="">
      <xdr:nvSpPr>
        <xdr:cNvPr id="3" name="TextBox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93430" y="333375"/>
          <a:ext cx="624507" cy="230832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HTT</a:t>
          </a:r>
        </a:p>
      </xdr:txBody>
    </xdr:sp>
    <xdr:clientData/>
  </xdr:twoCellAnchor>
  <xdr:twoCellAnchor>
    <xdr:from>
      <xdr:col>1</xdr:col>
      <xdr:colOff>17991</xdr:colOff>
      <xdr:row>2</xdr:row>
      <xdr:rowOff>187699</xdr:rowOff>
    </xdr:from>
    <xdr:to>
      <xdr:col>2</xdr:col>
      <xdr:colOff>441745</xdr:colOff>
      <xdr:row>4</xdr:row>
      <xdr:rowOff>37531</xdr:rowOff>
    </xdr:to>
    <xdr:sp macro="" textlink="">
      <xdr:nvSpPr>
        <xdr:cNvPr id="4" name="TextBox 3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27591" y="568699"/>
          <a:ext cx="1033354" cy="230832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DNAJB12-FLAG</a:t>
          </a:r>
        </a:p>
      </xdr:txBody>
    </xdr:sp>
    <xdr:clientData/>
  </xdr:twoCellAnchor>
  <xdr:twoCellAnchor>
    <xdr:from>
      <xdr:col>0</xdr:col>
      <xdr:colOff>50007</xdr:colOff>
      <xdr:row>7</xdr:row>
      <xdr:rowOff>134249</xdr:rowOff>
    </xdr:from>
    <xdr:to>
      <xdr:col>1</xdr:col>
      <xdr:colOff>316230</xdr:colOff>
      <xdr:row>8</xdr:row>
      <xdr:rowOff>174581</xdr:rowOff>
    </xdr:to>
    <xdr:sp macro="" textlink="">
      <xdr:nvSpPr>
        <xdr:cNvPr id="5" name="TextBox 4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50007" y="1467749"/>
          <a:ext cx="861536" cy="230832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WB:HSP70</a:t>
          </a:r>
        </a:p>
      </xdr:txBody>
    </xdr:sp>
    <xdr:clientData/>
  </xdr:twoCellAnchor>
  <xdr:twoCellAnchor>
    <xdr:from>
      <xdr:col>0</xdr:col>
      <xdr:colOff>0</xdr:colOff>
      <xdr:row>12</xdr:row>
      <xdr:rowOff>102394</xdr:rowOff>
    </xdr:from>
    <xdr:to>
      <xdr:col>1</xdr:col>
      <xdr:colOff>243469</xdr:colOff>
      <xdr:row>13</xdr:row>
      <xdr:rowOff>142726</xdr:rowOff>
    </xdr:to>
    <xdr:sp macro="" textlink="">
      <xdr:nvSpPr>
        <xdr:cNvPr id="7" name="TextBox 45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0" y="2388394"/>
          <a:ext cx="838782" cy="230832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WB:FLAG</a:t>
          </a:r>
        </a:p>
      </xdr:txBody>
    </xdr:sp>
    <xdr:clientData/>
  </xdr:twoCellAnchor>
  <xdr:twoCellAnchor>
    <xdr:from>
      <xdr:col>4</xdr:col>
      <xdr:colOff>63826</xdr:colOff>
      <xdr:row>1</xdr:row>
      <xdr:rowOff>57151</xdr:rowOff>
    </xdr:from>
    <xdr:to>
      <xdr:col>4</xdr:col>
      <xdr:colOff>267435</xdr:colOff>
      <xdr:row>2</xdr:row>
      <xdr:rowOff>97483</xdr:rowOff>
    </xdr:to>
    <xdr:sp macro="" textlink="">
      <xdr:nvSpPr>
        <xdr:cNvPr id="8" name="TextBox 29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2502226" y="247651"/>
          <a:ext cx="203609" cy="230832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-</a:t>
          </a:r>
        </a:p>
      </xdr:txBody>
    </xdr:sp>
    <xdr:clientData/>
  </xdr:twoCellAnchor>
  <xdr:twoCellAnchor>
    <xdr:from>
      <xdr:col>5</xdr:col>
      <xdr:colOff>158132</xdr:colOff>
      <xdr:row>1</xdr:row>
      <xdr:rowOff>1</xdr:rowOff>
    </xdr:from>
    <xdr:to>
      <xdr:col>5</xdr:col>
      <xdr:colOff>361741</xdr:colOff>
      <xdr:row>2</xdr:row>
      <xdr:rowOff>40333</xdr:rowOff>
    </xdr:to>
    <xdr:sp macro="" textlink="">
      <xdr:nvSpPr>
        <xdr:cNvPr id="9" name="TextBox 30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206132" y="190501"/>
          <a:ext cx="203609" cy="230832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-</a:t>
          </a:r>
        </a:p>
      </xdr:txBody>
    </xdr:sp>
    <xdr:clientData/>
  </xdr:twoCellAnchor>
  <xdr:twoCellAnchor>
    <xdr:from>
      <xdr:col>6</xdr:col>
      <xdr:colOff>134744</xdr:colOff>
      <xdr:row>0</xdr:row>
      <xdr:rowOff>180975</xdr:rowOff>
    </xdr:from>
    <xdr:to>
      <xdr:col>7</xdr:col>
      <xdr:colOff>14868</xdr:colOff>
      <xdr:row>2</xdr:row>
      <xdr:rowOff>30807</xdr:rowOff>
    </xdr:to>
    <xdr:sp macro="" textlink="">
      <xdr:nvSpPr>
        <xdr:cNvPr id="10" name="TextBox 3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3792344" y="180975"/>
          <a:ext cx="489724" cy="230832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134Q</a:t>
          </a:r>
        </a:p>
      </xdr:txBody>
    </xdr:sp>
    <xdr:clientData/>
  </xdr:twoCellAnchor>
  <xdr:twoCellAnchor>
    <xdr:from>
      <xdr:col>7</xdr:col>
      <xdr:colOff>214546</xdr:colOff>
      <xdr:row>0</xdr:row>
      <xdr:rowOff>152400</xdr:rowOff>
    </xdr:from>
    <xdr:to>
      <xdr:col>8</xdr:col>
      <xdr:colOff>82635</xdr:colOff>
      <xdr:row>2</xdr:row>
      <xdr:rowOff>2232</xdr:rowOff>
    </xdr:to>
    <xdr:sp macro="" textlink="">
      <xdr:nvSpPr>
        <xdr:cNvPr id="11" name="TextBox 3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4481746" y="152400"/>
          <a:ext cx="477689" cy="230832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134Q</a:t>
          </a:r>
        </a:p>
      </xdr:txBody>
    </xdr:sp>
    <xdr:clientData/>
  </xdr:twoCellAnchor>
  <xdr:twoCellAnchor>
    <xdr:from>
      <xdr:col>8</xdr:col>
      <xdr:colOff>367465</xdr:colOff>
      <xdr:row>0</xdr:row>
      <xdr:rowOff>171451</xdr:rowOff>
    </xdr:from>
    <xdr:to>
      <xdr:col>9</xdr:col>
      <xdr:colOff>199724</xdr:colOff>
      <xdr:row>2</xdr:row>
      <xdr:rowOff>21283</xdr:rowOff>
    </xdr:to>
    <xdr:sp macro="" textlink="">
      <xdr:nvSpPr>
        <xdr:cNvPr id="12" name="TextBox 33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5244265" y="171451"/>
          <a:ext cx="441859" cy="230832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17Q</a:t>
          </a:r>
        </a:p>
      </xdr:txBody>
    </xdr:sp>
    <xdr:clientData/>
  </xdr:twoCellAnchor>
  <xdr:twoCellAnchor>
    <xdr:from>
      <xdr:col>9</xdr:col>
      <xdr:colOff>540618</xdr:colOff>
      <xdr:row>1</xdr:row>
      <xdr:rowOff>1</xdr:rowOff>
    </xdr:from>
    <xdr:to>
      <xdr:col>10</xdr:col>
      <xdr:colOff>363863</xdr:colOff>
      <xdr:row>2</xdr:row>
      <xdr:rowOff>40333</xdr:rowOff>
    </xdr:to>
    <xdr:sp macro="" textlink="">
      <xdr:nvSpPr>
        <xdr:cNvPr id="13" name="TextBox 34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6027018" y="190501"/>
          <a:ext cx="432845" cy="230832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17Q</a:t>
          </a:r>
        </a:p>
      </xdr:txBody>
    </xdr:sp>
    <xdr:clientData/>
  </xdr:twoCellAnchor>
  <xdr:twoCellAnchor>
    <xdr:from>
      <xdr:col>4</xdr:col>
      <xdr:colOff>57150</xdr:colOff>
      <xdr:row>2</xdr:row>
      <xdr:rowOff>121025</xdr:rowOff>
    </xdr:from>
    <xdr:to>
      <xdr:col>4</xdr:col>
      <xdr:colOff>420029</xdr:colOff>
      <xdr:row>3</xdr:row>
      <xdr:rowOff>161357</xdr:rowOff>
    </xdr:to>
    <xdr:sp macro="" textlink="">
      <xdr:nvSpPr>
        <xdr:cNvPr id="14" name="TextBox 36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2495550" y="502025"/>
          <a:ext cx="362879" cy="230832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FL</a:t>
          </a:r>
        </a:p>
      </xdr:txBody>
    </xdr:sp>
    <xdr:clientData/>
  </xdr:twoCellAnchor>
  <xdr:twoCellAnchor>
    <xdr:from>
      <xdr:col>5</xdr:col>
      <xdr:colOff>41251</xdr:colOff>
      <xdr:row>2</xdr:row>
      <xdr:rowOff>92450</xdr:rowOff>
    </xdr:from>
    <xdr:to>
      <xdr:col>6</xdr:col>
      <xdr:colOff>29913</xdr:colOff>
      <xdr:row>3</xdr:row>
      <xdr:rowOff>132782</xdr:rowOff>
    </xdr:to>
    <xdr:sp macro="" textlink="">
      <xdr:nvSpPr>
        <xdr:cNvPr id="15" name="TextBox 37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3089251" y="473450"/>
          <a:ext cx="598262" cy="230832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Short</a:t>
          </a:r>
        </a:p>
      </xdr:txBody>
    </xdr:sp>
    <xdr:clientData/>
  </xdr:twoCellAnchor>
  <xdr:twoCellAnchor>
    <xdr:from>
      <xdr:col>7</xdr:col>
      <xdr:colOff>216988</xdr:colOff>
      <xdr:row>2</xdr:row>
      <xdr:rowOff>130549</xdr:rowOff>
    </xdr:from>
    <xdr:to>
      <xdr:col>8</xdr:col>
      <xdr:colOff>99151</xdr:colOff>
      <xdr:row>3</xdr:row>
      <xdr:rowOff>170881</xdr:rowOff>
    </xdr:to>
    <xdr:sp macro="" textlink="">
      <xdr:nvSpPr>
        <xdr:cNvPr id="16" name="TextBox 39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4484188" y="511549"/>
          <a:ext cx="491763" cy="230832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Short</a:t>
          </a:r>
        </a:p>
      </xdr:txBody>
    </xdr:sp>
    <xdr:clientData/>
  </xdr:twoCellAnchor>
  <xdr:twoCellAnchor>
    <xdr:from>
      <xdr:col>8</xdr:col>
      <xdr:colOff>437406</xdr:colOff>
      <xdr:row>2</xdr:row>
      <xdr:rowOff>149600</xdr:rowOff>
    </xdr:from>
    <xdr:to>
      <xdr:col>9</xdr:col>
      <xdr:colOff>164738</xdr:colOff>
      <xdr:row>3</xdr:row>
      <xdr:rowOff>189932</xdr:rowOff>
    </xdr:to>
    <xdr:sp macro="" textlink="">
      <xdr:nvSpPr>
        <xdr:cNvPr id="17" name="TextBox 40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5314206" y="530600"/>
          <a:ext cx="336932" cy="230832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FL</a:t>
          </a:r>
        </a:p>
      </xdr:txBody>
    </xdr:sp>
    <xdr:clientData/>
  </xdr:twoCellAnchor>
  <xdr:twoCellAnchor>
    <xdr:from>
      <xdr:col>9</xdr:col>
      <xdr:colOff>557021</xdr:colOff>
      <xdr:row>2</xdr:row>
      <xdr:rowOff>168650</xdr:rowOff>
    </xdr:from>
    <xdr:to>
      <xdr:col>10</xdr:col>
      <xdr:colOff>422525</xdr:colOff>
      <xdr:row>4</xdr:row>
      <xdr:rowOff>18482</xdr:rowOff>
    </xdr:to>
    <xdr:sp macro="" textlink="">
      <xdr:nvSpPr>
        <xdr:cNvPr id="18" name="TextBox 4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6043421" y="549650"/>
          <a:ext cx="475104" cy="230832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Short</a:t>
          </a:r>
        </a:p>
      </xdr:txBody>
    </xdr:sp>
    <xdr:clientData/>
  </xdr:twoCellAnchor>
  <xdr:twoCellAnchor>
    <xdr:from>
      <xdr:col>6</xdr:col>
      <xdr:colOff>247650</xdr:colOff>
      <xdr:row>2</xdr:row>
      <xdr:rowOff>152400</xdr:rowOff>
    </xdr:from>
    <xdr:to>
      <xdr:col>6</xdr:col>
      <xdr:colOff>584582</xdr:colOff>
      <xdr:row>4</xdr:row>
      <xdr:rowOff>2232</xdr:rowOff>
    </xdr:to>
    <xdr:sp macro="" textlink="">
      <xdr:nvSpPr>
        <xdr:cNvPr id="19" name="TextBox 40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3905250" y="533400"/>
          <a:ext cx="336932" cy="230832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FL</a:t>
          </a:r>
        </a:p>
      </xdr:txBody>
    </xdr:sp>
    <xdr:clientData/>
  </xdr:twoCellAnchor>
  <xdr:twoCellAnchor>
    <xdr:from>
      <xdr:col>13</xdr:col>
      <xdr:colOff>66675</xdr:colOff>
      <xdr:row>7</xdr:row>
      <xdr:rowOff>9525</xdr:rowOff>
    </xdr:from>
    <xdr:to>
      <xdr:col>13</xdr:col>
      <xdr:colOff>466725</xdr:colOff>
      <xdr:row>8</xdr:row>
      <xdr:rowOff>38101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7991475" y="1343025"/>
          <a:ext cx="400050" cy="2190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70</a:t>
          </a:r>
        </a:p>
      </xdr:txBody>
    </xdr:sp>
    <xdr:clientData/>
  </xdr:twoCellAnchor>
  <xdr:twoCellAnchor>
    <xdr:from>
      <xdr:col>13</xdr:col>
      <xdr:colOff>66675</xdr:colOff>
      <xdr:row>13</xdr:row>
      <xdr:rowOff>38100</xdr:rowOff>
    </xdr:from>
    <xdr:to>
      <xdr:col>13</xdr:col>
      <xdr:colOff>400050</xdr:colOff>
      <xdr:row>14</xdr:row>
      <xdr:rowOff>104775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7991475" y="2514600"/>
          <a:ext cx="333375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25</a:t>
          </a:r>
        </a:p>
      </xdr:txBody>
    </xdr:sp>
    <xdr:clientData/>
  </xdr:twoCellAnchor>
  <xdr:twoCellAnchor>
    <xdr:from>
      <xdr:col>1</xdr:col>
      <xdr:colOff>469106</xdr:colOff>
      <xdr:row>8</xdr:row>
      <xdr:rowOff>136525</xdr:rowOff>
    </xdr:from>
    <xdr:to>
      <xdr:col>2</xdr:col>
      <xdr:colOff>231242</xdr:colOff>
      <xdr:row>10</xdr:row>
      <xdr:rowOff>101358</xdr:rowOff>
    </xdr:to>
    <xdr:sp macro="" textlink="">
      <xdr:nvSpPr>
        <xdr:cNvPr id="23" name="TextBox 1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1064419" y="1660525"/>
          <a:ext cx="357448" cy="345833"/>
        </a:xfrm>
        <a:prstGeom prst="rect">
          <a:avLst/>
        </a:prstGeom>
        <a:noFill/>
      </xdr:spPr>
      <xdr:txBody>
        <a:bodyPr wrap="square" rtlCol="1">
          <a:no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hc</a:t>
          </a:r>
          <a:endParaRPr lang="he-IL" sz="105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2</xdr:col>
      <xdr:colOff>476250</xdr:colOff>
      <xdr:row>5</xdr:row>
      <xdr:rowOff>76200</xdr:rowOff>
    </xdr:from>
    <xdr:to>
      <xdr:col>13</xdr:col>
      <xdr:colOff>523876</xdr:colOff>
      <xdr:row>27</xdr:row>
      <xdr:rowOff>47625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20" t="32670" r="17424" b="5256"/>
        <a:stretch/>
      </xdr:blipFill>
      <xdr:spPr>
        <a:xfrm>
          <a:off x="1657350" y="1028700"/>
          <a:ext cx="6543676" cy="4162425"/>
        </a:xfrm>
        <a:prstGeom prst="rect">
          <a:avLst/>
        </a:prstGeom>
      </xdr:spPr>
    </xdr:pic>
    <xdr:clientData/>
  </xdr:twoCellAnchor>
  <xdr:twoCellAnchor>
    <xdr:from>
      <xdr:col>1</xdr:col>
      <xdr:colOff>83344</xdr:colOff>
      <xdr:row>15</xdr:row>
      <xdr:rowOff>96832</xdr:rowOff>
    </xdr:from>
    <xdr:to>
      <xdr:col>2</xdr:col>
      <xdr:colOff>483030</xdr:colOff>
      <xdr:row>16</xdr:row>
      <xdr:rowOff>101898</xdr:rowOff>
    </xdr:to>
    <xdr:sp macro="" textlink="">
      <xdr:nvSpPr>
        <xdr:cNvPr id="24" name="TextBox 29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678657" y="2954332"/>
          <a:ext cx="994998" cy="195566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700" b="1">
              <a:latin typeface="Arial" panose="020B0604020202020204" pitchFamily="34" charset="0"/>
              <a:cs typeface="Arial" panose="020B0604020202020204" pitchFamily="34" charset="0"/>
            </a:rPr>
            <a:t>DNAJB14-Short </a:t>
          </a:r>
          <a:endParaRPr lang="he-IL" sz="7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240785</xdr:colOff>
      <xdr:row>10</xdr:row>
      <xdr:rowOff>47625</xdr:rowOff>
    </xdr:from>
    <xdr:to>
      <xdr:col>2</xdr:col>
      <xdr:colOff>437998</xdr:colOff>
      <xdr:row>11</xdr:row>
      <xdr:rowOff>57180</xdr:rowOff>
    </xdr:to>
    <xdr:sp macro="" textlink="">
      <xdr:nvSpPr>
        <xdr:cNvPr id="26" name="TextBox 33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836098" y="1952625"/>
          <a:ext cx="792525" cy="200055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700" b="1">
              <a:latin typeface="Arial" panose="020B0604020202020204" pitchFamily="34" charset="0"/>
              <a:cs typeface="Arial" panose="020B0604020202020204" pitchFamily="34" charset="0"/>
            </a:rPr>
            <a:t>DNAJB14-FL</a:t>
          </a:r>
          <a:endParaRPr lang="he-IL" sz="7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104775</xdr:colOff>
      <xdr:row>4</xdr:row>
      <xdr:rowOff>19049</xdr:rowOff>
    </xdr:from>
    <xdr:to>
      <xdr:col>11</xdr:col>
      <xdr:colOff>25731</xdr:colOff>
      <xdr:row>17</xdr:row>
      <xdr:rowOff>33420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0512" y="794417"/>
          <a:ext cx="2621377" cy="2534319"/>
        </a:xfrm>
        <a:prstGeom prst="rect">
          <a:avLst/>
        </a:prstGeom>
      </xdr:spPr>
    </xdr:pic>
    <xdr:clientData/>
  </xdr:twoCellAnchor>
  <xdr:twoCellAnchor editAs="oneCell">
    <xdr:from>
      <xdr:col>2</xdr:col>
      <xdr:colOff>597675</xdr:colOff>
      <xdr:row>4</xdr:row>
      <xdr:rowOff>7125</xdr:rowOff>
    </xdr:from>
    <xdr:to>
      <xdr:col>6</xdr:col>
      <xdr:colOff>518631</xdr:colOff>
      <xdr:row>17</xdr:row>
      <xdr:rowOff>26737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7886" y="782493"/>
          <a:ext cx="2621377" cy="2539560"/>
        </a:xfrm>
        <a:prstGeom prst="rect">
          <a:avLst/>
        </a:prstGeom>
      </xdr:spPr>
    </xdr:pic>
    <xdr:clientData/>
  </xdr:twoCellAnchor>
  <xdr:twoCellAnchor>
    <xdr:from>
      <xdr:col>1</xdr:col>
      <xdr:colOff>438150</xdr:colOff>
      <xdr:row>1</xdr:row>
      <xdr:rowOff>85725</xdr:rowOff>
    </xdr:from>
    <xdr:to>
      <xdr:col>3</xdr:col>
      <xdr:colOff>325857</xdr:colOff>
      <xdr:row>3</xdr:row>
      <xdr:rowOff>43279</xdr:rowOff>
    </xdr:to>
    <xdr:sp macro="" textlink="">
      <xdr:nvSpPr>
        <xdr:cNvPr id="4" name="TextBox 137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1047750" y="276225"/>
          <a:ext cx="1106907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                 	                 DNAJB14-FLAG	</a:t>
          </a:r>
        </a:p>
      </xdr:txBody>
    </xdr:sp>
    <xdr:clientData/>
  </xdr:twoCellAnchor>
  <xdr:twoCellAnchor>
    <xdr:from>
      <xdr:col>7</xdr:col>
      <xdr:colOff>589139</xdr:colOff>
      <xdr:row>2</xdr:row>
      <xdr:rowOff>11973</xdr:rowOff>
    </xdr:from>
    <xdr:to>
      <xdr:col>9</xdr:col>
      <xdr:colOff>213310</xdr:colOff>
      <xdr:row>3</xdr:row>
      <xdr:rowOff>36917</xdr:rowOff>
    </xdr:to>
    <xdr:sp macro="" textlink="">
      <xdr:nvSpPr>
        <xdr:cNvPr id="5" name="TextBox 289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4856339" y="392973"/>
          <a:ext cx="843371" cy="215444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short </a:t>
          </a:r>
          <a:endParaRPr lang="he-IL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464219</xdr:colOff>
      <xdr:row>2</xdr:row>
      <xdr:rowOff>31023</xdr:rowOff>
    </xdr:from>
    <xdr:to>
      <xdr:col>4</xdr:col>
      <xdr:colOff>467408</xdr:colOff>
      <xdr:row>3</xdr:row>
      <xdr:rowOff>55967</xdr:rowOff>
    </xdr:to>
    <xdr:sp macro="" textlink="">
      <xdr:nvSpPr>
        <xdr:cNvPr id="6" name="TextBox 29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2293019" y="412023"/>
          <a:ext cx="612789" cy="215444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FL</a:t>
          </a:r>
          <a:endParaRPr lang="he-IL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449403</xdr:colOff>
      <xdr:row>2</xdr:row>
      <xdr:rowOff>31023</xdr:rowOff>
    </xdr:from>
    <xdr:to>
      <xdr:col>6</xdr:col>
      <xdr:colOff>452592</xdr:colOff>
      <xdr:row>3</xdr:row>
      <xdr:rowOff>55967</xdr:rowOff>
    </xdr:to>
    <xdr:sp macro="" textlink="">
      <xdr:nvSpPr>
        <xdr:cNvPr id="7" name="TextBox 293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3497403" y="412023"/>
          <a:ext cx="612789" cy="215444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FL</a:t>
          </a:r>
          <a:endParaRPr lang="he-IL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87639</xdr:colOff>
      <xdr:row>2</xdr:row>
      <xdr:rowOff>31023</xdr:rowOff>
    </xdr:from>
    <xdr:to>
      <xdr:col>5</xdr:col>
      <xdr:colOff>321410</xdr:colOff>
      <xdr:row>3</xdr:row>
      <xdr:rowOff>55967</xdr:rowOff>
    </xdr:to>
    <xdr:sp macro="" textlink="">
      <xdr:nvSpPr>
        <xdr:cNvPr id="8" name="TextBox 296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/>
      </xdr:nvSpPr>
      <xdr:spPr>
        <a:xfrm>
          <a:off x="2526039" y="412023"/>
          <a:ext cx="843371" cy="215444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short </a:t>
          </a:r>
          <a:endParaRPr lang="he-IL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486594</xdr:colOff>
      <xdr:row>2</xdr:row>
      <xdr:rowOff>11973</xdr:rowOff>
    </xdr:from>
    <xdr:to>
      <xdr:col>8</xdr:col>
      <xdr:colOff>489783</xdr:colOff>
      <xdr:row>3</xdr:row>
      <xdr:rowOff>36917</xdr:rowOff>
    </xdr:to>
    <xdr:sp macro="" textlink="">
      <xdr:nvSpPr>
        <xdr:cNvPr id="9" name="TextBox 297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4753794" y="392973"/>
          <a:ext cx="612789" cy="215444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FL</a:t>
          </a:r>
          <a:endParaRPr lang="he-IL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357478</xdr:colOff>
      <xdr:row>2</xdr:row>
      <xdr:rowOff>21498</xdr:rowOff>
    </xdr:from>
    <xdr:to>
      <xdr:col>10</xdr:col>
      <xdr:colOff>360667</xdr:colOff>
      <xdr:row>3</xdr:row>
      <xdr:rowOff>46442</xdr:rowOff>
    </xdr:to>
    <xdr:sp macro="" textlink="">
      <xdr:nvSpPr>
        <xdr:cNvPr id="10" name="TextBox 298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/>
      </xdr:nvSpPr>
      <xdr:spPr>
        <a:xfrm>
          <a:off x="5843878" y="402498"/>
          <a:ext cx="612789" cy="215444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FL</a:t>
          </a:r>
          <a:endParaRPr lang="he-IL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466278</xdr:colOff>
      <xdr:row>2</xdr:row>
      <xdr:rowOff>177313</xdr:rowOff>
    </xdr:from>
    <xdr:to>
      <xdr:col>6</xdr:col>
      <xdr:colOff>469467</xdr:colOff>
      <xdr:row>4</xdr:row>
      <xdr:rowOff>11757</xdr:rowOff>
    </xdr:to>
    <xdr:sp macro="" textlink="">
      <xdr:nvSpPr>
        <xdr:cNvPr id="11" name="TextBox 305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3514278" y="558313"/>
          <a:ext cx="612789" cy="215444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IgG</a:t>
          </a:r>
          <a:endParaRPr lang="he-IL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581025</xdr:colOff>
      <xdr:row>2</xdr:row>
      <xdr:rowOff>180975</xdr:rowOff>
    </xdr:from>
    <xdr:to>
      <xdr:col>2</xdr:col>
      <xdr:colOff>584214</xdr:colOff>
      <xdr:row>4</xdr:row>
      <xdr:rowOff>15419</xdr:rowOff>
    </xdr:to>
    <xdr:sp macro="" textlink="">
      <xdr:nvSpPr>
        <xdr:cNvPr id="14" name="TextBox 306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/>
      </xdr:nvSpPr>
      <xdr:spPr>
        <a:xfrm>
          <a:off x="1190625" y="561975"/>
          <a:ext cx="612789" cy="215444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IP</a:t>
          </a:r>
          <a:endParaRPr lang="he-IL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114300</xdr:colOff>
      <xdr:row>2</xdr:row>
      <xdr:rowOff>19050</xdr:rowOff>
    </xdr:from>
    <xdr:to>
      <xdr:col>6</xdr:col>
      <xdr:colOff>117489</xdr:colOff>
      <xdr:row>3</xdr:row>
      <xdr:rowOff>43994</xdr:rowOff>
    </xdr:to>
    <xdr:sp macro="" textlink="">
      <xdr:nvSpPr>
        <xdr:cNvPr id="17" name="TextBox 288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/>
      </xdr:nvSpPr>
      <xdr:spPr>
        <a:xfrm>
          <a:off x="3162300" y="400050"/>
          <a:ext cx="612789" cy="215444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l-GR" sz="8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short</a:t>
          </a:r>
          <a:endParaRPr lang="he-IL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66675</xdr:colOff>
      <xdr:row>2</xdr:row>
      <xdr:rowOff>0</xdr:rowOff>
    </xdr:from>
    <xdr:to>
      <xdr:col>10</xdr:col>
      <xdr:colOff>69864</xdr:colOff>
      <xdr:row>3</xdr:row>
      <xdr:rowOff>24944</xdr:rowOff>
    </xdr:to>
    <xdr:sp macro="" textlink="">
      <xdr:nvSpPr>
        <xdr:cNvPr id="18" name="TextBox 288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/>
      </xdr:nvSpPr>
      <xdr:spPr>
        <a:xfrm>
          <a:off x="5553075" y="381000"/>
          <a:ext cx="612789" cy="215444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l-GR" sz="8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short</a:t>
          </a:r>
          <a:endParaRPr lang="he-IL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390525</xdr:colOff>
      <xdr:row>2</xdr:row>
      <xdr:rowOff>171450</xdr:rowOff>
    </xdr:from>
    <xdr:to>
      <xdr:col>10</xdr:col>
      <xdr:colOff>393714</xdr:colOff>
      <xdr:row>4</xdr:row>
      <xdr:rowOff>5894</xdr:rowOff>
    </xdr:to>
    <xdr:sp macro="" textlink="">
      <xdr:nvSpPr>
        <xdr:cNvPr id="19" name="TextBox 305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/>
      </xdr:nvSpPr>
      <xdr:spPr>
        <a:xfrm>
          <a:off x="5876925" y="552450"/>
          <a:ext cx="612789" cy="215444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IgG</a:t>
          </a:r>
          <a:endParaRPr lang="he-IL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514350</xdr:colOff>
      <xdr:row>3</xdr:row>
      <xdr:rowOff>9525</xdr:rowOff>
    </xdr:from>
    <xdr:to>
      <xdr:col>4</xdr:col>
      <xdr:colOff>517539</xdr:colOff>
      <xdr:row>4</xdr:row>
      <xdr:rowOff>34469</xdr:rowOff>
    </xdr:to>
    <xdr:sp macro="" textlink="">
      <xdr:nvSpPr>
        <xdr:cNvPr id="21" name="TextBox 302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/>
      </xdr:nvSpPr>
      <xdr:spPr>
        <a:xfrm>
          <a:off x="2343150" y="581025"/>
          <a:ext cx="612789" cy="215444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YFP</a:t>
          </a:r>
          <a:endParaRPr lang="he-IL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304800</xdr:colOff>
      <xdr:row>3</xdr:row>
      <xdr:rowOff>0</xdr:rowOff>
    </xdr:from>
    <xdr:to>
      <xdr:col>5</xdr:col>
      <xdr:colOff>307989</xdr:colOff>
      <xdr:row>4</xdr:row>
      <xdr:rowOff>24944</xdr:rowOff>
    </xdr:to>
    <xdr:sp macro="" textlink="">
      <xdr:nvSpPr>
        <xdr:cNvPr id="22" name="TextBox 302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2743200" y="571500"/>
          <a:ext cx="612789" cy="215444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YFP</a:t>
          </a:r>
          <a:endParaRPr lang="he-IL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66675</xdr:colOff>
      <xdr:row>3</xdr:row>
      <xdr:rowOff>0</xdr:rowOff>
    </xdr:from>
    <xdr:to>
      <xdr:col>6</xdr:col>
      <xdr:colOff>69864</xdr:colOff>
      <xdr:row>4</xdr:row>
      <xdr:rowOff>24944</xdr:rowOff>
    </xdr:to>
    <xdr:sp macro="" textlink="">
      <xdr:nvSpPr>
        <xdr:cNvPr id="23" name="TextBox 30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/>
      </xdr:nvSpPr>
      <xdr:spPr>
        <a:xfrm>
          <a:off x="3114675" y="571500"/>
          <a:ext cx="612789" cy="215444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YFP</a:t>
          </a:r>
          <a:endParaRPr lang="he-IL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123825</xdr:colOff>
      <xdr:row>0</xdr:row>
      <xdr:rowOff>85725</xdr:rowOff>
    </xdr:from>
    <xdr:to>
      <xdr:col>5</xdr:col>
      <xdr:colOff>406275</xdr:colOff>
      <xdr:row>1</xdr:row>
      <xdr:rowOff>110669</xdr:rowOff>
    </xdr:to>
    <xdr:sp macro="" textlink="">
      <xdr:nvSpPr>
        <xdr:cNvPr id="24" name="TextBox 189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3171825" y="85725"/>
          <a:ext cx="28245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IP</a:t>
          </a:r>
        </a:p>
      </xdr:txBody>
    </xdr:sp>
    <xdr:clientData/>
  </xdr:twoCellAnchor>
  <xdr:twoCellAnchor>
    <xdr:from>
      <xdr:col>8</xdr:col>
      <xdr:colOff>542925</xdr:colOff>
      <xdr:row>0</xdr:row>
      <xdr:rowOff>66675</xdr:rowOff>
    </xdr:from>
    <xdr:to>
      <xdr:col>9</xdr:col>
      <xdr:colOff>368059</xdr:colOff>
      <xdr:row>1</xdr:row>
      <xdr:rowOff>91619</xdr:rowOff>
    </xdr:to>
    <xdr:sp macro="" textlink="">
      <xdr:nvSpPr>
        <xdr:cNvPr id="25" name="TextBox 207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5419725" y="66675"/>
          <a:ext cx="434734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Input</a:t>
          </a:r>
        </a:p>
      </xdr:txBody>
    </xdr:sp>
    <xdr:clientData/>
  </xdr:twoCellAnchor>
  <xdr:twoCellAnchor>
    <xdr:from>
      <xdr:col>6</xdr:col>
      <xdr:colOff>541922</xdr:colOff>
      <xdr:row>6</xdr:row>
      <xdr:rowOff>179472</xdr:rowOff>
    </xdr:from>
    <xdr:to>
      <xdr:col>7</xdr:col>
      <xdr:colOff>332372</xdr:colOff>
      <xdr:row>8</xdr:row>
      <xdr:rowOff>14206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4592554" y="1342525"/>
          <a:ext cx="465555" cy="2224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70</a:t>
          </a:r>
        </a:p>
      </xdr:txBody>
    </xdr:sp>
    <xdr:clientData/>
  </xdr:twoCellAnchor>
  <xdr:twoCellAnchor>
    <xdr:from>
      <xdr:col>7</xdr:col>
      <xdr:colOff>27572</xdr:colOff>
      <xdr:row>10</xdr:row>
      <xdr:rowOff>166939</xdr:rowOff>
    </xdr:from>
    <xdr:to>
      <xdr:col>7</xdr:col>
      <xdr:colOff>360947</xdr:colOff>
      <xdr:row>12</xdr:row>
      <xdr:rowOff>39772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4753309" y="2105360"/>
          <a:ext cx="333375" cy="2605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25</a:t>
          </a:r>
        </a:p>
      </xdr:txBody>
    </xdr:sp>
    <xdr:clientData/>
  </xdr:twoCellAnchor>
  <xdr:twoCellAnchor>
    <xdr:from>
      <xdr:col>2</xdr:col>
      <xdr:colOff>418766</xdr:colOff>
      <xdr:row>6</xdr:row>
      <xdr:rowOff>191837</xdr:rowOff>
    </xdr:from>
    <xdr:to>
      <xdr:col>3</xdr:col>
      <xdr:colOff>143711</xdr:colOff>
      <xdr:row>8</xdr:row>
      <xdr:rowOff>26571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/>
      </xdr:nvSpPr>
      <xdr:spPr>
        <a:xfrm>
          <a:off x="1768977" y="1354890"/>
          <a:ext cx="400050" cy="2224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70</a:t>
          </a:r>
        </a:p>
      </xdr:txBody>
    </xdr:sp>
    <xdr:clientData/>
  </xdr:twoCellAnchor>
  <xdr:twoCellAnchor>
    <xdr:from>
      <xdr:col>2</xdr:col>
      <xdr:colOff>487446</xdr:colOff>
      <xdr:row>11</xdr:row>
      <xdr:rowOff>190834</xdr:rowOff>
    </xdr:from>
    <xdr:to>
      <xdr:col>3</xdr:col>
      <xdr:colOff>145716</xdr:colOff>
      <xdr:row>13</xdr:row>
      <xdr:rowOff>63667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/>
      </xdr:nvSpPr>
      <xdr:spPr>
        <a:xfrm>
          <a:off x="1837657" y="2323097"/>
          <a:ext cx="333375" cy="2605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25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6</xdr:col>
      <xdr:colOff>530352</xdr:colOff>
      <xdr:row>13</xdr:row>
      <xdr:rowOff>187452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762000"/>
          <a:ext cx="2359152" cy="1901952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4</xdr:row>
      <xdr:rowOff>9525</xdr:rowOff>
    </xdr:from>
    <xdr:to>
      <xdr:col>12</xdr:col>
      <xdr:colOff>73152</xdr:colOff>
      <xdr:row>14</xdr:row>
      <xdr:rowOff>6477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200" y="771525"/>
          <a:ext cx="2359152" cy="1901952"/>
        </a:xfrm>
        <a:prstGeom prst="rect">
          <a:avLst/>
        </a:prstGeom>
      </xdr:spPr>
    </xdr:pic>
    <xdr:clientData/>
  </xdr:twoCellAnchor>
  <xdr:twoCellAnchor>
    <xdr:from>
      <xdr:col>1</xdr:col>
      <xdr:colOff>352425</xdr:colOff>
      <xdr:row>1</xdr:row>
      <xdr:rowOff>38100</xdr:rowOff>
    </xdr:from>
    <xdr:to>
      <xdr:col>3</xdr:col>
      <xdr:colOff>240132</xdr:colOff>
      <xdr:row>2</xdr:row>
      <xdr:rowOff>186154</xdr:rowOff>
    </xdr:to>
    <xdr:sp macro="" textlink="">
      <xdr:nvSpPr>
        <xdr:cNvPr id="4" name="TextBox 137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/>
      </xdr:nvSpPr>
      <xdr:spPr>
        <a:xfrm>
          <a:off x="962025" y="228600"/>
          <a:ext cx="1106907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                 	                 DNAJB14-FLAG	</a:t>
          </a:r>
        </a:p>
      </xdr:txBody>
    </xdr:sp>
    <xdr:clientData/>
  </xdr:twoCellAnchor>
  <xdr:twoCellAnchor>
    <xdr:from>
      <xdr:col>9</xdr:col>
      <xdr:colOff>27164</xdr:colOff>
      <xdr:row>1</xdr:row>
      <xdr:rowOff>135798</xdr:rowOff>
    </xdr:from>
    <xdr:to>
      <xdr:col>10</xdr:col>
      <xdr:colOff>260935</xdr:colOff>
      <xdr:row>2</xdr:row>
      <xdr:rowOff>160742</xdr:rowOff>
    </xdr:to>
    <xdr:sp macro="" textlink="">
      <xdr:nvSpPr>
        <xdr:cNvPr id="5" name="TextBox 289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SpPr txBox="1"/>
      </xdr:nvSpPr>
      <xdr:spPr>
        <a:xfrm>
          <a:off x="5513564" y="326298"/>
          <a:ext cx="843371" cy="215444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short </a:t>
          </a:r>
          <a:endParaRPr lang="he-IL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363678</xdr:colOff>
      <xdr:row>1</xdr:row>
      <xdr:rowOff>173898</xdr:rowOff>
    </xdr:from>
    <xdr:to>
      <xdr:col>6</xdr:col>
      <xdr:colOff>366867</xdr:colOff>
      <xdr:row>3</xdr:row>
      <xdr:rowOff>8342</xdr:rowOff>
    </xdr:to>
    <xdr:sp macro="" textlink="">
      <xdr:nvSpPr>
        <xdr:cNvPr id="6" name="TextBox 293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SpPr txBox="1"/>
      </xdr:nvSpPr>
      <xdr:spPr>
        <a:xfrm>
          <a:off x="3411678" y="364398"/>
          <a:ext cx="612789" cy="215444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FL</a:t>
          </a:r>
          <a:endParaRPr lang="he-IL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1914</xdr:colOff>
      <xdr:row>1</xdr:row>
      <xdr:rowOff>173898</xdr:rowOff>
    </xdr:from>
    <xdr:to>
      <xdr:col>5</xdr:col>
      <xdr:colOff>235685</xdr:colOff>
      <xdr:row>3</xdr:row>
      <xdr:rowOff>8342</xdr:rowOff>
    </xdr:to>
    <xdr:sp macro="" textlink="">
      <xdr:nvSpPr>
        <xdr:cNvPr id="7" name="TextBox 29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SpPr txBox="1"/>
      </xdr:nvSpPr>
      <xdr:spPr>
        <a:xfrm>
          <a:off x="2440314" y="364398"/>
          <a:ext cx="843371" cy="215444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short </a:t>
          </a:r>
          <a:endParaRPr lang="he-IL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429444</xdr:colOff>
      <xdr:row>1</xdr:row>
      <xdr:rowOff>154848</xdr:rowOff>
    </xdr:from>
    <xdr:to>
      <xdr:col>9</xdr:col>
      <xdr:colOff>432633</xdr:colOff>
      <xdr:row>2</xdr:row>
      <xdr:rowOff>179792</xdr:rowOff>
    </xdr:to>
    <xdr:sp macro="" textlink="">
      <xdr:nvSpPr>
        <xdr:cNvPr id="8" name="TextBox 29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 txBox="1"/>
      </xdr:nvSpPr>
      <xdr:spPr>
        <a:xfrm>
          <a:off x="5306244" y="345348"/>
          <a:ext cx="612789" cy="215444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FL</a:t>
          </a:r>
          <a:endParaRPr lang="he-IL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509878</xdr:colOff>
      <xdr:row>1</xdr:row>
      <xdr:rowOff>135798</xdr:rowOff>
    </xdr:from>
    <xdr:to>
      <xdr:col>11</xdr:col>
      <xdr:colOff>513067</xdr:colOff>
      <xdr:row>2</xdr:row>
      <xdr:rowOff>160742</xdr:rowOff>
    </xdr:to>
    <xdr:sp macro="" textlink="">
      <xdr:nvSpPr>
        <xdr:cNvPr id="9" name="TextBox 29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 txBox="1"/>
      </xdr:nvSpPr>
      <xdr:spPr>
        <a:xfrm>
          <a:off x="6605878" y="326298"/>
          <a:ext cx="612789" cy="215444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FL</a:t>
          </a:r>
          <a:endParaRPr lang="he-IL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380553</xdr:colOff>
      <xdr:row>2</xdr:row>
      <xdr:rowOff>129688</xdr:rowOff>
    </xdr:from>
    <xdr:to>
      <xdr:col>6</xdr:col>
      <xdr:colOff>383742</xdr:colOff>
      <xdr:row>3</xdr:row>
      <xdr:rowOff>154632</xdr:rowOff>
    </xdr:to>
    <xdr:sp macro="" textlink="">
      <xdr:nvSpPr>
        <xdr:cNvPr id="10" name="TextBox 305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SpPr txBox="1"/>
      </xdr:nvSpPr>
      <xdr:spPr>
        <a:xfrm>
          <a:off x="3428553" y="510688"/>
          <a:ext cx="612789" cy="215444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IgG</a:t>
          </a:r>
          <a:endParaRPr lang="he-IL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495300</xdr:colOff>
      <xdr:row>2</xdr:row>
      <xdr:rowOff>133350</xdr:rowOff>
    </xdr:from>
    <xdr:to>
      <xdr:col>2</xdr:col>
      <xdr:colOff>498489</xdr:colOff>
      <xdr:row>3</xdr:row>
      <xdr:rowOff>158294</xdr:rowOff>
    </xdr:to>
    <xdr:sp macro="" textlink="">
      <xdr:nvSpPr>
        <xdr:cNvPr id="11" name="TextBox 306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 txBox="1"/>
      </xdr:nvSpPr>
      <xdr:spPr>
        <a:xfrm>
          <a:off x="1104900" y="514350"/>
          <a:ext cx="612789" cy="215444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IP</a:t>
          </a:r>
          <a:endParaRPr lang="he-IL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28575</xdr:colOff>
      <xdr:row>1</xdr:row>
      <xdr:rowOff>161925</xdr:rowOff>
    </xdr:from>
    <xdr:to>
      <xdr:col>6</xdr:col>
      <xdr:colOff>31764</xdr:colOff>
      <xdr:row>2</xdr:row>
      <xdr:rowOff>186869</xdr:rowOff>
    </xdr:to>
    <xdr:sp macro="" textlink="">
      <xdr:nvSpPr>
        <xdr:cNvPr id="12" name="TextBox 288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 txBox="1"/>
      </xdr:nvSpPr>
      <xdr:spPr>
        <a:xfrm>
          <a:off x="3076575" y="352425"/>
          <a:ext cx="612789" cy="215444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l-GR" sz="8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short</a:t>
          </a:r>
          <a:endParaRPr lang="he-IL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114300</xdr:colOff>
      <xdr:row>1</xdr:row>
      <xdr:rowOff>142875</xdr:rowOff>
    </xdr:from>
    <xdr:to>
      <xdr:col>11</xdr:col>
      <xdr:colOff>117489</xdr:colOff>
      <xdr:row>2</xdr:row>
      <xdr:rowOff>167819</xdr:rowOff>
    </xdr:to>
    <xdr:sp macro="" textlink="">
      <xdr:nvSpPr>
        <xdr:cNvPr id="13" name="TextBox 288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 txBox="1"/>
      </xdr:nvSpPr>
      <xdr:spPr>
        <a:xfrm>
          <a:off x="6210300" y="333375"/>
          <a:ext cx="612789" cy="215444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l-GR" sz="8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short</a:t>
          </a:r>
          <a:endParaRPr lang="he-IL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495300</xdr:colOff>
      <xdr:row>2</xdr:row>
      <xdr:rowOff>95250</xdr:rowOff>
    </xdr:from>
    <xdr:to>
      <xdr:col>11</xdr:col>
      <xdr:colOff>498489</xdr:colOff>
      <xdr:row>3</xdr:row>
      <xdr:rowOff>120194</xdr:rowOff>
    </xdr:to>
    <xdr:sp macro="" textlink="">
      <xdr:nvSpPr>
        <xdr:cNvPr id="14" name="TextBox 305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 txBox="1"/>
      </xdr:nvSpPr>
      <xdr:spPr>
        <a:xfrm>
          <a:off x="6591300" y="476250"/>
          <a:ext cx="612789" cy="215444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IgG</a:t>
          </a:r>
          <a:endParaRPr lang="he-IL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428625</xdr:colOff>
      <xdr:row>2</xdr:row>
      <xdr:rowOff>152400</xdr:rowOff>
    </xdr:from>
    <xdr:to>
      <xdr:col>4</xdr:col>
      <xdr:colOff>431814</xdr:colOff>
      <xdr:row>3</xdr:row>
      <xdr:rowOff>177344</xdr:rowOff>
    </xdr:to>
    <xdr:sp macro="" textlink="">
      <xdr:nvSpPr>
        <xdr:cNvPr id="15" name="TextBox 302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SpPr txBox="1"/>
      </xdr:nvSpPr>
      <xdr:spPr>
        <a:xfrm>
          <a:off x="2257425" y="533400"/>
          <a:ext cx="612789" cy="215444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YFP</a:t>
          </a:r>
          <a:endParaRPr lang="he-IL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219075</xdr:colOff>
      <xdr:row>2</xdr:row>
      <xdr:rowOff>142875</xdr:rowOff>
    </xdr:from>
    <xdr:to>
      <xdr:col>5</xdr:col>
      <xdr:colOff>222264</xdr:colOff>
      <xdr:row>3</xdr:row>
      <xdr:rowOff>167819</xdr:rowOff>
    </xdr:to>
    <xdr:sp macro="" textlink="">
      <xdr:nvSpPr>
        <xdr:cNvPr id="16" name="TextBox 302">
          <a:extLst>
            <a:ext uri="{FF2B5EF4-FFF2-40B4-BE49-F238E27FC236}">
              <a16:creationId xmlns:a16="http://schemas.microsoft.com/office/drawing/2014/main" id="{00000000-0008-0000-1400-000010000000}"/>
            </a:ext>
          </a:extLst>
        </xdr:cNvPr>
        <xdr:cNvSpPr txBox="1"/>
      </xdr:nvSpPr>
      <xdr:spPr>
        <a:xfrm>
          <a:off x="2657475" y="523875"/>
          <a:ext cx="612789" cy="215444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YFP</a:t>
          </a:r>
          <a:endParaRPr lang="he-IL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590550</xdr:colOff>
      <xdr:row>2</xdr:row>
      <xdr:rowOff>142875</xdr:rowOff>
    </xdr:from>
    <xdr:to>
      <xdr:col>5</xdr:col>
      <xdr:colOff>593739</xdr:colOff>
      <xdr:row>3</xdr:row>
      <xdr:rowOff>167819</xdr:rowOff>
    </xdr:to>
    <xdr:sp macro="" textlink="">
      <xdr:nvSpPr>
        <xdr:cNvPr id="17" name="TextBox 302">
          <a:extLst>
            <a:ext uri="{FF2B5EF4-FFF2-40B4-BE49-F238E27FC236}">
              <a16:creationId xmlns:a16="http://schemas.microsoft.com/office/drawing/2014/main" id="{00000000-0008-0000-1400-000011000000}"/>
            </a:ext>
          </a:extLst>
        </xdr:cNvPr>
        <xdr:cNvSpPr txBox="1"/>
      </xdr:nvSpPr>
      <xdr:spPr>
        <a:xfrm>
          <a:off x="3028950" y="523875"/>
          <a:ext cx="612789" cy="215444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YFP</a:t>
          </a:r>
          <a:endParaRPr lang="he-IL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38100</xdr:colOff>
      <xdr:row>0</xdr:row>
      <xdr:rowOff>38100</xdr:rowOff>
    </xdr:from>
    <xdr:to>
      <xdr:col>5</xdr:col>
      <xdr:colOff>320550</xdr:colOff>
      <xdr:row>1</xdr:row>
      <xdr:rowOff>63044</xdr:rowOff>
    </xdr:to>
    <xdr:sp macro="" textlink="">
      <xdr:nvSpPr>
        <xdr:cNvPr id="18" name="TextBox 189"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SpPr txBox="1"/>
      </xdr:nvSpPr>
      <xdr:spPr>
        <a:xfrm>
          <a:off x="3086100" y="38100"/>
          <a:ext cx="28245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IP</a:t>
          </a:r>
        </a:p>
      </xdr:txBody>
    </xdr:sp>
    <xdr:clientData/>
  </xdr:twoCellAnchor>
  <xdr:twoCellAnchor>
    <xdr:from>
      <xdr:col>9</xdr:col>
      <xdr:colOff>485775</xdr:colOff>
      <xdr:row>0</xdr:row>
      <xdr:rowOff>19050</xdr:rowOff>
    </xdr:from>
    <xdr:to>
      <xdr:col>10</xdr:col>
      <xdr:colOff>310909</xdr:colOff>
      <xdr:row>1</xdr:row>
      <xdr:rowOff>43994</xdr:rowOff>
    </xdr:to>
    <xdr:sp macro="" textlink="">
      <xdr:nvSpPr>
        <xdr:cNvPr id="19" name="TextBox 207">
          <a:extLst>
            <a:ext uri="{FF2B5EF4-FFF2-40B4-BE49-F238E27FC236}">
              <a16:creationId xmlns:a16="http://schemas.microsoft.com/office/drawing/2014/main" id="{00000000-0008-0000-1400-000013000000}"/>
            </a:ext>
          </a:extLst>
        </xdr:cNvPr>
        <xdr:cNvSpPr txBox="1"/>
      </xdr:nvSpPr>
      <xdr:spPr>
        <a:xfrm>
          <a:off x="5972175" y="19050"/>
          <a:ext cx="434734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Input</a:t>
          </a:r>
        </a:p>
      </xdr:txBody>
    </xdr:sp>
    <xdr:clientData/>
  </xdr:twoCellAnchor>
  <xdr:twoCellAnchor>
    <xdr:from>
      <xdr:col>7</xdr:col>
      <xdr:colOff>323850</xdr:colOff>
      <xdr:row>6</xdr:row>
      <xdr:rowOff>19050</xdr:rowOff>
    </xdr:from>
    <xdr:to>
      <xdr:col>8</xdr:col>
      <xdr:colOff>114300</xdr:colOff>
      <xdr:row>7</xdr:row>
      <xdr:rowOff>47626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1400-000014000000}"/>
            </a:ext>
          </a:extLst>
        </xdr:cNvPr>
        <xdr:cNvSpPr txBox="1"/>
      </xdr:nvSpPr>
      <xdr:spPr>
        <a:xfrm>
          <a:off x="4591050" y="1162050"/>
          <a:ext cx="400050" cy="2190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70</a:t>
          </a:r>
        </a:p>
      </xdr:txBody>
    </xdr:sp>
    <xdr:clientData/>
  </xdr:twoCellAnchor>
  <xdr:twoCellAnchor>
    <xdr:from>
      <xdr:col>7</xdr:col>
      <xdr:colOff>314325</xdr:colOff>
      <xdr:row>10</xdr:row>
      <xdr:rowOff>114300</xdr:rowOff>
    </xdr:from>
    <xdr:to>
      <xdr:col>8</xdr:col>
      <xdr:colOff>85725</xdr:colOff>
      <xdr:row>11</xdr:row>
      <xdr:rowOff>180975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SpPr txBox="1"/>
      </xdr:nvSpPr>
      <xdr:spPr>
        <a:xfrm>
          <a:off x="4448175" y="2019300"/>
          <a:ext cx="3619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25</a:t>
          </a:r>
        </a:p>
      </xdr:txBody>
    </xdr:sp>
    <xdr:clientData/>
  </xdr:twoCellAnchor>
  <xdr:twoCellAnchor>
    <xdr:from>
      <xdr:col>2</xdr:col>
      <xdr:colOff>123825</xdr:colOff>
      <xdr:row>4</xdr:row>
      <xdr:rowOff>114300</xdr:rowOff>
    </xdr:from>
    <xdr:to>
      <xdr:col>2</xdr:col>
      <xdr:colOff>523875</xdr:colOff>
      <xdr:row>5</xdr:row>
      <xdr:rowOff>142876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1400-000016000000}"/>
            </a:ext>
          </a:extLst>
        </xdr:cNvPr>
        <xdr:cNvSpPr txBox="1"/>
      </xdr:nvSpPr>
      <xdr:spPr>
        <a:xfrm>
          <a:off x="1343025" y="876300"/>
          <a:ext cx="400050" cy="2190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70</a:t>
          </a:r>
        </a:p>
      </xdr:txBody>
    </xdr:sp>
    <xdr:clientData/>
  </xdr:twoCellAnchor>
  <xdr:twoCellAnchor>
    <xdr:from>
      <xdr:col>2</xdr:col>
      <xdr:colOff>133350</xdr:colOff>
      <xdr:row>9</xdr:row>
      <xdr:rowOff>76200</xdr:rowOff>
    </xdr:from>
    <xdr:to>
      <xdr:col>2</xdr:col>
      <xdr:colOff>466725</xdr:colOff>
      <xdr:row>10</xdr:row>
      <xdr:rowOff>142875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1400-000017000000}"/>
            </a:ext>
          </a:extLst>
        </xdr:cNvPr>
        <xdr:cNvSpPr txBox="1"/>
      </xdr:nvSpPr>
      <xdr:spPr>
        <a:xfrm>
          <a:off x="1352550" y="1790700"/>
          <a:ext cx="333375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25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533399</xdr:colOff>
      <xdr:row>1</xdr:row>
      <xdr:rowOff>133350</xdr:rowOff>
    </xdr:from>
    <xdr:to>
      <xdr:col>12</xdr:col>
      <xdr:colOff>510988</xdr:colOff>
      <xdr:row>5</xdr:row>
      <xdr:rowOff>79236</xdr:rowOff>
    </xdr:to>
    <xdr:sp macro="" textlink="">
      <xdr:nvSpPr>
        <xdr:cNvPr id="3" name="TextBox 10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/>
      </xdr:nvSpPr>
      <xdr:spPr>
        <a:xfrm>
          <a:off x="2362199" y="323850"/>
          <a:ext cx="5463989" cy="70788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FUS	              WT      WT              WT     WT             R521H R521H       R521H R521H</a:t>
          </a:r>
        </a:p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DNAJB14-FLAG                    FL   HPDmut1        short </a:t>
          </a:r>
          <a:r>
            <a:rPr lang="el-GR" sz="800">
              <a:latin typeface="Arial" panose="020B0604020202020204" pitchFamily="34" charset="0"/>
              <a:cs typeface="Arial" panose="020B0604020202020204" pitchFamily="34" charset="0"/>
            </a:rPr>
            <a:t>Δ </a:t>
          </a:r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DUF            FL   HPDmut1    short </a:t>
          </a:r>
          <a:r>
            <a:rPr lang="el-GR" sz="800">
              <a:latin typeface="Arial" panose="020B0604020202020204" pitchFamily="34" charset="0"/>
              <a:cs typeface="Arial" panose="020B0604020202020204" pitchFamily="34" charset="0"/>
            </a:rPr>
            <a:t>Δ </a:t>
          </a:r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DUF </a:t>
          </a:r>
        </a:p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DNAJB12-FL-mOrange         +          +                 +          +                +          +               +            +</a:t>
          </a:r>
        </a:p>
        <a:p>
          <a:endParaRPr lang="en-US" sz="8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431800</xdr:colOff>
      <xdr:row>5</xdr:row>
      <xdr:rowOff>180975</xdr:rowOff>
    </xdr:from>
    <xdr:to>
      <xdr:col>5</xdr:col>
      <xdr:colOff>30825</xdr:colOff>
      <xdr:row>7</xdr:row>
      <xdr:rowOff>61585</xdr:rowOff>
    </xdr:to>
    <xdr:sp macro="" textlink="">
      <xdr:nvSpPr>
        <xdr:cNvPr id="4" name="TextBox 11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 txBox="1"/>
      </xdr:nvSpPr>
      <xdr:spPr>
        <a:xfrm>
          <a:off x="1606550" y="1133475"/>
          <a:ext cx="1361150" cy="261610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WB:mOrange</a:t>
          </a:r>
        </a:p>
      </xdr:txBody>
    </xdr:sp>
    <xdr:clientData/>
  </xdr:twoCellAnchor>
  <xdr:twoCellAnchor>
    <xdr:from>
      <xdr:col>2</xdr:col>
      <xdr:colOff>501649</xdr:colOff>
      <xdr:row>8</xdr:row>
      <xdr:rowOff>46038</xdr:rowOff>
    </xdr:from>
    <xdr:to>
      <xdr:col>5</xdr:col>
      <xdr:colOff>100674</xdr:colOff>
      <xdr:row>9</xdr:row>
      <xdr:rowOff>117148</xdr:rowOff>
    </xdr:to>
    <xdr:sp macro="" textlink="">
      <xdr:nvSpPr>
        <xdr:cNvPr id="5" name="TextBox 17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 txBox="1"/>
      </xdr:nvSpPr>
      <xdr:spPr>
        <a:xfrm>
          <a:off x="1676399" y="1570038"/>
          <a:ext cx="1361150" cy="261610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WB:ACTIN</a:t>
          </a:r>
        </a:p>
      </xdr:txBody>
    </xdr:sp>
    <xdr:clientData/>
  </xdr:twoCellAnchor>
  <xdr:twoCellAnchor editAs="oneCell">
    <xdr:from>
      <xdr:col>4</xdr:col>
      <xdr:colOff>330765</xdr:colOff>
      <xdr:row>3</xdr:row>
      <xdr:rowOff>161437</xdr:rowOff>
    </xdr:from>
    <xdr:to>
      <xdr:col>10</xdr:col>
      <xdr:colOff>459154</xdr:colOff>
      <xdr:row>19</xdr:row>
      <xdr:rowOff>97693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09" t="24148" r="11553" b="8807"/>
        <a:stretch/>
      </xdr:blipFill>
      <xdr:spPr>
        <a:xfrm>
          <a:off x="3027073" y="747591"/>
          <a:ext cx="4172850" cy="3062410"/>
        </a:xfrm>
        <a:prstGeom prst="rect">
          <a:avLst/>
        </a:prstGeom>
      </xdr:spPr>
    </xdr:pic>
    <xdr:clientData/>
  </xdr:twoCellAnchor>
  <xdr:twoCellAnchor>
    <xdr:from>
      <xdr:col>3</xdr:col>
      <xdr:colOff>504825</xdr:colOff>
      <xdr:row>23</xdr:row>
      <xdr:rowOff>9525</xdr:rowOff>
    </xdr:from>
    <xdr:to>
      <xdr:col>13</xdr:col>
      <xdr:colOff>532695</xdr:colOff>
      <xdr:row>28</xdr:row>
      <xdr:rowOff>34024</xdr:rowOff>
    </xdr:to>
    <xdr:sp macro="" textlink="">
      <xdr:nvSpPr>
        <xdr:cNvPr id="7" name="TextBox 19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SpPr txBox="1"/>
      </xdr:nvSpPr>
      <xdr:spPr>
        <a:xfrm>
          <a:off x="2276475" y="4391025"/>
          <a:ext cx="5933370" cy="9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	      </a:t>
          </a:r>
        </a:p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DNAJB14-FLAG                     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        FL    HPDmut1       short   </a:t>
          </a:r>
          <a:r>
            <a:rPr lang="el-GR" sz="8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DUF   -       -	       </a:t>
          </a:r>
        </a:p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DNAJB12-FL-mOrange                       +         +                +        +         </a:t>
          </a:r>
          <a:r>
            <a:rPr lang="he-IL" sz="8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-       -</a:t>
          </a:r>
        </a:p>
        <a:p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569913</xdr:colOff>
      <xdr:row>29</xdr:row>
      <xdr:rowOff>28575</xdr:rowOff>
    </xdr:from>
    <xdr:to>
      <xdr:col>6</xdr:col>
      <xdr:colOff>191163</xdr:colOff>
      <xdr:row>30</xdr:row>
      <xdr:rowOff>99685</xdr:rowOff>
    </xdr:to>
    <xdr:sp macro="" textlink="">
      <xdr:nvSpPr>
        <xdr:cNvPr id="8" name="TextBox 11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 txBox="1"/>
      </xdr:nvSpPr>
      <xdr:spPr>
        <a:xfrm>
          <a:off x="2332038" y="5553075"/>
          <a:ext cx="1383375" cy="261610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WB:mOrange</a:t>
          </a:r>
        </a:p>
      </xdr:txBody>
    </xdr:sp>
    <xdr:clientData/>
  </xdr:twoCellAnchor>
  <xdr:twoCellAnchor>
    <xdr:from>
      <xdr:col>4</xdr:col>
      <xdr:colOff>3175</xdr:colOff>
      <xdr:row>32</xdr:row>
      <xdr:rowOff>104775</xdr:rowOff>
    </xdr:from>
    <xdr:to>
      <xdr:col>6</xdr:col>
      <xdr:colOff>189575</xdr:colOff>
      <xdr:row>33</xdr:row>
      <xdr:rowOff>175885</xdr:rowOff>
    </xdr:to>
    <xdr:sp macro="" textlink="">
      <xdr:nvSpPr>
        <xdr:cNvPr id="9" name="TextBox 17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SpPr txBox="1"/>
      </xdr:nvSpPr>
      <xdr:spPr>
        <a:xfrm>
          <a:off x="2352675" y="6200775"/>
          <a:ext cx="1361150" cy="261610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WB:ACTIN</a:t>
          </a:r>
        </a:p>
      </xdr:txBody>
    </xdr:sp>
    <xdr:clientData/>
  </xdr:twoCellAnchor>
  <xdr:twoCellAnchor editAs="oneCell">
    <xdr:from>
      <xdr:col>6</xdr:col>
      <xdr:colOff>219074</xdr:colOff>
      <xdr:row>26</xdr:row>
      <xdr:rowOff>38101</xdr:rowOff>
    </xdr:from>
    <xdr:to>
      <xdr:col>10</xdr:col>
      <xdr:colOff>495300</xdr:colOff>
      <xdr:row>38</xdr:row>
      <xdr:rowOff>28575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072" t="28486" r="26477" b="31414"/>
        <a:stretch/>
      </xdr:blipFill>
      <xdr:spPr>
        <a:xfrm flipV="1">
          <a:off x="3762374" y="4991101"/>
          <a:ext cx="2638426" cy="2276474"/>
        </a:xfrm>
        <a:prstGeom prst="rect">
          <a:avLst/>
        </a:prstGeom>
      </xdr:spPr>
    </xdr:pic>
    <xdr:clientData/>
  </xdr:twoCellAnchor>
  <xdr:twoCellAnchor editAs="oneCell">
    <xdr:from>
      <xdr:col>13</xdr:col>
      <xdr:colOff>260349</xdr:colOff>
      <xdr:row>25</xdr:row>
      <xdr:rowOff>130175</xdr:rowOff>
    </xdr:from>
    <xdr:to>
      <xdr:col>17</xdr:col>
      <xdr:colOff>552449</xdr:colOff>
      <xdr:row>38</xdr:row>
      <xdr:rowOff>6349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74" t="11079" r="28031" b="19886"/>
        <a:stretch/>
      </xdr:blipFill>
      <xdr:spPr>
        <a:xfrm flipV="1">
          <a:off x="7896224" y="4892675"/>
          <a:ext cx="2641600" cy="2352674"/>
        </a:xfrm>
        <a:prstGeom prst="rect">
          <a:avLst/>
        </a:prstGeom>
      </xdr:spPr>
    </xdr:pic>
    <xdr:clientData/>
  </xdr:twoCellAnchor>
  <xdr:twoCellAnchor>
    <xdr:from>
      <xdr:col>11</xdr:col>
      <xdr:colOff>284163</xdr:colOff>
      <xdr:row>28</xdr:row>
      <xdr:rowOff>100013</xdr:rowOff>
    </xdr:from>
    <xdr:to>
      <xdr:col>13</xdr:col>
      <xdr:colOff>489613</xdr:colOff>
      <xdr:row>29</xdr:row>
      <xdr:rowOff>171123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SpPr txBox="1"/>
      </xdr:nvSpPr>
      <xdr:spPr>
        <a:xfrm>
          <a:off x="6745288" y="5434013"/>
          <a:ext cx="1380200" cy="261610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WB:mOrange</a:t>
          </a:r>
        </a:p>
      </xdr:txBody>
    </xdr:sp>
    <xdr:clientData/>
  </xdr:twoCellAnchor>
  <xdr:twoCellAnchor>
    <xdr:from>
      <xdr:col>12</xdr:col>
      <xdr:colOff>404812</xdr:colOff>
      <xdr:row>29</xdr:row>
      <xdr:rowOff>166687</xdr:rowOff>
    </xdr:from>
    <xdr:to>
      <xdr:col>13</xdr:col>
      <xdr:colOff>150813</xdr:colOff>
      <xdr:row>31</xdr:row>
      <xdr:rowOff>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1700-00000D000000}"/>
            </a:ext>
          </a:extLst>
        </xdr:cNvPr>
        <xdr:cNvSpPr txBox="1"/>
      </xdr:nvSpPr>
      <xdr:spPr>
        <a:xfrm>
          <a:off x="7453312" y="5691187"/>
          <a:ext cx="333376" cy="2143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/>
            <a:t>70</a:t>
          </a:r>
        </a:p>
      </xdr:txBody>
    </xdr:sp>
    <xdr:clientData/>
  </xdr:twoCellAnchor>
  <xdr:twoCellAnchor>
    <xdr:from>
      <xdr:col>12</xdr:col>
      <xdr:colOff>444499</xdr:colOff>
      <xdr:row>36</xdr:row>
      <xdr:rowOff>100012</xdr:rowOff>
    </xdr:from>
    <xdr:to>
      <xdr:col>13</xdr:col>
      <xdr:colOff>190499</xdr:colOff>
      <xdr:row>37</xdr:row>
      <xdr:rowOff>166687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700-00000E000000}"/>
            </a:ext>
          </a:extLst>
        </xdr:cNvPr>
        <xdr:cNvSpPr txBox="1"/>
      </xdr:nvSpPr>
      <xdr:spPr>
        <a:xfrm>
          <a:off x="7492999" y="6958012"/>
          <a:ext cx="333375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/>
            <a:t>25</a:t>
          </a:r>
        </a:p>
      </xdr:txBody>
    </xdr:sp>
    <xdr:clientData/>
  </xdr:twoCellAnchor>
  <xdr:twoCellAnchor>
    <xdr:from>
      <xdr:col>5</xdr:col>
      <xdr:colOff>492125</xdr:colOff>
      <xdr:row>29</xdr:row>
      <xdr:rowOff>158749</xdr:rowOff>
    </xdr:from>
    <xdr:to>
      <xdr:col>6</xdr:col>
      <xdr:colOff>198438</xdr:colOff>
      <xdr:row>30</xdr:row>
      <xdr:rowOff>187325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1700-00000F000000}"/>
            </a:ext>
          </a:extLst>
        </xdr:cNvPr>
        <xdr:cNvSpPr txBox="1"/>
      </xdr:nvSpPr>
      <xdr:spPr>
        <a:xfrm>
          <a:off x="3429000" y="5683249"/>
          <a:ext cx="293688" cy="2190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/>
            <a:t>70</a:t>
          </a:r>
        </a:p>
      </xdr:txBody>
    </xdr:sp>
    <xdr:clientData/>
  </xdr:twoCellAnchor>
  <xdr:twoCellAnchor>
    <xdr:from>
      <xdr:col>5</xdr:col>
      <xdr:colOff>420687</xdr:colOff>
      <xdr:row>36</xdr:row>
      <xdr:rowOff>28575</xdr:rowOff>
    </xdr:from>
    <xdr:to>
      <xdr:col>6</xdr:col>
      <xdr:colOff>166687</xdr:colOff>
      <xdr:row>37</xdr:row>
      <xdr:rowOff>95250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1700-000010000000}"/>
            </a:ext>
          </a:extLst>
        </xdr:cNvPr>
        <xdr:cNvSpPr txBox="1"/>
      </xdr:nvSpPr>
      <xdr:spPr>
        <a:xfrm>
          <a:off x="3357562" y="6886575"/>
          <a:ext cx="333375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/>
            <a:t>25</a:t>
          </a:r>
        </a:p>
      </xdr:txBody>
    </xdr:sp>
    <xdr:clientData/>
  </xdr:twoCellAnchor>
  <xdr:twoCellAnchor>
    <xdr:from>
      <xdr:col>4</xdr:col>
      <xdr:colOff>515937</xdr:colOff>
      <xdr:row>5</xdr:row>
      <xdr:rowOff>166686</xdr:rowOff>
    </xdr:from>
    <xdr:to>
      <xdr:col>5</xdr:col>
      <xdr:colOff>261938</xdr:colOff>
      <xdr:row>6</xdr:row>
      <xdr:rowOff>190499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1700-000011000000}"/>
            </a:ext>
          </a:extLst>
        </xdr:cNvPr>
        <xdr:cNvSpPr txBox="1"/>
      </xdr:nvSpPr>
      <xdr:spPr>
        <a:xfrm>
          <a:off x="2865437" y="1119186"/>
          <a:ext cx="333376" cy="2143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/>
            <a:t>70</a:t>
          </a:r>
        </a:p>
      </xdr:txBody>
    </xdr:sp>
    <xdr:clientData/>
  </xdr:twoCellAnchor>
  <xdr:twoCellAnchor>
    <xdr:from>
      <xdr:col>4</xdr:col>
      <xdr:colOff>541571</xdr:colOff>
      <xdr:row>9</xdr:row>
      <xdr:rowOff>70669</xdr:rowOff>
    </xdr:from>
    <xdr:to>
      <xdr:col>5</xdr:col>
      <xdr:colOff>287571</xdr:colOff>
      <xdr:row>10</xdr:row>
      <xdr:rowOff>139269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1700-000012000000}"/>
            </a:ext>
          </a:extLst>
        </xdr:cNvPr>
        <xdr:cNvSpPr txBox="1"/>
      </xdr:nvSpPr>
      <xdr:spPr>
        <a:xfrm>
          <a:off x="3224515" y="1802487"/>
          <a:ext cx="416736" cy="2610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/>
            <a:t>25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161924</xdr:colOff>
      <xdr:row>12</xdr:row>
      <xdr:rowOff>38100</xdr:rowOff>
    </xdr:from>
    <xdr:to>
      <xdr:col>11</xdr:col>
      <xdr:colOff>76199</xdr:colOff>
      <xdr:row>26</xdr:row>
      <xdr:rowOff>142874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594" t="33238" r="14771" b="25426"/>
        <a:stretch/>
      </xdr:blipFill>
      <xdr:spPr>
        <a:xfrm>
          <a:off x="1990724" y="2324100"/>
          <a:ext cx="4791075" cy="2771774"/>
        </a:xfrm>
        <a:prstGeom prst="rect">
          <a:avLst/>
        </a:prstGeom>
      </xdr:spPr>
    </xdr:pic>
    <xdr:clientData/>
  </xdr:twoCellAnchor>
  <xdr:twoCellAnchor>
    <xdr:from>
      <xdr:col>1</xdr:col>
      <xdr:colOff>361950</xdr:colOff>
      <xdr:row>8</xdr:row>
      <xdr:rowOff>123825</xdr:rowOff>
    </xdr:from>
    <xdr:to>
      <xdr:col>12</xdr:col>
      <xdr:colOff>228600</xdr:colOff>
      <xdr:row>10</xdr:row>
      <xdr:rowOff>189229</xdr:rowOff>
    </xdr:to>
    <xdr:sp macro="" textlink="">
      <xdr:nvSpPr>
        <xdr:cNvPr id="3" name="TextBox 37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/>
      </xdr:nvSpPr>
      <xdr:spPr>
        <a:xfrm>
          <a:off x="971550" y="1647825"/>
          <a:ext cx="6572250" cy="4464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DNAJB12-FLAG              </a:t>
          </a:r>
          <a:r>
            <a:rPr lang="he-IL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       -       </a:t>
          </a:r>
          <a:r>
            <a:rPr lang="he-IL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short      short                 </a:t>
          </a:r>
          <a:r>
            <a:rPr lang="he-IL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FL        FL</a:t>
          </a:r>
        </a:p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DNAJB14-FL-mORANGE         </a:t>
          </a:r>
          <a:r>
            <a:rPr lang="he-IL" sz="1200">
              <a:latin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</a:rPr>
            <a:t>  </a:t>
          </a:r>
          <a:r>
            <a:rPr lang="he-IL" sz="1200">
              <a:latin typeface="Arial" panose="020B0604020202020204" pitchFamily="34" charset="0"/>
            </a:rPr>
            <a:t> </a:t>
          </a:r>
          <a:r>
            <a:rPr lang="en-US" sz="1200">
              <a:latin typeface="Arial" panose="020B0604020202020204" pitchFamily="34" charset="0"/>
            </a:rPr>
            <a:t>       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+            +                      +          +</a:t>
          </a:r>
        </a:p>
      </xdr:txBody>
    </xdr:sp>
    <xdr:clientData/>
  </xdr:twoCellAnchor>
  <xdr:twoCellAnchor>
    <xdr:from>
      <xdr:col>1</xdr:col>
      <xdr:colOff>38100</xdr:colOff>
      <xdr:row>12</xdr:row>
      <xdr:rowOff>133350</xdr:rowOff>
    </xdr:from>
    <xdr:to>
      <xdr:col>3</xdr:col>
      <xdr:colOff>46629</xdr:colOff>
      <xdr:row>13</xdr:row>
      <xdr:rowOff>158294</xdr:rowOff>
    </xdr:to>
    <xdr:sp macro="" textlink="">
      <xdr:nvSpPr>
        <xdr:cNvPr id="4" name="TextBox 4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/>
      </xdr:nvSpPr>
      <xdr:spPr>
        <a:xfrm>
          <a:off x="647700" y="2419350"/>
          <a:ext cx="1227729" cy="215444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IP:FLAG, WB:FLAG</a:t>
          </a:r>
        </a:p>
      </xdr:txBody>
    </xdr:sp>
    <xdr:clientData/>
  </xdr:twoCellAnchor>
  <xdr:twoCellAnchor>
    <xdr:from>
      <xdr:col>10</xdr:col>
      <xdr:colOff>95250</xdr:colOff>
      <xdr:row>16</xdr:row>
      <xdr:rowOff>9525</xdr:rowOff>
    </xdr:from>
    <xdr:to>
      <xdr:col>11</xdr:col>
      <xdr:colOff>308388</xdr:colOff>
      <xdr:row>17</xdr:row>
      <xdr:rowOff>18808</xdr:rowOff>
    </xdr:to>
    <xdr:sp macro="" textlink="">
      <xdr:nvSpPr>
        <xdr:cNvPr id="5" name="TextBox 8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SpPr txBox="1"/>
      </xdr:nvSpPr>
      <xdr:spPr>
        <a:xfrm>
          <a:off x="6191250" y="3057525"/>
          <a:ext cx="822738" cy="199783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700" b="1">
              <a:latin typeface="Arial" panose="020B0604020202020204" pitchFamily="34" charset="0"/>
              <a:cs typeface="Arial" panose="020B0604020202020204" pitchFamily="34" charset="0"/>
            </a:rPr>
            <a:t>DNAJB14-FL</a:t>
          </a:r>
          <a:endParaRPr lang="he-IL" sz="7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171450</xdr:colOff>
      <xdr:row>20</xdr:row>
      <xdr:rowOff>133350</xdr:rowOff>
    </xdr:from>
    <xdr:to>
      <xdr:col>10</xdr:col>
      <xdr:colOff>606686</xdr:colOff>
      <xdr:row>21</xdr:row>
      <xdr:rowOff>142633</xdr:rowOff>
    </xdr:to>
    <xdr:sp macro="" textlink="">
      <xdr:nvSpPr>
        <xdr:cNvPr id="6" name="TextBox 12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SpPr txBox="1"/>
      </xdr:nvSpPr>
      <xdr:spPr>
        <a:xfrm>
          <a:off x="6267450" y="3943350"/>
          <a:ext cx="435236" cy="199783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700" b="1">
              <a:latin typeface="Arial" panose="020B0604020202020204" pitchFamily="34" charset="0"/>
              <a:cs typeface="Arial" panose="020B0604020202020204" pitchFamily="34" charset="0"/>
            </a:rPr>
            <a:t>LC</a:t>
          </a:r>
          <a:endParaRPr lang="he-IL" sz="7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238125</xdr:colOff>
      <xdr:row>21</xdr:row>
      <xdr:rowOff>76200</xdr:rowOff>
    </xdr:from>
    <xdr:to>
      <xdr:col>5</xdr:col>
      <xdr:colOff>539595</xdr:colOff>
      <xdr:row>22</xdr:row>
      <xdr:rowOff>85755</xdr:rowOff>
    </xdr:to>
    <xdr:sp macro="" textlink="">
      <xdr:nvSpPr>
        <xdr:cNvPr id="7" name="TextBox 5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SpPr txBox="1"/>
      </xdr:nvSpPr>
      <xdr:spPr>
        <a:xfrm>
          <a:off x="2676525" y="4076700"/>
          <a:ext cx="911070" cy="200055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700" b="1">
              <a:latin typeface="Arial" panose="020B0604020202020204" pitchFamily="34" charset="0"/>
              <a:cs typeface="Arial" panose="020B0604020202020204" pitchFamily="34" charset="0"/>
            </a:rPr>
            <a:t>DNAJB14-Short </a:t>
          </a:r>
          <a:endParaRPr lang="he-IL" sz="7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142875</xdr:colOff>
      <xdr:row>15</xdr:row>
      <xdr:rowOff>95250</xdr:rowOff>
    </xdr:from>
    <xdr:to>
      <xdr:col>4</xdr:col>
      <xdr:colOff>578111</xdr:colOff>
      <xdr:row>16</xdr:row>
      <xdr:rowOff>104533</xdr:rowOff>
    </xdr:to>
    <xdr:sp macro="" textlink="">
      <xdr:nvSpPr>
        <xdr:cNvPr id="8" name="TextBox 12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 txBox="1"/>
      </xdr:nvSpPr>
      <xdr:spPr>
        <a:xfrm>
          <a:off x="2581275" y="2952750"/>
          <a:ext cx="435236" cy="199783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700" b="1">
              <a:latin typeface="Arial" panose="020B0604020202020204" pitchFamily="34" charset="0"/>
              <a:cs typeface="Arial" panose="020B0604020202020204" pitchFamily="34" charset="0"/>
            </a:rPr>
            <a:t>hc</a:t>
          </a:r>
          <a:endParaRPr lang="he-IL" sz="7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47625</xdr:colOff>
      <xdr:row>32</xdr:row>
      <xdr:rowOff>161925</xdr:rowOff>
    </xdr:from>
    <xdr:to>
      <xdr:col>3</xdr:col>
      <xdr:colOff>387076</xdr:colOff>
      <xdr:row>33</xdr:row>
      <xdr:rowOff>186869</xdr:rowOff>
    </xdr:to>
    <xdr:sp macro="" textlink="">
      <xdr:nvSpPr>
        <xdr:cNvPr id="10" name="TextBox 42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SpPr txBox="1"/>
      </xdr:nvSpPr>
      <xdr:spPr>
        <a:xfrm>
          <a:off x="638175" y="6257925"/>
          <a:ext cx="1520551" cy="215444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IP:FLAG, WB:mORANGE</a:t>
          </a:r>
        </a:p>
      </xdr:txBody>
    </xdr:sp>
    <xdr:clientData/>
  </xdr:twoCellAnchor>
  <xdr:twoCellAnchor editAs="oneCell">
    <xdr:from>
      <xdr:col>16</xdr:col>
      <xdr:colOff>35391</xdr:colOff>
      <xdr:row>11</xdr:row>
      <xdr:rowOff>95250</xdr:rowOff>
    </xdr:from>
    <xdr:to>
      <xdr:col>21</xdr:col>
      <xdr:colOff>94113</xdr:colOff>
      <xdr:row>21</xdr:row>
      <xdr:rowOff>114300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12" t="33701" r="18382" b="26226"/>
        <a:stretch/>
      </xdr:blipFill>
      <xdr:spPr>
        <a:xfrm>
          <a:off x="9484191" y="2200275"/>
          <a:ext cx="3011472" cy="1924050"/>
        </a:xfrm>
        <a:prstGeom prst="rect">
          <a:avLst/>
        </a:prstGeom>
      </xdr:spPr>
    </xdr:pic>
    <xdr:clientData/>
  </xdr:twoCellAnchor>
  <xdr:twoCellAnchor>
    <xdr:from>
      <xdr:col>14</xdr:col>
      <xdr:colOff>114299</xdr:colOff>
      <xdr:row>9</xdr:row>
      <xdr:rowOff>66675</xdr:rowOff>
    </xdr:from>
    <xdr:to>
      <xdr:col>22</xdr:col>
      <xdr:colOff>347908</xdr:colOff>
      <xdr:row>11</xdr:row>
      <xdr:rowOff>43337</xdr:rowOff>
    </xdr:to>
    <xdr:sp macro="" textlink="">
      <xdr:nvSpPr>
        <xdr:cNvPr id="15" name="TextBox 23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SpPr txBox="1"/>
      </xdr:nvSpPr>
      <xdr:spPr>
        <a:xfrm>
          <a:off x="8381999" y="1790700"/>
          <a:ext cx="4958009" cy="35766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DNAJB12-FLAG                     </a:t>
          </a:r>
          <a:r>
            <a:rPr lang="he-IL" sz="9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  -   </a:t>
          </a:r>
          <a:r>
            <a:rPr lang="en-US" sz="9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 -    </a:t>
          </a:r>
          <a:r>
            <a:rPr lang="he-IL" sz="9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  short   short          </a:t>
          </a:r>
          <a:r>
            <a:rPr lang="he-IL" sz="9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FL        FL</a:t>
          </a:r>
        </a:p>
        <a:p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DNAJB14-FL-mORANGE          -    </a:t>
          </a:r>
          <a:r>
            <a:rPr lang="he-IL" sz="900">
              <a:latin typeface="Arial" panose="020B0604020202020204" pitchFamily="34" charset="0"/>
            </a:rPr>
            <a:t>-</a:t>
          </a:r>
          <a:r>
            <a:rPr lang="en-US" sz="900">
              <a:latin typeface="Arial" panose="020B0604020202020204" pitchFamily="34" charset="0"/>
            </a:rPr>
            <a:t>  </a:t>
          </a:r>
          <a:r>
            <a:rPr lang="he-IL" sz="900">
              <a:latin typeface="Arial" panose="020B0604020202020204" pitchFamily="34" charset="0"/>
            </a:rPr>
            <a:t> </a:t>
          </a:r>
          <a:r>
            <a:rPr lang="en-US" sz="900">
              <a:latin typeface="Arial" panose="020B0604020202020204" pitchFamily="34" charset="0"/>
            </a:rPr>
            <a:t>    </a:t>
          </a:r>
          <a:r>
            <a:rPr lang="en-US" sz="900" baseline="0">
              <a:latin typeface="Arial" panose="020B0604020202020204" pitchFamily="34" charset="0"/>
            </a:rPr>
            <a:t>  </a:t>
          </a:r>
          <a:r>
            <a:rPr lang="en-US" sz="900">
              <a:latin typeface="Arial" panose="020B0604020202020204" pitchFamily="34" charset="0"/>
            </a:rPr>
            <a:t>  </a:t>
          </a:r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+         +               +          +</a:t>
          </a:r>
        </a:p>
      </xdr:txBody>
    </xdr:sp>
    <xdr:clientData/>
  </xdr:twoCellAnchor>
  <xdr:twoCellAnchor>
    <xdr:from>
      <xdr:col>14</xdr:col>
      <xdr:colOff>19049</xdr:colOff>
      <xdr:row>17</xdr:row>
      <xdr:rowOff>152400</xdr:rowOff>
    </xdr:from>
    <xdr:to>
      <xdr:col>16</xdr:col>
      <xdr:colOff>227674</xdr:colOff>
      <xdr:row>18</xdr:row>
      <xdr:rowOff>177344</xdr:rowOff>
    </xdr:to>
    <xdr:sp macro="" textlink="">
      <xdr:nvSpPr>
        <xdr:cNvPr id="16" name="TextBox 2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SpPr txBox="1"/>
      </xdr:nvSpPr>
      <xdr:spPr>
        <a:xfrm>
          <a:off x="8286749" y="3400425"/>
          <a:ext cx="1389725" cy="215444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he-IL" sz="800" b="1">
              <a:latin typeface="Arial" panose="020B0604020202020204" pitchFamily="34" charset="0"/>
              <a:cs typeface="Arial" panose="020B0604020202020204" pitchFamily="34" charset="0"/>
            </a:rPr>
            <a:t>Input, </a:t>
          </a:r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WB:m</a:t>
          </a:r>
          <a:r>
            <a:rPr lang="he-IL" sz="800" b="1">
              <a:latin typeface="Arial" panose="020B0604020202020204" pitchFamily="34" charset="0"/>
              <a:cs typeface="Arial" panose="020B0604020202020204" pitchFamily="34" charset="0"/>
            </a:rPr>
            <a:t>ORANGE</a:t>
          </a:r>
          <a:endParaRPr 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171450</xdr:colOff>
      <xdr:row>25</xdr:row>
      <xdr:rowOff>85725</xdr:rowOff>
    </xdr:from>
    <xdr:to>
      <xdr:col>22</xdr:col>
      <xdr:colOff>405059</xdr:colOff>
      <xdr:row>27</xdr:row>
      <xdr:rowOff>92011</xdr:rowOff>
    </xdr:to>
    <xdr:sp macro="" textlink="">
      <xdr:nvSpPr>
        <xdr:cNvPr id="18" name="TextBox 23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SpPr txBox="1"/>
      </xdr:nvSpPr>
      <xdr:spPr>
        <a:xfrm>
          <a:off x="8439150" y="4857750"/>
          <a:ext cx="4958009" cy="38728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DNAJB12-FLAG                           </a:t>
          </a:r>
          <a:r>
            <a:rPr lang="he-IL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-    </a:t>
          </a:r>
          <a:r>
            <a:rPr lang="he-IL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    short     short               </a:t>
          </a:r>
          <a:r>
            <a:rPr lang="he-IL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FL        FL</a:t>
          </a:r>
        </a:p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DNAJB14-FL-mORANGE                </a:t>
          </a:r>
          <a:r>
            <a:rPr lang="he-IL" sz="1000">
              <a:latin typeface="Arial" panose="020B0604020202020204" pitchFamily="34" charset="0"/>
            </a:rPr>
            <a:t>-</a:t>
          </a:r>
          <a:r>
            <a:rPr lang="en-US" sz="1000">
              <a:latin typeface="Arial" panose="020B0604020202020204" pitchFamily="34" charset="0"/>
            </a:rPr>
            <a:t>   </a:t>
          </a:r>
          <a:r>
            <a:rPr lang="he-IL" sz="1000">
              <a:latin typeface="Arial" panose="020B0604020202020204" pitchFamily="34" charset="0"/>
            </a:rPr>
            <a:t> </a:t>
          </a:r>
          <a:r>
            <a:rPr lang="en-US" sz="1000">
              <a:latin typeface="Arial" panose="020B0604020202020204" pitchFamily="34" charset="0"/>
            </a:rPr>
            <a:t>         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+          +                     +          +</a:t>
          </a:r>
        </a:p>
      </xdr:txBody>
    </xdr:sp>
    <xdr:clientData/>
  </xdr:twoCellAnchor>
  <xdr:twoCellAnchor editAs="oneCell">
    <xdr:from>
      <xdr:col>16</xdr:col>
      <xdr:colOff>76200</xdr:colOff>
      <xdr:row>28</xdr:row>
      <xdr:rowOff>0</xdr:rowOff>
    </xdr:from>
    <xdr:to>
      <xdr:col>23</xdr:col>
      <xdr:colOff>220231</xdr:colOff>
      <xdr:row>40</xdr:row>
      <xdr:rowOff>133349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67" t="27273" r="11174" b="7955"/>
        <a:stretch/>
      </xdr:blipFill>
      <xdr:spPr>
        <a:xfrm>
          <a:off x="10882212" y="5358960"/>
          <a:ext cx="4871661" cy="2423753"/>
        </a:xfrm>
        <a:prstGeom prst="rect">
          <a:avLst/>
        </a:prstGeom>
      </xdr:spPr>
    </xdr:pic>
    <xdr:clientData/>
  </xdr:twoCellAnchor>
  <xdr:twoCellAnchor>
    <xdr:from>
      <xdr:col>13</xdr:col>
      <xdr:colOff>457199</xdr:colOff>
      <xdr:row>32</xdr:row>
      <xdr:rowOff>19050</xdr:rowOff>
    </xdr:from>
    <xdr:to>
      <xdr:col>16</xdr:col>
      <xdr:colOff>75274</xdr:colOff>
      <xdr:row>33</xdr:row>
      <xdr:rowOff>43994</xdr:rowOff>
    </xdr:to>
    <xdr:sp macro="" textlink="">
      <xdr:nvSpPr>
        <xdr:cNvPr id="17" name="TextBox 2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SpPr txBox="1"/>
      </xdr:nvSpPr>
      <xdr:spPr>
        <a:xfrm>
          <a:off x="8134349" y="6124575"/>
          <a:ext cx="1389725" cy="215444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he-IL" sz="800" b="1">
              <a:latin typeface="Arial" panose="020B0604020202020204" pitchFamily="34" charset="0"/>
              <a:cs typeface="Arial" panose="020B0604020202020204" pitchFamily="34" charset="0"/>
            </a:rPr>
            <a:t>Input, </a:t>
          </a:r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WB:A</a:t>
          </a:r>
          <a:r>
            <a:rPr lang="he-IL" sz="800" b="1">
              <a:latin typeface="Arial" panose="020B0604020202020204" pitchFamily="34" charset="0"/>
              <a:cs typeface="Arial" panose="020B0604020202020204" pitchFamily="34" charset="0"/>
            </a:rPr>
            <a:t>ctin</a:t>
          </a:r>
          <a:endParaRPr 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261938</xdr:colOff>
      <xdr:row>30</xdr:row>
      <xdr:rowOff>95250</xdr:rowOff>
    </xdr:from>
    <xdr:to>
      <xdr:col>16</xdr:col>
      <xdr:colOff>555626</xdr:colOff>
      <xdr:row>31</xdr:row>
      <xdr:rowOff>123826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SpPr txBox="1"/>
      </xdr:nvSpPr>
      <xdr:spPr>
        <a:xfrm>
          <a:off x="9710738" y="5819775"/>
          <a:ext cx="293688" cy="2190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/>
            <a:t>70</a:t>
          </a:r>
        </a:p>
      </xdr:txBody>
    </xdr:sp>
    <xdr:clientData/>
  </xdr:twoCellAnchor>
  <xdr:twoCellAnchor>
    <xdr:from>
      <xdr:col>16</xdr:col>
      <xdr:colOff>266700</xdr:colOff>
      <xdr:row>34</xdr:row>
      <xdr:rowOff>31751</xdr:rowOff>
    </xdr:from>
    <xdr:to>
      <xdr:col>17</xdr:col>
      <xdr:colOff>9525</xdr:colOff>
      <xdr:row>35</xdr:row>
      <xdr:rowOff>98426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SpPr txBox="1"/>
      </xdr:nvSpPr>
      <xdr:spPr>
        <a:xfrm>
          <a:off x="9715500" y="6518276"/>
          <a:ext cx="333375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/>
            <a:t>25</a:t>
          </a:r>
        </a:p>
      </xdr:txBody>
    </xdr:sp>
    <xdr:clientData/>
  </xdr:twoCellAnchor>
  <xdr:twoCellAnchor>
    <xdr:from>
      <xdr:col>11</xdr:col>
      <xdr:colOff>66675</xdr:colOff>
      <xdr:row>14</xdr:row>
      <xdr:rowOff>38100</xdr:rowOff>
    </xdr:from>
    <xdr:to>
      <xdr:col>11</xdr:col>
      <xdr:colOff>360363</xdr:colOff>
      <xdr:row>15</xdr:row>
      <xdr:rowOff>66676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SpPr txBox="1"/>
      </xdr:nvSpPr>
      <xdr:spPr>
        <a:xfrm>
          <a:off x="6562725" y="2714625"/>
          <a:ext cx="293688" cy="2190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/>
            <a:t>70</a:t>
          </a:r>
        </a:p>
      </xdr:txBody>
    </xdr:sp>
    <xdr:clientData/>
  </xdr:twoCellAnchor>
  <xdr:twoCellAnchor>
    <xdr:from>
      <xdr:col>11</xdr:col>
      <xdr:colOff>80962</xdr:colOff>
      <xdr:row>20</xdr:row>
      <xdr:rowOff>88901</xdr:rowOff>
    </xdr:from>
    <xdr:to>
      <xdr:col>11</xdr:col>
      <xdr:colOff>414337</xdr:colOff>
      <xdr:row>21</xdr:row>
      <xdr:rowOff>155576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SpPr txBox="1"/>
      </xdr:nvSpPr>
      <xdr:spPr>
        <a:xfrm>
          <a:off x="6577012" y="3908426"/>
          <a:ext cx="333375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/>
            <a:t>25</a:t>
          </a:r>
        </a:p>
      </xdr:txBody>
    </xdr:sp>
    <xdr:clientData/>
  </xdr:twoCellAnchor>
  <xdr:twoCellAnchor>
    <xdr:from>
      <xdr:col>21</xdr:col>
      <xdr:colOff>28575</xdr:colOff>
      <xdr:row>17</xdr:row>
      <xdr:rowOff>171450</xdr:rowOff>
    </xdr:from>
    <xdr:to>
      <xdr:col>21</xdr:col>
      <xdr:colOff>361950</xdr:colOff>
      <xdr:row>19</xdr:row>
      <xdr:rowOff>47625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SpPr txBox="1"/>
      </xdr:nvSpPr>
      <xdr:spPr>
        <a:xfrm>
          <a:off x="12430125" y="3419475"/>
          <a:ext cx="333375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/>
            <a:t>70</a:t>
          </a:r>
        </a:p>
      </xdr:txBody>
    </xdr:sp>
    <xdr:clientData/>
  </xdr:twoCellAnchor>
  <xdr:twoCellAnchor editAs="oneCell">
    <xdr:from>
      <xdr:col>3</xdr:col>
      <xdr:colOff>362566</xdr:colOff>
      <xdr:row>31</xdr:row>
      <xdr:rowOff>21167</xdr:rowOff>
    </xdr:from>
    <xdr:to>
      <xdr:col>10</xdr:col>
      <xdr:colOff>169331</xdr:colOff>
      <xdr:row>44</xdr:row>
      <xdr:rowOff>10582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396" t="19663" r="10359" b="14087"/>
        <a:stretch/>
      </xdr:blipFill>
      <xdr:spPr>
        <a:xfrm>
          <a:off x="2140566" y="5937250"/>
          <a:ext cx="3955432" cy="2476499"/>
        </a:xfrm>
        <a:prstGeom prst="rect">
          <a:avLst/>
        </a:prstGeom>
      </xdr:spPr>
    </xdr:pic>
    <xdr:clientData/>
  </xdr:twoCellAnchor>
  <xdr:twoCellAnchor>
    <xdr:from>
      <xdr:col>4</xdr:col>
      <xdr:colOff>66675</xdr:colOff>
      <xdr:row>34</xdr:row>
      <xdr:rowOff>66675</xdr:rowOff>
    </xdr:from>
    <xdr:to>
      <xdr:col>4</xdr:col>
      <xdr:colOff>501911</xdr:colOff>
      <xdr:row>35</xdr:row>
      <xdr:rowOff>75958</xdr:rowOff>
    </xdr:to>
    <xdr:sp macro="" textlink="">
      <xdr:nvSpPr>
        <xdr:cNvPr id="11" name="TextBox 12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 txBox="1"/>
      </xdr:nvSpPr>
      <xdr:spPr>
        <a:xfrm>
          <a:off x="2505075" y="6543675"/>
          <a:ext cx="435236" cy="199783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700" b="1">
              <a:latin typeface="Arial" panose="020B0604020202020204" pitchFamily="34" charset="0"/>
              <a:cs typeface="Arial" panose="020B0604020202020204" pitchFamily="34" charset="0"/>
            </a:rPr>
            <a:t>hc</a:t>
          </a:r>
          <a:endParaRPr lang="he-IL" sz="7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190500</xdr:colOff>
      <xdr:row>38</xdr:row>
      <xdr:rowOff>171450</xdr:rowOff>
    </xdr:from>
    <xdr:to>
      <xdr:col>10</xdr:col>
      <xdr:colOff>35186</xdr:colOff>
      <xdr:row>39</xdr:row>
      <xdr:rowOff>180733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 txBox="1"/>
      </xdr:nvSpPr>
      <xdr:spPr>
        <a:xfrm>
          <a:off x="5505450" y="7410450"/>
          <a:ext cx="435236" cy="199783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700" b="1">
              <a:latin typeface="Arial" panose="020B0604020202020204" pitchFamily="34" charset="0"/>
              <a:cs typeface="Arial" panose="020B0604020202020204" pitchFamily="34" charset="0"/>
            </a:rPr>
            <a:t>LC</a:t>
          </a:r>
          <a:endParaRPr lang="he-IL" sz="7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476250</xdr:colOff>
      <xdr:row>9</xdr:row>
      <xdr:rowOff>85725</xdr:rowOff>
    </xdr:from>
    <xdr:to>
      <xdr:col>9</xdr:col>
      <xdr:colOff>503973</xdr:colOff>
      <xdr:row>25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21" t="10937" r="15625" b="23864"/>
        <a:stretch/>
      </xdr:blipFill>
      <xdr:spPr>
        <a:xfrm>
          <a:off x="1695450" y="1800225"/>
          <a:ext cx="4294923" cy="3124200"/>
        </a:xfrm>
        <a:prstGeom prst="rect">
          <a:avLst/>
        </a:prstGeom>
      </xdr:spPr>
    </xdr:pic>
    <xdr:clientData/>
  </xdr:twoCellAnchor>
  <xdr:twoCellAnchor>
    <xdr:from>
      <xdr:col>0</xdr:col>
      <xdr:colOff>590550</xdr:colOff>
      <xdr:row>7</xdr:row>
      <xdr:rowOff>9525</xdr:rowOff>
    </xdr:from>
    <xdr:to>
      <xdr:col>11</xdr:col>
      <xdr:colOff>0</xdr:colOff>
      <xdr:row>10</xdr:row>
      <xdr:rowOff>105452</xdr:rowOff>
    </xdr:to>
    <xdr:sp macro="" textlink="">
      <xdr:nvSpPr>
        <xdr:cNvPr id="3" name="TextBox 17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 txBox="1"/>
      </xdr:nvSpPr>
      <xdr:spPr>
        <a:xfrm>
          <a:off x="590550" y="1343025"/>
          <a:ext cx="6115050" cy="66742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FUS	        R521H   R521H   R521H                   WT          WT         WT                            </a:t>
          </a:r>
        </a:p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DNAJB14-FLAG         FL        short   HPDmut1                   FL         short   HPDmut1 			</a:t>
          </a:r>
        </a:p>
        <a:p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266700</xdr:colOff>
      <xdr:row>11</xdr:row>
      <xdr:rowOff>28575</xdr:rowOff>
    </xdr:from>
    <xdr:to>
      <xdr:col>1</xdr:col>
      <xdr:colOff>572735</xdr:colOff>
      <xdr:row>12</xdr:row>
      <xdr:rowOff>99685</xdr:rowOff>
    </xdr:to>
    <xdr:sp macro="" textlink="">
      <xdr:nvSpPr>
        <xdr:cNvPr id="4" name="TextBox 2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 txBox="1"/>
      </xdr:nvSpPr>
      <xdr:spPr>
        <a:xfrm>
          <a:off x="266700" y="2124075"/>
          <a:ext cx="915635" cy="261610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WB:HSP70</a:t>
          </a:r>
        </a:p>
      </xdr:txBody>
    </xdr:sp>
    <xdr:clientData/>
  </xdr:twoCellAnchor>
  <xdr:twoCellAnchor>
    <xdr:from>
      <xdr:col>1</xdr:col>
      <xdr:colOff>327780</xdr:colOff>
      <xdr:row>18</xdr:row>
      <xdr:rowOff>11655</xdr:rowOff>
    </xdr:from>
    <xdr:to>
      <xdr:col>2</xdr:col>
      <xdr:colOff>441437</xdr:colOff>
      <xdr:row>19</xdr:row>
      <xdr:rowOff>21210</xdr:rowOff>
    </xdr:to>
    <xdr:sp macro="" textlink="">
      <xdr:nvSpPr>
        <xdr:cNvPr id="5" name="TextBox 29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SpPr txBox="1"/>
      </xdr:nvSpPr>
      <xdr:spPr>
        <a:xfrm>
          <a:off x="937380" y="3440655"/>
          <a:ext cx="723257" cy="200055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700" b="1">
              <a:latin typeface="Arial" panose="020B0604020202020204" pitchFamily="34" charset="0"/>
              <a:cs typeface="Arial" panose="020B0604020202020204" pitchFamily="34" charset="0"/>
            </a:rPr>
            <a:t>DNAJB14-Short </a:t>
          </a:r>
          <a:endParaRPr lang="he-IL" sz="7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267971</xdr:colOff>
      <xdr:row>16</xdr:row>
      <xdr:rowOff>48075</xdr:rowOff>
    </xdr:from>
    <xdr:to>
      <xdr:col>1</xdr:col>
      <xdr:colOff>509886</xdr:colOff>
      <xdr:row>17</xdr:row>
      <xdr:rowOff>119185</xdr:rowOff>
    </xdr:to>
    <xdr:sp macro="" textlink="">
      <xdr:nvSpPr>
        <xdr:cNvPr id="6" name="TextBox 31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SpPr txBox="1"/>
      </xdr:nvSpPr>
      <xdr:spPr>
        <a:xfrm>
          <a:off x="267971" y="3096075"/>
          <a:ext cx="851515" cy="261610"/>
        </a:xfrm>
        <a:prstGeom prst="rect">
          <a:avLst/>
        </a:prstGeom>
        <a:noFill/>
      </xdr:spPr>
      <xdr:txBody>
        <a:bodyPr vert="horz"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WB:FLAG</a:t>
          </a:r>
        </a:p>
      </xdr:txBody>
    </xdr:sp>
    <xdr:clientData/>
  </xdr:twoCellAnchor>
  <xdr:twoCellAnchor>
    <xdr:from>
      <xdr:col>1</xdr:col>
      <xdr:colOff>496489</xdr:colOff>
      <xdr:row>12</xdr:row>
      <xdr:rowOff>81351</xdr:rowOff>
    </xdr:from>
    <xdr:to>
      <xdr:col>2</xdr:col>
      <xdr:colOff>222139</xdr:colOff>
      <xdr:row>13</xdr:row>
      <xdr:rowOff>90906</xdr:rowOff>
    </xdr:to>
    <xdr:sp macro="" textlink="">
      <xdr:nvSpPr>
        <xdr:cNvPr id="7" name="TextBox 32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SpPr txBox="1"/>
      </xdr:nvSpPr>
      <xdr:spPr>
        <a:xfrm>
          <a:off x="1106089" y="2367351"/>
          <a:ext cx="335250" cy="200055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700" b="1">
              <a:latin typeface="Arial" panose="020B0604020202020204" pitchFamily="34" charset="0"/>
              <a:cs typeface="Arial" panose="020B0604020202020204" pitchFamily="34" charset="0"/>
            </a:rPr>
            <a:t>HC</a:t>
          </a:r>
          <a:endParaRPr lang="he-IL" sz="7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80130</xdr:colOff>
      <xdr:row>12</xdr:row>
      <xdr:rowOff>179141</xdr:rowOff>
    </xdr:from>
    <xdr:to>
      <xdr:col>2</xdr:col>
      <xdr:colOff>277343</xdr:colOff>
      <xdr:row>13</xdr:row>
      <xdr:rowOff>188696</xdr:rowOff>
    </xdr:to>
    <xdr:sp macro="" textlink="">
      <xdr:nvSpPr>
        <xdr:cNvPr id="8" name="TextBox 33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/>
      </xdr:nvSpPr>
      <xdr:spPr>
        <a:xfrm>
          <a:off x="689730" y="2465141"/>
          <a:ext cx="806813" cy="200055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700" b="1">
              <a:latin typeface="Arial" panose="020B0604020202020204" pitchFamily="34" charset="0"/>
              <a:cs typeface="Arial" panose="020B0604020202020204" pitchFamily="34" charset="0"/>
            </a:rPr>
            <a:t>DNAJB14-FL</a:t>
          </a:r>
          <a:endParaRPr lang="he-IL" sz="7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673757</xdr:colOff>
      <xdr:row>7</xdr:row>
      <xdr:rowOff>75814</xdr:rowOff>
    </xdr:from>
    <xdr:to>
      <xdr:col>19</xdr:col>
      <xdr:colOff>189570</xdr:colOff>
      <xdr:row>11</xdr:row>
      <xdr:rowOff>79994</xdr:rowOff>
    </xdr:to>
    <xdr:sp macro="" textlink="">
      <xdr:nvSpPr>
        <xdr:cNvPr id="10" name="TextBox 28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/>
      </xdr:nvSpPr>
      <xdr:spPr>
        <a:xfrm>
          <a:off x="6751614" y="1416370"/>
          <a:ext cx="6268988" cy="77021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             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DNAJB14-FLAG              FL            short  </a:t>
          </a:r>
          <a:r>
            <a:rPr lang="he-IL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        HPDmut1			</a:t>
          </a:r>
        </a:p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              </a:t>
          </a:r>
        </a:p>
      </xdr:txBody>
    </xdr:sp>
    <xdr:clientData/>
  </xdr:twoCellAnchor>
  <xdr:twoCellAnchor>
    <xdr:from>
      <xdr:col>10</xdr:col>
      <xdr:colOff>485775</xdr:colOff>
      <xdr:row>11</xdr:row>
      <xdr:rowOff>28575</xdr:rowOff>
    </xdr:from>
    <xdr:to>
      <xdr:col>12</xdr:col>
      <xdr:colOff>182210</xdr:colOff>
      <xdr:row>12</xdr:row>
      <xdr:rowOff>99685</xdr:rowOff>
    </xdr:to>
    <xdr:sp macro="" textlink="">
      <xdr:nvSpPr>
        <xdr:cNvPr id="11" name="TextBox 23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/>
      </xdr:nvSpPr>
      <xdr:spPr>
        <a:xfrm>
          <a:off x="6581775" y="2124075"/>
          <a:ext cx="915635" cy="261610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WB:HSP70</a:t>
          </a:r>
        </a:p>
      </xdr:txBody>
    </xdr:sp>
    <xdr:clientData/>
  </xdr:twoCellAnchor>
  <xdr:twoCellAnchor>
    <xdr:from>
      <xdr:col>11</xdr:col>
      <xdr:colOff>146805</xdr:colOff>
      <xdr:row>16</xdr:row>
      <xdr:rowOff>164055</xdr:rowOff>
    </xdr:from>
    <xdr:to>
      <xdr:col>12</xdr:col>
      <xdr:colOff>260462</xdr:colOff>
      <xdr:row>17</xdr:row>
      <xdr:rowOff>173610</xdr:rowOff>
    </xdr:to>
    <xdr:sp macro="" textlink="">
      <xdr:nvSpPr>
        <xdr:cNvPr id="12" name="TextBox 29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/>
      </xdr:nvSpPr>
      <xdr:spPr>
        <a:xfrm>
          <a:off x="6852405" y="3212055"/>
          <a:ext cx="723257" cy="200055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700" b="1">
              <a:latin typeface="Arial" panose="020B0604020202020204" pitchFamily="34" charset="0"/>
              <a:cs typeface="Arial" panose="020B0604020202020204" pitchFamily="34" charset="0"/>
            </a:rPr>
            <a:t>DNAJB14-Short </a:t>
          </a:r>
          <a:endParaRPr lang="he-IL" sz="7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515621</xdr:colOff>
      <xdr:row>15</xdr:row>
      <xdr:rowOff>114750</xdr:rowOff>
    </xdr:from>
    <xdr:to>
      <xdr:col>12</xdr:col>
      <xdr:colOff>147936</xdr:colOff>
      <xdr:row>16</xdr:row>
      <xdr:rowOff>185860</xdr:rowOff>
    </xdr:to>
    <xdr:sp macro="" textlink="">
      <xdr:nvSpPr>
        <xdr:cNvPr id="13" name="TextBox 31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/>
      </xdr:nvSpPr>
      <xdr:spPr>
        <a:xfrm>
          <a:off x="6611621" y="2972250"/>
          <a:ext cx="851515" cy="261610"/>
        </a:xfrm>
        <a:prstGeom prst="rect">
          <a:avLst/>
        </a:prstGeom>
        <a:noFill/>
      </xdr:spPr>
      <xdr:txBody>
        <a:bodyPr vert="horz"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WB:FLAG</a:t>
          </a:r>
        </a:p>
      </xdr:txBody>
    </xdr:sp>
    <xdr:clientData/>
  </xdr:twoCellAnchor>
  <xdr:twoCellAnchor>
    <xdr:from>
      <xdr:col>11</xdr:col>
      <xdr:colOff>458389</xdr:colOff>
      <xdr:row>12</xdr:row>
      <xdr:rowOff>100401</xdr:rowOff>
    </xdr:from>
    <xdr:to>
      <xdr:col>12</xdr:col>
      <xdr:colOff>184039</xdr:colOff>
      <xdr:row>13</xdr:row>
      <xdr:rowOff>109956</xdr:rowOff>
    </xdr:to>
    <xdr:sp macro="" textlink="">
      <xdr:nvSpPr>
        <xdr:cNvPr id="14" name="TextBox 32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SpPr txBox="1"/>
      </xdr:nvSpPr>
      <xdr:spPr>
        <a:xfrm>
          <a:off x="7163989" y="2386401"/>
          <a:ext cx="335250" cy="200055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700" b="1">
              <a:latin typeface="Arial" panose="020B0604020202020204" pitchFamily="34" charset="0"/>
              <a:cs typeface="Arial" panose="020B0604020202020204" pitchFamily="34" charset="0"/>
            </a:rPr>
            <a:t>HC</a:t>
          </a:r>
          <a:endParaRPr lang="he-IL" sz="7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42030</xdr:colOff>
      <xdr:row>13</xdr:row>
      <xdr:rowOff>7691</xdr:rowOff>
    </xdr:from>
    <xdr:to>
      <xdr:col>12</xdr:col>
      <xdr:colOff>239243</xdr:colOff>
      <xdr:row>14</xdr:row>
      <xdr:rowOff>17246</xdr:rowOff>
    </xdr:to>
    <xdr:sp macro="" textlink="">
      <xdr:nvSpPr>
        <xdr:cNvPr id="15" name="TextBox 33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SpPr txBox="1"/>
      </xdr:nvSpPr>
      <xdr:spPr>
        <a:xfrm>
          <a:off x="6747630" y="2484191"/>
          <a:ext cx="806813" cy="200055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700" b="1">
              <a:latin typeface="Arial" panose="020B0604020202020204" pitchFamily="34" charset="0"/>
              <a:cs typeface="Arial" panose="020B0604020202020204" pitchFamily="34" charset="0"/>
            </a:rPr>
            <a:t>DNAJB14-FL</a:t>
          </a:r>
          <a:endParaRPr lang="he-IL" sz="7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571500</xdr:colOff>
      <xdr:row>15</xdr:row>
      <xdr:rowOff>76200</xdr:rowOff>
    </xdr:from>
    <xdr:to>
      <xdr:col>10</xdr:col>
      <xdr:colOff>314325</xdr:colOff>
      <xdr:row>16</xdr:row>
      <xdr:rowOff>142875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SpPr txBox="1"/>
      </xdr:nvSpPr>
      <xdr:spPr>
        <a:xfrm>
          <a:off x="5886450" y="2933700"/>
          <a:ext cx="333375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/>
            <a:t>25</a:t>
          </a:r>
        </a:p>
      </xdr:txBody>
    </xdr:sp>
    <xdr:clientData/>
  </xdr:twoCellAnchor>
  <xdr:twoCellAnchor>
    <xdr:from>
      <xdr:col>9</xdr:col>
      <xdr:colOff>561975</xdr:colOff>
      <xdr:row>11</xdr:row>
      <xdr:rowOff>9525</xdr:rowOff>
    </xdr:from>
    <xdr:to>
      <xdr:col>10</xdr:col>
      <xdr:colOff>304800</xdr:colOff>
      <xdr:row>12</xdr:row>
      <xdr:rowOff>76200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SpPr txBox="1"/>
      </xdr:nvSpPr>
      <xdr:spPr>
        <a:xfrm>
          <a:off x="5876925" y="2105025"/>
          <a:ext cx="333375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/>
            <a:t>70</a:t>
          </a:r>
        </a:p>
      </xdr:txBody>
    </xdr:sp>
    <xdr:clientData/>
  </xdr:twoCellAnchor>
  <xdr:twoCellAnchor editAs="oneCell">
    <xdr:from>
      <xdr:col>12</xdr:col>
      <xdr:colOff>108352</xdr:colOff>
      <xdr:row>10</xdr:row>
      <xdr:rowOff>60732</xdr:rowOff>
    </xdr:from>
    <xdr:to>
      <xdr:col>18</xdr:col>
      <xdr:colOff>26580</xdr:colOff>
      <xdr:row>26</xdr:row>
      <xdr:rowOff>80635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386" t="14076" r="7112" b="20326"/>
        <a:stretch/>
      </xdr:blipFill>
      <xdr:spPr>
        <a:xfrm>
          <a:off x="8212162" y="1975811"/>
          <a:ext cx="3970132" cy="3084030"/>
        </a:xfrm>
        <a:prstGeom prst="rect">
          <a:avLst/>
        </a:prstGeom>
      </xdr:spPr>
    </xdr:pic>
    <xdr:clientData/>
  </xdr:twoCellAnchor>
  <xdr:twoCellAnchor>
    <xdr:from>
      <xdr:col>16</xdr:col>
      <xdr:colOff>359531</xdr:colOff>
      <xdr:row>15</xdr:row>
      <xdr:rowOff>100894</xdr:rowOff>
    </xdr:from>
    <xdr:to>
      <xdr:col>17</xdr:col>
      <xdr:colOff>17588</xdr:colOff>
      <xdr:row>16</xdr:row>
      <xdr:rowOff>168577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SpPr txBox="1"/>
      </xdr:nvSpPr>
      <xdr:spPr>
        <a:xfrm>
          <a:off x="11164610" y="2973513"/>
          <a:ext cx="333375" cy="2591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/>
            <a:t>25</a:t>
          </a:r>
        </a:p>
      </xdr:txBody>
    </xdr:sp>
    <xdr:clientData/>
  </xdr:twoCellAnchor>
  <xdr:twoCellAnchor>
    <xdr:from>
      <xdr:col>16</xdr:col>
      <xdr:colOff>350007</xdr:colOff>
      <xdr:row>11</xdr:row>
      <xdr:rowOff>122716</xdr:rowOff>
    </xdr:from>
    <xdr:to>
      <xdr:col>17</xdr:col>
      <xdr:colOff>8064</xdr:colOff>
      <xdr:row>12</xdr:row>
      <xdr:rowOff>190399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SpPr txBox="1"/>
      </xdr:nvSpPr>
      <xdr:spPr>
        <a:xfrm>
          <a:off x="11155086" y="2229303"/>
          <a:ext cx="333375" cy="2591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/>
            <a:t>70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571501</xdr:colOff>
      <xdr:row>6</xdr:row>
      <xdr:rowOff>28574</xdr:rowOff>
    </xdr:from>
    <xdr:to>
      <xdr:col>10</xdr:col>
      <xdr:colOff>330200</xdr:colOff>
      <xdr:row>33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42" t="11790" r="16572" b="24573"/>
        <a:stretch/>
      </xdr:blipFill>
      <xdr:spPr>
        <a:xfrm>
          <a:off x="1917701" y="1171574"/>
          <a:ext cx="5143499" cy="5216526"/>
        </a:xfrm>
        <a:prstGeom prst="rect">
          <a:avLst/>
        </a:prstGeom>
      </xdr:spPr>
    </xdr:pic>
    <xdr:clientData/>
  </xdr:twoCellAnchor>
  <xdr:twoCellAnchor>
    <xdr:from>
      <xdr:col>0</xdr:col>
      <xdr:colOff>333375</xdr:colOff>
      <xdr:row>3</xdr:row>
      <xdr:rowOff>57150</xdr:rowOff>
    </xdr:from>
    <xdr:to>
      <xdr:col>11</xdr:col>
      <xdr:colOff>409575</xdr:colOff>
      <xdr:row>7</xdr:row>
      <xdr:rowOff>65874</xdr:rowOff>
    </xdr:to>
    <xdr:sp macro="" textlink="">
      <xdr:nvSpPr>
        <xdr:cNvPr id="3" name="TextBox 38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SpPr txBox="1"/>
      </xdr:nvSpPr>
      <xdr:spPr>
        <a:xfrm>
          <a:off x="333375" y="628650"/>
          <a:ext cx="6781800" cy="77072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00">
              <a:latin typeface="Arial" panose="020B0604020202020204" pitchFamily="34" charset="0"/>
              <a:cs typeface="Arial" panose="020B0604020202020204" pitchFamily="34" charset="0"/>
            </a:rPr>
            <a:t>FUS                           -             R521H  WT      R521H   WT              R521H     WT </a:t>
          </a:r>
        </a:p>
        <a:p>
          <a:r>
            <a:rPr lang="en-US" sz="1300">
              <a:latin typeface="Arial" panose="020B0604020202020204" pitchFamily="34" charset="0"/>
              <a:cs typeface="Arial" panose="020B0604020202020204" pitchFamily="34" charset="0"/>
            </a:rPr>
            <a:t>DNAJB14-FLAG        -             </a:t>
          </a:r>
          <a:r>
            <a:rPr lang="el-GR" sz="13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sz="1300">
              <a:latin typeface="Arial" panose="020B0604020202020204" pitchFamily="34" charset="0"/>
              <a:cs typeface="Arial" panose="020B0604020202020204" pitchFamily="34" charset="0"/>
            </a:rPr>
            <a:t>DUF  </a:t>
          </a:r>
          <a:r>
            <a:rPr lang="el-GR" sz="13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sz="1300">
              <a:latin typeface="Arial" panose="020B0604020202020204" pitchFamily="34" charset="0"/>
              <a:cs typeface="Arial" panose="020B0604020202020204" pitchFamily="34" charset="0"/>
            </a:rPr>
            <a:t>DUF    short    short                 FL         FL</a:t>
          </a:r>
        </a:p>
        <a:p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146456</xdr:colOff>
      <xdr:row>13</xdr:row>
      <xdr:rowOff>174625</xdr:rowOff>
    </xdr:from>
    <xdr:to>
      <xdr:col>2</xdr:col>
      <xdr:colOff>329945</xdr:colOff>
      <xdr:row>15</xdr:row>
      <xdr:rowOff>70624</xdr:rowOff>
    </xdr:to>
    <xdr:sp macro="" textlink="">
      <xdr:nvSpPr>
        <xdr:cNvPr id="4" name="TextBox 26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SpPr txBox="1"/>
      </xdr:nvSpPr>
      <xdr:spPr>
        <a:xfrm>
          <a:off x="146456" y="2651125"/>
          <a:ext cx="1529689" cy="276999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WB:HSP70</a:t>
          </a:r>
        </a:p>
      </xdr:txBody>
    </xdr:sp>
    <xdr:clientData/>
  </xdr:twoCellAnchor>
  <xdr:twoCellAnchor>
    <xdr:from>
      <xdr:col>0</xdr:col>
      <xdr:colOff>63500</xdr:colOff>
      <xdr:row>18</xdr:row>
      <xdr:rowOff>17919</xdr:rowOff>
    </xdr:from>
    <xdr:to>
      <xdr:col>2</xdr:col>
      <xdr:colOff>349475</xdr:colOff>
      <xdr:row>19</xdr:row>
      <xdr:rowOff>104418</xdr:rowOff>
    </xdr:to>
    <xdr:sp macro="" textlink="">
      <xdr:nvSpPr>
        <xdr:cNvPr id="5" name="TextBox 35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 txBox="1"/>
      </xdr:nvSpPr>
      <xdr:spPr>
        <a:xfrm>
          <a:off x="63500" y="3446919"/>
          <a:ext cx="1632175" cy="276999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WB:FLAG</a:t>
          </a:r>
        </a:p>
      </xdr:txBody>
    </xdr:sp>
    <xdr:clientData/>
  </xdr:twoCellAnchor>
  <xdr:twoCellAnchor>
    <xdr:from>
      <xdr:col>1</xdr:col>
      <xdr:colOff>305681</xdr:colOff>
      <xdr:row>28</xdr:row>
      <xdr:rowOff>145775</xdr:rowOff>
    </xdr:from>
    <xdr:to>
      <xdr:col>3</xdr:col>
      <xdr:colOff>105479</xdr:colOff>
      <xdr:row>29</xdr:row>
      <xdr:rowOff>186107</xdr:rowOff>
    </xdr:to>
    <xdr:sp macro="" textlink="">
      <xdr:nvSpPr>
        <xdr:cNvPr id="6" name="TextBox 58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978781" y="5479775"/>
          <a:ext cx="1145998" cy="230832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DNAJB14-Short </a:t>
          </a:r>
          <a:endParaRPr lang="he-IL" sz="9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355794</xdr:colOff>
      <xdr:row>16</xdr:row>
      <xdr:rowOff>147843</xdr:rowOff>
    </xdr:from>
    <xdr:to>
      <xdr:col>12</xdr:col>
      <xdr:colOff>157432</xdr:colOff>
      <xdr:row>17</xdr:row>
      <xdr:rowOff>188175</xdr:rowOff>
    </xdr:to>
    <xdr:sp macro="" textlink="">
      <xdr:nvSpPr>
        <xdr:cNvPr id="7" name="TextBox 61"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SpPr txBox="1"/>
      </xdr:nvSpPr>
      <xdr:spPr>
        <a:xfrm>
          <a:off x="7086794" y="3195843"/>
          <a:ext cx="1147838" cy="230832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DNAJB14-FL</a:t>
          </a:r>
          <a:endParaRPr lang="he-IL" sz="7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270756</xdr:colOff>
      <xdr:row>20</xdr:row>
      <xdr:rowOff>143110</xdr:rowOff>
    </xdr:from>
    <xdr:to>
      <xdr:col>3</xdr:col>
      <xdr:colOff>198004</xdr:colOff>
      <xdr:row>21</xdr:row>
      <xdr:rowOff>183442</xdr:rowOff>
    </xdr:to>
    <xdr:sp macro="" textlink="">
      <xdr:nvSpPr>
        <xdr:cNvPr id="8" name="TextBox 63">
          <a:extLst>
            <a:ext uri="{FF2B5EF4-FFF2-40B4-BE49-F238E27FC236}">
              <a16:creationId xmlns:a16="http://schemas.microsoft.com/office/drawing/2014/main" id="{00000000-0008-0000-1D00-000008000000}"/>
            </a:ext>
          </a:extLst>
        </xdr:cNvPr>
        <xdr:cNvSpPr txBox="1"/>
      </xdr:nvSpPr>
      <xdr:spPr>
        <a:xfrm>
          <a:off x="943856" y="3953110"/>
          <a:ext cx="1273448" cy="230832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DNAJB14-</a:t>
          </a:r>
          <a:r>
            <a:rPr lang="el-GR" sz="9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DUF</a:t>
          </a:r>
          <a:endParaRPr lang="he-IL" sz="9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433841</xdr:colOff>
      <xdr:row>25</xdr:row>
      <xdr:rowOff>67387</xdr:rowOff>
    </xdr:from>
    <xdr:to>
      <xdr:col>11</xdr:col>
      <xdr:colOff>209323</xdr:colOff>
      <xdr:row>26</xdr:row>
      <xdr:rowOff>107719</xdr:rowOff>
    </xdr:to>
    <xdr:sp macro="" textlink="">
      <xdr:nvSpPr>
        <xdr:cNvPr id="9" name="TextBox 65">
          <a:extLst>
            <a:ext uri="{FF2B5EF4-FFF2-40B4-BE49-F238E27FC236}">
              <a16:creationId xmlns:a16="http://schemas.microsoft.com/office/drawing/2014/main" id="{00000000-0008-0000-1D00-000009000000}"/>
            </a:ext>
          </a:extLst>
        </xdr:cNvPr>
        <xdr:cNvSpPr txBox="1"/>
      </xdr:nvSpPr>
      <xdr:spPr>
        <a:xfrm>
          <a:off x="7164841" y="4829887"/>
          <a:ext cx="448582" cy="230832"/>
        </a:xfrm>
        <a:prstGeom prst="rect">
          <a:avLst/>
        </a:prstGeom>
        <a:noFill/>
      </xdr:spPr>
      <xdr:txBody>
        <a:bodyPr wrap="square" rtlCol="1">
          <a:spAutoFit/>
        </a:bodyPr>
        <a:lstStyle>
          <a:defPPr>
            <a:defRPr lang="he-I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LC</a:t>
          </a:r>
          <a:endParaRPr lang="he-IL" sz="9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2"/>
  <sheetViews>
    <sheetView topLeftCell="A224" zoomScale="80" zoomScaleNormal="80" workbookViewId="0">
      <selection activeCell="M311" sqref="M310:M311"/>
    </sheetView>
  </sheetViews>
  <sheetFormatPr baseColWidth="10" defaultColWidth="8.83203125" defaultRowHeight="15"/>
  <cols>
    <col min="1" max="1" width="12.6640625" style="21" bestFit="1" customWidth="1"/>
    <col min="2" max="16384" width="8.83203125" style="21"/>
  </cols>
  <sheetData>
    <row r="1" spans="1:9">
      <c r="A1" s="21" t="s">
        <v>0</v>
      </c>
      <c r="B1" s="21" t="s">
        <v>1</v>
      </c>
      <c r="E1" s="21" t="s">
        <v>2</v>
      </c>
      <c r="H1" s="21" t="s">
        <v>3</v>
      </c>
      <c r="I1" s="21" t="s">
        <v>4</v>
      </c>
    </row>
    <row r="2" spans="1:9">
      <c r="B2" s="21" t="s">
        <v>5</v>
      </c>
      <c r="C2" s="21" t="s">
        <v>6</v>
      </c>
      <c r="D2" s="21" t="s">
        <v>7</v>
      </c>
      <c r="E2" s="21" t="s">
        <v>5</v>
      </c>
      <c r="F2" s="21" t="s">
        <v>6</v>
      </c>
      <c r="G2" s="21" t="s">
        <v>7</v>
      </c>
      <c r="H2" s="21" t="s">
        <v>5</v>
      </c>
      <c r="I2" s="21" t="s">
        <v>5</v>
      </c>
    </row>
    <row r="3" spans="1:9">
      <c r="A3" s="21" t="s">
        <v>8</v>
      </c>
      <c r="B3" s="21">
        <v>30.21</v>
      </c>
      <c r="C3" s="21">
        <v>21.31</v>
      </c>
      <c r="D3" s="21">
        <v>37.380000000000003</v>
      </c>
      <c r="E3" s="21">
        <v>33.982002000000001</v>
      </c>
      <c r="F3" s="21">
        <v>23.970753999999999</v>
      </c>
      <c r="G3" s="21">
        <v>42.047243999999999</v>
      </c>
      <c r="H3" s="21">
        <v>1.116538</v>
      </c>
      <c r="I3" s="21">
        <v>0.15903200000000001</v>
      </c>
    </row>
    <row r="4" spans="1:9">
      <c r="A4" s="21" t="s">
        <v>9</v>
      </c>
      <c r="B4" s="21">
        <v>33.700000000000003</v>
      </c>
      <c r="C4" s="21">
        <v>22.46</v>
      </c>
      <c r="D4" s="21">
        <v>33.57</v>
      </c>
      <c r="E4" s="21">
        <v>37.557116000000001</v>
      </c>
      <c r="F4" s="21">
        <v>25.030646999999998</v>
      </c>
      <c r="G4" s="21">
        <v>37.412236999999998</v>
      </c>
      <c r="H4" s="21">
        <v>1.2340040000000001</v>
      </c>
      <c r="I4" s="21">
        <v>0.30334699999999998</v>
      </c>
    </row>
    <row r="5" spans="1:9">
      <c r="A5" s="21" t="s">
        <v>10</v>
      </c>
      <c r="B5" s="21">
        <v>38.67</v>
      </c>
      <c r="C5" s="21">
        <v>14.26</v>
      </c>
      <c r="D5" s="21">
        <v>35.880000000000003</v>
      </c>
      <c r="E5" s="21">
        <v>43.542394000000002</v>
      </c>
      <c r="F5" s="21">
        <v>16.056750000000001</v>
      </c>
      <c r="G5" s="21">
        <v>40.400855999999997</v>
      </c>
      <c r="H5" s="21">
        <v>1.430661</v>
      </c>
      <c r="I5" s="21">
        <v>0.51668199999999997</v>
      </c>
    </row>
    <row r="6" spans="1:9">
      <c r="A6" s="21" t="s">
        <v>11</v>
      </c>
      <c r="B6" s="21">
        <v>31.73</v>
      </c>
      <c r="C6" s="21">
        <v>17.48</v>
      </c>
      <c r="D6" s="21">
        <v>39.33</v>
      </c>
      <c r="E6" s="21">
        <v>35.836910000000003</v>
      </c>
      <c r="F6" s="21">
        <v>19.742488999999999</v>
      </c>
      <c r="G6" s="21">
        <v>44.420600999999998</v>
      </c>
      <c r="H6" s="21">
        <v>1.177484</v>
      </c>
      <c r="I6" s="21">
        <v>0.235707</v>
      </c>
    </row>
    <row r="7" spans="1:9">
      <c r="A7" s="21" t="s">
        <v>12</v>
      </c>
      <c r="B7" s="21">
        <v>35.01</v>
      </c>
      <c r="C7" s="21">
        <v>18.25</v>
      </c>
      <c r="D7" s="21">
        <v>35.700000000000003</v>
      </c>
      <c r="E7" s="21">
        <v>39.354765999999998</v>
      </c>
      <c r="F7" s="21">
        <v>20.514838000000001</v>
      </c>
      <c r="G7" s="21">
        <v>40.130395999999998</v>
      </c>
      <c r="H7" s="21">
        <v>1.293069</v>
      </c>
      <c r="I7" s="21">
        <v>0.37080000000000002</v>
      </c>
    </row>
    <row r="8" spans="1:9">
      <c r="A8" s="21" t="s">
        <v>13</v>
      </c>
      <c r="B8" s="21">
        <v>35.36</v>
      </c>
      <c r="C8" s="21">
        <v>18.22</v>
      </c>
      <c r="D8" s="21">
        <v>35.14</v>
      </c>
      <c r="E8" s="21">
        <v>39.855725999999997</v>
      </c>
      <c r="F8" s="21">
        <v>20.536518999999998</v>
      </c>
      <c r="G8" s="21">
        <v>39.607754999999997</v>
      </c>
      <c r="H8" s="21">
        <v>1.3095289999999999</v>
      </c>
      <c r="I8" s="21">
        <v>0.389048</v>
      </c>
    </row>
    <row r="9" spans="1:9">
      <c r="A9" s="21" t="s">
        <v>14</v>
      </c>
      <c r="B9" s="21">
        <v>28.87</v>
      </c>
      <c r="C9" s="21">
        <v>21.5</v>
      </c>
      <c r="D9" s="21">
        <v>38.4</v>
      </c>
      <c r="E9" s="21">
        <v>32.522249000000002</v>
      </c>
      <c r="F9" s="21">
        <v>24.219894</v>
      </c>
      <c r="G9" s="21">
        <v>43.257857000000001</v>
      </c>
      <c r="H9" s="21">
        <v>1.0685750000000001</v>
      </c>
      <c r="I9" s="21">
        <v>9.5687999999999995E-2</v>
      </c>
    </row>
    <row r="10" spans="1:9">
      <c r="A10" s="21" t="s">
        <v>15</v>
      </c>
      <c r="B10" s="21">
        <v>26.4</v>
      </c>
      <c r="C10" s="21">
        <v>19.84</v>
      </c>
      <c r="D10" s="21">
        <v>41.56</v>
      </c>
      <c r="E10" s="21">
        <v>30.068337</v>
      </c>
      <c r="F10" s="21">
        <v>22.596810999999999</v>
      </c>
      <c r="G10" s="21">
        <v>47.334851999999998</v>
      </c>
      <c r="H10" s="21">
        <v>0.98794700000000002</v>
      </c>
      <c r="I10" s="21">
        <v>-1.7493999999999999E-2</v>
      </c>
    </row>
    <row r="11" spans="1:9">
      <c r="A11" s="21" t="s">
        <v>16</v>
      </c>
      <c r="B11" s="21">
        <v>28.28</v>
      </c>
      <c r="C11" s="21">
        <v>19.920000000000002</v>
      </c>
      <c r="D11" s="21">
        <v>40.18</v>
      </c>
      <c r="E11" s="21">
        <v>31.998190000000001</v>
      </c>
      <c r="F11" s="21">
        <v>22.539035999999999</v>
      </c>
      <c r="G11" s="21">
        <v>45.462774000000003</v>
      </c>
      <c r="H11" s="21">
        <v>1.051356</v>
      </c>
      <c r="I11" s="21">
        <v>7.2250999999999996E-2</v>
      </c>
    </row>
    <row r="12" spans="1:9">
      <c r="A12" s="21" t="s">
        <v>17</v>
      </c>
      <c r="B12" s="21">
        <v>29</v>
      </c>
      <c r="C12" s="21">
        <v>19.72</v>
      </c>
      <c r="D12" s="21">
        <v>39.659999999999997</v>
      </c>
      <c r="E12" s="21">
        <v>32.812854000000002</v>
      </c>
      <c r="F12" s="21">
        <v>22.312740000000002</v>
      </c>
      <c r="G12" s="21">
        <v>44.874406</v>
      </c>
      <c r="H12" s="21">
        <v>1.0781229999999999</v>
      </c>
      <c r="I12" s="21">
        <v>0.10852199999999999</v>
      </c>
    </row>
    <row r="13" spans="1:9">
      <c r="A13" s="21" t="s">
        <v>18</v>
      </c>
      <c r="B13" s="21">
        <v>27.38</v>
      </c>
      <c r="C13" s="21">
        <v>23.24</v>
      </c>
      <c r="D13" s="21">
        <v>38.049999999999997</v>
      </c>
      <c r="E13" s="21">
        <v>30.878537999999999</v>
      </c>
      <c r="F13" s="21">
        <v>26.209541000000002</v>
      </c>
      <c r="G13" s="21">
        <v>42.911921</v>
      </c>
      <c r="H13" s="21">
        <v>1.0145679999999999</v>
      </c>
      <c r="I13" s="21">
        <v>2.0865999999999999E-2</v>
      </c>
    </row>
    <row r="14" spans="1:9">
      <c r="A14" s="21" t="s">
        <v>19</v>
      </c>
      <c r="B14" s="21">
        <v>28.97</v>
      </c>
      <c r="C14" s="21">
        <v>21.65</v>
      </c>
      <c r="D14" s="21">
        <v>38.19</v>
      </c>
      <c r="E14" s="21">
        <v>32.620199999999997</v>
      </c>
      <c r="F14" s="21">
        <v>24.377884999999999</v>
      </c>
      <c r="G14" s="21">
        <v>43.001913999999999</v>
      </c>
      <c r="H14" s="21">
        <v>1.071793</v>
      </c>
      <c r="I14" s="21">
        <v>0.100027</v>
      </c>
    </row>
    <row r="15" spans="1:9">
      <c r="A15" s="21" t="s">
        <v>20</v>
      </c>
      <c r="B15" s="21">
        <v>29.14</v>
      </c>
      <c r="C15" s="21">
        <v>22.59</v>
      </c>
      <c r="D15" s="21">
        <v>37.47</v>
      </c>
      <c r="E15" s="21">
        <v>32.668160999999998</v>
      </c>
      <c r="F15" s="21">
        <v>25.325112000000001</v>
      </c>
      <c r="G15" s="21">
        <v>42.006726</v>
      </c>
      <c r="H15" s="21">
        <v>1.073369</v>
      </c>
      <c r="I15" s="21">
        <v>0.102146</v>
      </c>
    </row>
    <row r="16" spans="1:9">
      <c r="A16" s="21" t="s">
        <v>21</v>
      </c>
      <c r="B16" s="21">
        <v>27.92</v>
      </c>
      <c r="C16" s="21">
        <v>19.64</v>
      </c>
      <c r="D16" s="21">
        <v>41.11</v>
      </c>
      <c r="E16" s="21">
        <v>31.487538000000001</v>
      </c>
      <c r="F16" s="21">
        <v>22.149543000000001</v>
      </c>
      <c r="G16" s="21">
        <v>46.362918999999998</v>
      </c>
      <c r="H16" s="21">
        <v>1.034578</v>
      </c>
      <c r="I16" s="21">
        <v>4.9042000000000002E-2</v>
      </c>
    </row>
    <row r="17" spans="1:9">
      <c r="A17" s="21" t="s">
        <v>22</v>
      </c>
      <c r="B17" s="21">
        <v>13.19</v>
      </c>
      <c r="C17" s="21">
        <v>31.31</v>
      </c>
      <c r="D17" s="21">
        <v>43.02</v>
      </c>
      <c r="E17" s="21">
        <v>15.070841</v>
      </c>
      <c r="F17" s="21">
        <v>35.774679999999996</v>
      </c>
      <c r="G17" s="21">
        <v>49.154479000000002</v>
      </c>
      <c r="H17" s="21">
        <v>0.49517899999999998</v>
      </c>
      <c r="I17" s="21">
        <v>-1.013979</v>
      </c>
    </row>
    <row r="18" spans="1:9">
      <c r="A18" s="21" t="s">
        <v>23</v>
      </c>
      <c r="B18" s="21">
        <v>28.28</v>
      </c>
      <c r="C18" s="21">
        <v>20.34</v>
      </c>
      <c r="D18" s="21">
        <v>40.15</v>
      </c>
      <c r="E18" s="21">
        <v>31.857610000000001</v>
      </c>
      <c r="F18" s="21">
        <v>22.913146000000001</v>
      </c>
      <c r="G18" s="21">
        <v>45.229244000000001</v>
      </c>
      <c r="H18" s="21">
        <v>1.046737</v>
      </c>
      <c r="I18" s="21">
        <v>6.5898999999999999E-2</v>
      </c>
    </row>
    <row r="19" spans="1:9">
      <c r="A19" s="21" t="s">
        <v>24</v>
      </c>
      <c r="B19" s="21">
        <v>28.4</v>
      </c>
      <c r="C19" s="21">
        <v>21.94</v>
      </c>
      <c r="D19" s="21">
        <v>38.43</v>
      </c>
      <c r="E19" s="21">
        <v>31.992789999999999</v>
      </c>
      <c r="F19" s="21">
        <v>24.715557</v>
      </c>
      <c r="G19" s="21">
        <v>43.291652999999997</v>
      </c>
      <c r="H19" s="21">
        <v>1.0511790000000001</v>
      </c>
      <c r="I19" s="21">
        <v>7.2008000000000003E-2</v>
      </c>
    </row>
    <row r="20" spans="1:9">
      <c r="A20" s="21" t="s">
        <v>25</v>
      </c>
      <c r="B20" s="21">
        <v>29.43</v>
      </c>
      <c r="C20" s="21">
        <v>18.36</v>
      </c>
      <c r="D20" s="21">
        <v>39.880000000000003</v>
      </c>
      <c r="E20" s="21">
        <v>33.569065999999999</v>
      </c>
      <c r="F20" s="21">
        <v>20.942169</v>
      </c>
      <c r="G20" s="21">
        <v>45.488765000000001</v>
      </c>
      <c r="H20" s="21">
        <v>1.10297</v>
      </c>
      <c r="I20" s="21">
        <v>0.14139399999999999</v>
      </c>
    </row>
    <row r="21" spans="1:9">
      <c r="A21" s="21" t="s">
        <v>26</v>
      </c>
      <c r="B21" s="21">
        <v>26.62</v>
      </c>
      <c r="C21" s="21">
        <v>19.559999999999999</v>
      </c>
      <c r="D21" s="21">
        <v>41.76</v>
      </c>
      <c r="E21" s="21">
        <v>30.270638999999999</v>
      </c>
      <c r="F21" s="21">
        <v>22.242438</v>
      </c>
      <c r="G21" s="21">
        <v>47.486922999999997</v>
      </c>
      <c r="H21" s="21">
        <v>0.99459399999999998</v>
      </c>
      <c r="I21" s="21">
        <v>-7.8200000000000006E-3</v>
      </c>
    </row>
    <row r="22" spans="1:9">
      <c r="A22" s="21" t="s">
        <v>27</v>
      </c>
      <c r="B22" s="21">
        <v>26.03</v>
      </c>
      <c r="C22" s="21">
        <v>18.68</v>
      </c>
      <c r="D22" s="21">
        <v>42.69</v>
      </c>
      <c r="E22" s="21">
        <v>29.782609000000001</v>
      </c>
      <c r="F22" s="21">
        <v>21.372997999999999</v>
      </c>
      <c r="G22" s="21">
        <v>48.844394000000001</v>
      </c>
      <c r="H22" s="21">
        <v>0.97855899999999996</v>
      </c>
      <c r="I22" s="21">
        <v>-3.1268999999999998E-2</v>
      </c>
    </row>
    <row r="23" spans="1:9">
      <c r="A23" s="21" t="s">
        <v>28</v>
      </c>
      <c r="B23" s="21">
        <v>28.47</v>
      </c>
      <c r="C23" s="21">
        <v>17.07</v>
      </c>
      <c r="D23" s="21">
        <v>41.6</v>
      </c>
      <c r="E23" s="21">
        <v>32.671562999999999</v>
      </c>
      <c r="F23" s="21">
        <v>19.589167</v>
      </c>
      <c r="G23" s="21">
        <v>47.739269999999998</v>
      </c>
      <c r="H23" s="21">
        <v>1.0734809999999999</v>
      </c>
      <c r="I23" s="21">
        <v>0.102297</v>
      </c>
    </row>
    <row r="24" spans="1:9">
      <c r="A24" s="21" t="s">
        <v>29</v>
      </c>
      <c r="B24" s="21">
        <v>26.53</v>
      </c>
      <c r="C24" s="21">
        <v>17.34</v>
      </c>
      <c r="D24" s="21">
        <v>43.2</v>
      </c>
      <c r="E24" s="21">
        <v>30.469736999999999</v>
      </c>
      <c r="F24" s="21">
        <v>19.915011</v>
      </c>
      <c r="G24" s="21">
        <v>49.615251999999998</v>
      </c>
      <c r="H24" s="21">
        <v>1.001136</v>
      </c>
      <c r="I24" s="21">
        <v>1.6379999999999999E-3</v>
      </c>
    </row>
    <row r="25" spans="1:9">
      <c r="A25" s="21" t="s">
        <v>30</v>
      </c>
      <c r="B25" s="21">
        <v>29.34</v>
      </c>
      <c r="C25" s="21">
        <v>17.13</v>
      </c>
      <c r="D25" s="21">
        <v>41.09</v>
      </c>
      <c r="E25" s="21">
        <v>33.508451000000001</v>
      </c>
      <c r="F25" s="21">
        <v>19.563728000000001</v>
      </c>
      <c r="G25" s="21">
        <v>46.927821000000002</v>
      </c>
      <c r="H25" s="21">
        <v>1.100978</v>
      </c>
      <c r="I25" s="21">
        <v>0.13878599999999999</v>
      </c>
    </row>
    <row r="26" spans="1:9">
      <c r="A26" s="21" t="s">
        <v>31</v>
      </c>
      <c r="B26" s="21">
        <v>34.369999999999997</v>
      </c>
      <c r="C26" s="21">
        <v>20.62</v>
      </c>
      <c r="D26" s="21">
        <v>34.35</v>
      </c>
      <c r="E26" s="21">
        <v>38.47101</v>
      </c>
      <c r="F26" s="21">
        <v>23.080366999999999</v>
      </c>
      <c r="G26" s="21">
        <v>38.448622999999998</v>
      </c>
      <c r="H26" s="21">
        <v>1.264032</v>
      </c>
      <c r="I26" s="21">
        <v>0.33803299999999997</v>
      </c>
    </row>
    <row r="27" spans="1:9">
      <c r="A27" s="21" t="s">
        <v>32</v>
      </c>
      <c r="B27" s="21">
        <v>27.24</v>
      </c>
      <c r="C27" s="21">
        <v>24.08</v>
      </c>
      <c r="D27" s="21">
        <v>37.58</v>
      </c>
      <c r="E27" s="21">
        <v>30.641169999999999</v>
      </c>
      <c r="F27" s="21">
        <v>27.086614000000001</v>
      </c>
      <c r="G27" s="21">
        <v>42.272216</v>
      </c>
      <c r="H27" s="21">
        <v>1.006769</v>
      </c>
      <c r="I27" s="21">
        <v>9.7330000000000003E-3</v>
      </c>
    </row>
    <row r="29" spans="1:9">
      <c r="A29" s="21" t="s">
        <v>8</v>
      </c>
      <c r="B29" s="21">
        <v>30.45</v>
      </c>
      <c r="C29" s="21">
        <v>21.83</v>
      </c>
      <c r="D29" s="21">
        <v>37.54</v>
      </c>
      <c r="E29" s="21">
        <v>33.901136000000001</v>
      </c>
      <c r="F29" s="21">
        <v>24.304164</v>
      </c>
      <c r="G29" s="21">
        <v>41.794701000000003</v>
      </c>
      <c r="H29" s="21">
        <v>1.2130380000000001</v>
      </c>
      <c r="I29" s="21">
        <v>0.27862399999999998</v>
      </c>
    </row>
    <row r="30" spans="1:9">
      <c r="A30" s="21" t="s">
        <v>9</v>
      </c>
      <c r="B30" s="21">
        <v>30.92</v>
      </c>
      <c r="C30" s="21">
        <v>22.94</v>
      </c>
      <c r="D30" s="21">
        <v>36.29</v>
      </c>
      <c r="E30" s="21">
        <v>34.298392</v>
      </c>
      <c r="F30" s="21">
        <v>25.446477999999999</v>
      </c>
      <c r="G30" s="21">
        <v>40.255130000000001</v>
      </c>
      <c r="H30" s="21">
        <v>1.227252</v>
      </c>
      <c r="I30" s="21">
        <v>0.29543199999999997</v>
      </c>
    </row>
    <row r="31" spans="1:9">
      <c r="A31" s="21" t="s">
        <v>10</v>
      </c>
      <c r="B31" s="21">
        <v>37.25</v>
      </c>
      <c r="C31" s="21">
        <v>15.41</v>
      </c>
      <c r="D31" s="21">
        <v>37.6</v>
      </c>
      <c r="E31" s="21">
        <v>41.269665000000003</v>
      </c>
      <c r="F31" s="21">
        <v>17.072901000000002</v>
      </c>
      <c r="G31" s="21">
        <v>41.657434000000002</v>
      </c>
      <c r="H31" s="21">
        <v>1.476696</v>
      </c>
      <c r="I31" s="21">
        <v>0.56237300000000001</v>
      </c>
    </row>
    <row r="32" spans="1:9">
      <c r="A32" s="21" t="s">
        <v>11</v>
      </c>
      <c r="B32" s="21">
        <v>36.549999999999997</v>
      </c>
      <c r="C32" s="21">
        <v>19.34</v>
      </c>
      <c r="D32" s="21">
        <v>34.57</v>
      </c>
      <c r="E32" s="21">
        <v>40.404598999999997</v>
      </c>
      <c r="F32" s="21">
        <v>21.379615000000001</v>
      </c>
      <c r="G32" s="21">
        <v>38.215786000000001</v>
      </c>
      <c r="H32" s="21">
        <v>1.4457420000000001</v>
      </c>
      <c r="I32" s="21">
        <v>0.53181</v>
      </c>
    </row>
    <row r="33" spans="1:9">
      <c r="A33" s="21" t="s">
        <v>12</v>
      </c>
      <c r="B33" s="21">
        <v>33.020000000000003</v>
      </c>
      <c r="C33" s="21">
        <v>20.079999999999998</v>
      </c>
      <c r="D33" s="21">
        <v>37.049999999999997</v>
      </c>
      <c r="E33" s="21">
        <v>36.627842000000001</v>
      </c>
      <c r="F33" s="21">
        <v>22.273987999999999</v>
      </c>
      <c r="G33" s="21">
        <v>41.098170000000003</v>
      </c>
      <c r="H33" s="21">
        <v>1.3106040000000001</v>
      </c>
      <c r="I33" s="21">
        <v>0.39023200000000002</v>
      </c>
    </row>
    <row r="34" spans="1:9">
      <c r="A34" s="21" t="s">
        <v>13</v>
      </c>
      <c r="B34" s="21">
        <v>34.31</v>
      </c>
      <c r="C34" s="21">
        <v>19.98</v>
      </c>
      <c r="D34" s="21">
        <v>35.54</v>
      </c>
      <c r="E34" s="21">
        <v>38.194367</v>
      </c>
      <c r="F34" s="21">
        <v>22.242013</v>
      </c>
      <c r="G34" s="21">
        <v>39.56362</v>
      </c>
      <c r="H34" s="21">
        <v>1.366657</v>
      </c>
      <c r="I34" s="21">
        <v>0.45065100000000002</v>
      </c>
    </row>
    <row r="35" spans="1:9">
      <c r="A35" s="21" t="s">
        <v>14</v>
      </c>
      <c r="B35" s="21">
        <v>27.33</v>
      </c>
      <c r="C35" s="21">
        <v>22.88</v>
      </c>
      <c r="D35" s="21">
        <v>39.18</v>
      </c>
      <c r="E35" s="21">
        <v>30.573889999999999</v>
      </c>
      <c r="F35" s="21">
        <v>25.595704000000001</v>
      </c>
      <c r="G35" s="21">
        <v>43.830406000000004</v>
      </c>
      <c r="H35" s="21">
        <v>1.0939840000000001</v>
      </c>
      <c r="I35" s="21">
        <v>0.12959100000000001</v>
      </c>
    </row>
    <row r="36" spans="1:9">
      <c r="A36" s="21" t="s">
        <v>15</v>
      </c>
      <c r="B36" s="21">
        <v>26.6</v>
      </c>
      <c r="C36" s="21">
        <v>20.07</v>
      </c>
      <c r="D36" s="21">
        <v>41.84</v>
      </c>
      <c r="E36" s="21">
        <v>30.053101000000002</v>
      </c>
      <c r="F36" s="21">
        <v>22.675404</v>
      </c>
      <c r="G36" s="21">
        <v>47.271495000000002</v>
      </c>
      <c r="H36" s="21">
        <v>1.0753490000000001</v>
      </c>
      <c r="I36" s="21">
        <v>0.104805</v>
      </c>
    </row>
    <row r="37" spans="1:9">
      <c r="A37" s="21" t="s">
        <v>16</v>
      </c>
      <c r="B37" s="21">
        <v>26.52</v>
      </c>
      <c r="C37" s="21">
        <v>20.09</v>
      </c>
      <c r="D37" s="21">
        <v>42.06</v>
      </c>
      <c r="E37" s="21">
        <v>29.908650000000002</v>
      </c>
      <c r="F37" s="21">
        <v>22.657043000000002</v>
      </c>
      <c r="G37" s="21">
        <v>47.434306999999997</v>
      </c>
      <c r="H37" s="21">
        <v>1.0701799999999999</v>
      </c>
      <c r="I37" s="21">
        <v>9.7853999999999997E-2</v>
      </c>
    </row>
    <row r="38" spans="1:9">
      <c r="A38" s="21" t="s">
        <v>17</v>
      </c>
      <c r="B38" s="21">
        <v>28.25</v>
      </c>
      <c r="C38" s="21">
        <v>21.15</v>
      </c>
      <c r="D38" s="21">
        <v>40.11</v>
      </c>
      <c r="E38" s="21">
        <v>31.560718999999999</v>
      </c>
      <c r="F38" s="21">
        <v>23.628644999999999</v>
      </c>
      <c r="G38" s="21">
        <v>44.810636000000002</v>
      </c>
      <c r="H38" s="21">
        <v>1.129294</v>
      </c>
      <c r="I38" s="21">
        <v>0.17542099999999999</v>
      </c>
    </row>
    <row r="39" spans="1:9">
      <c r="A39" s="21" t="s">
        <v>18</v>
      </c>
      <c r="B39" s="21">
        <v>25.06</v>
      </c>
      <c r="C39" s="21">
        <v>22.72</v>
      </c>
      <c r="D39" s="21">
        <v>41.77</v>
      </c>
      <c r="E39" s="21">
        <v>27.984366000000001</v>
      </c>
      <c r="F39" s="21">
        <v>25.371300999999999</v>
      </c>
      <c r="G39" s="21">
        <v>46.644333000000003</v>
      </c>
      <c r="H39" s="21">
        <v>1.0013259999999999</v>
      </c>
      <c r="I39" s="21">
        <v>1.9120000000000001E-3</v>
      </c>
    </row>
    <row r="40" spans="1:9">
      <c r="A40" s="21" t="s">
        <v>19</v>
      </c>
      <c r="B40" s="21">
        <v>27.7</v>
      </c>
      <c r="C40" s="21">
        <v>22.17</v>
      </c>
      <c r="D40" s="21">
        <v>40.28</v>
      </c>
      <c r="E40" s="21">
        <v>30.726566999999999</v>
      </c>
      <c r="F40" s="21">
        <v>24.592345999999999</v>
      </c>
      <c r="G40" s="21">
        <v>44.681086999999998</v>
      </c>
      <c r="H40" s="21">
        <v>1.0994470000000001</v>
      </c>
      <c r="I40" s="21">
        <v>0.13677700000000001</v>
      </c>
    </row>
    <row r="41" spans="1:9">
      <c r="A41" s="21" t="s">
        <v>20</v>
      </c>
      <c r="B41" s="21">
        <v>28.88</v>
      </c>
      <c r="C41" s="21">
        <v>22.22</v>
      </c>
      <c r="D41" s="21">
        <v>38.28</v>
      </c>
      <c r="E41" s="21">
        <v>32.311478999999999</v>
      </c>
      <c r="F41" s="21">
        <v>24.860147999999999</v>
      </c>
      <c r="G41" s="21">
        <v>42.828372999999999</v>
      </c>
      <c r="H41" s="21">
        <v>1.1561570000000001</v>
      </c>
      <c r="I41" s="21">
        <v>0.209338</v>
      </c>
    </row>
    <row r="42" spans="1:9">
      <c r="A42" s="21" t="s">
        <v>21</v>
      </c>
      <c r="B42" s="21">
        <v>27.91</v>
      </c>
      <c r="C42" s="21">
        <v>20.04</v>
      </c>
      <c r="D42" s="21">
        <v>41.21</v>
      </c>
      <c r="E42" s="21">
        <v>31.303274999999999</v>
      </c>
      <c r="F42" s="21">
        <v>22.476447</v>
      </c>
      <c r="G42" s="21">
        <v>46.220278</v>
      </c>
      <c r="H42" s="21">
        <v>1.120082</v>
      </c>
      <c r="I42" s="21">
        <v>0.163604</v>
      </c>
    </row>
    <row r="43" spans="1:9">
      <c r="A43" s="21" t="s">
        <v>22</v>
      </c>
      <c r="B43" s="21">
        <v>12.85</v>
      </c>
      <c r="C43" s="21">
        <v>35.619999999999997</v>
      </c>
      <c r="D43" s="21">
        <v>40.479999999999997</v>
      </c>
      <c r="E43" s="21">
        <v>14.446318</v>
      </c>
      <c r="F43" s="21">
        <v>40.044969000000002</v>
      </c>
      <c r="G43" s="21">
        <v>45.508713</v>
      </c>
      <c r="H43" s="21">
        <v>0.51691299999999996</v>
      </c>
      <c r="I43" s="21">
        <v>-0.95200700000000005</v>
      </c>
    </row>
    <row r="44" spans="1:9">
      <c r="A44" s="21" t="s">
        <v>23</v>
      </c>
      <c r="B44" s="21">
        <v>29.8</v>
      </c>
      <c r="C44" s="21">
        <v>21.75</v>
      </c>
      <c r="D44" s="21">
        <v>38.42</v>
      </c>
      <c r="E44" s="21">
        <v>33.122152</v>
      </c>
      <c r="F44" s="21">
        <v>24.174724999999999</v>
      </c>
      <c r="G44" s="21">
        <v>42.703122999999998</v>
      </c>
      <c r="H44" s="21">
        <v>1.1851640000000001</v>
      </c>
      <c r="I44" s="21">
        <v>0.245087</v>
      </c>
    </row>
    <row r="45" spans="1:9">
      <c r="A45" s="21" t="s">
        <v>24</v>
      </c>
      <c r="B45" s="21">
        <v>30.67</v>
      </c>
      <c r="C45" s="21">
        <v>21.79</v>
      </c>
      <c r="D45" s="21">
        <v>37.5</v>
      </c>
      <c r="E45" s="21">
        <v>34.092930000000003</v>
      </c>
      <c r="F45" s="21">
        <v>24.221876000000002</v>
      </c>
      <c r="G45" s="21">
        <v>41.685192999999998</v>
      </c>
      <c r="H45" s="21">
        <v>1.2199009999999999</v>
      </c>
      <c r="I45" s="21">
        <v>0.28676299999999999</v>
      </c>
    </row>
    <row r="46" spans="1:9">
      <c r="A46" s="21" t="s">
        <v>25</v>
      </c>
      <c r="B46" s="21">
        <v>33.53</v>
      </c>
      <c r="C46" s="21">
        <v>21.38</v>
      </c>
      <c r="D46" s="21">
        <v>35.64</v>
      </c>
      <c r="E46" s="21">
        <v>37.029266</v>
      </c>
      <c r="F46" s="21">
        <v>23.611263999999998</v>
      </c>
      <c r="G46" s="21">
        <v>39.359470000000002</v>
      </c>
      <c r="H46" s="21">
        <v>1.324967</v>
      </c>
      <c r="I46" s="21">
        <v>0.40595700000000001</v>
      </c>
    </row>
    <row r="47" spans="1:9">
      <c r="A47" s="21" t="s">
        <v>26</v>
      </c>
      <c r="B47" s="21">
        <v>29.91</v>
      </c>
      <c r="C47" s="21">
        <v>19.920000000000002</v>
      </c>
      <c r="D47" s="21">
        <v>39.39</v>
      </c>
      <c r="E47" s="21">
        <v>33.523873999999999</v>
      </c>
      <c r="F47" s="21">
        <v>22.326833000000001</v>
      </c>
      <c r="G47" s="21">
        <v>44.149293999999998</v>
      </c>
      <c r="H47" s="21">
        <v>1.1995389999999999</v>
      </c>
      <c r="I47" s="21">
        <v>0.26247999999999999</v>
      </c>
    </row>
    <row r="48" spans="1:9">
      <c r="A48" s="21" t="s">
        <v>27</v>
      </c>
      <c r="B48" s="21">
        <v>27.92</v>
      </c>
      <c r="C48" s="21">
        <v>20.14</v>
      </c>
      <c r="D48" s="21">
        <v>40.29</v>
      </c>
      <c r="E48" s="21">
        <v>31.601585</v>
      </c>
      <c r="F48" s="21">
        <v>22.795698999999999</v>
      </c>
      <c r="G48" s="21">
        <v>45.602716000000001</v>
      </c>
      <c r="H48" s="21">
        <v>1.1307560000000001</v>
      </c>
      <c r="I48" s="21">
        <v>0.177288</v>
      </c>
    </row>
    <row r="49" spans="1:9">
      <c r="A49" s="21" t="s">
        <v>28</v>
      </c>
      <c r="B49" s="21">
        <v>30.89</v>
      </c>
      <c r="C49" s="21">
        <v>18.38</v>
      </c>
      <c r="D49" s="21">
        <v>39.46</v>
      </c>
      <c r="E49" s="21">
        <v>34.813479000000001</v>
      </c>
      <c r="F49" s="21">
        <v>20.714527</v>
      </c>
      <c r="G49" s="21">
        <v>44.471994000000002</v>
      </c>
      <c r="H49" s="21">
        <v>1.2456830000000001</v>
      </c>
      <c r="I49" s="21">
        <v>0.31693700000000002</v>
      </c>
    </row>
    <row r="50" spans="1:9">
      <c r="A50" s="21" t="s">
        <v>29</v>
      </c>
      <c r="B50" s="21">
        <v>30.53</v>
      </c>
      <c r="C50" s="21">
        <v>19.3</v>
      </c>
      <c r="D50" s="21">
        <v>39.229999999999997</v>
      </c>
      <c r="E50" s="21">
        <v>34.280259999999998</v>
      </c>
      <c r="F50" s="21">
        <v>21.670784000000001</v>
      </c>
      <c r="G50" s="21">
        <v>44.048955999999997</v>
      </c>
      <c r="H50" s="21">
        <v>1.2266030000000001</v>
      </c>
      <c r="I50" s="21">
        <v>0.29466900000000001</v>
      </c>
    </row>
    <row r="51" spans="1:9">
      <c r="A51" s="21" t="s">
        <v>30</v>
      </c>
      <c r="B51" s="21">
        <v>31.83</v>
      </c>
      <c r="C51" s="21">
        <v>18.66</v>
      </c>
      <c r="D51" s="21">
        <v>38.659999999999997</v>
      </c>
      <c r="E51" s="21">
        <v>35.703870000000002</v>
      </c>
      <c r="F51" s="21">
        <v>20.931014999999999</v>
      </c>
      <c r="G51" s="21">
        <v>43.365115000000003</v>
      </c>
      <c r="H51" s="21">
        <v>1.2775430000000001</v>
      </c>
      <c r="I51" s="21">
        <v>0.35337099999999999</v>
      </c>
    </row>
    <row r="52" spans="1:9">
      <c r="A52" s="21" t="s">
        <v>31</v>
      </c>
      <c r="B52" s="21">
        <v>31.81</v>
      </c>
      <c r="C52" s="21">
        <v>21.04</v>
      </c>
      <c r="D52" s="21">
        <v>36.880000000000003</v>
      </c>
      <c r="E52" s="21">
        <v>35.450797000000001</v>
      </c>
      <c r="F52" s="21">
        <v>23.448122000000001</v>
      </c>
      <c r="G52" s="21">
        <v>41.101081000000001</v>
      </c>
      <c r="H52" s="21">
        <v>1.2684869999999999</v>
      </c>
      <c r="I52" s="21">
        <v>0.343109</v>
      </c>
    </row>
    <row r="53" spans="1:9">
      <c r="A53" s="21" t="s">
        <v>32</v>
      </c>
      <c r="B53" s="21">
        <v>26.34</v>
      </c>
      <c r="C53" s="21">
        <v>24.24</v>
      </c>
      <c r="D53" s="21">
        <v>39</v>
      </c>
      <c r="E53" s="21">
        <v>29.403884999999999</v>
      </c>
      <c r="F53" s="21">
        <v>27.059612000000001</v>
      </c>
      <c r="G53" s="21">
        <v>43.536504000000001</v>
      </c>
      <c r="H53" s="21">
        <v>1.052119</v>
      </c>
      <c r="I53" s="21">
        <v>7.3298000000000002E-2</v>
      </c>
    </row>
    <row r="55" spans="1:9">
      <c r="A55" s="21" t="s">
        <v>8</v>
      </c>
      <c r="B55" s="21">
        <v>41.14</v>
      </c>
      <c r="C55" s="21">
        <v>15.39</v>
      </c>
      <c r="D55" s="21">
        <v>33.25</v>
      </c>
      <c r="E55" s="21">
        <v>45.823123000000002</v>
      </c>
      <c r="F55" s="21">
        <v>17.141902000000002</v>
      </c>
      <c r="G55" s="21">
        <v>37.034973999999998</v>
      </c>
      <c r="H55" s="21">
        <v>1.0215129999999999</v>
      </c>
      <c r="I55" s="21">
        <v>3.0707000000000002E-2</v>
      </c>
    </row>
    <row r="56" spans="1:9">
      <c r="A56" s="21" t="s">
        <v>9</v>
      </c>
      <c r="B56" s="21">
        <v>47.52</v>
      </c>
      <c r="C56" s="21">
        <v>15.04</v>
      </c>
      <c r="D56" s="21">
        <v>27.98</v>
      </c>
      <c r="E56" s="21">
        <v>52.485089000000002</v>
      </c>
      <c r="F56" s="21">
        <v>16.611442</v>
      </c>
      <c r="G56" s="21">
        <v>30.903468</v>
      </c>
      <c r="H56" s="21">
        <v>1.1700250000000001</v>
      </c>
      <c r="I56" s="21">
        <v>0.22653899999999999</v>
      </c>
    </row>
    <row r="57" spans="1:9">
      <c r="A57" s="21" t="s">
        <v>10</v>
      </c>
      <c r="B57" s="21">
        <v>50.79</v>
      </c>
      <c r="C57" s="21">
        <v>10.49</v>
      </c>
      <c r="D57" s="21">
        <v>28.7</v>
      </c>
      <c r="E57" s="21">
        <v>56.445877000000003</v>
      </c>
      <c r="F57" s="21">
        <v>11.658146</v>
      </c>
      <c r="G57" s="21">
        <v>31.895976999999998</v>
      </c>
      <c r="H57" s="21">
        <v>1.258321</v>
      </c>
      <c r="I57" s="21">
        <v>0.33149899999999999</v>
      </c>
    </row>
    <row r="58" spans="1:9">
      <c r="A58" s="21" t="s">
        <v>11</v>
      </c>
      <c r="B58" s="21">
        <v>48.79</v>
      </c>
      <c r="C58" s="21">
        <v>12.6</v>
      </c>
      <c r="D58" s="21">
        <v>29.3</v>
      </c>
      <c r="E58" s="21">
        <v>53.798654999999997</v>
      </c>
      <c r="F58" s="21">
        <v>13.893483</v>
      </c>
      <c r="G58" s="21">
        <v>32.307862</v>
      </c>
      <c r="H58" s="21">
        <v>1.1993069999999999</v>
      </c>
      <c r="I58" s="21">
        <v>0.26220100000000002</v>
      </c>
    </row>
    <row r="59" spans="1:9">
      <c r="A59" s="21" t="s">
        <v>12</v>
      </c>
      <c r="B59" s="21">
        <v>48.2</v>
      </c>
      <c r="C59" s="21">
        <v>14.14</v>
      </c>
      <c r="D59" s="21">
        <v>27.96</v>
      </c>
      <c r="E59" s="21">
        <v>53.377630000000003</v>
      </c>
      <c r="F59" s="21">
        <v>15.658915</v>
      </c>
      <c r="G59" s="21">
        <v>30.963455</v>
      </c>
      <c r="H59" s="21">
        <v>1.1899219999999999</v>
      </c>
      <c r="I59" s="21">
        <v>0.25086599999999998</v>
      </c>
    </row>
    <row r="60" spans="1:9">
      <c r="A60" s="21" t="s">
        <v>13</v>
      </c>
      <c r="B60" s="21">
        <v>46.04</v>
      </c>
      <c r="C60" s="21">
        <v>13.46</v>
      </c>
      <c r="D60" s="21">
        <v>30.22</v>
      </c>
      <c r="E60" s="21">
        <v>51.315202999999997</v>
      </c>
      <c r="F60" s="21">
        <v>15.002229</v>
      </c>
      <c r="G60" s="21">
        <v>33.682568000000003</v>
      </c>
      <c r="H60" s="21">
        <v>1.143945</v>
      </c>
      <c r="I60" s="21">
        <v>0.194018</v>
      </c>
    </row>
    <row r="61" spans="1:9">
      <c r="A61" s="21" t="s">
        <v>14</v>
      </c>
      <c r="B61" s="21">
        <v>41.69</v>
      </c>
      <c r="C61" s="21">
        <v>15.14</v>
      </c>
      <c r="D61" s="21">
        <v>32.82</v>
      </c>
      <c r="E61" s="21">
        <v>46.503067000000001</v>
      </c>
      <c r="F61" s="21">
        <v>16.887896999999999</v>
      </c>
      <c r="G61" s="21">
        <v>36.609034999999999</v>
      </c>
      <c r="H61" s="21">
        <v>1.03667</v>
      </c>
      <c r="I61" s="21">
        <v>5.1957000000000003E-2</v>
      </c>
    </row>
    <row r="62" spans="1:9">
      <c r="A62" s="21" t="s">
        <v>15</v>
      </c>
      <c r="B62" s="21">
        <v>42.25</v>
      </c>
      <c r="C62" s="21">
        <v>13.03</v>
      </c>
      <c r="D62" s="21">
        <v>33.99</v>
      </c>
      <c r="E62" s="21">
        <v>47.328330000000001</v>
      </c>
      <c r="F62" s="21">
        <v>14.596169</v>
      </c>
      <c r="G62" s="21">
        <v>38.075501000000003</v>
      </c>
      <c r="H62" s="21">
        <v>1.055067</v>
      </c>
      <c r="I62" s="21">
        <v>7.7335000000000001E-2</v>
      </c>
    </row>
    <row r="63" spans="1:9">
      <c r="A63" s="21" t="s">
        <v>16</v>
      </c>
      <c r="B63" s="21">
        <v>42.88</v>
      </c>
      <c r="C63" s="21">
        <v>15.66</v>
      </c>
      <c r="D63" s="21">
        <v>31.59</v>
      </c>
      <c r="E63" s="21">
        <v>47.575724000000001</v>
      </c>
      <c r="F63" s="21">
        <v>17.374903</v>
      </c>
      <c r="G63" s="21">
        <v>35.049373000000003</v>
      </c>
      <c r="H63" s="21">
        <v>1.0605830000000001</v>
      </c>
      <c r="I63" s="21">
        <v>8.4857000000000002E-2</v>
      </c>
    </row>
    <row r="64" spans="1:9">
      <c r="A64" s="21" t="s">
        <v>17</v>
      </c>
      <c r="B64" s="21">
        <v>39.79</v>
      </c>
      <c r="C64" s="21">
        <v>19.91</v>
      </c>
      <c r="D64" s="21">
        <v>30.9</v>
      </c>
      <c r="E64" s="21">
        <v>43.918322000000003</v>
      </c>
      <c r="F64" s="21">
        <v>21.975717</v>
      </c>
      <c r="G64" s="21">
        <v>34.105960000000003</v>
      </c>
      <c r="H64" s="21">
        <v>0.97904999999999998</v>
      </c>
      <c r="I64" s="21">
        <v>-3.0546E-2</v>
      </c>
    </row>
    <row r="65" spans="1:9">
      <c r="A65" s="21" t="s">
        <v>18</v>
      </c>
      <c r="B65" s="21">
        <v>42.35</v>
      </c>
      <c r="C65" s="21">
        <v>18.45</v>
      </c>
      <c r="D65" s="21">
        <v>29.29</v>
      </c>
      <c r="E65" s="21">
        <v>47.008547</v>
      </c>
      <c r="F65" s="21">
        <v>20.479520000000001</v>
      </c>
      <c r="G65" s="21">
        <v>32.511932999999999</v>
      </c>
      <c r="H65" s="21">
        <v>1.047939</v>
      </c>
      <c r="I65" s="21">
        <v>6.7554000000000003E-2</v>
      </c>
    </row>
    <row r="66" spans="1:9">
      <c r="A66" s="21" t="s">
        <v>19</v>
      </c>
      <c r="B66" s="21">
        <v>40.65</v>
      </c>
      <c r="C66" s="21">
        <v>17.39</v>
      </c>
      <c r="D66" s="21">
        <v>31.93</v>
      </c>
      <c r="E66" s="21">
        <v>45.181727000000002</v>
      </c>
      <c r="F66" s="21">
        <v>19.328665000000001</v>
      </c>
      <c r="G66" s="21">
        <v>35.489607999999997</v>
      </c>
      <c r="H66" s="21">
        <v>1.0072140000000001</v>
      </c>
      <c r="I66" s="21">
        <v>1.0371E-2</v>
      </c>
    </row>
    <row r="67" spans="1:9">
      <c r="A67" s="21" t="s">
        <v>20</v>
      </c>
      <c r="B67" s="21">
        <v>41.29</v>
      </c>
      <c r="C67" s="21">
        <v>18.149999999999999</v>
      </c>
      <c r="D67" s="21">
        <v>30.15</v>
      </c>
      <c r="E67" s="21">
        <v>46.087733</v>
      </c>
      <c r="F67" s="21">
        <v>20.258956999999999</v>
      </c>
      <c r="G67" s="21">
        <v>33.653309999999998</v>
      </c>
      <c r="H67" s="21">
        <v>1.0274110000000001</v>
      </c>
      <c r="I67" s="21">
        <v>3.9014E-2</v>
      </c>
    </row>
    <row r="68" spans="1:9">
      <c r="A68" s="21" t="s">
        <v>21</v>
      </c>
      <c r="B68" s="21">
        <v>38.700000000000003</v>
      </c>
      <c r="C68" s="21">
        <v>16.16</v>
      </c>
      <c r="D68" s="21">
        <v>34.19</v>
      </c>
      <c r="E68" s="21">
        <v>43.458731</v>
      </c>
      <c r="F68" s="21">
        <v>18.147107999999999</v>
      </c>
      <c r="G68" s="21">
        <v>38.394160999999997</v>
      </c>
      <c r="H68" s="21">
        <v>0.968804</v>
      </c>
      <c r="I68" s="21">
        <v>-4.5723E-2</v>
      </c>
    </row>
    <row r="69" spans="1:9">
      <c r="A69" s="21" t="s">
        <v>22</v>
      </c>
      <c r="B69" s="21">
        <v>22.44</v>
      </c>
      <c r="C69" s="21">
        <v>30.36</v>
      </c>
      <c r="D69" s="21">
        <v>34.75</v>
      </c>
      <c r="E69" s="21">
        <v>25.631067999999999</v>
      </c>
      <c r="F69" s="21">
        <v>34.677326999999998</v>
      </c>
      <c r="G69" s="21">
        <v>39.691605000000003</v>
      </c>
      <c r="H69" s="21">
        <v>0.57138100000000003</v>
      </c>
      <c r="I69" s="21">
        <v>-0.80747500000000005</v>
      </c>
    </row>
    <row r="70" spans="1:9">
      <c r="A70" s="21" t="s">
        <v>23</v>
      </c>
      <c r="B70" s="21">
        <v>44.11</v>
      </c>
      <c r="C70" s="21">
        <v>17.14</v>
      </c>
      <c r="D70" s="21">
        <v>29.68</v>
      </c>
      <c r="E70" s="21">
        <v>48.509842999999996</v>
      </c>
      <c r="F70" s="21">
        <v>18.849665000000002</v>
      </c>
      <c r="G70" s="21">
        <v>32.640492999999999</v>
      </c>
      <c r="H70" s="21">
        <v>1.0814060000000001</v>
      </c>
      <c r="I70" s="21">
        <v>0.112909</v>
      </c>
    </row>
    <row r="71" spans="1:9">
      <c r="A71" s="21" t="s">
        <v>24</v>
      </c>
      <c r="B71" s="21">
        <v>43.9</v>
      </c>
      <c r="C71" s="21">
        <v>18.09</v>
      </c>
      <c r="D71" s="21">
        <v>29.05</v>
      </c>
      <c r="E71" s="21">
        <v>48.220562000000001</v>
      </c>
      <c r="F71" s="21">
        <v>19.870387000000001</v>
      </c>
      <c r="G71" s="21">
        <v>31.909051000000002</v>
      </c>
      <c r="H71" s="21">
        <v>1.0749580000000001</v>
      </c>
      <c r="I71" s="21">
        <v>0.10428</v>
      </c>
    </row>
    <row r="72" spans="1:9">
      <c r="A72" s="21" t="s">
        <v>25</v>
      </c>
      <c r="B72" s="21">
        <v>48.72</v>
      </c>
      <c r="C72" s="21">
        <v>15.61</v>
      </c>
      <c r="D72" s="21">
        <v>27.07</v>
      </c>
      <c r="E72" s="21">
        <v>53.304158000000001</v>
      </c>
      <c r="F72" s="21">
        <v>17.078775</v>
      </c>
      <c r="G72" s="21">
        <v>29.617068</v>
      </c>
      <c r="H72" s="21">
        <v>1.1882839999999999</v>
      </c>
      <c r="I72" s="21">
        <v>0.24887899999999999</v>
      </c>
    </row>
    <row r="73" spans="1:9">
      <c r="A73" s="21" t="s">
        <v>26</v>
      </c>
      <c r="B73" s="21">
        <v>43.71</v>
      </c>
      <c r="C73" s="21">
        <v>18.059999999999999</v>
      </c>
      <c r="D73" s="21">
        <v>28.71</v>
      </c>
      <c r="E73" s="21">
        <v>48.309018999999999</v>
      </c>
      <c r="F73" s="21">
        <v>19.960211999999999</v>
      </c>
      <c r="G73" s="21">
        <v>31.730768999999999</v>
      </c>
      <c r="H73" s="21">
        <v>1.076929</v>
      </c>
      <c r="I73" s="21">
        <v>0.10692400000000001</v>
      </c>
    </row>
    <row r="74" spans="1:9">
      <c r="A74" s="21" t="s">
        <v>27</v>
      </c>
      <c r="B74" s="21">
        <v>44</v>
      </c>
      <c r="C74" s="21">
        <v>17.77</v>
      </c>
      <c r="D74" s="21">
        <v>29.13</v>
      </c>
      <c r="E74" s="21">
        <v>48.40484</v>
      </c>
      <c r="F74" s="21">
        <v>19.548954999999999</v>
      </c>
      <c r="G74" s="21">
        <v>32.046205</v>
      </c>
      <c r="H74" s="21">
        <v>1.0790660000000001</v>
      </c>
      <c r="I74" s="21">
        <v>0.10978300000000001</v>
      </c>
    </row>
    <row r="75" spans="1:9">
      <c r="A75" s="21" t="s">
        <v>28</v>
      </c>
      <c r="B75" s="21">
        <v>48.24</v>
      </c>
      <c r="C75" s="21">
        <v>14.37</v>
      </c>
      <c r="D75" s="21">
        <v>27.76</v>
      </c>
      <c r="E75" s="21">
        <v>53.380547</v>
      </c>
      <c r="F75" s="21">
        <v>15.901294999999999</v>
      </c>
      <c r="G75" s="21">
        <v>30.718159</v>
      </c>
      <c r="H75" s="21">
        <v>1.1899869999999999</v>
      </c>
      <c r="I75" s="21">
        <v>0.25094499999999997</v>
      </c>
    </row>
    <row r="76" spans="1:9">
      <c r="A76" s="21" t="s">
        <v>29</v>
      </c>
      <c r="B76" s="21">
        <v>44.43</v>
      </c>
      <c r="C76" s="21">
        <v>17.899999999999999</v>
      </c>
      <c r="D76" s="21">
        <v>28.33</v>
      </c>
      <c r="E76" s="21">
        <v>49.007280000000002</v>
      </c>
      <c r="F76" s="21">
        <v>19.744098999999999</v>
      </c>
      <c r="G76" s="21">
        <v>31.248621</v>
      </c>
      <c r="H76" s="21">
        <v>1.092495</v>
      </c>
      <c r="I76" s="21">
        <v>0.12762699999999999</v>
      </c>
    </row>
    <row r="77" spans="1:9">
      <c r="A77" s="21" t="s">
        <v>30</v>
      </c>
      <c r="B77" s="21">
        <v>46.34</v>
      </c>
      <c r="C77" s="21">
        <v>16</v>
      </c>
      <c r="D77" s="21">
        <v>28.65</v>
      </c>
      <c r="E77" s="21">
        <v>50.928673000000003</v>
      </c>
      <c r="F77" s="21">
        <v>17.584350000000001</v>
      </c>
      <c r="G77" s="21">
        <v>31.486977</v>
      </c>
      <c r="H77" s="21">
        <v>1.1353279999999999</v>
      </c>
      <c r="I77" s="21">
        <v>0.18310899999999999</v>
      </c>
    </row>
    <row r="78" spans="1:9">
      <c r="A78" s="21" t="s">
        <v>31</v>
      </c>
      <c r="B78" s="21">
        <v>43.89</v>
      </c>
      <c r="C78" s="21">
        <v>16.55</v>
      </c>
      <c r="D78" s="21">
        <v>30.32</v>
      </c>
      <c r="E78" s="21">
        <v>48.358308000000001</v>
      </c>
      <c r="F78" s="21">
        <v>18.234905000000001</v>
      </c>
      <c r="G78" s="21">
        <v>33.406787000000001</v>
      </c>
      <c r="H78" s="21">
        <v>1.078028</v>
      </c>
      <c r="I78" s="21">
        <v>0.10839500000000001</v>
      </c>
    </row>
    <row r="79" spans="1:9">
      <c r="A79" s="21" t="s">
        <v>32</v>
      </c>
      <c r="B79" s="21">
        <v>41.15</v>
      </c>
      <c r="C79" s="21">
        <v>17.350000000000001</v>
      </c>
      <c r="D79" s="21">
        <v>30.66</v>
      </c>
      <c r="E79" s="21">
        <v>46.152982999999999</v>
      </c>
      <c r="F79" s="21">
        <v>19.459399000000001</v>
      </c>
      <c r="G79" s="21">
        <v>34.387618000000003</v>
      </c>
      <c r="H79" s="21">
        <v>1.0288660000000001</v>
      </c>
      <c r="I79" s="21">
        <v>4.1055000000000001E-2</v>
      </c>
    </row>
    <row r="81" spans="1:9">
      <c r="A81" s="21" t="s">
        <v>8</v>
      </c>
      <c r="B81" s="21">
        <v>31.54</v>
      </c>
      <c r="C81" s="21">
        <v>22.47</v>
      </c>
      <c r="D81" s="21">
        <v>36.68</v>
      </c>
      <c r="E81" s="21">
        <v>34.777814999999997</v>
      </c>
      <c r="F81" s="21">
        <v>24.776712</v>
      </c>
      <c r="G81" s="21">
        <v>40.445473999999997</v>
      </c>
      <c r="H81" s="21">
        <v>0.98842099999999999</v>
      </c>
      <c r="I81" s="21">
        <v>-1.6802000000000001E-2</v>
      </c>
    </row>
    <row r="82" spans="1:9">
      <c r="A82" s="21" t="s">
        <v>9</v>
      </c>
      <c r="B82" s="21">
        <v>31.61</v>
      </c>
      <c r="C82" s="21">
        <v>21.82</v>
      </c>
      <c r="D82" s="21">
        <v>37.21</v>
      </c>
      <c r="E82" s="21">
        <v>34.874228000000002</v>
      </c>
      <c r="F82" s="21">
        <v>24.073257000000002</v>
      </c>
      <c r="G82" s="21">
        <v>41.052515</v>
      </c>
      <c r="H82" s="21">
        <v>0.99116099999999996</v>
      </c>
      <c r="I82" s="21">
        <v>-1.2808E-2</v>
      </c>
    </row>
    <row r="83" spans="1:9">
      <c r="A83" s="21" t="s">
        <v>10</v>
      </c>
      <c r="B83" s="21">
        <v>36.53</v>
      </c>
      <c r="C83" s="21">
        <v>16.739999999999998</v>
      </c>
      <c r="D83" s="21">
        <v>37.28</v>
      </c>
      <c r="E83" s="21">
        <v>40.342351999999998</v>
      </c>
      <c r="F83" s="21">
        <v>18.487024000000002</v>
      </c>
      <c r="G83" s="21">
        <v>41.170623999999997</v>
      </c>
      <c r="H83" s="21">
        <v>1.146571</v>
      </c>
      <c r="I83" s="21">
        <v>0.197326</v>
      </c>
    </row>
    <row r="84" spans="1:9">
      <c r="A84" s="21" t="s">
        <v>11</v>
      </c>
      <c r="B84" s="21">
        <v>39.49</v>
      </c>
      <c r="C84" s="21">
        <v>20.55</v>
      </c>
      <c r="D84" s="21">
        <v>31.47</v>
      </c>
      <c r="E84" s="21">
        <v>43.153753999999999</v>
      </c>
      <c r="F84" s="21">
        <v>22.456562000000002</v>
      </c>
      <c r="G84" s="21">
        <v>34.389684000000003</v>
      </c>
      <c r="H84" s="21">
        <v>1.2264740000000001</v>
      </c>
      <c r="I84" s="21">
        <v>0.29451699999999997</v>
      </c>
    </row>
    <row r="85" spans="1:9">
      <c r="A85" s="21" t="s">
        <v>12</v>
      </c>
      <c r="B85" s="21">
        <v>35.72</v>
      </c>
      <c r="C85" s="21">
        <v>21.38</v>
      </c>
      <c r="D85" s="21">
        <v>34.04</v>
      </c>
      <c r="E85" s="21">
        <v>39.192450999999998</v>
      </c>
      <c r="F85" s="21">
        <v>23.458416</v>
      </c>
      <c r="G85" s="21">
        <v>37.349133000000002</v>
      </c>
      <c r="H85" s="21">
        <v>1.11389</v>
      </c>
      <c r="I85" s="21">
        <v>0.15560599999999999</v>
      </c>
    </row>
    <row r="86" spans="1:9">
      <c r="A86" s="21" t="s">
        <v>13</v>
      </c>
      <c r="B86" s="21">
        <v>36.39</v>
      </c>
      <c r="C86" s="21">
        <v>19.45</v>
      </c>
      <c r="D86" s="21">
        <v>34.72</v>
      </c>
      <c r="E86" s="21">
        <v>40.183304</v>
      </c>
      <c r="F86" s="21">
        <v>21.477473</v>
      </c>
      <c r="G86" s="21">
        <v>38.339222999999997</v>
      </c>
      <c r="H86" s="21">
        <v>1.1420509999999999</v>
      </c>
      <c r="I86" s="21">
        <v>0.19162699999999999</v>
      </c>
    </row>
    <row r="87" spans="1:9">
      <c r="A87" s="21" t="s">
        <v>14</v>
      </c>
      <c r="B87" s="21">
        <v>25.22</v>
      </c>
      <c r="C87" s="21">
        <v>18.41</v>
      </c>
      <c r="D87" s="21">
        <v>44.77</v>
      </c>
      <c r="E87" s="21">
        <v>28.529412000000001</v>
      </c>
      <c r="F87" s="21">
        <v>20.825792</v>
      </c>
      <c r="G87" s="21">
        <v>50.644795999999999</v>
      </c>
      <c r="H87" s="21">
        <v>0.81083499999999997</v>
      </c>
      <c r="I87" s="21">
        <v>-0.30251899999999998</v>
      </c>
    </row>
    <row r="88" spans="1:9">
      <c r="A88" s="21" t="s">
        <v>15</v>
      </c>
      <c r="B88" s="21">
        <v>24.02</v>
      </c>
      <c r="C88" s="21">
        <v>18.04</v>
      </c>
      <c r="D88" s="21">
        <v>46.08</v>
      </c>
      <c r="E88" s="21">
        <v>27.252099000000001</v>
      </c>
      <c r="F88" s="21">
        <v>20.467438000000001</v>
      </c>
      <c r="G88" s="21">
        <v>52.280462999999997</v>
      </c>
      <c r="H88" s="21">
        <v>0.77453300000000003</v>
      </c>
      <c r="I88" s="21">
        <v>-0.36860199999999999</v>
      </c>
    </row>
    <row r="89" spans="1:9">
      <c r="A89" s="21" t="s">
        <v>16</v>
      </c>
      <c r="B89" s="21">
        <v>24.57</v>
      </c>
      <c r="C89" s="21">
        <v>20.93</v>
      </c>
      <c r="D89" s="21">
        <v>43.43</v>
      </c>
      <c r="E89" s="21">
        <v>27.628471999999999</v>
      </c>
      <c r="F89" s="21">
        <v>23.535364999999999</v>
      </c>
      <c r="G89" s="21">
        <v>48.836162999999999</v>
      </c>
      <c r="H89" s="21">
        <v>0.78522999999999998</v>
      </c>
      <c r="I89" s="21">
        <v>-0.34881400000000001</v>
      </c>
    </row>
    <row r="90" spans="1:9">
      <c r="A90" s="21" t="s">
        <v>17</v>
      </c>
      <c r="B90" s="21">
        <v>26.5</v>
      </c>
      <c r="C90" s="21">
        <v>19.61</v>
      </c>
      <c r="D90" s="21">
        <v>42.94</v>
      </c>
      <c r="E90" s="21">
        <v>29.758562999999999</v>
      </c>
      <c r="F90" s="21">
        <v>22.021336000000002</v>
      </c>
      <c r="G90" s="21">
        <v>48.220101</v>
      </c>
      <c r="H90" s="21">
        <v>0.84576899999999999</v>
      </c>
      <c r="I90" s="21">
        <v>-0.24166499999999999</v>
      </c>
    </row>
    <row r="91" spans="1:9">
      <c r="A91" s="21" t="s">
        <v>18</v>
      </c>
      <c r="B91" s="21">
        <v>24.17</v>
      </c>
      <c r="C91" s="21">
        <v>20.9</v>
      </c>
      <c r="D91" s="21">
        <v>43.83</v>
      </c>
      <c r="E91" s="21">
        <v>27.187851999999999</v>
      </c>
      <c r="F91" s="21">
        <v>23.509561000000001</v>
      </c>
      <c r="G91" s="21">
        <v>49.302587000000003</v>
      </c>
      <c r="H91" s="21">
        <v>0.77270700000000003</v>
      </c>
      <c r="I91" s="21">
        <v>-0.37200699999999998</v>
      </c>
    </row>
    <row r="92" spans="1:9">
      <c r="A92" s="21" t="s">
        <v>19</v>
      </c>
      <c r="B92" s="21">
        <v>26.41</v>
      </c>
      <c r="C92" s="21">
        <v>23.3</v>
      </c>
      <c r="D92" s="21">
        <v>39.86</v>
      </c>
      <c r="E92" s="21">
        <v>29.485319</v>
      </c>
      <c r="F92" s="21">
        <v>26.013173999999999</v>
      </c>
      <c r="G92" s="21">
        <v>44.501506999999997</v>
      </c>
      <c r="H92" s="21">
        <v>0.83800300000000005</v>
      </c>
      <c r="I92" s="21">
        <v>-0.25497300000000001</v>
      </c>
    </row>
    <row r="93" spans="1:9">
      <c r="A93" s="21" t="s">
        <v>20</v>
      </c>
      <c r="B93" s="21">
        <v>28.27</v>
      </c>
      <c r="C93" s="21">
        <v>20.170000000000002</v>
      </c>
      <c r="D93" s="21">
        <v>41.27</v>
      </c>
      <c r="E93" s="21">
        <v>31.512651999999999</v>
      </c>
      <c r="F93" s="21">
        <v>22.483557999999999</v>
      </c>
      <c r="G93" s="21">
        <v>46.003790000000002</v>
      </c>
      <c r="H93" s="21">
        <v>0.89562200000000003</v>
      </c>
      <c r="I93" s="21">
        <v>-0.15903800000000001</v>
      </c>
    </row>
    <row r="94" spans="1:9">
      <c r="A94" s="21" t="s">
        <v>21</v>
      </c>
      <c r="B94" s="21">
        <v>27.78</v>
      </c>
      <c r="C94" s="21">
        <v>18.73</v>
      </c>
      <c r="D94" s="21">
        <v>42.74</v>
      </c>
      <c r="E94" s="21">
        <v>31.126049999999999</v>
      </c>
      <c r="F94" s="21">
        <v>20.985994000000002</v>
      </c>
      <c r="G94" s="21">
        <v>47.887954999999998</v>
      </c>
      <c r="H94" s="21">
        <v>0.88463400000000003</v>
      </c>
      <c r="I94" s="21">
        <v>-0.176847</v>
      </c>
    </row>
    <row r="95" spans="1:9">
      <c r="A95" s="21" t="s">
        <v>22</v>
      </c>
      <c r="B95" s="21">
        <v>13.19</v>
      </c>
      <c r="C95" s="21">
        <v>29.94</v>
      </c>
      <c r="D95" s="21">
        <v>44.67</v>
      </c>
      <c r="E95" s="21">
        <v>15.022779</v>
      </c>
      <c r="F95" s="21">
        <v>34.100228000000001</v>
      </c>
      <c r="G95" s="21">
        <v>50.876992999999999</v>
      </c>
      <c r="H95" s="21">
        <v>0.42696299999999998</v>
      </c>
      <c r="I95" s="21">
        <v>-1.2278180000000001</v>
      </c>
    </row>
    <row r="96" spans="1:9">
      <c r="A96" s="21" t="s">
        <v>23</v>
      </c>
      <c r="B96" s="21">
        <v>25.75</v>
      </c>
      <c r="C96" s="21">
        <v>18.77</v>
      </c>
      <c r="D96" s="21">
        <v>44.45</v>
      </c>
      <c r="E96" s="21">
        <v>28.942340000000002</v>
      </c>
      <c r="F96" s="21">
        <v>21.096999</v>
      </c>
      <c r="G96" s="21">
        <v>49.960661000000002</v>
      </c>
      <c r="H96" s="21">
        <v>0.82257100000000005</v>
      </c>
      <c r="I96" s="21">
        <v>-0.28178799999999998</v>
      </c>
    </row>
    <row r="97" spans="1:9">
      <c r="A97" s="21" t="s">
        <v>24</v>
      </c>
      <c r="B97" s="21">
        <v>24.78</v>
      </c>
      <c r="C97" s="21">
        <v>18.89</v>
      </c>
      <c r="D97" s="21">
        <v>44.91</v>
      </c>
      <c r="E97" s="21">
        <v>27.974712</v>
      </c>
      <c r="F97" s="21">
        <v>21.325355999999999</v>
      </c>
      <c r="G97" s="21">
        <v>50.699931999999997</v>
      </c>
      <c r="H97" s="21">
        <v>0.79507000000000005</v>
      </c>
      <c r="I97" s="21">
        <v>-0.33084599999999997</v>
      </c>
    </row>
    <row r="98" spans="1:9">
      <c r="A98" s="21" t="s">
        <v>25</v>
      </c>
      <c r="B98" s="21">
        <v>32.78</v>
      </c>
      <c r="C98" s="21">
        <v>21.17</v>
      </c>
      <c r="D98" s="21">
        <v>36.82</v>
      </c>
      <c r="E98" s="21">
        <v>36.113253</v>
      </c>
      <c r="F98" s="21">
        <v>23.322683999999999</v>
      </c>
      <c r="G98" s="21">
        <v>40.564062999999997</v>
      </c>
      <c r="H98" s="21">
        <v>1.026376</v>
      </c>
      <c r="I98" s="21">
        <v>3.7559000000000002E-2</v>
      </c>
    </row>
    <row r="99" spans="1:9">
      <c r="A99" s="21" t="s">
        <v>26</v>
      </c>
      <c r="B99" s="21">
        <v>33.770000000000003</v>
      </c>
      <c r="C99" s="21">
        <v>19.579999999999998</v>
      </c>
      <c r="D99" s="21">
        <v>36.700000000000003</v>
      </c>
      <c r="E99" s="21">
        <v>37.501387999999999</v>
      </c>
      <c r="F99" s="21">
        <v>21.743476000000001</v>
      </c>
      <c r="G99" s="21">
        <v>40.755136</v>
      </c>
      <c r="H99" s="21">
        <v>1.065828</v>
      </c>
      <c r="I99" s="21">
        <v>9.1975000000000001E-2</v>
      </c>
    </row>
    <row r="100" spans="1:9">
      <c r="A100" s="21" t="s">
        <v>27</v>
      </c>
      <c r="B100" s="21">
        <v>29.83</v>
      </c>
      <c r="C100" s="21">
        <v>19.12</v>
      </c>
      <c r="D100" s="21">
        <v>40.69</v>
      </c>
      <c r="E100" s="21">
        <v>33.277555</v>
      </c>
      <c r="F100" s="21">
        <v>21.329763</v>
      </c>
      <c r="G100" s="21">
        <v>45.392682000000001</v>
      </c>
      <c r="H100" s="21">
        <v>0.94578200000000001</v>
      </c>
      <c r="I100" s="21">
        <v>-8.0420000000000005E-2</v>
      </c>
    </row>
    <row r="101" spans="1:9">
      <c r="A101" s="21" t="s">
        <v>28</v>
      </c>
      <c r="B101" s="21">
        <v>31.88</v>
      </c>
      <c r="C101" s="21">
        <v>18.97</v>
      </c>
      <c r="D101" s="21">
        <v>38.5</v>
      </c>
      <c r="E101" s="21">
        <v>35.67991</v>
      </c>
      <c r="F101" s="21">
        <v>21.231114000000002</v>
      </c>
      <c r="G101" s="21">
        <v>43.088976000000002</v>
      </c>
      <c r="H101" s="21">
        <v>1.01406</v>
      </c>
      <c r="I101" s="21">
        <v>2.0143000000000001E-2</v>
      </c>
    </row>
    <row r="102" spans="1:9">
      <c r="A102" s="21" t="s">
        <v>29</v>
      </c>
      <c r="B102" s="21">
        <v>28.47</v>
      </c>
      <c r="C102" s="21">
        <v>19.53</v>
      </c>
      <c r="D102" s="21">
        <v>40.98</v>
      </c>
      <c r="E102" s="21">
        <v>31.995954000000001</v>
      </c>
      <c r="F102" s="21">
        <v>21.948753</v>
      </c>
      <c r="G102" s="21">
        <v>46.055292999999999</v>
      </c>
      <c r="H102" s="21">
        <v>0.909358</v>
      </c>
      <c r="I102" s="21">
        <v>-0.13708000000000001</v>
      </c>
    </row>
    <row r="103" spans="1:9">
      <c r="A103" s="21" t="s">
        <v>30</v>
      </c>
      <c r="B103" s="21">
        <v>29.45</v>
      </c>
      <c r="C103" s="21">
        <v>18.55</v>
      </c>
      <c r="D103" s="21">
        <v>41.32</v>
      </c>
      <c r="E103" s="21">
        <v>32.971339</v>
      </c>
      <c r="F103" s="21">
        <v>20.768025000000002</v>
      </c>
      <c r="G103" s="21">
        <v>46.260635999999998</v>
      </c>
      <c r="H103" s="21">
        <v>0.937079</v>
      </c>
      <c r="I103" s="21">
        <v>-9.3756999999999993E-2</v>
      </c>
    </row>
    <row r="104" spans="1:9">
      <c r="A104" s="21" t="s">
        <v>31</v>
      </c>
      <c r="B104" s="21">
        <v>33.619999999999997</v>
      </c>
      <c r="C104" s="21">
        <v>22.24</v>
      </c>
      <c r="D104" s="21">
        <v>34.9</v>
      </c>
      <c r="E104" s="21">
        <v>37.042749999999998</v>
      </c>
      <c r="F104" s="21">
        <v>24.504187000000002</v>
      </c>
      <c r="G104" s="21">
        <v>38.453063</v>
      </c>
      <c r="H104" s="21">
        <v>1.0527930000000001</v>
      </c>
      <c r="I104" s="21">
        <v>7.4221999999999996E-2</v>
      </c>
    </row>
    <row r="105" spans="1:9">
      <c r="A105" s="21" t="s">
        <v>32</v>
      </c>
      <c r="B105" s="21">
        <v>28.36</v>
      </c>
      <c r="C105" s="21">
        <v>21.36</v>
      </c>
      <c r="D105" s="21">
        <v>40.51</v>
      </c>
      <c r="E105" s="21">
        <v>31.430788</v>
      </c>
      <c r="F105" s="21">
        <v>23.672836</v>
      </c>
      <c r="G105" s="21">
        <v>44.896375999999997</v>
      </c>
      <c r="H105" s="21">
        <v>0.89329499999999995</v>
      </c>
      <c r="I105" s="21">
        <v>-0.16279099999999999</v>
      </c>
    </row>
    <row r="107" spans="1:9">
      <c r="A107" s="21" t="s">
        <v>0</v>
      </c>
      <c r="B107" s="21" t="s">
        <v>1</v>
      </c>
      <c r="E107" s="21" t="s">
        <v>2</v>
      </c>
      <c r="H107" s="21" t="s">
        <v>3</v>
      </c>
      <c r="I107" s="21" t="s">
        <v>4</v>
      </c>
    </row>
    <row r="108" spans="1:9">
      <c r="B108" s="21" t="s">
        <v>5</v>
      </c>
      <c r="C108" s="21" t="s">
        <v>6</v>
      </c>
      <c r="D108" s="21" t="s">
        <v>7</v>
      </c>
      <c r="E108" s="21" t="s">
        <v>5</v>
      </c>
      <c r="F108" s="21" t="s">
        <v>6</v>
      </c>
      <c r="G108" s="21" t="s">
        <v>7</v>
      </c>
      <c r="H108" s="21" t="s">
        <v>5</v>
      </c>
      <c r="I108" s="21" t="s">
        <v>5</v>
      </c>
    </row>
    <row r="109" spans="1:9">
      <c r="A109" s="21" t="s">
        <v>33</v>
      </c>
      <c r="B109" s="21">
        <v>41.22</v>
      </c>
      <c r="C109" s="21">
        <v>20.83</v>
      </c>
      <c r="D109" s="21">
        <v>29.2</v>
      </c>
      <c r="E109" s="21">
        <v>45.172603000000002</v>
      </c>
      <c r="F109" s="21">
        <v>22.827397000000001</v>
      </c>
      <c r="G109" s="21">
        <v>32</v>
      </c>
      <c r="H109" s="21">
        <v>1.23275</v>
      </c>
      <c r="I109" s="21">
        <v>0.30187999999999998</v>
      </c>
    </row>
    <row r="110" spans="1:9">
      <c r="A110" s="21" t="s">
        <v>34</v>
      </c>
      <c r="B110" s="21">
        <v>41.02</v>
      </c>
      <c r="C110" s="21">
        <v>21.05</v>
      </c>
      <c r="D110" s="21">
        <v>29.33</v>
      </c>
      <c r="E110" s="21">
        <v>44.879649999999998</v>
      </c>
      <c r="F110" s="21">
        <v>23.030635</v>
      </c>
      <c r="G110" s="21">
        <v>32.089716000000003</v>
      </c>
      <c r="H110" s="21">
        <v>1.224755</v>
      </c>
      <c r="I110" s="21">
        <v>0.29249399999999998</v>
      </c>
    </row>
    <row r="111" spans="1:9">
      <c r="A111" s="21" t="s">
        <v>35</v>
      </c>
      <c r="B111" s="21">
        <v>38.340000000000003</v>
      </c>
      <c r="C111" s="21">
        <v>26.26</v>
      </c>
      <c r="D111" s="21">
        <v>27.47</v>
      </c>
      <c r="E111" s="21">
        <v>41.642229</v>
      </c>
      <c r="F111" s="21">
        <v>28.521777</v>
      </c>
      <c r="G111" s="21">
        <v>29.835993999999999</v>
      </c>
      <c r="H111" s="21">
        <v>1.1364069999999999</v>
      </c>
      <c r="I111" s="21">
        <v>0.184479</v>
      </c>
    </row>
    <row r="112" spans="1:9">
      <c r="A112" s="21" t="s">
        <v>36</v>
      </c>
      <c r="B112" s="21">
        <v>40.049999999999997</v>
      </c>
      <c r="C112" s="21">
        <v>24.24</v>
      </c>
      <c r="D112" s="21">
        <v>27.6</v>
      </c>
      <c r="E112" s="21">
        <v>43.584721000000002</v>
      </c>
      <c r="F112" s="21">
        <v>26.379366999999998</v>
      </c>
      <c r="G112" s="21">
        <v>30.035913000000001</v>
      </c>
      <c r="H112" s="21">
        <v>1.1894169999999999</v>
      </c>
      <c r="I112" s="21">
        <v>0.25025500000000001</v>
      </c>
    </row>
    <row r="113" spans="1:9">
      <c r="A113" s="21" t="s">
        <v>37</v>
      </c>
      <c r="B113" s="21">
        <v>34.26</v>
      </c>
      <c r="C113" s="21">
        <v>25.12</v>
      </c>
      <c r="D113" s="21">
        <v>31.15</v>
      </c>
      <c r="E113" s="21">
        <v>37.843809</v>
      </c>
      <c r="F113" s="21">
        <v>27.747707999999999</v>
      </c>
      <c r="G113" s="21">
        <v>34.408482999999997</v>
      </c>
      <c r="H113" s="21">
        <v>1.0327489999999999</v>
      </c>
      <c r="I113" s="21">
        <v>4.6489999999999997E-2</v>
      </c>
    </row>
    <row r="114" spans="1:9">
      <c r="A114" s="21" t="s">
        <v>38</v>
      </c>
      <c r="B114" s="21">
        <v>36.31</v>
      </c>
      <c r="C114" s="21">
        <v>23.65</v>
      </c>
      <c r="D114" s="21">
        <v>31.34</v>
      </c>
      <c r="E114" s="21">
        <v>39.769989000000002</v>
      </c>
      <c r="F114" s="21">
        <v>25.903614000000001</v>
      </c>
      <c r="G114" s="21">
        <v>34.326396000000003</v>
      </c>
      <c r="H114" s="21">
        <v>1.0853139999999999</v>
      </c>
      <c r="I114" s="21">
        <v>0.11811199999999999</v>
      </c>
    </row>
    <row r="115" spans="1:9">
      <c r="A115" s="21" t="s">
        <v>39</v>
      </c>
      <c r="B115" s="21">
        <v>37.08</v>
      </c>
      <c r="C115" s="21">
        <v>23.46</v>
      </c>
      <c r="D115" s="21">
        <v>30.81</v>
      </c>
      <c r="E115" s="21">
        <v>40.591132999999999</v>
      </c>
      <c r="F115" s="21">
        <v>25.681445</v>
      </c>
      <c r="G115" s="21">
        <v>33.727421999999997</v>
      </c>
      <c r="H115" s="21">
        <v>1.107723</v>
      </c>
      <c r="I115" s="21">
        <v>0.14759700000000001</v>
      </c>
    </row>
    <row r="116" spans="1:9">
      <c r="A116" s="21" t="s">
        <v>40</v>
      </c>
      <c r="B116" s="21">
        <v>31.44</v>
      </c>
      <c r="C116" s="21">
        <v>28.33</v>
      </c>
      <c r="D116" s="21">
        <v>31.51</v>
      </c>
      <c r="E116" s="21">
        <v>34.443471000000002</v>
      </c>
      <c r="F116" s="21">
        <v>31.036372</v>
      </c>
      <c r="G116" s="21">
        <v>34.520158000000002</v>
      </c>
      <c r="H116" s="21">
        <v>0.93995399999999996</v>
      </c>
      <c r="I116" s="21">
        <v>-8.9337E-2</v>
      </c>
    </row>
    <row r="117" spans="1:9">
      <c r="A117" s="21" t="s">
        <v>41</v>
      </c>
      <c r="B117" s="21">
        <v>36.04</v>
      </c>
      <c r="C117" s="21">
        <v>24.16</v>
      </c>
      <c r="D117" s="21">
        <v>31.27</v>
      </c>
      <c r="E117" s="21">
        <v>39.400896000000003</v>
      </c>
      <c r="F117" s="21">
        <v>26.413032000000001</v>
      </c>
      <c r="G117" s="21">
        <v>34.186072000000003</v>
      </c>
      <c r="H117" s="21">
        <v>1.0752409999999999</v>
      </c>
      <c r="I117" s="21">
        <v>0.104661</v>
      </c>
    </row>
    <row r="118" spans="1:9">
      <c r="A118" s="21" t="s">
        <v>42</v>
      </c>
      <c r="B118" s="21">
        <v>28.75</v>
      </c>
      <c r="C118" s="21">
        <v>13.63</v>
      </c>
      <c r="D118" s="21">
        <v>44.65</v>
      </c>
      <c r="E118" s="21">
        <v>33.034585999999997</v>
      </c>
      <c r="F118" s="21">
        <v>15.661265999999999</v>
      </c>
      <c r="G118" s="21">
        <v>51.304147999999998</v>
      </c>
      <c r="H118" s="21">
        <v>0.90150600000000003</v>
      </c>
      <c r="I118" s="21">
        <v>-0.149591</v>
      </c>
    </row>
    <row r="119" spans="1:9">
      <c r="A119" s="21" t="s">
        <v>43</v>
      </c>
      <c r="B119" s="21">
        <v>28.9</v>
      </c>
      <c r="C119" s="21">
        <v>16.29</v>
      </c>
      <c r="D119" s="21">
        <v>42.47</v>
      </c>
      <c r="E119" s="21">
        <v>32.968286999999997</v>
      </c>
      <c r="F119" s="21">
        <v>18.583162000000002</v>
      </c>
      <c r="G119" s="21">
        <v>48.448551000000002</v>
      </c>
      <c r="H119" s="21">
        <v>0.89969699999999997</v>
      </c>
      <c r="I119" s="21">
        <v>-0.15248900000000001</v>
      </c>
    </row>
    <row r="120" spans="1:9">
      <c r="A120" s="21" t="s">
        <v>44</v>
      </c>
      <c r="B120" s="21">
        <v>37.200000000000003</v>
      </c>
      <c r="C120" s="21">
        <v>21.89</v>
      </c>
      <c r="D120" s="21">
        <v>32.04</v>
      </c>
      <c r="E120" s="21">
        <v>40.820805</v>
      </c>
      <c r="F120" s="21">
        <v>24.020630000000001</v>
      </c>
      <c r="G120" s="21">
        <v>35.158565000000003</v>
      </c>
      <c r="H120" s="21">
        <v>1.11399</v>
      </c>
      <c r="I120" s="21">
        <v>0.15573699999999999</v>
      </c>
    </row>
    <row r="121" spans="1:9">
      <c r="A121" s="21" t="s">
        <v>45</v>
      </c>
      <c r="B121" s="21">
        <v>34.01</v>
      </c>
      <c r="C121" s="21">
        <v>25.36</v>
      </c>
      <c r="D121" s="21">
        <v>31.74</v>
      </c>
      <c r="E121" s="21">
        <v>37.328504000000002</v>
      </c>
      <c r="F121" s="21">
        <v>27.834485999999998</v>
      </c>
      <c r="G121" s="21">
        <v>34.837009999999999</v>
      </c>
      <c r="H121" s="21">
        <v>1.018686</v>
      </c>
      <c r="I121" s="21">
        <v>2.6710000000000001E-2</v>
      </c>
    </row>
    <row r="122" spans="1:9">
      <c r="A122" s="21" t="s">
        <v>46</v>
      </c>
      <c r="B122" s="21">
        <v>35.32</v>
      </c>
      <c r="C122" s="21">
        <v>24.72</v>
      </c>
      <c r="D122" s="21">
        <v>30.84</v>
      </c>
      <c r="E122" s="21">
        <v>38.864437000000002</v>
      </c>
      <c r="F122" s="21">
        <v>27.200704000000002</v>
      </c>
      <c r="G122" s="21">
        <v>33.934859000000003</v>
      </c>
      <c r="H122" s="21">
        <v>1.060602</v>
      </c>
      <c r="I122" s="21">
        <v>8.4883E-2</v>
      </c>
    </row>
    <row r="123" spans="1:9">
      <c r="A123" s="21" t="s">
        <v>47</v>
      </c>
      <c r="B123" s="21">
        <v>37.78</v>
      </c>
      <c r="C123" s="21">
        <v>21.53</v>
      </c>
      <c r="D123" s="21">
        <v>31.84</v>
      </c>
      <c r="E123" s="21">
        <v>41.448162000000004</v>
      </c>
      <c r="F123" s="21">
        <v>23.620405999999999</v>
      </c>
      <c r="G123" s="21">
        <v>34.931432000000001</v>
      </c>
      <c r="H123" s="21">
        <v>1.131111</v>
      </c>
      <c r="I123" s="21">
        <v>0.17774000000000001</v>
      </c>
    </row>
    <row r="124" spans="1:9">
      <c r="A124" s="21" t="s">
        <v>48</v>
      </c>
      <c r="B124" s="21">
        <v>36.65</v>
      </c>
      <c r="C124" s="21">
        <v>24.09</v>
      </c>
      <c r="D124" s="21">
        <v>30.62</v>
      </c>
      <c r="E124" s="21">
        <v>40.116025</v>
      </c>
      <c r="F124" s="21">
        <v>26.368213999999998</v>
      </c>
      <c r="G124" s="21">
        <v>33.515762000000002</v>
      </c>
      <c r="H124" s="21">
        <v>1.094757</v>
      </c>
      <c r="I124" s="21">
        <v>0.130611</v>
      </c>
    </row>
    <row r="125" spans="1:9">
      <c r="A125" s="21" t="s">
        <v>49</v>
      </c>
      <c r="B125" s="21">
        <v>37.76</v>
      </c>
      <c r="C125" s="21">
        <v>21.91</v>
      </c>
      <c r="D125" s="21">
        <v>31.64</v>
      </c>
      <c r="E125" s="21">
        <v>41.353630000000003</v>
      </c>
      <c r="F125" s="21">
        <v>23.995180999999999</v>
      </c>
      <c r="G125" s="21">
        <v>34.651187999999998</v>
      </c>
      <c r="H125" s="21">
        <v>1.128531</v>
      </c>
      <c r="I125" s="21">
        <v>0.17444599999999999</v>
      </c>
    </row>
    <row r="126" spans="1:9">
      <c r="A126" s="21" t="s">
        <v>50</v>
      </c>
      <c r="B126" s="21">
        <v>37.49</v>
      </c>
      <c r="C126" s="21">
        <v>23.67</v>
      </c>
      <c r="D126" s="21">
        <v>30.1</v>
      </c>
      <c r="E126" s="21">
        <v>41.08043</v>
      </c>
      <c r="F126" s="21">
        <v>25.936883999999999</v>
      </c>
      <c r="G126" s="21">
        <v>32.982686999999999</v>
      </c>
      <c r="H126" s="21">
        <v>1.121076</v>
      </c>
      <c r="I126" s="21">
        <v>0.164883</v>
      </c>
    </row>
    <row r="127" spans="1:9">
      <c r="A127" s="21" t="s">
        <v>51</v>
      </c>
      <c r="B127" s="21">
        <v>37.9</v>
      </c>
      <c r="C127" s="21">
        <v>24.16</v>
      </c>
      <c r="D127" s="21">
        <v>29.43</v>
      </c>
      <c r="E127" s="21">
        <v>41.425291999999999</v>
      </c>
      <c r="F127" s="21">
        <v>26.407257999999999</v>
      </c>
      <c r="G127" s="21">
        <v>32.167450000000002</v>
      </c>
      <c r="H127" s="21">
        <v>1.130487</v>
      </c>
      <c r="I127" s="21">
        <v>0.17694399999999999</v>
      </c>
    </row>
    <row r="128" spans="1:9">
      <c r="A128" s="21" t="s">
        <v>32</v>
      </c>
      <c r="B128" s="21">
        <v>35.979999999999997</v>
      </c>
      <c r="C128" s="21">
        <v>25.46</v>
      </c>
      <c r="D128" s="21">
        <v>29.93</v>
      </c>
      <c r="E128" s="21">
        <v>39.378352</v>
      </c>
      <c r="F128" s="21">
        <v>27.864726000000001</v>
      </c>
      <c r="G128" s="21">
        <v>32.756922000000003</v>
      </c>
      <c r="H128" s="21">
        <v>1.0746260000000001</v>
      </c>
      <c r="I128" s="21">
        <v>0.103835</v>
      </c>
    </row>
    <row r="130" spans="1:9">
      <c r="A130" s="21" t="s">
        <v>33</v>
      </c>
      <c r="B130" s="21">
        <v>25.95</v>
      </c>
      <c r="C130" s="21">
        <v>22.5</v>
      </c>
      <c r="D130" s="21">
        <v>41.22</v>
      </c>
      <c r="E130" s="21">
        <v>28.939444999999999</v>
      </c>
      <c r="F130" s="21">
        <v>25.092003999999999</v>
      </c>
      <c r="G130" s="21">
        <v>45.968550999999998</v>
      </c>
      <c r="H130" s="21">
        <v>1.285207</v>
      </c>
      <c r="I130" s="21">
        <v>0.36200100000000002</v>
      </c>
    </row>
    <row r="131" spans="1:9">
      <c r="A131" s="21" t="s">
        <v>34</v>
      </c>
      <c r="B131" s="21">
        <v>25.68</v>
      </c>
      <c r="C131" s="21">
        <v>21.35</v>
      </c>
      <c r="D131" s="21">
        <v>42.16</v>
      </c>
      <c r="E131" s="21">
        <v>28.792466000000001</v>
      </c>
      <c r="F131" s="21">
        <v>23.937660999999999</v>
      </c>
      <c r="G131" s="21">
        <v>47.269872999999997</v>
      </c>
      <c r="H131" s="21">
        <v>1.27868</v>
      </c>
      <c r="I131" s="21">
        <v>0.354655</v>
      </c>
    </row>
    <row r="132" spans="1:9">
      <c r="A132" s="21" t="s">
        <v>35</v>
      </c>
      <c r="B132" s="21">
        <v>24.35</v>
      </c>
      <c r="C132" s="21">
        <v>26.95</v>
      </c>
      <c r="D132" s="21">
        <v>38.31</v>
      </c>
      <c r="E132" s="21">
        <v>27.173307000000001</v>
      </c>
      <c r="F132" s="21">
        <v>30.074767999999999</v>
      </c>
      <c r="G132" s="21">
        <v>42.751925</v>
      </c>
      <c r="H132" s="21">
        <v>1.2067730000000001</v>
      </c>
      <c r="I132" s="21">
        <v>0.27115400000000001</v>
      </c>
    </row>
    <row r="133" spans="1:9">
      <c r="A133" s="21" t="s">
        <v>36</v>
      </c>
      <c r="B133" s="21">
        <v>26.67</v>
      </c>
      <c r="C133" s="21">
        <v>27.01</v>
      </c>
      <c r="D133" s="21">
        <v>36.83</v>
      </c>
      <c r="E133" s="21">
        <v>29.466356999999999</v>
      </c>
      <c r="F133" s="21">
        <v>29.842006000000001</v>
      </c>
      <c r="G133" s="21">
        <v>40.691636000000003</v>
      </c>
      <c r="H133" s="21">
        <v>1.308608</v>
      </c>
      <c r="I133" s="21">
        <v>0.38803300000000002</v>
      </c>
    </row>
    <row r="134" spans="1:9">
      <c r="A134" s="21" t="s">
        <v>37</v>
      </c>
      <c r="B134" s="21">
        <v>19.77</v>
      </c>
      <c r="C134" s="21">
        <v>21.69</v>
      </c>
      <c r="D134" s="21">
        <v>46.45</v>
      </c>
      <c r="E134" s="21">
        <v>22.488909</v>
      </c>
      <c r="F134" s="21">
        <v>24.672961000000001</v>
      </c>
      <c r="G134" s="21">
        <v>52.83813</v>
      </c>
      <c r="H134" s="21">
        <v>0.99873800000000001</v>
      </c>
      <c r="I134" s="21">
        <v>-1.8220000000000001E-3</v>
      </c>
    </row>
    <row r="135" spans="1:9">
      <c r="A135" s="21" t="s">
        <v>38</v>
      </c>
      <c r="B135" s="21">
        <v>22.66</v>
      </c>
      <c r="C135" s="21">
        <v>20.22</v>
      </c>
      <c r="D135" s="21">
        <v>45.23</v>
      </c>
      <c r="E135" s="21">
        <v>25.717853000000002</v>
      </c>
      <c r="F135" s="21">
        <v>22.948587</v>
      </c>
      <c r="G135" s="21">
        <v>51.333559999999999</v>
      </c>
      <c r="H135" s="21">
        <v>1.142136</v>
      </c>
      <c r="I135" s="21">
        <v>0.19173399999999999</v>
      </c>
    </row>
    <row r="136" spans="1:9">
      <c r="A136" s="21" t="s">
        <v>39</v>
      </c>
      <c r="B136" s="21">
        <v>24.61</v>
      </c>
      <c r="C136" s="21">
        <v>22.73</v>
      </c>
      <c r="D136" s="21">
        <v>41.97</v>
      </c>
      <c r="E136" s="21">
        <v>27.555705</v>
      </c>
      <c r="F136" s="21">
        <v>25.450676999999999</v>
      </c>
      <c r="G136" s="21">
        <v>46.993617999999998</v>
      </c>
      <c r="H136" s="21">
        <v>1.2237549999999999</v>
      </c>
      <c r="I136" s="21">
        <v>0.29131499999999999</v>
      </c>
    </row>
    <row r="137" spans="1:9">
      <c r="A137" s="21" t="s">
        <v>40</v>
      </c>
      <c r="B137" s="21">
        <v>18.21</v>
      </c>
      <c r="C137" s="21">
        <v>24.55</v>
      </c>
      <c r="D137" s="21">
        <v>45.86</v>
      </c>
      <c r="E137" s="21">
        <v>20.548408999999999</v>
      </c>
      <c r="F137" s="21">
        <v>27.702549999999999</v>
      </c>
      <c r="G137" s="21">
        <v>51.749040999999998</v>
      </c>
      <c r="H137" s="21">
        <v>0.91256000000000004</v>
      </c>
      <c r="I137" s="21">
        <v>-0.13200899999999999</v>
      </c>
    </row>
    <row r="138" spans="1:9">
      <c r="A138" s="21" t="s">
        <v>41</v>
      </c>
      <c r="B138" s="21">
        <v>24.32</v>
      </c>
      <c r="C138" s="21">
        <v>24.53</v>
      </c>
      <c r="D138" s="21">
        <v>40.409999999999997</v>
      </c>
      <c r="E138" s="21">
        <v>27.246247</v>
      </c>
      <c r="F138" s="21">
        <v>27.481515000000002</v>
      </c>
      <c r="G138" s="21">
        <v>45.272238000000002</v>
      </c>
      <c r="H138" s="21">
        <v>1.2100120000000001</v>
      </c>
      <c r="I138" s="21">
        <v>0.27502199999999999</v>
      </c>
    </row>
    <row r="139" spans="1:9">
      <c r="A139" s="21" t="s">
        <v>42</v>
      </c>
      <c r="B139" s="21">
        <v>17.18</v>
      </c>
      <c r="C139" s="21">
        <v>13.17</v>
      </c>
      <c r="D139" s="21">
        <v>53.82</v>
      </c>
      <c r="E139" s="21">
        <v>20.411072999999998</v>
      </c>
      <c r="F139" s="21">
        <v>15.646905</v>
      </c>
      <c r="G139" s="21">
        <v>63.942022000000001</v>
      </c>
      <c r="H139" s="21">
        <v>0.90646099999999996</v>
      </c>
      <c r="I139" s="21">
        <v>-0.141684</v>
      </c>
    </row>
    <row r="140" spans="1:9">
      <c r="A140" s="21" t="s">
        <v>43</v>
      </c>
      <c r="B140" s="21">
        <v>19.329999999999998</v>
      </c>
      <c r="C140" s="21">
        <v>15.92</v>
      </c>
      <c r="D140" s="21">
        <v>51.18</v>
      </c>
      <c r="E140" s="21">
        <v>22.364920000000001</v>
      </c>
      <c r="F140" s="21">
        <v>18.419530000000002</v>
      </c>
      <c r="G140" s="21">
        <v>59.21555</v>
      </c>
      <c r="H140" s="21">
        <v>0.99323099999999998</v>
      </c>
      <c r="I140" s="21">
        <v>-9.7979999999999994E-3</v>
      </c>
    </row>
    <row r="141" spans="1:9">
      <c r="A141" s="21" t="s">
        <v>44</v>
      </c>
      <c r="B141" s="21">
        <v>23.56</v>
      </c>
      <c r="C141" s="21">
        <v>20.86</v>
      </c>
      <c r="D141" s="21">
        <v>43.62</v>
      </c>
      <c r="E141" s="21">
        <v>26.760563000000001</v>
      </c>
      <c r="F141" s="21">
        <v>23.693776</v>
      </c>
      <c r="G141" s="21">
        <v>49.545661000000003</v>
      </c>
      <c r="H141" s="21">
        <v>1.1884429999999999</v>
      </c>
      <c r="I141" s="21">
        <v>0.24907299999999999</v>
      </c>
    </row>
    <row r="142" spans="1:9">
      <c r="A142" s="21" t="s">
        <v>45</v>
      </c>
      <c r="B142" s="21">
        <v>23.02</v>
      </c>
      <c r="C142" s="21">
        <v>22.15</v>
      </c>
      <c r="D142" s="21">
        <v>43.53</v>
      </c>
      <c r="E142" s="21">
        <v>25.952649000000001</v>
      </c>
      <c r="F142" s="21">
        <v>24.971814999999999</v>
      </c>
      <c r="G142" s="21">
        <v>49.075536</v>
      </c>
      <c r="H142" s="21">
        <v>1.152563</v>
      </c>
      <c r="I142" s="21">
        <v>0.204846</v>
      </c>
    </row>
    <row r="143" spans="1:9">
      <c r="A143" s="21" t="s">
        <v>46</v>
      </c>
      <c r="B143" s="21">
        <v>23.67</v>
      </c>
      <c r="C143" s="21">
        <v>21.48</v>
      </c>
      <c r="D143" s="21">
        <v>43.68</v>
      </c>
      <c r="E143" s="21">
        <v>26.646402999999999</v>
      </c>
      <c r="F143" s="21">
        <v>24.18102</v>
      </c>
      <c r="G143" s="21">
        <v>49.172576999999997</v>
      </c>
      <c r="H143" s="21">
        <v>1.183373</v>
      </c>
      <c r="I143" s="21">
        <v>0.24290500000000001</v>
      </c>
    </row>
    <row r="144" spans="1:9">
      <c r="A144" s="21" t="s">
        <v>47</v>
      </c>
      <c r="B144" s="21">
        <v>25.82</v>
      </c>
      <c r="C144" s="21">
        <v>20.09</v>
      </c>
      <c r="D144" s="21">
        <v>42.65</v>
      </c>
      <c r="E144" s="21">
        <v>29.155374999999999</v>
      </c>
      <c r="F144" s="21">
        <v>22.685185000000001</v>
      </c>
      <c r="G144" s="21">
        <v>48.159439999999996</v>
      </c>
      <c r="H144" s="21">
        <v>1.294797</v>
      </c>
      <c r="I144" s="21">
        <v>0.372726</v>
      </c>
    </row>
    <row r="145" spans="1:9">
      <c r="A145" s="21" t="s">
        <v>48</v>
      </c>
      <c r="B145" s="21">
        <v>23.42</v>
      </c>
      <c r="C145" s="21">
        <v>21.87</v>
      </c>
      <c r="D145" s="21">
        <v>43.11</v>
      </c>
      <c r="E145" s="21">
        <v>26.493213000000001</v>
      </c>
      <c r="F145" s="21">
        <v>24.739819000000001</v>
      </c>
      <c r="G145" s="21">
        <v>48.766967999999999</v>
      </c>
      <c r="H145" s="21">
        <v>1.1765699999999999</v>
      </c>
      <c r="I145" s="21">
        <v>0.23458699999999999</v>
      </c>
    </row>
    <row r="146" spans="1:9">
      <c r="A146" s="21" t="s">
        <v>49</v>
      </c>
      <c r="B146" s="21">
        <v>21.04</v>
      </c>
      <c r="C146" s="21">
        <v>22.08</v>
      </c>
      <c r="D146" s="21">
        <v>44.32</v>
      </c>
      <c r="E146" s="21">
        <v>24.062214000000001</v>
      </c>
      <c r="F146" s="21">
        <v>25.251601000000001</v>
      </c>
      <c r="G146" s="21">
        <v>50.686185000000002</v>
      </c>
      <c r="H146" s="21">
        <v>1.0686089999999999</v>
      </c>
      <c r="I146" s="21">
        <v>9.5732999999999999E-2</v>
      </c>
    </row>
    <row r="147" spans="1:9">
      <c r="A147" s="21" t="s">
        <v>50</v>
      </c>
      <c r="B147" s="21">
        <v>25.79</v>
      </c>
      <c r="C147" s="21">
        <v>21.21</v>
      </c>
      <c r="D147" s="21">
        <v>41.81</v>
      </c>
      <c r="E147" s="21">
        <v>29.039522999999999</v>
      </c>
      <c r="F147" s="21">
        <v>23.882446000000002</v>
      </c>
      <c r="G147" s="21">
        <v>47.078032</v>
      </c>
      <c r="H147" s="21">
        <v>1.289652</v>
      </c>
      <c r="I147" s="21">
        <v>0.36698199999999997</v>
      </c>
    </row>
    <row r="148" spans="1:9">
      <c r="A148" s="21" t="s">
        <v>51</v>
      </c>
      <c r="B148" s="21">
        <v>25.88</v>
      </c>
      <c r="C148" s="21">
        <v>21.89</v>
      </c>
      <c r="D148" s="21">
        <v>41.16</v>
      </c>
      <c r="E148" s="21">
        <v>29.101541000000001</v>
      </c>
      <c r="F148" s="21">
        <v>24.614865999999999</v>
      </c>
      <c r="G148" s="21">
        <v>46.283594000000001</v>
      </c>
      <c r="H148" s="21">
        <v>1.2924059999999999</v>
      </c>
      <c r="I148" s="21">
        <v>0.37006</v>
      </c>
    </row>
    <row r="149" spans="1:9">
      <c r="A149" s="21" t="s">
        <v>32</v>
      </c>
      <c r="B149" s="21">
        <v>19.25</v>
      </c>
      <c r="C149" s="21">
        <v>24.51</v>
      </c>
      <c r="D149" s="21">
        <v>44.97</v>
      </c>
      <c r="E149" s="21">
        <v>21.695029999999999</v>
      </c>
      <c r="F149" s="21">
        <v>27.623125999999999</v>
      </c>
      <c r="G149" s="21">
        <v>50.681843999999998</v>
      </c>
      <c r="H149" s="21">
        <v>0.96348100000000003</v>
      </c>
      <c r="I149" s="21">
        <v>-5.3671000000000003E-2</v>
      </c>
    </row>
    <row r="151" spans="1:9">
      <c r="A151" s="21" t="s">
        <v>33</v>
      </c>
      <c r="B151" s="21">
        <v>40.42</v>
      </c>
      <c r="C151" s="21">
        <v>25.31</v>
      </c>
      <c r="D151" s="21">
        <v>26.08</v>
      </c>
      <c r="E151" s="21">
        <v>44.025705000000002</v>
      </c>
      <c r="F151" s="21">
        <v>27.567803000000001</v>
      </c>
      <c r="G151" s="21">
        <v>28.406492</v>
      </c>
      <c r="H151" s="21">
        <v>1.3204579999999999</v>
      </c>
      <c r="I151" s="21">
        <v>0.40103899999999998</v>
      </c>
    </row>
    <row r="152" spans="1:9">
      <c r="A152" s="21" t="s">
        <v>34</v>
      </c>
      <c r="B152" s="21">
        <v>38.049999999999997</v>
      </c>
      <c r="C152" s="21">
        <v>24.67</v>
      </c>
      <c r="D152" s="21">
        <v>29.27</v>
      </c>
      <c r="E152" s="21">
        <v>41.363191999999998</v>
      </c>
      <c r="F152" s="21">
        <v>26.818131999999999</v>
      </c>
      <c r="G152" s="21">
        <v>31.818676</v>
      </c>
      <c r="H152" s="21">
        <v>1.240602</v>
      </c>
      <c r="I152" s="21">
        <v>0.31103999999999998</v>
      </c>
    </row>
    <row r="153" spans="1:9">
      <c r="A153" s="21" t="s">
        <v>35</v>
      </c>
      <c r="B153" s="21">
        <v>32.82</v>
      </c>
      <c r="C153" s="21">
        <v>28.86</v>
      </c>
      <c r="D153" s="21">
        <v>29.74</v>
      </c>
      <c r="E153" s="21">
        <v>35.900241000000001</v>
      </c>
      <c r="F153" s="21">
        <v>31.568584999999999</v>
      </c>
      <c r="G153" s="21">
        <v>32.531174999999998</v>
      </c>
      <c r="H153" s="21">
        <v>1.0767519999999999</v>
      </c>
      <c r="I153" s="21">
        <v>0.106686</v>
      </c>
    </row>
    <row r="154" spans="1:9">
      <c r="A154" s="21" t="s">
        <v>36</v>
      </c>
      <c r="B154" s="21">
        <v>35.9</v>
      </c>
      <c r="C154" s="21">
        <v>28.56</v>
      </c>
      <c r="D154" s="21">
        <v>27.3</v>
      </c>
      <c r="E154" s="21">
        <v>39.123801</v>
      </c>
      <c r="F154" s="21">
        <v>31.124673000000001</v>
      </c>
      <c r="G154" s="21">
        <v>29.751525999999998</v>
      </c>
      <c r="H154" s="21">
        <v>1.1734359999999999</v>
      </c>
      <c r="I154" s="21">
        <v>0.230739</v>
      </c>
    </row>
    <row r="155" spans="1:9">
      <c r="A155" s="21" t="s">
        <v>37</v>
      </c>
      <c r="B155" s="21">
        <v>34.56</v>
      </c>
      <c r="C155" s="21">
        <v>29.99</v>
      </c>
      <c r="D155" s="21">
        <v>27.62</v>
      </c>
      <c r="E155" s="21">
        <v>37.495930999999999</v>
      </c>
      <c r="F155" s="21">
        <v>32.537702000000003</v>
      </c>
      <c r="G155" s="21">
        <v>29.966366000000001</v>
      </c>
      <c r="H155" s="21">
        <v>1.1246119999999999</v>
      </c>
      <c r="I155" s="21">
        <v>0.16942699999999999</v>
      </c>
    </row>
    <row r="156" spans="1:9">
      <c r="A156" s="21" t="s">
        <v>38</v>
      </c>
      <c r="B156" s="21">
        <v>35.86</v>
      </c>
      <c r="C156" s="21">
        <v>28.38</v>
      </c>
      <c r="D156" s="21">
        <v>27.94</v>
      </c>
      <c r="E156" s="21">
        <v>38.902147999999997</v>
      </c>
      <c r="F156" s="21">
        <v>30.787589000000001</v>
      </c>
      <c r="G156" s="21">
        <v>30.310262999999999</v>
      </c>
      <c r="H156" s="21">
        <v>1.1667879999999999</v>
      </c>
      <c r="I156" s="21">
        <v>0.22254199999999999</v>
      </c>
    </row>
    <row r="157" spans="1:9">
      <c r="A157" s="21" t="s">
        <v>39</v>
      </c>
      <c r="B157" s="21">
        <v>36.630000000000003</v>
      </c>
      <c r="C157" s="21">
        <v>28.49</v>
      </c>
      <c r="D157" s="21">
        <v>27.05</v>
      </c>
      <c r="E157" s="21">
        <v>39.741781000000003</v>
      </c>
      <c r="F157" s="21">
        <v>30.910274000000001</v>
      </c>
      <c r="G157" s="21">
        <v>29.347943999999998</v>
      </c>
      <c r="H157" s="21">
        <v>1.1919709999999999</v>
      </c>
      <c r="I157" s="21">
        <v>0.25334899999999999</v>
      </c>
    </row>
    <row r="158" spans="1:9">
      <c r="A158" s="21" t="s">
        <v>40</v>
      </c>
      <c r="B158" s="21">
        <v>29.54</v>
      </c>
      <c r="C158" s="21">
        <v>31.98</v>
      </c>
      <c r="D158" s="21">
        <v>30.55</v>
      </c>
      <c r="E158" s="21">
        <v>32.084283999999997</v>
      </c>
      <c r="F158" s="21">
        <v>34.734440999999997</v>
      </c>
      <c r="G158" s="21">
        <v>33.181274999999999</v>
      </c>
      <c r="H158" s="21">
        <v>0.96230099999999996</v>
      </c>
      <c r="I158" s="21">
        <v>-5.5440999999999997E-2</v>
      </c>
    </row>
    <row r="159" spans="1:9">
      <c r="A159" s="21" t="s">
        <v>41</v>
      </c>
      <c r="B159" s="21">
        <v>35.909999999999997</v>
      </c>
      <c r="C159" s="21">
        <v>28.23</v>
      </c>
      <c r="D159" s="21">
        <v>27.72</v>
      </c>
      <c r="E159" s="21">
        <v>39.092097000000003</v>
      </c>
      <c r="F159" s="21">
        <v>30.731548</v>
      </c>
      <c r="G159" s="21">
        <v>30.176355000000001</v>
      </c>
      <c r="H159" s="21">
        <v>1.172485</v>
      </c>
      <c r="I159" s="21">
        <v>0.22957</v>
      </c>
    </row>
    <row r="160" spans="1:9">
      <c r="A160" s="21" t="s">
        <v>42</v>
      </c>
      <c r="B160" s="21">
        <v>29.42</v>
      </c>
      <c r="C160" s="21">
        <v>17.760000000000002</v>
      </c>
      <c r="D160" s="21">
        <v>41.5</v>
      </c>
      <c r="E160" s="21">
        <v>33.175462000000003</v>
      </c>
      <c r="F160" s="21">
        <v>20.027063999999999</v>
      </c>
      <c r="G160" s="21">
        <v>46.797474000000001</v>
      </c>
      <c r="H160" s="21">
        <v>0.99502800000000002</v>
      </c>
      <c r="I160" s="21">
        <v>-7.1910000000000003E-3</v>
      </c>
    </row>
    <row r="161" spans="1:9">
      <c r="A161" s="21" t="s">
        <v>43</v>
      </c>
      <c r="B161" s="21">
        <v>29.99</v>
      </c>
      <c r="C161" s="21">
        <v>20.67</v>
      </c>
      <c r="D161" s="21">
        <v>38.86</v>
      </c>
      <c r="E161" s="21">
        <v>33.500894000000002</v>
      </c>
      <c r="F161" s="21">
        <v>23.089811999999998</v>
      </c>
      <c r="G161" s="21">
        <v>43.409294000000003</v>
      </c>
      <c r="H161" s="21">
        <v>1.0047889999999999</v>
      </c>
      <c r="I161" s="21">
        <v>6.8919999999999997E-3</v>
      </c>
    </row>
    <row r="162" spans="1:9">
      <c r="A162" s="21" t="s">
        <v>44</v>
      </c>
      <c r="B162" s="21">
        <v>35.590000000000003</v>
      </c>
      <c r="C162" s="21">
        <v>29.15</v>
      </c>
      <c r="D162" s="21">
        <v>26.45</v>
      </c>
      <c r="E162" s="21">
        <v>39.028402</v>
      </c>
      <c r="F162" s="21">
        <v>31.966224</v>
      </c>
      <c r="G162" s="21">
        <v>29.005372999999999</v>
      </c>
      <c r="H162" s="21">
        <v>1.1705749999999999</v>
      </c>
      <c r="I162" s="21">
        <v>0.227217</v>
      </c>
    </row>
    <row r="163" spans="1:9">
      <c r="A163" s="21" t="s">
        <v>45</v>
      </c>
      <c r="B163" s="21">
        <v>35.35</v>
      </c>
      <c r="C163" s="21">
        <v>31.04</v>
      </c>
      <c r="D163" s="21">
        <v>25.94</v>
      </c>
      <c r="E163" s="21">
        <v>38.286580999999998</v>
      </c>
      <c r="F163" s="21">
        <v>33.618541999999998</v>
      </c>
      <c r="G163" s="21">
        <v>28.094877</v>
      </c>
      <c r="H163" s="21">
        <v>1.148325</v>
      </c>
      <c r="I163" s="21">
        <v>0.19953099999999999</v>
      </c>
    </row>
    <row r="164" spans="1:9">
      <c r="A164" s="21" t="s">
        <v>46</v>
      </c>
      <c r="B164" s="21">
        <v>37.6</v>
      </c>
      <c r="C164" s="21">
        <v>29.45</v>
      </c>
      <c r="D164" s="21">
        <v>25.66</v>
      </c>
      <c r="E164" s="21">
        <v>40.556573999999998</v>
      </c>
      <c r="F164" s="21">
        <v>31.765720999999999</v>
      </c>
      <c r="G164" s="21">
        <v>27.677705</v>
      </c>
      <c r="H164" s="21">
        <v>1.2164090000000001</v>
      </c>
      <c r="I164" s="21">
        <v>0.28262799999999999</v>
      </c>
    </row>
    <row r="165" spans="1:9">
      <c r="A165" s="21" t="s">
        <v>47</v>
      </c>
      <c r="B165" s="21">
        <v>41.78</v>
      </c>
      <c r="C165" s="21">
        <v>24.54</v>
      </c>
      <c r="D165" s="21">
        <v>25.61</v>
      </c>
      <c r="E165" s="21">
        <v>45.447623</v>
      </c>
      <c r="F165" s="21">
        <v>26.694223999999998</v>
      </c>
      <c r="G165" s="21">
        <v>27.858153000000001</v>
      </c>
      <c r="H165" s="21">
        <v>1.3631059999999999</v>
      </c>
      <c r="I165" s="21">
        <v>0.44689800000000002</v>
      </c>
    </row>
    <row r="166" spans="1:9">
      <c r="A166" s="21" t="s">
        <v>48</v>
      </c>
      <c r="B166" s="21">
        <v>34.82</v>
      </c>
      <c r="C166" s="21">
        <v>23.08</v>
      </c>
      <c r="D166" s="21">
        <v>32.619999999999997</v>
      </c>
      <c r="E166" s="21">
        <v>38.466636999999999</v>
      </c>
      <c r="F166" s="21">
        <v>25.497128</v>
      </c>
      <c r="G166" s="21">
        <v>36.036234999999998</v>
      </c>
      <c r="H166" s="21">
        <v>1.153726</v>
      </c>
      <c r="I166" s="21">
        <v>0.20630000000000001</v>
      </c>
    </row>
    <row r="167" spans="1:9">
      <c r="A167" s="21" t="s">
        <v>49</v>
      </c>
      <c r="B167" s="21">
        <v>39.549999999999997</v>
      </c>
      <c r="C167" s="21">
        <v>26</v>
      </c>
      <c r="D167" s="21">
        <v>26.68</v>
      </c>
      <c r="E167" s="21">
        <v>42.881926</v>
      </c>
      <c r="F167" s="21">
        <v>28.190394000000001</v>
      </c>
      <c r="G167" s="21">
        <v>28.927681</v>
      </c>
      <c r="H167" s="21">
        <v>1.2861530000000001</v>
      </c>
      <c r="I167" s="21">
        <v>0.363062</v>
      </c>
    </row>
    <row r="168" spans="1:9">
      <c r="A168" s="21" t="s">
        <v>50</v>
      </c>
      <c r="B168" s="21">
        <v>39.32</v>
      </c>
      <c r="C168" s="21">
        <v>28.22</v>
      </c>
      <c r="D168" s="21">
        <v>24.33</v>
      </c>
      <c r="E168" s="21">
        <v>42.799607999999999</v>
      </c>
      <c r="F168" s="21">
        <v>30.717317999999999</v>
      </c>
      <c r="G168" s="21">
        <v>26.483073999999998</v>
      </c>
      <c r="H168" s="21">
        <v>1.283684</v>
      </c>
      <c r="I168" s="21">
        <v>0.36029</v>
      </c>
    </row>
    <row r="169" spans="1:9">
      <c r="A169" s="21" t="s">
        <v>51</v>
      </c>
      <c r="B169" s="21">
        <v>39.369999999999997</v>
      </c>
      <c r="C169" s="21">
        <v>26.69</v>
      </c>
      <c r="D169" s="21">
        <v>24.36</v>
      </c>
      <c r="E169" s="21">
        <v>43.541252</v>
      </c>
      <c r="F169" s="21">
        <v>29.517806</v>
      </c>
      <c r="G169" s="21">
        <v>26.940942</v>
      </c>
      <c r="H169" s="21">
        <v>1.305928</v>
      </c>
      <c r="I169" s="21">
        <v>0.38507599999999997</v>
      </c>
    </row>
    <row r="170" spans="1:9">
      <c r="A170" s="21" t="s">
        <v>32</v>
      </c>
      <c r="B170" s="21">
        <v>28.92</v>
      </c>
      <c r="C170" s="21">
        <v>29.78</v>
      </c>
      <c r="D170" s="21">
        <v>32.159999999999997</v>
      </c>
      <c r="E170" s="21">
        <v>31.829187999999998</v>
      </c>
      <c r="F170" s="21">
        <v>32.775699000000003</v>
      </c>
      <c r="G170" s="21">
        <v>35.395113000000002</v>
      </c>
      <c r="H170" s="21">
        <v>0.95464899999999997</v>
      </c>
      <c r="I170" s="21">
        <v>-6.6957000000000003E-2</v>
      </c>
    </row>
    <row r="172" spans="1:9">
      <c r="A172" s="21" t="s">
        <v>33</v>
      </c>
      <c r="B172" s="21">
        <v>39.54</v>
      </c>
      <c r="C172" s="21">
        <v>22.57</v>
      </c>
      <c r="D172" s="21">
        <v>30.55</v>
      </c>
      <c r="E172" s="21">
        <v>42.672134999999997</v>
      </c>
      <c r="F172" s="21">
        <v>24.357866999999999</v>
      </c>
      <c r="G172" s="21">
        <v>32.969997999999997</v>
      </c>
      <c r="H172" s="21">
        <v>1.136649</v>
      </c>
      <c r="I172" s="21">
        <v>0.18478700000000001</v>
      </c>
    </row>
    <row r="173" spans="1:9">
      <c r="A173" s="21" t="s">
        <v>34</v>
      </c>
      <c r="B173" s="21">
        <v>40.43</v>
      </c>
      <c r="C173" s="21">
        <v>25.06</v>
      </c>
      <c r="D173" s="21">
        <v>27.78</v>
      </c>
      <c r="E173" s="21">
        <v>43.347270999999999</v>
      </c>
      <c r="F173" s="21">
        <v>26.868231999999999</v>
      </c>
      <c r="G173" s="21">
        <v>29.784497000000002</v>
      </c>
      <c r="H173" s="21">
        <v>1.154633</v>
      </c>
      <c r="I173" s="21">
        <v>0.20743400000000001</v>
      </c>
    </row>
    <row r="174" spans="1:9">
      <c r="A174" s="21" t="s">
        <v>35</v>
      </c>
      <c r="B174" s="21">
        <v>35.79</v>
      </c>
      <c r="C174" s="21">
        <v>29.12</v>
      </c>
      <c r="D174" s="21">
        <v>28.12</v>
      </c>
      <c r="E174" s="21">
        <v>38.471460999999998</v>
      </c>
      <c r="F174" s="21">
        <v>31.301731</v>
      </c>
      <c r="G174" s="21">
        <v>30.226808999999999</v>
      </c>
      <c r="H174" s="21">
        <v>1.0247569999999999</v>
      </c>
      <c r="I174" s="21">
        <v>3.5281E-2</v>
      </c>
    </row>
    <row r="175" spans="1:9">
      <c r="A175" s="21" t="s">
        <v>36</v>
      </c>
      <c r="B175" s="21">
        <v>38.25</v>
      </c>
      <c r="C175" s="21">
        <v>25.73</v>
      </c>
      <c r="D175" s="21">
        <v>28.52</v>
      </c>
      <c r="E175" s="21">
        <v>41.351351000000001</v>
      </c>
      <c r="F175" s="21">
        <v>27.816216000000001</v>
      </c>
      <c r="G175" s="21">
        <v>30.832432000000001</v>
      </c>
      <c r="H175" s="21">
        <v>1.1014679999999999</v>
      </c>
      <c r="I175" s="21">
        <v>0.139427</v>
      </c>
    </row>
    <row r="176" spans="1:9">
      <c r="A176" s="21" t="s">
        <v>37</v>
      </c>
      <c r="B176" s="21">
        <v>35.79</v>
      </c>
      <c r="C176" s="21">
        <v>29.91</v>
      </c>
      <c r="D176" s="21">
        <v>26.95</v>
      </c>
      <c r="E176" s="21">
        <v>38.629249999999999</v>
      </c>
      <c r="F176" s="21">
        <v>32.282784999999997</v>
      </c>
      <c r="G176" s="21">
        <v>29.087965000000001</v>
      </c>
      <c r="H176" s="21">
        <v>1.0289600000000001</v>
      </c>
      <c r="I176" s="21">
        <v>4.1186E-2</v>
      </c>
    </row>
    <row r="177" spans="1:9">
      <c r="A177" s="21" t="s">
        <v>38</v>
      </c>
      <c r="B177" s="21">
        <v>39.17</v>
      </c>
      <c r="C177" s="21">
        <v>25.62</v>
      </c>
      <c r="D177" s="21">
        <v>27.94</v>
      </c>
      <c r="E177" s="21">
        <v>42.240913999999997</v>
      </c>
      <c r="F177" s="21">
        <v>27.628599000000001</v>
      </c>
      <c r="G177" s="21">
        <v>30.130486000000001</v>
      </c>
      <c r="H177" s="21">
        <v>1.1251629999999999</v>
      </c>
      <c r="I177" s="21">
        <v>0.17013400000000001</v>
      </c>
    </row>
    <row r="178" spans="1:9">
      <c r="A178" s="21" t="s">
        <v>39</v>
      </c>
      <c r="B178" s="21">
        <v>37.979999999999997</v>
      </c>
      <c r="C178" s="21">
        <v>27.19</v>
      </c>
      <c r="D178" s="21">
        <v>27.83</v>
      </c>
      <c r="E178" s="21">
        <v>40.838709999999999</v>
      </c>
      <c r="F178" s="21">
        <v>29.236559</v>
      </c>
      <c r="G178" s="21">
        <v>29.924731000000001</v>
      </c>
      <c r="H178" s="21">
        <v>1.087812</v>
      </c>
      <c r="I178" s="21">
        <v>0.12143</v>
      </c>
    </row>
    <row r="179" spans="1:9">
      <c r="A179" s="21" t="s">
        <v>40</v>
      </c>
      <c r="B179" s="21">
        <v>31.11</v>
      </c>
      <c r="C179" s="21">
        <v>27.98</v>
      </c>
      <c r="D179" s="21">
        <v>32.700000000000003</v>
      </c>
      <c r="E179" s="21">
        <v>33.892581</v>
      </c>
      <c r="F179" s="21">
        <v>30.482623</v>
      </c>
      <c r="G179" s="21">
        <v>35.624796000000003</v>
      </c>
      <c r="H179" s="21">
        <v>0.90278999999999998</v>
      </c>
      <c r="I179" s="21">
        <v>-0.147538</v>
      </c>
    </row>
    <row r="180" spans="1:9">
      <c r="A180" s="21" t="s">
        <v>41</v>
      </c>
      <c r="B180" s="21">
        <v>38.35</v>
      </c>
      <c r="C180" s="21">
        <v>30.5</v>
      </c>
      <c r="D180" s="21">
        <v>24.46</v>
      </c>
      <c r="E180" s="21">
        <v>41.099561000000001</v>
      </c>
      <c r="F180" s="21">
        <v>32.686743</v>
      </c>
      <c r="G180" s="21">
        <v>26.213695999999999</v>
      </c>
      <c r="H180" s="21">
        <v>1.0947610000000001</v>
      </c>
      <c r="I180" s="21">
        <v>0.13061600000000001</v>
      </c>
    </row>
    <row r="181" spans="1:9">
      <c r="A181" s="21" t="s">
        <v>42</v>
      </c>
      <c r="B181" s="21">
        <v>30.56</v>
      </c>
      <c r="C181" s="21">
        <v>18.96</v>
      </c>
      <c r="D181" s="21">
        <v>41.1</v>
      </c>
      <c r="E181" s="21">
        <v>33.723239999999997</v>
      </c>
      <c r="F181" s="21">
        <v>20.922533999999999</v>
      </c>
      <c r="G181" s="21">
        <v>45.354225999999997</v>
      </c>
      <c r="H181" s="21">
        <v>0.89827900000000005</v>
      </c>
      <c r="I181" s="21">
        <v>-0.15476400000000001</v>
      </c>
    </row>
    <row r="182" spans="1:9">
      <c r="A182" s="21" t="s">
        <v>43</v>
      </c>
      <c r="B182" s="21">
        <v>33.130000000000003</v>
      </c>
      <c r="C182" s="21">
        <v>20.66</v>
      </c>
      <c r="D182" s="21">
        <v>37.83</v>
      </c>
      <c r="E182" s="21">
        <v>36.160226999999999</v>
      </c>
      <c r="F182" s="21">
        <v>22.549662000000001</v>
      </c>
      <c r="G182" s="21">
        <v>41.290111000000003</v>
      </c>
      <c r="H182" s="21">
        <v>0.96319299999999997</v>
      </c>
      <c r="I182" s="21">
        <v>-5.4103999999999999E-2</v>
      </c>
    </row>
    <row r="183" spans="1:9">
      <c r="A183" s="21" t="s">
        <v>44</v>
      </c>
      <c r="B183" s="21">
        <v>38.159999999999997</v>
      </c>
      <c r="C183" s="21">
        <v>28.22</v>
      </c>
      <c r="D183" s="21">
        <v>26.39</v>
      </c>
      <c r="E183" s="21">
        <v>41.133986999999998</v>
      </c>
      <c r="F183" s="21">
        <v>30.419316999999999</v>
      </c>
      <c r="G183" s="21">
        <v>28.446695999999999</v>
      </c>
      <c r="H183" s="21">
        <v>1.0956779999999999</v>
      </c>
      <c r="I183" s="21">
        <v>0.131824</v>
      </c>
    </row>
    <row r="184" spans="1:9">
      <c r="A184" s="21" t="s">
        <v>45</v>
      </c>
      <c r="B184" s="21">
        <v>37.64</v>
      </c>
      <c r="C184" s="21">
        <v>28.13</v>
      </c>
      <c r="D184" s="21">
        <v>27.3</v>
      </c>
      <c r="E184" s="21">
        <v>40.442678000000001</v>
      </c>
      <c r="F184" s="21">
        <v>30.224561999999999</v>
      </c>
      <c r="G184" s="21">
        <v>29.33276</v>
      </c>
      <c r="H184" s="21">
        <v>1.0772630000000001</v>
      </c>
      <c r="I184" s="21">
        <v>0.10737099999999999</v>
      </c>
    </row>
    <row r="185" spans="1:9">
      <c r="A185" s="21" t="s">
        <v>46</v>
      </c>
      <c r="B185" s="21">
        <v>37.75</v>
      </c>
      <c r="C185" s="21">
        <v>26.57</v>
      </c>
      <c r="D185" s="21">
        <v>28.71</v>
      </c>
      <c r="E185" s="21">
        <v>40.578308</v>
      </c>
      <c r="F185" s="21">
        <v>28.560679</v>
      </c>
      <c r="G185" s="21">
        <v>30.861013</v>
      </c>
      <c r="H185" s="21">
        <v>1.0808759999999999</v>
      </c>
      <c r="I185" s="21">
        <v>0.112201</v>
      </c>
    </row>
    <row r="186" spans="1:9">
      <c r="A186" s="21" t="s">
        <v>47</v>
      </c>
      <c r="B186" s="21">
        <v>40.299999999999997</v>
      </c>
      <c r="C186" s="21">
        <v>21.42</v>
      </c>
      <c r="D186" s="21">
        <v>30.63</v>
      </c>
      <c r="E186" s="21">
        <v>43.638331999999998</v>
      </c>
      <c r="F186" s="21">
        <v>23.194368999999998</v>
      </c>
      <c r="G186" s="21">
        <v>33.167298000000002</v>
      </c>
      <c r="H186" s="21">
        <v>1.162385</v>
      </c>
      <c r="I186" s="21">
        <v>0.217089</v>
      </c>
    </row>
    <row r="187" spans="1:9">
      <c r="A187" s="21" t="s">
        <v>48</v>
      </c>
      <c r="B187" s="21">
        <v>38.61</v>
      </c>
      <c r="C187" s="21">
        <v>26.38</v>
      </c>
      <c r="D187" s="21">
        <v>27.7</v>
      </c>
      <c r="E187" s="21">
        <v>41.654978999999997</v>
      </c>
      <c r="F187" s="21">
        <v>28.460460000000001</v>
      </c>
      <c r="G187" s="21">
        <v>29.884561000000001</v>
      </c>
      <c r="H187" s="21">
        <v>1.1095550000000001</v>
      </c>
      <c r="I187" s="21">
        <v>0.149982</v>
      </c>
    </row>
    <row r="188" spans="1:9">
      <c r="A188" s="21" t="s">
        <v>49</v>
      </c>
      <c r="B188" s="21">
        <v>39.26</v>
      </c>
      <c r="C188" s="21">
        <v>25.48</v>
      </c>
      <c r="D188" s="21">
        <v>28.06</v>
      </c>
      <c r="E188" s="21">
        <v>42.306033999999997</v>
      </c>
      <c r="F188" s="21">
        <v>27.456897000000001</v>
      </c>
      <c r="G188" s="21">
        <v>30.237069000000002</v>
      </c>
      <c r="H188" s="21">
        <v>1.126897</v>
      </c>
      <c r="I188" s="21">
        <v>0.17235600000000001</v>
      </c>
    </row>
    <row r="189" spans="1:9">
      <c r="A189" s="21" t="s">
        <v>50</v>
      </c>
      <c r="B189" s="21">
        <v>39.01</v>
      </c>
      <c r="C189" s="21">
        <v>25.62</v>
      </c>
      <c r="D189" s="21">
        <v>28.31</v>
      </c>
      <c r="E189" s="21">
        <v>41.973315999999997</v>
      </c>
      <c r="F189" s="21">
        <v>27.566172000000002</v>
      </c>
      <c r="G189" s="21">
        <v>30.460512000000001</v>
      </c>
      <c r="H189" s="21">
        <v>1.1180349999999999</v>
      </c>
      <c r="I189" s="21">
        <v>0.160965</v>
      </c>
    </row>
    <row r="190" spans="1:9">
      <c r="A190" s="21" t="s">
        <v>51</v>
      </c>
      <c r="B190" s="21">
        <v>39.020000000000003</v>
      </c>
      <c r="C190" s="21">
        <v>24.53</v>
      </c>
      <c r="D190" s="21">
        <v>29.16</v>
      </c>
      <c r="E190" s="21">
        <v>42.088231999999998</v>
      </c>
      <c r="F190" s="21">
        <v>26.458850000000002</v>
      </c>
      <c r="G190" s="21">
        <v>31.452918</v>
      </c>
      <c r="H190" s="21">
        <v>1.1210960000000001</v>
      </c>
      <c r="I190" s="21">
        <v>0.16491</v>
      </c>
    </row>
    <row r="191" spans="1:9">
      <c r="A191" s="21" t="s">
        <v>32</v>
      </c>
      <c r="B191" s="21">
        <v>35.200000000000003</v>
      </c>
      <c r="C191" s="21">
        <v>32.15</v>
      </c>
      <c r="D191" s="21">
        <v>25.52</v>
      </c>
      <c r="E191" s="21">
        <v>37.902444000000003</v>
      </c>
      <c r="F191" s="21">
        <v>34.618284000000003</v>
      </c>
      <c r="G191" s="21">
        <v>27.479272000000002</v>
      </c>
      <c r="H191" s="21">
        <v>1.0096000000000001</v>
      </c>
      <c r="I191" s="21">
        <v>1.3783999999999999E-2</v>
      </c>
    </row>
    <row r="193" spans="1:9">
      <c r="A193" s="21" t="s">
        <v>0</v>
      </c>
      <c r="B193" s="21" t="s">
        <v>1</v>
      </c>
      <c r="E193" s="21" t="s">
        <v>2</v>
      </c>
      <c r="H193" s="21" t="s">
        <v>3</v>
      </c>
      <c r="I193" s="21" t="s">
        <v>4</v>
      </c>
    </row>
    <row r="194" spans="1:9">
      <c r="B194" s="21" t="s">
        <v>5</v>
      </c>
      <c r="C194" s="21" t="s">
        <v>6</v>
      </c>
      <c r="D194" s="21" t="s">
        <v>7</v>
      </c>
      <c r="E194" s="21" t="s">
        <v>5</v>
      </c>
      <c r="F194" s="21" t="s">
        <v>6</v>
      </c>
      <c r="G194" s="21" t="s">
        <v>7</v>
      </c>
      <c r="H194" s="21" t="s">
        <v>5</v>
      </c>
      <c r="I194" s="21" t="s">
        <v>5</v>
      </c>
    </row>
    <row r="195" spans="1:9">
      <c r="A195" s="21" t="s">
        <v>52</v>
      </c>
      <c r="B195" s="21">
        <v>33.31</v>
      </c>
      <c r="C195" s="21">
        <v>25.18</v>
      </c>
      <c r="D195" s="21">
        <v>32.42</v>
      </c>
      <c r="E195" s="21">
        <v>36.640633999999999</v>
      </c>
      <c r="F195" s="21">
        <v>27.697723</v>
      </c>
      <c r="G195" s="21">
        <v>35.661642999999998</v>
      </c>
      <c r="H195" s="21">
        <v>1.1222099999999999</v>
      </c>
      <c r="I195" s="21">
        <v>0.16634299999999999</v>
      </c>
    </row>
    <row r="196" spans="1:9">
      <c r="A196" s="21" t="s">
        <v>53</v>
      </c>
      <c r="B196" s="21">
        <v>30.42</v>
      </c>
      <c r="C196" s="21">
        <v>26.84</v>
      </c>
      <c r="D196" s="21">
        <v>33.49</v>
      </c>
      <c r="E196" s="21">
        <v>33.520660999999997</v>
      </c>
      <c r="F196" s="21">
        <v>29.575758</v>
      </c>
      <c r="G196" s="21">
        <v>36.903581000000003</v>
      </c>
      <c r="H196" s="21">
        <v>1.026653</v>
      </c>
      <c r="I196" s="21">
        <v>3.7948999999999997E-2</v>
      </c>
    </row>
    <row r="197" spans="1:9">
      <c r="A197" s="21" t="s">
        <v>54</v>
      </c>
      <c r="B197" s="21">
        <v>26.69</v>
      </c>
      <c r="C197" s="21">
        <v>28.65</v>
      </c>
      <c r="D197" s="21">
        <v>35.520000000000003</v>
      </c>
      <c r="E197" s="21">
        <v>29.374862</v>
      </c>
      <c r="F197" s="21">
        <v>31.532026999999999</v>
      </c>
      <c r="G197" s="21">
        <v>39.093110000000003</v>
      </c>
      <c r="H197" s="21">
        <v>0.89967799999999998</v>
      </c>
      <c r="I197" s="21">
        <v>-0.15251899999999999</v>
      </c>
    </row>
    <row r="198" spans="1:9">
      <c r="A198" s="21" t="s">
        <v>55</v>
      </c>
      <c r="B198" s="21">
        <v>40.14</v>
      </c>
      <c r="C198" s="21">
        <v>20.12</v>
      </c>
      <c r="D198" s="21">
        <v>31.27</v>
      </c>
      <c r="E198" s="21">
        <v>43.854474000000003</v>
      </c>
      <c r="F198" s="21">
        <v>21.981864000000002</v>
      </c>
      <c r="G198" s="21">
        <v>34.163662000000002</v>
      </c>
      <c r="H198" s="21">
        <v>1.3431519999999999</v>
      </c>
      <c r="I198" s="21">
        <v>0.42562299999999997</v>
      </c>
    </row>
    <row r="199" spans="1:9">
      <c r="A199" s="21" t="s">
        <v>56</v>
      </c>
      <c r="B199" s="21">
        <v>31.09</v>
      </c>
      <c r="C199" s="21">
        <v>28.86</v>
      </c>
      <c r="D199" s="21">
        <v>32.020000000000003</v>
      </c>
      <c r="E199" s="21">
        <v>33.804501000000002</v>
      </c>
      <c r="F199" s="21">
        <v>31.379798000000001</v>
      </c>
      <c r="G199" s="21">
        <v>34.815700999999997</v>
      </c>
      <c r="H199" s="21">
        <v>1.035347</v>
      </c>
      <c r="I199" s="21">
        <v>5.0113999999999999E-2</v>
      </c>
    </row>
    <row r="200" spans="1:9">
      <c r="A200" s="21" t="s">
        <v>57</v>
      </c>
      <c r="B200" s="21">
        <v>30</v>
      </c>
      <c r="C200" s="21">
        <v>18.649999999999999</v>
      </c>
      <c r="D200" s="21">
        <v>40.39</v>
      </c>
      <c r="E200" s="21">
        <v>33.692722000000003</v>
      </c>
      <c r="F200" s="21">
        <v>20.945641999999999</v>
      </c>
      <c r="G200" s="21">
        <v>45.361635</v>
      </c>
      <c r="H200" s="21">
        <v>1.0319229999999999</v>
      </c>
      <c r="I200" s="21">
        <v>4.5336000000000001E-2</v>
      </c>
    </row>
    <row r="201" spans="1:9">
      <c r="A201" s="21" t="s">
        <v>58</v>
      </c>
      <c r="B201" s="21">
        <v>32.520000000000003</v>
      </c>
      <c r="C201" s="21">
        <v>26.9</v>
      </c>
      <c r="D201" s="21">
        <v>31.64</v>
      </c>
      <c r="E201" s="21">
        <v>35.712716999999998</v>
      </c>
      <c r="F201" s="21">
        <v>29.540962</v>
      </c>
      <c r="G201" s="21">
        <v>34.746321000000002</v>
      </c>
      <c r="H201" s="21">
        <v>1.09379</v>
      </c>
      <c r="I201" s="21">
        <v>0.12933600000000001</v>
      </c>
    </row>
    <row r="202" spans="1:9">
      <c r="A202" s="21" t="s">
        <v>59</v>
      </c>
      <c r="B202" s="21">
        <v>30.08</v>
      </c>
      <c r="C202" s="21">
        <v>30.34</v>
      </c>
      <c r="D202" s="21">
        <v>31.07</v>
      </c>
      <c r="E202" s="21">
        <v>32.87791</v>
      </c>
      <c r="F202" s="21">
        <v>33.162094000000003</v>
      </c>
      <c r="G202" s="21">
        <v>33.959995999999997</v>
      </c>
      <c r="H202" s="21">
        <v>1.0069680000000001</v>
      </c>
      <c r="I202" s="21">
        <v>1.0017E-2</v>
      </c>
    </row>
    <row r="203" spans="1:9">
      <c r="A203" s="21" t="s">
        <v>60</v>
      </c>
      <c r="B203" s="21">
        <v>32.21</v>
      </c>
      <c r="C203" s="21">
        <v>26.32</v>
      </c>
      <c r="D203" s="21">
        <v>32.36</v>
      </c>
      <c r="E203" s="21">
        <v>35.438442000000002</v>
      </c>
      <c r="F203" s="21">
        <v>28.958081</v>
      </c>
      <c r="G203" s="21">
        <v>35.603476999999998</v>
      </c>
      <c r="H203" s="21">
        <v>1.0853900000000001</v>
      </c>
      <c r="I203" s="21">
        <v>0.118214</v>
      </c>
    </row>
    <row r="204" spans="1:9">
      <c r="A204" s="21" t="s">
        <v>61</v>
      </c>
      <c r="B204" s="21">
        <v>32.04</v>
      </c>
      <c r="C204" s="21">
        <v>27.38</v>
      </c>
      <c r="D204" s="21">
        <v>31.7</v>
      </c>
      <c r="E204" s="21">
        <v>35.162422999999997</v>
      </c>
      <c r="F204" s="21">
        <v>30.048287999999999</v>
      </c>
      <c r="G204" s="21">
        <v>34.789288999999997</v>
      </c>
      <c r="H204" s="21">
        <v>1.0769359999999999</v>
      </c>
      <c r="I204" s="21">
        <v>0.106933</v>
      </c>
    </row>
    <row r="205" spans="1:9">
      <c r="A205" s="21" t="s">
        <v>62</v>
      </c>
      <c r="B205" s="21">
        <v>35.22</v>
      </c>
      <c r="C205" s="21">
        <v>24.08</v>
      </c>
      <c r="D205" s="21">
        <v>31.63</v>
      </c>
      <c r="E205" s="21">
        <v>38.733091000000002</v>
      </c>
      <c r="F205" s="21">
        <v>26.481909000000002</v>
      </c>
      <c r="G205" s="21">
        <v>34.784998999999999</v>
      </c>
      <c r="H205" s="21">
        <v>1.1862969999999999</v>
      </c>
      <c r="I205" s="21">
        <v>0.24646499999999999</v>
      </c>
    </row>
    <row r="206" spans="1:9">
      <c r="A206" s="21" t="s">
        <v>63</v>
      </c>
      <c r="B206" s="21">
        <v>35.799999999999997</v>
      </c>
      <c r="C206" s="21">
        <v>20.32</v>
      </c>
      <c r="D206" s="21">
        <v>34.18</v>
      </c>
      <c r="E206" s="21">
        <v>39.645626</v>
      </c>
      <c r="F206" s="21">
        <v>22.502769000000001</v>
      </c>
      <c r="G206" s="21">
        <v>37.851605999999997</v>
      </c>
      <c r="H206" s="21">
        <v>1.2142459999999999</v>
      </c>
      <c r="I206" s="21">
        <v>0.28005999999999998</v>
      </c>
    </row>
    <row r="207" spans="1:9">
      <c r="A207" s="21" t="s">
        <v>64</v>
      </c>
      <c r="B207" s="21">
        <v>43.22</v>
      </c>
      <c r="C207" s="21">
        <v>19.57</v>
      </c>
      <c r="D207" s="21">
        <v>28.83</v>
      </c>
      <c r="E207" s="21">
        <v>47.173105999999997</v>
      </c>
      <c r="F207" s="21">
        <v>21.359964999999999</v>
      </c>
      <c r="G207" s="21">
        <v>31.466929</v>
      </c>
      <c r="H207" s="21">
        <v>1.444793</v>
      </c>
      <c r="I207" s="21">
        <v>0.53086299999999997</v>
      </c>
    </row>
    <row r="208" spans="1:9">
      <c r="A208" s="21" t="s">
        <v>65</v>
      </c>
      <c r="B208" s="21">
        <v>29.02</v>
      </c>
      <c r="C208" s="21">
        <v>26.5</v>
      </c>
      <c r="D208" s="21">
        <v>34.97</v>
      </c>
      <c r="E208" s="21">
        <v>32.069842000000001</v>
      </c>
      <c r="F208" s="21">
        <v>29.285004000000001</v>
      </c>
      <c r="G208" s="21">
        <v>38.645153999999998</v>
      </c>
      <c r="H208" s="21">
        <v>0.98221800000000004</v>
      </c>
      <c r="I208" s="21">
        <v>-2.5884000000000001E-2</v>
      </c>
    </row>
    <row r="209" spans="1:9">
      <c r="A209" s="21" t="s">
        <v>66</v>
      </c>
      <c r="B209" s="21">
        <v>27.87</v>
      </c>
      <c r="C209" s="21">
        <v>29.56</v>
      </c>
      <c r="D209" s="21">
        <v>33.78</v>
      </c>
      <c r="E209" s="21">
        <v>30.555859999999999</v>
      </c>
      <c r="F209" s="21">
        <v>32.408726999999999</v>
      </c>
      <c r="G209" s="21">
        <v>37.035412999999998</v>
      </c>
      <c r="H209" s="21">
        <v>0.93584900000000004</v>
      </c>
      <c r="I209" s="21">
        <v>-9.5652000000000001E-2</v>
      </c>
    </row>
    <row r="210" spans="1:9">
      <c r="A210" s="21" t="s">
        <v>67</v>
      </c>
      <c r="B210" s="21">
        <v>31.39</v>
      </c>
      <c r="C210" s="21">
        <v>18.739999999999998</v>
      </c>
      <c r="D210" s="21">
        <v>38.950000000000003</v>
      </c>
      <c r="E210" s="21">
        <v>35.237988000000001</v>
      </c>
      <c r="F210" s="21">
        <v>21.037269999999999</v>
      </c>
      <c r="G210" s="21">
        <v>43.724741999999999</v>
      </c>
      <c r="H210" s="21">
        <v>1.079251</v>
      </c>
      <c r="I210" s="21">
        <v>0.11003</v>
      </c>
    </row>
    <row r="211" spans="1:9">
      <c r="A211" s="21" t="s">
        <v>68</v>
      </c>
      <c r="B211" s="21">
        <v>33.29</v>
      </c>
      <c r="C211" s="21">
        <v>27.68</v>
      </c>
      <c r="D211" s="21">
        <v>30.27</v>
      </c>
      <c r="E211" s="21">
        <v>36.486190000000001</v>
      </c>
      <c r="F211" s="21">
        <v>30.337571000000001</v>
      </c>
      <c r="G211" s="21">
        <v>33.176237999999998</v>
      </c>
      <c r="H211" s="21">
        <v>1.11748</v>
      </c>
      <c r="I211" s="21">
        <v>0.160249</v>
      </c>
    </row>
    <row r="212" spans="1:9">
      <c r="A212" s="21" t="s">
        <v>69</v>
      </c>
      <c r="B212" s="21">
        <v>31.2</v>
      </c>
      <c r="C212" s="21">
        <v>25.97</v>
      </c>
      <c r="D212" s="21">
        <v>33.270000000000003</v>
      </c>
      <c r="E212" s="21">
        <v>34.498010000000001</v>
      </c>
      <c r="F212" s="21">
        <v>28.715170000000001</v>
      </c>
      <c r="G212" s="21">
        <v>36.786819999999999</v>
      </c>
      <c r="H212" s="21">
        <v>1.0565869999999999</v>
      </c>
      <c r="I212" s="21">
        <v>7.9411999999999996E-2</v>
      </c>
    </row>
    <row r="213" spans="1:9">
      <c r="A213" s="21" t="s">
        <v>70</v>
      </c>
      <c r="B213" s="21">
        <v>28.74</v>
      </c>
      <c r="C213" s="21">
        <v>28.93</v>
      </c>
      <c r="D213" s="21">
        <v>33.17</v>
      </c>
      <c r="E213" s="21">
        <v>31.638045000000002</v>
      </c>
      <c r="F213" s="21">
        <v>31.847204000000001</v>
      </c>
      <c r="G213" s="21">
        <v>36.514750999999997</v>
      </c>
      <c r="H213" s="21">
        <v>0.96899400000000002</v>
      </c>
      <c r="I213" s="21">
        <v>-4.5441000000000002E-2</v>
      </c>
    </row>
    <row r="214" spans="1:9">
      <c r="A214" s="21" t="s">
        <v>32</v>
      </c>
      <c r="B214" s="21">
        <v>29.67</v>
      </c>
      <c r="C214" s="21">
        <v>25.98</v>
      </c>
      <c r="D214" s="21">
        <v>34.479999999999997</v>
      </c>
      <c r="E214" s="21">
        <v>32.919117</v>
      </c>
      <c r="F214" s="21">
        <v>28.825030999999999</v>
      </c>
      <c r="G214" s="21">
        <v>38.255853000000002</v>
      </c>
      <c r="H214" s="21">
        <v>1.00823</v>
      </c>
      <c r="I214" s="21">
        <v>1.1823999999999999E-2</v>
      </c>
    </row>
    <row r="216" spans="1:9">
      <c r="A216" s="21" t="s">
        <v>52</v>
      </c>
      <c r="B216" s="21">
        <v>28.08</v>
      </c>
      <c r="C216" s="21">
        <v>21.61</v>
      </c>
      <c r="D216" s="21">
        <v>39.42</v>
      </c>
      <c r="E216" s="21">
        <v>31.511614999999999</v>
      </c>
      <c r="F216" s="21">
        <v>24.250926</v>
      </c>
      <c r="G216" s="21">
        <v>44.237459000000001</v>
      </c>
      <c r="H216" s="21">
        <v>0.93712200000000001</v>
      </c>
      <c r="I216" s="21">
        <v>-9.3690999999999997E-2</v>
      </c>
    </row>
    <row r="217" spans="1:9">
      <c r="A217" s="21" t="s">
        <v>53</v>
      </c>
      <c r="B217" s="21">
        <v>29.84</v>
      </c>
      <c r="C217" s="21">
        <v>25.64</v>
      </c>
      <c r="D217" s="21">
        <v>34.549999999999997</v>
      </c>
      <c r="E217" s="21">
        <v>33.144506999999997</v>
      </c>
      <c r="F217" s="21">
        <v>28.479396000000001</v>
      </c>
      <c r="G217" s="21">
        <v>38.376097000000001</v>
      </c>
      <c r="H217" s="21">
        <v>0.98568199999999995</v>
      </c>
      <c r="I217" s="21">
        <v>-2.0805000000000001E-2</v>
      </c>
    </row>
    <row r="218" spans="1:9">
      <c r="A218" s="21" t="s">
        <v>54</v>
      </c>
      <c r="B218" s="21">
        <v>23.1</v>
      </c>
      <c r="C218" s="21">
        <v>24.83</v>
      </c>
      <c r="D218" s="21">
        <v>40.46</v>
      </c>
      <c r="E218" s="21">
        <v>26.134177999999999</v>
      </c>
      <c r="F218" s="21">
        <v>28.091412999999999</v>
      </c>
      <c r="G218" s="21">
        <v>45.774408999999999</v>
      </c>
      <c r="H218" s="21">
        <v>0.77720299999999998</v>
      </c>
      <c r="I218" s="21">
        <v>-0.36363699999999999</v>
      </c>
    </row>
    <row r="219" spans="1:9">
      <c r="A219" s="21" t="s">
        <v>55</v>
      </c>
      <c r="B219" s="21">
        <v>31.68</v>
      </c>
      <c r="C219" s="21">
        <v>19.82</v>
      </c>
      <c r="D219" s="21">
        <v>37.049999999999997</v>
      </c>
      <c r="E219" s="21">
        <v>35.776398</v>
      </c>
      <c r="F219" s="21">
        <v>22.382835</v>
      </c>
      <c r="G219" s="21">
        <v>41.840767999999997</v>
      </c>
      <c r="H219" s="21">
        <v>1.063952</v>
      </c>
      <c r="I219" s="21">
        <v>8.9432999999999999E-2</v>
      </c>
    </row>
    <row r="220" spans="1:9">
      <c r="A220" s="21" t="s">
        <v>56</v>
      </c>
      <c r="B220" s="21">
        <v>28.33</v>
      </c>
      <c r="C220" s="21">
        <v>25.74</v>
      </c>
      <c r="D220" s="21">
        <v>35.99</v>
      </c>
      <c r="E220" s="21">
        <v>31.456807000000001</v>
      </c>
      <c r="F220" s="21">
        <v>28.580946000000001</v>
      </c>
      <c r="G220" s="21">
        <v>39.962246999999998</v>
      </c>
      <c r="H220" s="21">
        <v>0.93549199999999999</v>
      </c>
      <c r="I220" s="21">
        <v>-9.6202999999999997E-2</v>
      </c>
    </row>
    <row r="221" spans="1:9">
      <c r="A221" s="21" t="s">
        <v>57</v>
      </c>
      <c r="B221" s="21">
        <v>33.86</v>
      </c>
      <c r="C221" s="21">
        <v>18.7</v>
      </c>
      <c r="D221" s="21">
        <v>36.82</v>
      </c>
      <c r="E221" s="21">
        <v>37.883195000000001</v>
      </c>
      <c r="F221" s="21">
        <v>20.921906</v>
      </c>
      <c r="G221" s="21">
        <v>41.194898000000002</v>
      </c>
      <c r="H221" s="21">
        <v>1.126606</v>
      </c>
      <c r="I221" s="21">
        <v>0.171983</v>
      </c>
    </row>
    <row r="222" spans="1:9">
      <c r="A222" s="21" t="s">
        <v>58</v>
      </c>
      <c r="B222" s="21">
        <v>29.29</v>
      </c>
      <c r="C222" s="21">
        <v>24.05</v>
      </c>
      <c r="D222" s="21">
        <v>35.93</v>
      </c>
      <c r="E222" s="21">
        <v>32.810575</v>
      </c>
      <c r="F222" s="21">
        <v>26.940742</v>
      </c>
      <c r="G222" s="21">
        <v>40.248683999999997</v>
      </c>
      <c r="H222" s="21">
        <v>0.97575199999999995</v>
      </c>
      <c r="I222" s="21">
        <v>-3.5414000000000001E-2</v>
      </c>
    </row>
    <row r="223" spans="1:9">
      <c r="A223" s="21" t="s">
        <v>59</v>
      </c>
      <c r="B223" s="21">
        <v>24.96</v>
      </c>
      <c r="C223" s="21">
        <v>23.99</v>
      </c>
      <c r="D223" s="21">
        <v>39.72</v>
      </c>
      <c r="E223" s="21">
        <v>28.149318000000001</v>
      </c>
      <c r="F223" s="21">
        <v>27.055374</v>
      </c>
      <c r="G223" s="21">
        <v>44.795307999999999</v>
      </c>
      <c r="H223" s="21">
        <v>0.83713099999999996</v>
      </c>
      <c r="I223" s="21">
        <v>-0.25647500000000001</v>
      </c>
    </row>
    <row r="224" spans="1:9">
      <c r="A224" s="21" t="s">
        <v>60</v>
      </c>
      <c r="B224" s="21">
        <v>25.81</v>
      </c>
      <c r="C224" s="21">
        <v>21.04</v>
      </c>
      <c r="D224" s="21">
        <v>41.64</v>
      </c>
      <c r="E224" s="21">
        <v>29.167138000000001</v>
      </c>
      <c r="F224" s="21">
        <v>23.776698</v>
      </c>
      <c r="G224" s="21">
        <v>47.056165</v>
      </c>
      <c r="H224" s="21">
        <v>0.86739999999999995</v>
      </c>
      <c r="I224" s="21">
        <v>-0.205231</v>
      </c>
    </row>
    <row r="225" spans="1:9">
      <c r="A225" s="21" t="s">
        <v>61</v>
      </c>
      <c r="B225" s="21">
        <v>26.5</v>
      </c>
      <c r="C225" s="21">
        <v>20.58</v>
      </c>
      <c r="D225" s="21">
        <v>41.03</v>
      </c>
      <c r="E225" s="21">
        <v>30.076041</v>
      </c>
      <c r="F225" s="21">
        <v>23.357167</v>
      </c>
      <c r="G225" s="21">
        <v>46.566792</v>
      </c>
      <c r="H225" s="21">
        <v>0.89442900000000003</v>
      </c>
      <c r="I225" s="21">
        <v>-0.16095999999999999</v>
      </c>
    </row>
    <row r="226" spans="1:9">
      <c r="A226" s="21" t="s">
        <v>62</v>
      </c>
      <c r="B226" s="21">
        <v>32.200000000000003</v>
      </c>
      <c r="C226" s="21">
        <v>22.97</v>
      </c>
      <c r="D226" s="21">
        <v>35.270000000000003</v>
      </c>
      <c r="E226" s="21">
        <v>35.603715000000001</v>
      </c>
      <c r="F226" s="21">
        <v>25.398053999999998</v>
      </c>
      <c r="G226" s="21">
        <v>38.998230999999997</v>
      </c>
      <c r="H226" s="21">
        <v>1.0588169999999999</v>
      </c>
      <c r="I226" s="21">
        <v>8.2452999999999999E-2</v>
      </c>
    </row>
    <row r="227" spans="1:9">
      <c r="A227" s="21" t="s">
        <v>63</v>
      </c>
      <c r="B227" s="21">
        <v>38.04</v>
      </c>
      <c r="C227" s="21">
        <v>21.14</v>
      </c>
      <c r="D227" s="21">
        <v>31.24</v>
      </c>
      <c r="E227" s="21">
        <v>42.070338</v>
      </c>
      <c r="F227" s="21">
        <v>23.379783</v>
      </c>
      <c r="G227" s="21">
        <v>34.549878</v>
      </c>
      <c r="H227" s="21">
        <v>1.2511270000000001</v>
      </c>
      <c r="I227" s="21">
        <v>0.32322800000000002</v>
      </c>
    </row>
    <row r="228" spans="1:9">
      <c r="A228" s="21" t="s">
        <v>64</v>
      </c>
      <c r="B228" s="21">
        <v>42.74</v>
      </c>
      <c r="C228" s="21">
        <v>17.2</v>
      </c>
      <c r="D228" s="21">
        <v>30.94</v>
      </c>
      <c r="E228" s="21">
        <v>47.029049000000001</v>
      </c>
      <c r="F228" s="21">
        <v>18.926055999999999</v>
      </c>
      <c r="G228" s="21">
        <v>34.044893999999999</v>
      </c>
      <c r="H228" s="21">
        <v>1.3985939999999999</v>
      </c>
      <c r="I228" s="21">
        <v>0.48397699999999999</v>
      </c>
    </row>
    <row r="229" spans="1:9">
      <c r="A229" s="21" t="s">
        <v>65</v>
      </c>
      <c r="B229" s="21">
        <v>24.81</v>
      </c>
      <c r="C229" s="21">
        <v>21.04</v>
      </c>
      <c r="D229" s="21">
        <v>42.02</v>
      </c>
      <c r="E229" s="21">
        <v>28.234891999999999</v>
      </c>
      <c r="F229" s="21">
        <v>23.944462999999999</v>
      </c>
      <c r="G229" s="21">
        <v>47.820644000000001</v>
      </c>
      <c r="H229" s="21">
        <v>0.83967599999999998</v>
      </c>
      <c r="I229" s="21">
        <v>-0.25209599999999999</v>
      </c>
    </row>
    <row r="230" spans="1:9">
      <c r="A230" s="21" t="s">
        <v>66</v>
      </c>
      <c r="B230" s="21">
        <v>22.53</v>
      </c>
      <c r="C230" s="21">
        <v>22.26</v>
      </c>
      <c r="D230" s="21">
        <v>42.64</v>
      </c>
      <c r="E230" s="21">
        <v>25.769186999999999</v>
      </c>
      <c r="F230" s="21">
        <v>25.460367999999999</v>
      </c>
      <c r="G230" s="21">
        <v>48.770445000000002</v>
      </c>
      <c r="H230" s="21">
        <v>0.76634800000000003</v>
      </c>
      <c r="I230" s="21">
        <v>-0.38392799999999999</v>
      </c>
    </row>
    <row r="231" spans="1:9">
      <c r="A231" s="21" t="s">
        <v>67</v>
      </c>
      <c r="B231" s="21">
        <v>35.35</v>
      </c>
      <c r="C231" s="21">
        <v>19.440000000000001</v>
      </c>
      <c r="D231" s="21">
        <v>34.520000000000003</v>
      </c>
      <c r="E231" s="21">
        <v>39.581234000000002</v>
      </c>
      <c r="F231" s="21">
        <v>21.766878999999999</v>
      </c>
      <c r="G231" s="21">
        <v>38.651887000000002</v>
      </c>
      <c r="H231" s="21">
        <v>1.1771039999999999</v>
      </c>
      <c r="I231" s="21">
        <v>0.23524100000000001</v>
      </c>
    </row>
    <row r="232" spans="1:9">
      <c r="A232" s="21" t="s">
        <v>68</v>
      </c>
      <c r="B232" s="21">
        <v>27.81</v>
      </c>
      <c r="C232" s="21">
        <v>22.7</v>
      </c>
      <c r="D232" s="21">
        <v>38.47</v>
      </c>
      <c r="E232" s="21">
        <v>31.254214000000001</v>
      </c>
      <c r="F232" s="21">
        <v>25.511351000000001</v>
      </c>
      <c r="G232" s="21">
        <v>43.234434999999998</v>
      </c>
      <c r="H232" s="21">
        <v>0.92946700000000004</v>
      </c>
      <c r="I232" s="21">
        <v>-0.10552400000000001</v>
      </c>
    </row>
    <row r="233" spans="1:9">
      <c r="A233" s="21" t="s">
        <v>69</v>
      </c>
      <c r="B233" s="21">
        <v>30.65</v>
      </c>
      <c r="C233" s="21">
        <v>25.5</v>
      </c>
      <c r="D233" s="21">
        <v>33.86</v>
      </c>
      <c r="E233" s="21">
        <v>34.051772</v>
      </c>
      <c r="F233" s="21">
        <v>28.330186000000001</v>
      </c>
      <c r="G233" s="21">
        <v>37.618042000000003</v>
      </c>
      <c r="H233" s="21">
        <v>1.0126630000000001</v>
      </c>
      <c r="I233" s="21">
        <v>1.8155000000000001E-2</v>
      </c>
    </row>
    <row r="234" spans="1:9">
      <c r="A234" s="21" t="s">
        <v>70</v>
      </c>
      <c r="B234" s="21">
        <v>28.19</v>
      </c>
      <c r="C234" s="21">
        <v>26.3</v>
      </c>
      <c r="D234" s="21">
        <v>34.93</v>
      </c>
      <c r="E234" s="21">
        <v>31.525386000000001</v>
      </c>
      <c r="F234" s="21">
        <v>29.411764999999999</v>
      </c>
      <c r="G234" s="21">
        <v>39.062849</v>
      </c>
      <c r="H234" s="21">
        <v>0.937531</v>
      </c>
      <c r="I234" s="21">
        <v>-9.3061000000000005E-2</v>
      </c>
    </row>
    <row r="235" spans="1:9">
      <c r="A235" s="21" t="s">
        <v>32</v>
      </c>
      <c r="B235" s="21">
        <v>33.39</v>
      </c>
      <c r="C235" s="21">
        <v>28.06</v>
      </c>
      <c r="D235" s="21">
        <v>29.46</v>
      </c>
      <c r="E235" s="21">
        <v>36.728633000000002</v>
      </c>
      <c r="F235" s="21">
        <v>30.865691000000002</v>
      </c>
      <c r="G235" s="21">
        <v>32.405676</v>
      </c>
      <c r="H235" s="21">
        <v>1.0922700000000001</v>
      </c>
      <c r="I235" s="21">
        <v>0.12733</v>
      </c>
    </row>
    <row r="237" spans="1:9">
      <c r="A237" s="21" t="s">
        <v>52</v>
      </c>
      <c r="B237" s="21">
        <v>38.76</v>
      </c>
      <c r="C237" s="21">
        <v>26.23</v>
      </c>
      <c r="D237" s="21">
        <v>27.52</v>
      </c>
      <c r="E237" s="21">
        <v>41.898173</v>
      </c>
      <c r="F237" s="21">
        <v>28.353691000000001</v>
      </c>
      <c r="G237" s="21">
        <v>29.748135000000001</v>
      </c>
      <c r="H237" s="21">
        <v>1.11883</v>
      </c>
      <c r="I237" s="21">
        <v>0.161991</v>
      </c>
    </row>
    <row r="238" spans="1:9">
      <c r="A238" s="21" t="s">
        <v>53</v>
      </c>
      <c r="B238" s="21">
        <v>35.79</v>
      </c>
      <c r="C238" s="21">
        <v>25.33</v>
      </c>
      <c r="D238" s="21">
        <v>30.45</v>
      </c>
      <c r="E238" s="21">
        <v>39.084853000000003</v>
      </c>
      <c r="F238" s="21">
        <v>27.661898000000001</v>
      </c>
      <c r="G238" s="21">
        <v>33.253248999999997</v>
      </c>
      <c r="H238" s="21">
        <v>1.0437050000000001</v>
      </c>
      <c r="I238" s="21">
        <v>6.1712999999999997E-2</v>
      </c>
    </row>
    <row r="239" spans="1:9">
      <c r="A239" s="21" t="s">
        <v>54</v>
      </c>
      <c r="B239" s="21">
        <v>33.19</v>
      </c>
      <c r="C239" s="21">
        <v>26.4</v>
      </c>
      <c r="D239" s="21">
        <v>31.67</v>
      </c>
      <c r="E239" s="21">
        <v>36.368617</v>
      </c>
      <c r="F239" s="21">
        <v>28.928336999999999</v>
      </c>
      <c r="G239" s="21">
        <v>34.703046000000001</v>
      </c>
      <c r="H239" s="21">
        <v>0.97117100000000001</v>
      </c>
      <c r="I239" s="21">
        <v>-4.2202000000000003E-2</v>
      </c>
    </row>
    <row r="240" spans="1:9">
      <c r="A240" s="21" t="s">
        <v>55</v>
      </c>
      <c r="B240" s="21">
        <v>46.95</v>
      </c>
      <c r="C240" s="21">
        <v>19.649999999999999</v>
      </c>
      <c r="D240" s="21">
        <v>26.16</v>
      </c>
      <c r="E240" s="21">
        <v>50.614488999999999</v>
      </c>
      <c r="F240" s="21">
        <v>21.183700000000002</v>
      </c>
      <c r="G240" s="21">
        <v>28.201810999999999</v>
      </c>
      <c r="H240" s="21">
        <v>1.3515870000000001</v>
      </c>
      <c r="I240" s="21">
        <v>0.43465399999999998</v>
      </c>
    </row>
    <row r="241" spans="1:9">
      <c r="A241" s="21" t="s">
        <v>56</v>
      </c>
      <c r="B241" s="21">
        <v>40.33</v>
      </c>
      <c r="C241" s="21">
        <v>25.29</v>
      </c>
      <c r="D241" s="21">
        <v>26.36</v>
      </c>
      <c r="E241" s="21">
        <v>43.846488000000001</v>
      </c>
      <c r="F241" s="21">
        <v>27.495107999999998</v>
      </c>
      <c r="G241" s="21">
        <v>28.658404000000001</v>
      </c>
      <c r="H241" s="21">
        <v>1.170857</v>
      </c>
      <c r="I241" s="21">
        <v>0.22756499999999999</v>
      </c>
    </row>
    <row r="242" spans="1:9">
      <c r="A242" s="21" t="s">
        <v>57</v>
      </c>
      <c r="B242" s="21">
        <v>41.17</v>
      </c>
      <c r="C242" s="21">
        <v>18.600000000000001</v>
      </c>
      <c r="D242" s="21">
        <v>31.67</v>
      </c>
      <c r="E242" s="21">
        <v>45.024059000000001</v>
      </c>
      <c r="F242" s="21">
        <v>20.341207000000001</v>
      </c>
      <c r="G242" s="21">
        <v>34.634732999999997</v>
      </c>
      <c r="H242" s="21">
        <v>1.2023029999999999</v>
      </c>
      <c r="I242" s="21">
        <v>0.26579999999999998</v>
      </c>
    </row>
    <row r="243" spans="1:9">
      <c r="A243" s="21" t="s">
        <v>58</v>
      </c>
      <c r="B243" s="21">
        <v>40.630000000000003</v>
      </c>
      <c r="C243" s="21">
        <v>25.14</v>
      </c>
      <c r="D243" s="21">
        <v>26.18</v>
      </c>
      <c r="E243" s="21">
        <v>44.187058</v>
      </c>
      <c r="F243" s="21">
        <v>27.340945999999999</v>
      </c>
      <c r="G243" s="21">
        <v>28.471996000000001</v>
      </c>
      <c r="H243" s="21">
        <v>1.1799519999999999</v>
      </c>
      <c r="I243" s="21">
        <v>0.238728</v>
      </c>
    </row>
    <row r="244" spans="1:9">
      <c r="A244" s="21" t="s">
        <v>59</v>
      </c>
      <c r="B244" s="21">
        <v>33.729999999999997</v>
      </c>
      <c r="C244" s="21">
        <v>29.84</v>
      </c>
      <c r="D244" s="21">
        <v>29.07</v>
      </c>
      <c r="E244" s="21">
        <v>36.409757999999997</v>
      </c>
      <c r="F244" s="21">
        <v>32.210707999999997</v>
      </c>
      <c r="G244" s="21">
        <v>31.379534</v>
      </c>
      <c r="H244" s="21">
        <v>0.97226999999999997</v>
      </c>
      <c r="I244" s="21">
        <v>-4.0571000000000003E-2</v>
      </c>
    </row>
    <row r="245" spans="1:9">
      <c r="A245" s="21" t="s">
        <v>60</v>
      </c>
      <c r="B245" s="21">
        <v>37.79</v>
      </c>
      <c r="C245" s="21">
        <v>27.48</v>
      </c>
      <c r="D245" s="21">
        <v>27.03</v>
      </c>
      <c r="E245" s="21">
        <v>40.942579000000002</v>
      </c>
      <c r="F245" s="21">
        <v>29.772480999999999</v>
      </c>
      <c r="G245" s="21">
        <v>29.284939999999999</v>
      </c>
      <c r="H245" s="21">
        <v>1.093313</v>
      </c>
      <c r="I245" s="21">
        <v>0.12870599999999999</v>
      </c>
    </row>
    <row r="246" spans="1:9">
      <c r="A246" s="21" t="s">
        <v>61</v>
      </c>
      <c r="B246" s="21">
        <v>40.29</v>
      </c>
      <c r="C246" s="21">
        <v>26.48</v>
      </c>
      <c r="D246" s="21">
        <v>25.41</v>
      </c>
      <c r="E246" s="21">
        <v>43.707962999999999</v>
      </c>
      <c r="F246" s="21">
        <v>28.726405</v>
      </c>
      <c r="G246" s="21">
        <v>27.565632000000001</v>
      </c>
      <c r="H246" s="21">
        <v>1.1671579999999999</v>
      </c>
      <c r="I246" s="21">
        <v>0.223</v>
      </c>
    </row>
    <row r="247" spans="1:9">
      <c r="A247" s="21" t="s">
        <v>62</v>
      </c>
      <c r="B247" s="21">
        <v>43.56</v>
      </c>
      <c r="C247" s="21">
        <v>24.04</v>
      </c>
      <c r="D247" s="21">
        <v>24.37</v>
      </c>
      <c r="E247" s="21">
        <v>47.363270999999997</v>
      </c>
      <c r="F247" s="21">
        <v>26.138957999999999</v>
      </c>
      <c r="G247" s="21">
        <v>26.497771</v>
      </c>
      <c r="H247" s="21">
        <v>1.2647679999999999</v>
      </c>
      <c r="I247" s="21">
        <v>0.33887299999999998</v>
      </c>
    </row>
    <row r="248" spans="1:9">
      <c r="A248" s="21" t="s">
        <v>63</v>
      </c>
      <c r="B248" s="21">
        <v>50.4</v>
      </c>
      <c r="C248" s="21">
        <v>19.649999999999999</v>
      </c>
      <c r="D248" s="21">
        <v>22.65</v>
      </c>
      <c r="E248" s="21">
        <v>54.368932000000001</v>
      </c>
      <c r="F248" s="21">
        <v>21.197410999999999</v>
      </c>
      <c r="G248" s="21">
        <v>24.433657</v>
      </c>
      <c r="H248" s="21">
        <v>1.4518439999999999</v>
      </c>
      <c r="I248" s="21">
        <v>0.53788599999999998</v>
      </c>
    </row>
    <row r="249" spans="1:9">
      <c r="A249" s="21" t="s">
        <v>64</v>
      </c>
      <c r="B249" s="21">
        <v>53.81</v>
      </c>
      <c r="C249" s="21">
        <v>14.41</v>
      </c>
      <c r="D249" s="21">
        <v>24.3</v>
      </c>
      <c r="E249" s="21">
        <v>58.160398000000001</v>
      </c>
      <c r="F249" s="21">
        <v>15.575011</v>
      </c>
      <c r="G249" s="21">
        <v>26.264590999999999</v>
      </c>
      <c r="H249" s="21">
        <v>1.5530900000000001</v>
      </c>
      <c r="I249" s="21">
        <v>0.63514099999999996</v>
      </c>
    </row>
    <row r="250" spans="1:9">
      <c r="A250" s="21" t="s">
        <v>65</v>
      </c>
      <c r="B250" s="21">
        <v>35.97</v>
      </c>
      <c r="C250" s="21">
        <v>26.81</v>
      </c>
      <c r="D250" s="21">
        <v>29.13</v>
      </c>
      <c r="E250" s="21">
        <v>39.136111</v>
      </c>
      <c r="F250" s="21">
        <v>29.169840000000001</v>
      </c>
      <c r="G250" s="21">
        <v>31.694049</v>
      </c>
      <c r="H250" s="21">
        <v>1.0450729999999999</v>
      </c>
      <c r="I250" s="21">
        <v>6.3603999999999994E-2</v>
      </c>
    </row>
    <row r="251" spans="1:9">
      <c r="A251" s="21" t="s">
        <v>66</v>
      </c>
      <c r="B251" s="21">
        <v>32.06</v>
      </c>
      <c r="C251" s="21">
        <v>30.8</v>
      </c>
      <c r="D251" s="21">
        <v>28.93</v>
      </c>
      <c r="E251" s="21">
        <v>34.927551999999999</v>
      </c>
      <c r="F251" s="21">
        <v>33.554853000000001</v>
      </c>
      <c r="G251" s="21">
        <v>31.517595</v>
      </c>
      <c r="H251" s="21">
        <v>0.93269000000000002</v>
      </c>
      <c r="I251" s="21">
        <v>-0.100531</v>
      </c>
    </row>
    <row r="252" spans="1:9">
      <c r="A252" s="21" t="s">
        <v>67</v>
      </c>
      <c r="B252" s="21">
        <v>40.21</v>
      </c>
      <c r="C252" s="21">
        <v>17.04</v>
      </c>
      <c r="D252" s="21">
        <v>33.46</v>
      </c>
      <c r="E252" s="21">
        <v>44.328077999999998</v>
      </c>
      <c r="F252" s="21">
        <v>18.785139000000001</v>
      </c>
      <c r="G252" s="21">
        <v>36.886781999999997</v>
      </c>
      <c r="H252" s="21">
        <v>1.1837169999999999</v>
      </c>
      <c r="I252" s="21">
        <v>0.24332500000000001</v>
      </c>
    </row>
    <row r="253" spans="1:9">
      <c r="A253" s="21" t="s">
        <v>68</v>
      </c>
      <c r="B253" s="21">
        <v>40.33</v>
      </c>
      <c r="C253" s="21">
        <v>25.56</v>
      </c>
      <c r="D253" s="21">
        <v>25.08</v>
      </c>
      <c r="E253" s="21">
        <v>44.333297000000002</v>
      </c>
      <c r="F253" s="21">
        <v>28.097175</v>
      </c>
      <c r="G253" s="21">
        <v>27.569527999999998</v>
      </c>
      <c r="H253" s="21">
        <v>1.1838569999999999</v>
      </c>
      <c r="I253" s="21">
        <v>0.24349499999999999</v>
      </c>
    </row>
    <row r="254" spans="1:9">
      <c r="A254" s="21" t="s">
        <v>69</v>
      </c>
      <c r="B254" s="21">
        <v>30.65</v>
      </c>
      <c r="C254" s="21">
        <v>25.5</v>
      </c>
      <c r="D254" s="21">
        <v>33.86</v>
      </c>
      <c r="E254" s="21">
        <v>34.051772</v>
      </c>
      <c r="F254" s="21">
        <v>28.330186000000001</v>
      </c>
      <c r="G254" s="21">
        <v>37.618042000000003</v>
      </c>
      <c r="H254" s="21">
        <v>0.90930299999999997</v>
      </c>
      <c r="I254" s="21">
        <v>-0.13716600000000001</v>
      </c>
    </row>
    <row r="255" spans="1:9">
      <c r="A255" s="21" t="s">
        <v>70</v>
      </c>
      <c r="B255" s="21">
        <v>34.01</v>
      </c>
      <c r="C255" s="21">
        <v>27.7</v>
      </c>
      <c r="D255" s="21">
        <v>30.29</v>
      </c>
      <c r="E255" s="21">
        <v>36.967390999999999</v>
      </c>
      <c r="F255" s="21">
        <v>30.108695999999998</v>
      </c>
      <c r="G255" s="21">
        <v>32.923912999999999</v>
      </c>
      <c r="H255" s="21">
        <v>0.98716099999999996</v>
      </c>
      <c r="I255" s="21">
        <v>-1.8643E-2</v>
      </c>
    </row>
    <row r="256" spans="1:9">
      <c r="A256" s="21" t="s">
        <v>32</v>
      </c>
      <c r="B256" s="21">
        <v>34.71</v>
      </c>
      <c r="C256" s="21">
        <v>27.45</v>
      </c>
      <c r="D256" s="21">
        <v>29.81</v>
      </c>
      <c r="E256" s="21">
        <v>37.740568000000003</v>
      </c>
      <c r="F256" s="21">
        <v>29.846689000000001</v>
      </c>
      <c r="G256" s="21">
        <v>32.412742999999999</v>
      </c>
      <c r="H256" s="21">
        <v>1.0078069999999999</v>
      </c>
      <c r="I256" s="21">
        <v>1.1220000000000001E-2</v>
      </c>
    </row>
    <row r="258" spans="1:9">
      <c r="A258" s="21" t="s">
        <v>52</v>
      </c>
      <c r="B258" s="21">
        <v>36.06</v>
      </c>
      <c r="C258" s="21">
        <v>28.27</v>
      </c>
      <c r="D258" s="21">
        <v>28.09</v>
      </c>
      <c r="E258" s="21">
        <v>39.017529000000003</v>
      </c>
      <c r="F258" s="21">
        <v>30.588616999999999</v>
      </c>
      <c r="G258" s="21">
        <v>30.393854000000001</v>
      </c>
      <c r="H258" s="21">
        <v>1.092117</v>
      </c>
      <c r="I258" s="21">
        <v>0.12712699999999999</v>
      </c>
    </row>
    <row r="259" spans="1:9">
      <c r="A259" s="21" t="s">
        <v>53</v>
      </c>
      <c r="B259" s="21">
        <v>33.69</v>
      </c>
      <c r="C259" s="21">
        <v>28.58</v>
      </c>
      <c r="D259" s="21">
        <v>29.9</v>
      </c>
      <c r="E259" s="21">
        <v>36.552022999999998</v>
      </c>
      <c r="F259" s="21">
        <v>31.007919999999999</v>
      </c>
      <c r="G259" s="21">
        <v>32.440055999999998</v>
      </c>
      <c r="H259" s="21">
        <v>1.0231060000000001</v>
      </c>
      <c r="I259" s="21">
        <v>3.2955999999999999E-2</v>
      </c>
    </row>
    <row r="260" spans="1:9">
      <c r="A260" s="21" t="s">
        <v>54</v>
      </c>
      <c r="B260" s="21">
        <v>30.13</v>
      </c>
      <c r="C260" s="21">
        <v>31.15</v>
      </c>
      <c r="D260" s="21">
        <v>31.01</v>
      </c>
      <c r="E260" s="21">
        <v>32.647091000000003</v>
      </c>
      <c r="F260" s="21">
        <v>33.752302999999998</v>
      </c>
      <c r="G260" s="21">
        <v>33.600606999999997</v>
      </c>
      <c r="H260" s="21">
        <v>0.91380600000000001</v>
      </c>
      <c r="I260" s="21">
        <v>-0.13004099999999999</v>
      </c>
    </row>
    <row r="261" spans="1:9">
      <c r="A261" s="21" t="s">
        <v>55</v>
      </c>
      <c r="B261" s="21">
        <v>45.22</v>
      </c>
      <c r="C261" s="21">
        <v>20.329999999999998</v>
      </c>
      <c r="D261" s="21">
        <v>26.66</v>
      </c>
      <c r="E261" s="21">
        <v>49.040233999999998</v>
      </c>
      <c r="F261" s="21">
        <v>22.047499999999999</v>
      </c>
      <c r="G261" s="21">
        <v>28.912265000000001</v>
      </c>
      <c r="H261" s="21">
        <v>1.372657</v>
      </c>
      <c r="I261" s="21">
        <v>0.45697100000000002</v>
      </c>
    </row>
    <row r="262" spans="1:9">
      <c r="A262" s="21" t="s">
        <v>56</v>
      </c>
      <c r="B262" s="21">
        <v>37.97</v>
      </c>
      <c r="C262" s="21">
        <v>27.04</v>
      </c>
      <c r="D262" s="21">
        <v>28</v>
      </c>
      <c r="E262" s="21">
        <v>40.823566999999997</v>
      </c>
      <c r="F262" s="21">
        <v>29.072143000000001</v>
      </c>
      <c r="G262" s="21">
        <v>30.104289999999999</v>
      </c>
      <c r="H262" s="21">
        <v>1.1426689999999999</v>
      </c>
      <c r="I262" s="21">
        <v>0.19240699999999999</v>
      </c>
    </row>
    <row r="263" spans="1:9">
      <c r="A263" s="21" t="s">
        <v>57</v>
      </c>
      <c r="B263" s="21">
        <v>40.200000000000003</v>
      </c>
      <c r="C263" s="21">
        <v>21.79</v>
      </c>
      <c r="D263" s="21">
        <v>29.8</v>
      </c>
      <c r="E263" s="21">
        <v>43.79562</v>
      </c>
      <c r="F263" s="21">
        <v>23.738969000000001</v>
      </c>
      <c r="G263" s="21">
        <v>32.465409999999999</v>
      </c>
      <c r="H263" s="21">
        <v>1.2258579999999999</v>
      </c>
      <c r="I263" s="21">
        <v>0.293792</v>
      </c>
    </row>
    <row r="264" spans="1:9">
      <c r="A264" s="21" t="s">
        <v>58</v>
      </c>
      <c r="B264" s="21">
        <v>37.18</v>
      </c>
      <c r="C264" s="21">
        <v>28.65</v>
      </c>
      <c r="D264" s="21">
        <v>26.61</v>
      </c>
      <c r="E264" s="21">
        <v>40.220683999999999</v>
      </c>
      <c r="F264" s="21">
        <v>30.993077</v>
      </c>
      <c r="G264" s="21">
        <v>28.786239999999999</v>
      </c>
      <c r="H264" s="21">
        <v>1.125794</v>
      </c>
      <c r="I264" s="21">
        <v>0.17094300000000001</v>
      </c>
    </row>
    <row r="265" spans="1:9">
      <c r="A265" s="21" t="s">
        <v>59</v>
      </c>
      <c r="B265" s="21">
        <v>31</v>
      </c>
      <c r="C265" s="21">
        <v>33.06</v>
      </c>
      <c r="D265" s="21">
        <v>28.45</v>
      </c>
      <c r="E265" s="21">
        <v>33.509891000000003</v>
      </c>
      <c r="F265" s="21">
        <v>35.736677</v>
      </c>
      <c r="G265" s="21">
        <v>30.753432</v>
      </c>
      <c r="H265" s="21">
        <v>0.93795600000000001</v>
      </c>
      <c r="I265" s="21">
        <v>-9.2408000000000004E-2</v>
      </c>
    </row>
    <row r="266" spans="1:9">
      <c r="A266" s="21" t="s">
        <v>60</v>
      </c>
      <c r="B266" s="21">
        <v>35.46</v>
      </c>
      <c r="C266" s="21">
        <v>28.89</v>
      </c>
      <c r="D266" s="21">
        <v>28.1</v>
      </c>
      <c r="E266" s="21">
        <v>38.355868000000001</v>
      </c>
      <c r="F266" s="21">
        <v>31.249324000000001</v>
      </c>
      <c r="G266" s="21">
        <v>30.394808000000001</v>
      </c>
      <c r="H266" s="21">
        <v>1.0735969999999999</v>
      </c>
      <c r="I266" s="21">
        <v>0.102452</v>
      </c>
    </row>
    <row r="267" spans="1:9">
      <c r="A267" s="21" t="s">
        <v>61</v>
      </c>
      <c r="B267" s="21">
        <v>35.79</v>
      </c>
      <c r="C267" s="21">
        <v>27.71</v>
      </c>
      <c r="D267" s="21">
        <v>28.63</v>
      </c>
      <c r="E267" s="21">
        <v>38.847281000000002</v>
      </c>
      <c r="F267" s="21">
        <v>30.077065000000001</v>
      </c>
      <c r="G267" s="21">
        <v>31.075654</v>
      </c>
      <c r="H267" s="21">
        <v>1.0873520000000001</v>
      </c>
      <c r="I267" s="21">
        <v>0.120819</v>
      </c>
    </row>
    <row r="268" spans="1:9">
      <c r="A268" s="21" t="s">
        <v>62</v>
      </c>
      <c r="B268" s="21">
        <v>42.03</v>
      </c>
      <c r="C268" s="21">
        <v>26.45</v>
      </c>
      <c r="D268" s="21">
        <v>24.46</v>
      </c>
      <c r="E268" s="21">
        <v>45.222723999999999</v>
      </c>
      <c r="F268" s="21">
        <v>28.459220999999999</v>
      </c>
      <c r="G268" s="21">
        <v>26.318055000000001</v>
      </c>
      <c r="H268" s="21">
        <v>1.265803</v>
      </c>
      <c r="I268" s="21">
        <v>0.34005299999999999</v>
      </c>
    </row>
    <row r="269" spans="1:9">
      <c r="A269" s="21" t="s">
        <v>63</v>
      </c>
      <c r="B269" s="21">
        <v>44.57</v>
      </c>
      <c r="C269" s="21">
        <v>23.01</v>
      </c>
      <c r="D269" s="21">
        <v>25.09</v>
      </c>
      <c r="E269" s="21">
        <v>48.095391999999997</v>
      </c>
      <c r="F269" s="21">
        <v>24.830041999999999</v>
      </c>
      <c r="G269" s="21">
        <v>27.074566000000001</v>
      </c>
      <c r="H269" s="21">
        <v>1.3462099999999999</v>
      </c>
      <c r="I269" s="21">
        <v>0.42890400000000001</v>
      </c>
    </row>
    <row r="270" spans="1:9">
      <c r="A270" s="21" t="s">
        <v>64</v>
      </c>
      <c r="B270" s="21">
        <v>50.01</v>
      </c>
      <c r="C270" s="21">
        <v>17.38</v>
      </c>
      <c r="D270" s="21">
        <v>25.37</v>
      </c>
      <c r="E270" s="21">
        <v>53.913325</v>
      </c>
      <c r="F270" s="21">
        <v>18.736523999999999</v>
      </c>
      <c r="G270" s="21">
        <v>27.350151</v>
      </c>
      <c r="H270" s="21">
        <v>1.509056</v>
      </c>
      <c r="I270" s="21">
        <v>0.59364700000000004</v>
      </c>
    </row>
    <row r="271" spans="1:9">
      <c r="A271" s="21" t="s">
        <v>65</v>
      </c>
      <c r="B271" s="21">
        <v>33.86</v>
      </c>
      <c r="C271" s="21">
        <v>29.69</v>
      </c>
      <c r="D271" s="21">
        <v>28.18</v>
      </c>
      <c r="E271" s="21">
        <v>36.912678999999997</v>
      </c>
      <c r="F271" s="21">
        <v>32.366728000000002</v>
      </c>
      <c r="G271" s="21">
        <v>30.720593000000001</v>
      </c>
      <c r="H271" s="21">
        <v>1.033201</v>
      </c>
      <c r="I271" s="21">
        <v>4.7121000000000003E-2</v>
      </c>
    </row>
    <row r="272" spans="1:9">
      <c r="A272" s="21" t="s">
        <v>66</v>
      </c>
      <c r="B272" s="21">
        <v>29.62</v>
      </c>
      <c r="C272" s="21">
        <v>32.479999999999997</v>
      </c>
      <c r="D272" s="21">
        <v>30.43</v>
      </c>
      <c r="E272" s="21">
        <v>32.011240000000001</v>
      </c>
      <c r="F272" s="21">
        <v>35.102128999999998</v>
      </c>
      <c r="G272" s="21">
        <v>32.886631000000001</v>
      </c>
      <c r="H272" s="21">
        <v>0.89600800000000003</v>
      </c>
      <c r="I272" s="21">
        <v>-0.158417</v>
      </c>
    </row>
    <row r="273" spans="1:9">
      <c r="A273" s="21" t="s">
        <v>67</v>
      </c>
      <c r="B273" s="21">
        <v>38.520000000000003</v>
      </c>
      <c r="C273" s="21">
        <v>21.28</v>
      </c>
      <c r="D273" s="21">
        <v>31.7</v>
      </c>
      <c r="E273" s="21">
        <v>42.098360999999997</v>
      </c>
      <c r="F273" s="21">
        <v>23.256830999999998</v>
      </c>
      <c r="G273" s="21">
        <v>34.644809000000002</v>
      </c>
      <c r="H273" s="21">
        <v>1.1783509999999999</v>
      </c>
      <c r="I273" s="21">
        <v>0.23676900000000001</v>
      </c>
    </row>
    <row r="274" spans="1:9">
      <c r="A274" s="21" t="s">
        <v>68</v>
      </c>
      <c r="B274" s="21">
        <v>35.950000000000003</v>
      </c>
      <c r="C274" s="21">
        <v>29.74</v>
      </c>
      <c r="D274" s="21">
        <v>26.68</v>
      </c>
      <c r="E274" s="21">
        <v>38.919562999999997</v>
      </c>
      <c r="F274" s="21">
        <v>32.196601000000001</v>
      </c>
      <c r="G274" s="21">
        <v>28.883837</v>
      </c>
      <c r="H274" s="21">
        <v>1.089375</v>
      </c>
      <c r="I274" s="21">
        <v>0.1235</v>
      </c>
    </row>
    <row r="275" spans="1:9">
      <c r="A275" s="21" t="s">
        <v>69</v>
      </c>
      <c r="B275" s="21">
        <v>36.03</v>
      </c>
      <c r="C275" s="21">
        <v>29.61</v>
      </c>
      <c r="D275" s="21">
        <v>26.53</v>
      </c>
      <c r="E275" s="21">
        <v>39.090809999999998</v>
      </c>
      <c r="F275" s="21">
        <v>32.125419999999998</v>
      </c>
      <c r="G275" s="21">
        <v>28.783768999999999</v>
      </c>
      <c r="H275" s="21">
        <v>1.094168</v>
      </c>
      <c r="I275" s="21">
        <v>0.129834</v>
      </c>
    </row>
    <row r="276" spans="1:9">
      <c r="A276" s="21" t="s">
        <v>70</v>
      </c>
      <c r="B276" s="21">
        <v>31.82</v>
      </c>
      <c r="C276" s="21">
        <v>30.92</v>
      </c>
      <c r="D276" s="21">
        <v>29.02</v>
      </c>
      <c r="E276" s="21">
        <v>34.677419</v>
      </c>
      <c r="F276" s="21">
        <v>33.696599999999997</v>
      </c>
      <c r="G276" s="21">
        <v>31.625980999999999</v>
      </c>
      <c r="H276" s="21">
        <v>0.97063500000000003</v>
      </c>
      <c r="I276" s="21">
        <v>-4.2999000000000002E-2</v>
      </c>
    </row>
    <row r="277" spans="1:9">
      <c r="A277" s="21" t="s">
        <v>32</v>
      </c>
      <c r="B277" s="21">
        <v>34.159999999999997</v>
      </c>
      <c r="C277" s="21">
        <v>30.43</v>
      </c>
      <c r="D277" s="21">
        <v>27.53</v>
      </c>
      <c r="E277" s="21">
        <v>37.082067000000002</v>
      </c>
      <c r="F277" s="21">
        <v>33.033000000000001</v>
      </c>
      <c r="G277" s="21">
        <v>29.884933</v>
      </c>
      <c r="H277" s="21">
        <v>1.0379430000000001</v>
      </c>
      <c r="I277" s="21">
        <v>5.3726999999999997E-2</v>
      </c>
    </row>
    <row r="279" spans="1:9">
      <c r="A279" s="21" t="s">
        <v>0</v>
      </c>
      <c r="B279" s="21" t="s">
        <v>1</v>
      </c>
      <c r="E279" s="21" t="s">
        <v>2</v>
      </c>
      <c r="H279" s="21" t="s">
        <v>3</v>
      </c>
      <c r="I279" s="21" t="s">
        <v>4</v>
      </c>
    </row>
    <row r="280" spans="1:9">
      <c r="B280" s="21" t="s">
        <v>5</v>
      </c>
      <c r="C280" s="21" t="s">
        <v>6</v>
      </c>
      <c r="D280" s="21" t="s">
        <v>7</v>
      </c>
      <c r="E280" s="21" t="s">
        <v>5</v>
      </c>
      <c r="F280" s="21" t="s">
        <v>6</v>
      </c>
      <c r="G280" s="21" t="s">
        <v>7</v>
      </c>
      <c r="H280" s="21" t="s">
        <v>5</v>
      </c>
      <c r="I280" s="21" t="s">
        <v>5</v>
      </c>
    </row>
    <row r="281" spans="1:9">
      <c r="A281" s="21" t="s">
        <v>71</v>
      </c>
      <c r="B281" s="21">
        <v>41.22</v>
      </c>
      <c r="C281" s="21">
        <v>17.52</v>
      </c>
      <c r="D281" s="21">
        <v>31.27</v>
      </c>
      <c r="E281" s="21">
        <v>45.794911999999997</v>
      </c>
      <c r="F281" s="21">
        <v>19.464504000000002</v>
      </c>
      <c r="G281" s="21">
        <v>34.740583999999998</v>
      </c>
      <c r="H281" s="21">
        <v>1.2203459999999999</v>
      </c>
      <c r="I281" s="21">
        <v>0.28728999999999999</v>
      </c>
    </row>
    <row r="282" spans="1:9">
      <c r="A282" s="21" t="s">
        <v>72</v>
      </c>
      <c r="B282" s="21">
        <v>42.66</v>
      </c>
      <c r="C282" s="21">
        <v>21.58</v>
      </c>
      <c r="D282" s="21">
        <v>27.01</v>
      </c>
      <c r="E282" s="21">
        <v>46.750684999999997</v>
      </c>
      <c r="F282" s="21">
        <v>23.649315000000001</v>
      </c>
      <c r="G282" s="21">
        <v>29.6</v>
      </c>
      <c r="H282" s="21">
        <v>1.2458149999999999</v>
      </c>
      <c r="I282" s="21">
        <v>0.31708999999999998</v>
      </c>
    </row>
    <row r="283" spans="1:9">
      <c r="A283" s="21" t="s">
        <v>32</v>
      </c>
      <c r="B283" s="21">
        <v>34.29</v>
      </c>
      <c r="C283" s="21">
        <v>24.43</v>
      </c>
      <c r="D283" s="21">
        <v>32.090000000000003</v>
      </c>
      <c r="E283" s="21">
        <v>37.760159000000002</v>
      </c>
      <c r="F283" s="21">
        <v>26.902324</v>
      </c>
      <c r="G283" s="21">
        <v>35.337518000000003</v>
      </c>
      <c r="H283" s="21">
        <v>1.006235</v>
      </c>
      <c r="I283" s="21">
        <v>8.9669999999999993E-3</v>
      </c>
    </row>
    <row r="285" spans="1:9">
      <c r="A285" s="21" t="s">
        <v>71</v>
      </c>
      <c r="B285" s="21">
        <v>42.95</v>
      </c>
      <c r="C285" s="21">
        <v>25.72</v>
      </c>
      <c r="D285" s="21">
        <v>24.12</v>
      </c>
      <c r="E285" s="21">
        <v>46.287315</v>
      </c>
      <c r="F285" s="21">
        <v>27.718503999999999</v>
      </c>
      <c r="G285" s="21">
        <v>25.99418</v>
      </c>
      <c r="H285" s="21">
        <v>1.295601</v>
      </c>
      <c r="I285" s="21">
        <v>0.37362200000000001</v>
      </c>
    </row>
    <row r="286" spans="1:9">
      <c r="A286" s="21" t="s">
        <v>72</v>
      </c>
      <c r="B286" s="21">
        <v>41.03</v>
      </c>
      <c r="C286" s="21">
        <v>25.77</v>
      </c>
      <c r="D286" s="21">
        <v>26.05</v>
      </c>
      <c r="E286" s="21">
        <v>44.189552999999997</v>
      </c>
      <c r="F286" s="21">
        <v>27.754442999999998</v>
      </c>
      <c r="G286" s="21">
        <v>28.056004000000001</v>
      </c>
      <c r="H286" s="21">
        <v>1.2368840000000001</v>
      </c>
      <c r="I286" s="21">
        <v>0.30670999999999998</v>
      </c>
    </row>
    <row r="287" spans="1:9">
      <c r="A287" s="21" t="s">
        <v>32</v>
      </c>
      <c r="B287" s="21">
        <v>34.159999999999997</v>
      </c>
      <c r="C287" s="21">
        <v>30.43</v>
      </c>
      <c r="D287" s="21">
        <v>27.53</v>
      </c>
      <c r="E287" s="21">
        <v>37.082067000000002</v>
      </c>
      <c r="F287" s="21">
        <v>33.033000000000001</v>
      </c>
      <c r="G287" s="21">
        <v>29.884933</v>
      </c>
      <c r="H287" s="21">
        <v>1.0379430000000001</v>
      </c>
      <c r="I287" s="21">
        <v>5.3726999999999997E-2</v>
      </c>
    </row>
    <row r="289" spans="1:10">
      <c r="A289" s="21" t="s">
        <v>71</v>
      </c>
      <c r="B289" s="21">
        <v>40.6</v>
      </c>
      <c r="C289" s="21">
        <v>25.62</v>
      </c>
      <c r="D289" s="21">
        <v>26.75</v>
      </c>
      <c r="E289" s="21">
        <v>43.670000999999999</v>
      </c>
      <c r="F289" s="21">
        <v>27.557276999999999</v>
      </c>
      <c r="G289" s="21">
        <v>28.772722000000002</v>
      </c>
      <c r="H289" s="21">
        <v>1.1632290000000001</v>
      </c>
      <c r="I289" s="21">
        <v>0.218135</v>
      </c>
    </row>
    <row r="290" spans="1:10">
      <c r="A290" s="21" t="s">
        <v>72</v>
      </c>
      <c r="B290" s="21">
        <v>37.880000000000003</v>
      </c>
      <c r="C290" s="21">
        <v>21.21</v>
      </c>
      <c r="D290" s="21">
        <v>32.840000000000003</v>
      </c>
      <c r="E290" s="21">
        <v>41.205264999999997</v>
      </c>
      <c r="F290" s="21">
        <v>23.071902999999999</v>
      </c>
      <c r="G290" s="21">
        <v>35.722833000000001</v>
      </c>
      <c r="H290" s="21">
        <v>1.0975760000000001</v>
      </c>
      <c r="I290" s="21">
        <v>0.134321</v>
      </c>
    </row>
    <row r="291" spans="1:10">
      <c r="A291" s="21" t="s">
        <v>32</v>
      </c>
      <c r="B291" s="21">
        <v>35.200000000000003</v>
      </c>
      <c r="C291" s="21">
        <v>32.15</v>
      </c>
      <c r="D291" s="21">
        <v>25.52</v>
      </c>
      <c r="E291" s="21">
        <v>37.902444000000003</v>
      </c>
      <c r="F291" s="21">
        <v>34.618284000000003</v>
      </c>
      <c r="G291" s="21">
        <v>27.479272000000002</v>
      </c>
      <c r="H291" s="21">
        <v>1.0096000000000001</v>
      </c>
      <c r="I291" s="21">
        <v>1.3783999999999999E-2</v>
      </c>
    </row>
    <row r="293" spans="1:10">
      <c r="A293" s="21" t="s">
        <v>0</v>
      </c>
      <c r="B293" s="21" t="s">
        <v>1</v>
      </c>
      <c r="E293" s="21" t="s">
        <v>2</v>
      </c>
      <c r="H293" s="21" t="s">
        <v>220</v>
      </c>
      <c r="I293" s="21" t="s">
        <v>3</v>
      </c>
      <c r="J293" s="21" t="s">
        <v>4</v>
      </c>
    </row>
    <row r="294" spans="1:10">
      <c r="B294" s="21" t="s">
        <v>5</v>
      </c>
      <c r="C294" s="21" t="s">
        <v>6</v>
      </c>
      <c r="D294" s="21" t="s">
        <v>7</v>
      </c>
      <c r="E294" s="21" t="s">
        <v>5</v>
      </c>
      <c r="F294" s="21" t="s">
        <v>6</v>
      </c>
      <c r="G294" s="21" t="s">
        <v>7</v>
      </c>
      <c r="I294" s="21" t="s">
        <v>5</v>
      </c>
      <c r="J294" s="21" t="s">
        <v>5</v>
      </c>
    </row>
    <row r="295" spans="1:10">
      <c r="A295" s="21" t="s">
        <v>32</v>
      </c>
      <c r="B295" s="21">
        <v>29.8</v>
      </c>
      <c r="C295" s="21">
        <v>31.89</v>
      </c>
      <c r="D295" s="21">
        <v>31.39</v>
      </c>
      <c r="E295" s="21">
        <v>32.015470562956594</v>
      </c>
      <c r="F295" s="21">
        <v>99.608093959731548</v>
      </c>
      <c r="G295" s="21">
        <v>31.513503323023127</v>
      </c>
      <c r="H295" s="21">
        <v>35.040475004137654</v>
      </c>
      <c r="I295" s="21">
        <v>0.91367113485693729</v>
      </c>
      <c r="J295" s="21">
        <v>-0.1302531172270964</v>
      </c>
    </row>
    <row r="296" spans="1:10">
      <c r="A296" s="21" t="s">
        <v>32</v>
      </c>
      <c r="B296" s="21">
        <v>32.35</v>
      </c>
      <c r="C296" s="21">
        <v>31.6</v>
      </c>
      <c r="D296" s="21">
        <v>28.78</v>
      </c>
      <c r="E296" s="21">
        <v>34.886228836406772</v>
      </c>
      <c r="F296" s="21">
        <v>90.580154559505417</v>
      </c>
      <c r="G296" s="21">
        <v>31.772964111132495</v>
      </c>
      <c r="I296" s="21">
        <v>0.99559805716924021</v>
      </c>
      <c r="J296" s="21">
        <v>-6.3646798707812967E-3</v>
      </c>
    </row>
    <row r="297" spans="1:10">
      <c r="A297" s="21" t="s">
        <v>32</v>
      </c>
      <c r="B297" s="21">
        <v>35.380000000000003</v>
      </c>
      <c r="C297" s="21">
        <v>33.69</v>
      </c>
      <c r="D297" s="21">
        <v>23.5</v>
      </c>
      <c r="E297" s="21">
        <v>38.21972561304959</v>
      </c>
      <c r="F297" s="21">
        <v>88.148199547767092</v>
      </c>
      <c r="G297" s="21">
        <v>26.659648320174096</v>
      </c>
      <c r="I297" s="21">
        <v>1.0907308079738223</v>
      </c>
      <c r="J297" s="21">
        <v>0.12529508890159136</v>
      </c>
    </row>
    <row r="298" spans="1:10">
      <c r="A298" s="21" t="s">
        <v>74</v>
      </c>
      <c r="B298" s="21">
        <v>38.68</v>
      </c>
      <c r="C298" s="21">
        <v>26.64</v>
      </c>
      <c r="D298" s="21">
        <v>27.91</v>
      </c>
      <c r="E298" s="21">
        <v>41.488791161643249</v>
      </c>
      <c r="F298" s="21">
        <v>64.210113753877977</v>
      </c>
      <c r="G298" s="21">
        <v>43.466672722277139</v>
      </c>
      <c r="I298" s="21">
        <v>1.1840247929499861</v>
      </c>
      <c r="J298" s="21">
        <v>0.24369929067252269</v>
      </c>
    </row>
    <row r="299" spans="1:10">
      <c r="A299" s="21" t="s">
        <v>74</v>
      </c>
      <c r="B299" s="21">
        <v>36.32</v>
      </c>
      <c r="C299" s="21">
        <v>27.16</v>
      </c>
      <c r="D299" s="21">
        <v>29.97</v>
      </c>
      <c r="E299" s="21">
        <v>38.865703584804706</v>
      </c>
      <c r="F299" s="21">
        <v>69.881662995594723</v>
      </c>
      <c r="G299" s="21">
        <v>42.886787055839356</v>
      </c>
      <c r="I299" s="21">
        <v>1.1091660024647314</v>
      </c>
      <c r="J299" s="21">
        <v>0.14947530148712279</v>
      </c>
    </row>
    <row r="300" spans="1:10">
      <c r="A300" s="21" t="s">
        <v>74</v>
      </c>
      <c r="B300" s="21">
        <v>35.14</v>
      </c>
      <c r="C300" s="21">
        <v>26.56</v>
      </c>
      <c r="D300" s="21">
        <v>31.49</v>
      </c>
      <c r="E300" s="21">
        <v>37.707908573881319</v>
      </c>
      <c r="F300" s="21">
        <v>70.43615253272624</v>
      </c>
      <c r="G300" s="21">
        <v>44.707155157813354</v>
      </c>
      <c r="I300" s="21">
        <v>1.0761243553184907</v>
      </c>
      <c r="J300" s="21">
        <v>0.10584480320578692</v>
      </c>
    </row>
    <row r="301" spans="1:10">
      <c r="A301" s="21" t="s">
        <v>54</v>
      </c>
      <c r="B301" s="21">
        <v>26.84</v>
      </c>
      <c r="C301" s="21">
        <v>37.21</v>
      </c>
      <c r="D301" s="21">
        <v>28.82</v>
      </c>
      <c r="E301" s="21">
        <v>28.900613761171527</v>
      </c>
      <c r="F301" s="21">
        <v>128.75159090909091</v>
      </c>
      <c r="G301" s="21">
        <v>22.384189427491627</v>
      </c>
      <c r="I301" s="21">
        <v>0.82477802477731488</v>
      </c>
      <c r="J301" s="21">
        <v>-0.27792220055081002</v>
      </c>
    </row>
    <row r="302" spans="1:10">
      <c r="A302" s="21" t="s">
        <v>54</v>
      </c>
      <c r="B302" s="21">
        <v>27.36</v>
      </c>
      <c r="C302" s="21">
        <v>35.549999999999997</v>
      </c>
      <c r="D302" s="21">
        <v>29.84</v>
      </c>
      <c r="E302" s="21">
        <v>29.49865229110512</v>
      </c>
      <c r="F302" s="21">
        <v>120.51398026315789</v>
      </c>
      <c r="G302" s="21">
        <v>24.760612781057013</v>
      </c>
      <c r="I302" s="21">
        <v>0.84184510305930094</v>
      </c>
      <c r="J302" s="21">
        <v>-0.24837328868090178</v>
      </c>
    </row>
    <row r="303" spans="1:10">
      <c r="A303" s="21" t="s">
        <v>54</v>
      </c>
      <c r="B303" s="21">
        <v>30.71</v>
      </c>
      <c r="C303" s="21">
        <v>35.53</v>
      </c>
      <c r="D303" s="21">
        <v>26.88</v>
      </c>
      <c r="E303" s="21">
        <v>32.978951890034359</v>
      </c>
      <c r="F303" s="21">
        <v>107.7353826115272</v>
      </c>
      <c r="G303" s="21">
        <v>24.950020456068778</v>
      </c>
      <c r="I303" s="21">
        <v>0.94116737533210193</v>
      </c>
      <c r="J303" s="21">
        <v>-8.7476783103681205E-2</v>
      </c>
    </row>
    <row r="305" spans="1:10">
      <c r="A305" s="21" t="s">
        <v>32</v>
      </c>
      <c r="B305" s="21">
        <v>28.41</v>
      </c>
      <c r="C305" s="21">
        <v>29.23</v>
      </c>
      <c r="D305" s="21">
        <v>33.51</v>
      </c>
      <c r="E305" s="21">
        <v>31.168403730115191</v>
      </c>
      <c r="F305" s="21">
        <v>93.780869412178816</v>
      </c>
      <c r="G305" s="21">
        <v>35.732234313929531</v>
      </c>
      <c r="H305" s="21">
        <v>31.062781815548675</v>
      </c>
      <c r="I305" s="21">
        <v>1.0034002722355551</v>
      </c>
      <c r="J305" s="21">
        <v>4.8972346368445271E-3</v>
      </c>
    </row>
    <row r="306" spans="1:10">
      <c r="A306" s="21" t="s">
        <v>32</v>
      </c>
      <c r="B306" s="21">
        <v>27.68</v>
      </c>
      <c r="C306" s="21">
        <v>31.89</v>
      </c>
      <c r="D306" s="21">
        <v>31.24</v>
      </c>
      <c r="E306" s="21">
        <v>30.481224534742868</v>
      </c>
      <c r="F306" s="21">
        <v>104.62178106936418</v>
      </c>
      <c r="G306" s="21">
        <v>29.859938992328853</v>
      </c>
      <c r="I306" s="21">
        <v>0.98127800387424724</v>
      </c>
      <c r="J306" s="21">
        <v>-2.726617353814477E-2</v>
      </c>
    </row>
    <row r="307" spans="1:10">
      <c r="A307" s="21" t="s">
        <v>32</v>
      </c>
      <c r="B307" s="21">
        <v>28.47</v>
      </c>
      <c r="C307" s="21">
        <v>29.79</v>
      </c>
      <c r="D307" s="21">
        <v>32.01</v>
      </c>
      <c r="E307" s="21">
        <v>31.53871718178797</v>
      </c>
      <c r="F307" s="21">
        <v>94.455331928345629</v>
      </c>
      <c r="G307" s="21">
        <v>33.889034474287776</v>
      </c>
      <c r="I307" s="21">
        <v>1.0153217238901979</v>
      </c>
      <c r="J307" s="21">
        <v>2.1936945061572913E-2</v>
      </c>
    </row>
    <row r="308" spans="1:10">
      <c r="A308" s="21" t="s">
        <v>74</v>
      </c>
      <c r="B308" s="21">
        <v>37.51</v>
      </c>
      <c r="C308" s="21">
        <v>17.37</v>
      </c>
      <c r="D308" s="21">
        <v>35.07</v>
      </c>
      <c r="E308" s="21">
        <v>41.700944969427468</v>
      </c>
      <c r="F308" s="21">
        <v>41.653732338043177</v>
      </c>
      <c r="G308" s="21">
        <v>84.194135870916597</v>
      </c>
      <c r="I308" s="21">
        <v>1.3424729702912117</v>
      </c>
      <c r="J308" s="21">
        <v>0.42489304089642566</v>
      </c>
    </row>
    <row r="309" spans="1:10">
      <c r="A309" s="21" t="s">
        <v>74</v>
      </c>
      <c r="B309" s="21">
        <v>33.049999999999997</v>
      </c>
      <c r="C309" s="21">
        <v>17.97</v>
      </c>
      <c r="D309" s="21">
        <v>38.4</v>
      </c>
      <c r="E309" s="21">
        <v>36.960411541042269</v>
      </c>
      <c r="F309" s="21">
        <v>48.619588502269295</v>
      </c>
      <c r="G309" s="21">
        <v>78.980512141125374</v>
      </c>
      <c r="I309" s="21">
        <v>1.1898616086773497</v>
      </c>
      <c r="J309" s="21">
        <v>0.25079378522621248</v>
      </c>
    </row>
    <row r="310" spans="1:10">
      <c r="A310" s="21" t="s">
        <v>74</v>
      </c>
      <c r="B310" s="21">
        <v>35.06</v>
      </c>
      <c r="C310" s="21">
        <v>19.11</v>
      </c>
      <c r="D310" s="21">
        <v>35.94</v>
      </c>
      <c r="E310" s="21">
        <v>38.908001331705691</v>
      </c>
      <c r="F310" s="21">
        <v>49.115861380490593</v>
      </c>
      <c r="G310" s="21">
        <v>73.17391773215607</v>
      </c>
      <c r="I310" s="21">
        <v>1.2525601075506394</v>
      </c>
      <c r="J310" s="21">
        <v>0.32487983678137811</v>
      </c>
    </row>
    <row r="311" spans="1:10">
      <c r="A311" s="21" t="s">
        <v>54</v>
      </c>
      <c r="B311" s="21">
        <v>25.25</v>
      </c>
      <c r="C311" s="21">
        <v>28.59</v>
      </c>
      <c r="D311" s="21">
        <v>36.43</v>
      </c>
      <c r="E311" s="21">
        <v>27.971640633654587</v>
      </c>
      <c r="F311" s="21">
        <v>102.21066534653467</v>
      </c>
      <c r="G311" s="21">
        <v>35.642073042463679</v>
      </c>
      <c r="I311" s="21">
        <v>0.90048730341508576</v>
      </c>
      <c r="J311" s="21">
        <v>-0.15122216015417358</v>
      </c>
    </row>
    <row r="312" spans="1:10">
      <c r="A312" s="21" t="s">
        <v>54</v>
      </c>
      <c r="B312" s="21">
        <v>28.31</v>
      </c>
      <c r="C312" s="21">
        <v>29.43</v>
      </c>
      <c r="D312" s="21">
        <v>33.22</v>
      </c>
      <c r="E312" s="21">
        <v>31.123570800351803</v>
      </c>
      <c r="F312" s="21">
        <v>94.558558813140237</v>
      </c>
      <c r="G312" s="21">
        <v>35.131669112731458</v>
      </c>
      <c r="I312" s="21">
        <v>1.0019569716957126</v>
      </c>
      <c r="J312" s="21">
        <v>2.8205543872992954E-3</v>
      </c>
    </row>
    <row r="313" spans="1:10">
      <c r="A313" s="21" t="s">
        <v>54</v>
      </c>
      <c r="B313" s="21">
        <v>22.54</v>
      </c>
      <c r="C313" s="21">
        <v>28.22</v>
      </c>
      <c r="D313" s="21">
        <v>39.130000000000003</v>
      </c>
      <c r="E313" s="21">
        <v>25.075091778840804</v>
      </c>
      <c r="F313" s="21">
        <v>112.54196095829637</v>
      </c>
      <c r="G313" s="21">
        <v>34.769253767046095</v>
      </c>
      <c r="I313" s="21">
        <v>0.80723909171229813</v>
      </c>
      <c r="J313" s="21">
        <v>-0.30893205417217129</v>
      </c>
    </row>
    <row r="315" spans="1:10">
      <c r="A315" s="21" t="s">
        <v>32</v>
      </c>
      <c r="B315" s="21">
        <v>38.53</v>
      </c>
      <c r="C315" s="21">
        <v>28.58</v>
      </c>
      <c r="D315" s="21">
        <v>33.33</v>
      </c>
      <c r="E315" s="21">
        <v>38.361210673038634</v>
      </c>
      <c r="F315" s="21">
        <v>74.502341032961326</v>
      </c>
      <c r="G315" s="21">
        <v>44.736849255856455</v>
      </c>
      <c r="H315" s="21">
        <v>39.821501798856445</v>
      </c>
      <c r="I315" s="21">
        <v>0.96332907952106051</v>
      </c>
      <c r="J315" s="21">
        <v>-5.3899378549617766E-2</v>
      </c>
    </row>
    <row r="316" spans="1:10">
      <c r="A316" s="21" t="s">
        <v>32</v>
      </c>
      <c r="B316" s="21">
        <v>40.590000000000003</v>
      </c>
      <c r="C316" s="21">
        <v>28.79</v>
      </c>
      <c r="D316" s="21">
        <v>31.68</v>
      </c>
      <c r="E316" s="21">
        <v>40.16425885612508</v>
      </c>
      <c r="F316" s="21">
        <v>71.680645479182047</v>
      </c>
      <c r="G316" s="21">
        <v>44.196030585690956</v>
      </c>
      <c r="I316" s="21">
        <v>1.0086073362827939</v>
      </c>
      <c r="J316" s="21">
        <v>1.2364624142072881E-2</v>
      </c>
    </row>
    <row r="317" spans="1:10">
      <c r="A317" s="21" t="s">
        <v>32</v>
      </c>
      <c r="B317" s="21">
        <v>39.15</v>
      </c>
      <c r="C317" s="21">
        <v>26.6</v>
      </c>
      <c r="D317" s="21">
        <v>29.88</v>
      </c>
      <c r="E317" s="21">
        <v>40.939035867405629</v>
      </c>
      <c r="F317" s="21">
        <v>64.97466155810983</v>
      </c>
      <c r="G317" s="21">
        <v>45.98715758338647</v>
      </c>
      <c r="I317" s="21">
        <v>1.0280635841961459</v>
      </c>
      <c r="J317" s="21">
        <v>3.9929495823267533E-2</v>
      </c>
    </row>
    <row r="318" spans="1:10">
      <c r="A318" s="21" t="s">
        <v>74</v>
      </c>
      <c r="B318" s="21">
        <v>37.06</v>
      </c>
      <c r="C318" s="21">
        <v>20.11</v>
      </c>
      <c r="D318" s="21">
        <v>35.31</v>
      </c>
      <c r="E318" s="21">
        <v>40.073529411764703</v>
      </c>
      <c r="F318" s="21">
        <v>50.182752293577984</v>
      </c>
      <c r="G318" s="21">
        <v>70.362820662825044</v>
      </c>
      <c r="I318" s="21">
        <v>1.0063289329011569</v>
      </c>
      <c r="J318" s="21">
        <v>9.1019475889189422E-3</v>
      </c>
    </row>
    <row r="319" spans="1:10">
      <c r="A319" s="21" t="s">
        <v>74</v>
      </c>
      <c r="B319" s="21">
        <v>41.26</v>
      </c>
      <c r="C319" s="21">
        <v>22.03</v>
      </c>
      <c r="D319" s="21">
        <v>29.1</v>
      </c>
      <c r="E319" s="21">
        <v>44.658512826063429</v>
      </c>
      <c r="F319" s="21">
        <v>49.329900630150263</v>
      </c>
      <c r="G319" s="21">
        <v>58.99059115925764</v>
      </c>
      <c r="I319" s="21">
        <v>1.1214673181247496</v>
      </c>
      <c r="J319" s="21">
        <v>0.16538757792185099</v>
      </c>
    </row>
    <row r="320" spans="1:10">
      <c r="A320" s="21" t="s">
        <v>74</v>
      </c>
      <c r="B320" s="21">
        <v>43.64</v>
      </c>
      <c r="C320" s="21">
        <v>23.38</v>
      </c>
      <c r="D320" s="21">
        <v>27.74</v>
      </c>
      <c r="E320" s="21">
        <v>46.053186998733651</v>
      </c>
      <c r="F320" s="21">
        <v>50.767387717690184</v>
      </c>
      <c r="G320" s="21">
        <v>54.641377559660882</v>
      </c>
      <c r="I320" s="21">
        <v>1.1564904616444214</v>
      </c>
      <c r="J320" s="21">
        <v>0.20975336714570811</v>
      </c>
    </row>
    <row r="321" spans="1:10">
      <c r="A321" s="21" t="s">
        <v>54</v>
      </c>
      <c r="B321" s="21">
        <v>33.04</v>
      </c>
      <c r="C321" s="21">
        <v>26.62</v>
      </c>
      <c r="D321" s="21">
        <v>29.89</v>
      </c>
      <c r="E321" s="21">
        <v>36.895589056393078</v>
      </c>
      <c r="F321" s="21">
        <v>72.149546004842605</v>
      </c>
      <c r="G321" s="21">
        <v>41.427842107272319</v>
      </c>
      <c r="I321" s="21">
        <v>0.92652429942892334</v>
      </c>
      <c r="J321" s="21">
        <v>-0.11009928139154612</v>
      </c>
    </row>
    <row r="322" spans="1:10">
      <c r="A322" s="21" t="s">
        <v>54</v>
      </c>
      <c r="B322" s="21">
        <v>34.14</v>
      </c>
      <c r="C322" s="21">
        <v>29.81</v>
      </c>
      <c r="D322" s="21">
        <v>32.979999999999997</v>
      </c>
      <c r="E322" s="21">
        <v>35.221293717115444</v>
      </c>
      <c r="F322" s="21">
        <v>84.636300527240778</v>
      </c>
      <c r="G322" s="21">
        <v>38.96673152601366</v>
      </c>
      <c r="I322" s="21">
        <v>0.88447929199211905</v>
      </c>
      <c r="J322" s="21">
        <v>-0.17709972889644979</v>
      </c>
    </row>
    <row r="323" spans="1:10">
      <c r="A323" s="21" t="s">
        <v>54</v>
      </c>
      <c r="B323" s="21">
        <v>34.119999999999997</v>
      </c>
      <c r="C323" s="21">
        <v>29.17</v>
      </c>
      <c r="D323" s="21">
        <v>40.44</v>
      </c>
      <c r="E323" s="21">
        <v>32.893087824158876</v>
      </c>
      <c r="F323" s="21">
        <v>88.681245603751464</v>
      </c>
      <c r="G323" s="21">
        <v>45.601524566643292</v>
      </c>
      <c r="I323" s="21">
        <v>0.82601324255187847</v>
      </c>
      <c r="J323" s="21">
        <v>-0.27576318393177168</v>
      </c>
    </row>
    <row r="325" spans="1:10">
      <c r="A325" s="21" t="s">
        <v>32</v>
      </c>
      <c r="B325" s="21">
        <v>38.29</v>
      </c>
      <c r="C325" s="21">
        <v>19.2</v>
      </c>
      <c r="D325" s="21">
        <v>33.33</v>
      </c>
      <c r="E325" s="21">
        <v>42.16031711076856</v>
      </c>
      <c r="F325" s="21">
        <v>45.540454426743267</v>
      </c>
      <c r="G325" s="21">
        <v>73.187675484474795</v>
      </c>
      <c r="H325" s="21">
        <v>42.066271847816417</v>
      </c>
      <c r="I325" s="21">
        <v>1.0022356453001675</v>
      </c>
      <c r="J325" s="21">
        <v>3.2217543781138552E-3</v>
      </c>
    </row>
    <row r="326" spans="1:10">
      <c r="A326" s="21" t="s">
        <v>32</v>
      </c>
      <c r="B326" s="21">
        <v>38.22</v>
      </c>
      <c r="C326" s="21">
        <v>21.28</v>
      </c>
      <c r="D326" s="21">
        <v>31.68</v>
      </c>
      <c r="E326" s="21">
        <v>41.917087080500103</v>
      </c>
      <c r="F326" s="21">
        <v>50.766886446886453</v>
      </c>
      <c r="G326" s="21">
        <v>62.402881518338503</v>
      </c>
      <c r="I326" s="21">
        <v>0.99645357763445208</v>
      </c>
      <c r="J326" s="21">
        <v>-5.125499935021636E-3</v>
      </c>
    </row>
    <row r="327" spans="1:10">
      <c r="A327" s="21" t="s">
        <v>32</v>
      </c>
      <c r="B327" s="21">
        <v>38.44</v>
      </c>
      <c r="C327" s="21">
        <v>22.94</v>
      </c>
      <c r="D327" s="21">
        <v>29.88</v>
      </c>
      <c r="E327" s="21">
        <v>42.121411352180587</v>
      </c>
      <c r="F327" s="21">
        <v>54.461612903225799</v>
      </c>
      <c r="G327" s="21">
        <v>54.864331787408716</v>
      </c>
      <c r="I327" s="21">
        <v>1.0013107770653802</v>
      </c>
      <c r="J327" s="21">
        <v>1.8898132803846731E-3</v>
      </c>
    </row>
    <row r="328" spans="1:10">
      <c r="A328" s="21" t="s">
        <v>74</v>
      </c>
      <c r="B328" s="21">
        <v>41.51</v>
      </c>
      <c r="C328" s="21">
        <v>14.42</v>
      </c>
      <c r="D328" s="21">
        <v>35.31</v>
      </c>
      <c r="E328" s="21">
        <v>45.495396755808848</v>
      </c>
      <c r="F328" s="21">
        <v>31.695514333895453</v>
      </c>
      <c r="G328" s="21">
        <v>111.40377666072195</v>
      </c>
      <c r="I328" s="21">
        <v>1.0815172050520192</v>
      </c>
      <c r="J328" s="21">
        <v>0.11305661624375735</v>
      </c>
    </row>
    <row r="329" spans="1:10">
      <c r="A329" s="21" t="s">
        <v>74</v>
      </c>
      <c r="B329" s="21">
        <v>47.26</v>
      </c>
      <c r="C329" s="21">
        <v>16.84</v>
      </c>
      <c r="D329" s="21">
        <v>29.1</v>
      </c>
      <c r="E329" s="21">
        <v>50.708154506437772</v>
      </c>
      <c r="F329" s="21">
        <v>33.209648751586961</v>
      </c>
      <c r="G329" s="21">
        <v>87.625136350198289</v>
      </c>
      <c r="I329" s="21">
        <v>1.2054349548703813</v>
      </c>
      <c r="J329" s="21">
        <v>0.26955380538449158</v>
      </c>
    </row>
    <row r="330" spans="1:10">
      <c r="A330" s="21" t="s">
        <v>74</v>
      </c>
      <c r="B330" s="21">
        <v>48.52</v>
      </c>
      <c r="C330" s="21">
        <v>15.96</v>
      </c>
      <c r="D330" s="21">
        <v>27.74</v>
      </c>
      <c r="E330" s="21">
        <v>52.613315983517673</v>
      </c>
      <c r="F330" s="21">
        <v>30.334525968672715</v>
      </c>
      <c r="G330" s="21">
        <v>91.446953971352144</v>
      </c>
      <c r="I330" s="21">
        <v>1.2507244800265973</v>
      </c>
      <c r="J330" s="21">
        <v>0.32276401566086999</v>
      </c>
    </row>
    <row r="331" spans="1:10">
      <c r="A331" s="21" t="s">
        <v>54</v>
      </c>
      <c r="B331" s="21">
        <v>37.9</v>
      </c>
      <c r="C331" s="21">
        <v>24.12</v>
      </c>
      <c r="D331" s="21">
        <v>29.89</v>
      </c>
      <c r="E331" s="21">
        <v>41.235991731041238</v>
      </c>
      <c r="F331" s="21">
        <v>58.492591029023743</v>
      </c>
      <c r="G331" s="21">
        <v>51.100488923748863</v>
      </c>
      <c r="I331" s="21">
        <v>0.98026256950511581</v>
      </c>
      <c r="J331" s="21">
        <v>-2.8759858939749802E-2</v>
      </c>
    </row>
    <row r="332" spans="1:10">
      <c r="A332" s="21" t="s">
        <v>54</v>
      </c>
      <c r="B332" s="21">
        <v>35.11</v>
      </c>
      <c r="C332" s="21">
        <v>23.96</v>
      </c>
      <c r="D332" s="21">
        <v>32.979999999999997</v>
      </c>
      <c r="E332" s="21">
        <v>38.142313959804454</v>
      </c>
      <c r="F332" s="21">
        <v>62.817373967530621</v>
      </c>
      <c r="G332" s="21">
        <v>52.501398764371899</v>
      </c>
      <c r="I332" s="21">
        <v>0.90671961845804394</v>
      </c>
      <c r="J332" s="21">
        <v>-0.14127159440422657</v>
      </c>
    </row>
    <row r="333" spans="1:10">
      <c r="A333" s="21" t="s">
        <v>54</v>
      </c>
      <c r="B333" s="21">
        <v>30.64</v>
      </c>
      <c r="C333" s="21">
        <v>18.760000000000002</v>
      </c>
      <c r="D333" s="21">
        <v>40.44</v>
      </c>
      <c r="E333" s="21">
        <v>34.105075690115761</v>
      </c>
      <c r="F333" s="21">
        <v>55.00647519582246</v>
      </c>
      <c r="G333" s="21">
        <v>73.518617319204751</v>
      </c>
      <c r="I333" s="21">
        <v>0.81074633410581387</v>
      </c>
      <c r="J333" s="21">
        <v>-0.30267749952335699</v>
      </c>
    </row>
    <row r="335" spans="1:10">
      <c r="A335" s="21" t="s">
        <v>0</v>
      </c>
      <c r="B335" s="21" t="s">
        <v>1</v>
      </c>
      <c r="E335" s="21" t="s">
        <v>2</v>
      </c>
      <c r="H335" s="21" t="s">
        <v>220</v>
      </c>
      <c r="I335" s="21" t="s">
        <v>3</v>
      </c>
      <c r="J335" s="21" t="s">
        <v>4</v>
      </c>
    </row>
    <row r="336" spans="1:10">
      <c r="B336" s="21" t="s">
        <v>5</v>
      </c>
      <c r="C336" s="21" t="s">
        <v>6</v>
      </c>
      <c r="D336" s="21" t="s">
        <v>7</v>
      </c>
      <c r="E336" s="21" t="s">
        <v>5</v>
      </c>
      <c r="F336" s="21" t="s">
        <v>6</v>
      </c>
      <c r="G336" s="21" t="s">
        <v>7</v>
      </c>
      <c r="I336" s="21" t="s">
        <v>5</v>
      </c>
      <c r="J336" s="21" t="s">
        <v>5</v>
      </c>
    </row>
    <row r="337" spans="1:10">
      <c r="A337" s="21" t="s">
        <v>32</v>
      </c>
      <c r="B337" s="21">
        <v>30.74</v>
      </c>
      <c r="C337" s="21">
        <v>21.69</v>
      </c>
      <c r="D337" s="21">
        <v>43.36</v>
      </c>
      <c r="E337" s="21">
        <v>32.091032466854578</v>
      </c>
      <c r="F337" s="21">
        <v>22.643282179768246</v>
      </c>
      <c r="G337" s="21">
        <v>45.265685353377179</v>
      </c>
      <c r="H337" s="21">
        <v>31.042916129423126</v>
      </c>
      <c r="I337" s="21">
        <v>1.0337634625903598</v>
      </c>
      <c r="J337" s="21">
        <v>4.7906117581199129E-2</v>
      </c>
    </row>
    <row r="338" spans="1:10">
      <c r="A338" s="21" t="s">
        <v>32</v>
      </c>
      <c r="B338" s="21">
        <v>28.84</v>
      </c>
      <c r="C338" s="21">
        <v>18.97</v>
      </c>
      <c r="D338" s="21">
        <v>48.34</v>
      </c>
      <c r="E338" s="21">
        <v>29.994799791991678</v>
      </c>
      <c r="F338" s="21">
        <v>19.729589183567342</v>
      </c>
      <c r="G338" s="21">
        <v>50.275611024440977</v>
      </c>
      <c r="I338" s="21">
        <v>0.96623653740964044</v>
      </c>
      <c r="J338" s="21">
        <v>-4.9551686804759618E-2</v>
      </c>
    </row>
    <row r="339" spans="1:10">
      <c r="A339" s="21" t="s">
        <v>73</v>
      </c>
      <c r="B339" s="21">
        <v>19.59</v>
      </c>
      <c r="C339" s="21">
        <v>19.98</v>
      </c>
      <c r="D339" s="21">
        <v>55.62</v>
      </c>
      <c r="E339" s="21">
        <v>20.579892845887173</v>
      </c>
      <c r="F339" s="21">
        <v>20.989599747872678</v>
      </c>
      <c r="G339" s="21">
        <v>58.430507406240153</v>
      </c>
      <c r="I339" s="21">
        <v>0.66294972933876917</v>
      </c>
      <c r="J339" s="21">
        <v>-0.59302861818952946</v>
      </c>
    </row>
    <row r="340" spans="1:10">
      <c r="A340" s="21" t="s">
        <v>73</v>
      </c>
      <c r="B340" s="21">
        <v>25.36</v>
      </c>
      <c r="C340" s="21">
        <v>24.71</v>
      </c>
      <c r="D340" s="21">
        <v>44.44</v>
      </c>
      <c r="E340" s="21">
        <v>26.833139350333301</v>
      </c>
      <c r="F340" s="21">
        <v>26.145381441117344</v>
      </c>
      <c r="G340" s="21">
        <v>47.021479208549366</v>
      </c>
      <c r="I340" s="21">
        <v>0.86438848845454597</v>
      </c>
      <c r="J340" s="21">
        <v>-0.21024823573960164</v>
      </c>
    </row>
    <row r="342" spans="1:10">
      <c r="B342" s="21" t="s">
        <v>225</v>
      </c>
      <c r="C342" s="21" t="s">
        <v>226</v>
      </c>
      <c r="D342" s="21" t="s">
        <v>227</v>
      </c>
    </row>
    <row r="343" spans="1:10">
      <c r="A343" s="21" t="s">
        <v>32</v>
      </c>
      <c r="B343" s="21">
        <v>44.62</v>
      </c>
      <c r="C343" s="21">
        <v>21.67</v>
      </c>
      <c r="D343" s="21">
        <v>28.3</v>
      </c>
      <c r="E343" s="21">
        <v>47.172005497409877</v>
      </c>
      <c r="F343" s="21">
        <v>22.909398456496461</v>
      </c>
      <c r="G343" s="21">
        <v>29.918596046093672</v>
      </c>
      <c r="H343" s="21">
        <v>44.211002748704942</v>
      </c>
      <c r="I343" s="21">
        <v>1.0669743404268675</v>
      </c>
      <c r="J343" s="21">
        <v>9.3525481331936097E-2</v>
      </c>
    </row>
    <row r="344" spans="1:10">
      <c r="A344" s="21" t="s">
        <v>32</v>
      </c>
      <c r="B344" s="21">
        <v>39.270000000000003</v>
      </c>
      <c r="C344" s="21">
        <v>22.02</v>
      </c>
      <c r="D344" s="21">
        <v>33.909999999999997</v>
      </c>
      <c r="E344" s="21">
        <v>41.25</v>
      </c>
      <c r="F344" s="21">
        <v>23.130252100840334</v>
      </c>
      <c r="G344" s="21">
        <v>35.619747899159655</v>
      </c>
      <c r="I344" s="21">
        <v>0.93302565957313244</v>
      </c>
      <c r="J344" s="21">
        <v>-0.10001133703662275</v>
      </c>
    </row>
    <row r="345" spans="1:10">
      <c r="A345" s="21" t="s">
        <v>73</v>
      </c>
      <c r="B345" s="21">
        <v>33.76</v>
      </c>
      <c r="C345" s="21">
        <v>20.71</v>
      </c>
      <c r="D345" s="21">
        <v>40.32</v>
      </c>
      <c r="E345" s="21">
        <v>35.615571262791434</v>
      </c>
      <c r="F345" s="21">
        <v>21.848296233779937</v>
      </c>
      <c r="G345" s="21">
        <v>42.536132503428632</v>
      </c>
      <c r="I345" s="21">
        <v>0.80558162105551223</v>
      </c>
      <c r="J345" s="21">
        <v>-0.3118973255378642</v>
      </c>
    </row>
    <row r="346" spans="1:10">
      <c r="A346" s="21" t="s">
        <v>73</v>
      </c>
      <c r="B346" s="21">
        <v>33.96</v>
      </c>
      <c r="C346" s="21">
        <v>21.7</v>
      </c>
      <c r="D346" s="21">
        <v>38.86</v>
      </c>
      <c r="E346" s="21">
        <v>35.928903935674988</v>
      </c>
      <c r="F346" s="21">
        <v>22.958104104951335</v>
      </c>
      <c r="G346" s="21">
        <v>41.11299195937368</v>
      </c>
      <c r="I346" s="21">
        <v>0.81266883132903922</v>
      </c>
      <c r="J346" s="21">
        <v>-0.29926053192852237</v>
      </c>
    </row>
    <row r="348" spans="1:10">
      <c r="B348" s="21" t="s">
        <v>225</v>
      </c>
      <c r="C348" s="21" t="s">
        <v>226</v>
      </c>
      <c r="D348" s="21" t="s">
        <v>227</v>
      </c>
    </row>
    <row r="349" spans="1:10">
      <c r="A349" s="21" t="s">
        <v>32</v>
      </c>
      <c r="B349" s="21">
        <v>27.78</v>
      </c>
      <c r="C349" s="21">
        <v>18.149999999999999</v>
      </c>
      <c r="D349" s="21">
        <v>49.66</v>
      </c>
      <c r="E349" s="21">
        <v>29.061617323987864</v>
      </c>
      <c r="F349" s="21">
        <v>18.987341772151897</v>
      </c>
      <c r="G349" s="21">
        <v>51.951040903860232</v>
      </c>
      <c r="H349" s="21">
        <v>29.308748611952232</v>
      </c>
      <c r="I349" s="21">
        <v>0.99156800274087487</v>
      </c>
      <c r="J349" s="21">
        <v>-1.2216377548918642E-2</v>
      </c>
    </row>
    <row r="350" spans="1:10">
      <c r="A350" s="21" t="s">
        <v>32</v>
      </c>
      <c r="B350" s="21">
        <v>28.35</v>
      </c>
      <c r="C350" s="21">
        <v>17.61</v>
      </c>
      <c r="D350" s="21">
        <v>49.96</v>
      </c>
      <c r="E350" s="21">
        <v>29.555879899916597</v>
      </c>
      <c r="F350" s="21">
        <v>18.35904920767306</v>
      </c>
      <c r="G350" s="21">
        <v>52.085070892410343</v>
      </c>
      <c r="I350" s="21">
        <v>1.0084319972591249</v>
      </c>
      <c r="J350" s="21">
        <v>1.2113800336753737E-2</v>
      </c>
    </row>
    <row r="351" spans="1:10">
      <c r="A351" s="21" t="s">
        <v>73</v>
      </c>
      <c r="B351" s="21">
        <v>21.16</v>
      </c>
      <c r="C351" s="21">
        <v>19.850000000000001</v>
      </c>
      <c r="D351" s="21">
        <v>54.16</v>
      </c>
      <c r="E351" s="21">
        <v>22.233897236524115</v>
      </c>
      <c r="F351" s="21">
        <v>20.85741305033099</v>
      </c>
      <c r="G351" s="21">
        <v>56.908689713144895</v>
      </c>
      <c r="I351" s="21">
        <v>0.75860957186882538</v>
      </c>
      <c r="J351" s="21">
        <v>-0.39857051972164265</v>
      </c>
    </row>
    <row r="352" spans="1:10">
      <c r="A352" s="21" t="s">
        <v>73</v>
      </c>
      <c r="B352" s="21">
        <v>21.9</v>
      </c>
      <c r="C352" s="21">
        <v>19.89</v>
      </c>
      <c r="D352" s="21">
        <v>53.22</v>
      </c>
      <c r="E352" s="21">
        <v>23.050205241553524</v>
      </c>
      <c r="F352" s="21">
        <v>20.934638459109568</v>
      </c>
      <c r="G352" s="21">
        <v>56.015156299336915</v>
      </c>
      <c r="I352" s="21">
        <v>0.78646159707253938</v>
      </c>
      <c r="J352" s="21">
        <v>-0.34655177433942386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4:AO45"/>
  <sheetViews>
    <sheetView zoomScale="60" zoomScaleNormal="60" workbookViewId="0">
      <selection activeCell="A26" sqref="A26"/>
    </sheetView>
  </sheetViews>
  <sheetFormatPr baseColWidth="10" defaultColWidth="8.83203125" defaultRowHeight="15"/>
  <cols>
    <col min="1" max="1" width="44.33203125" customWidth="1"/>
    <col min="4" max="4" width="8.5" customWidth="1"/>
    <col min="5" max="5" width="6.83203125" customWidth="1"/>
    <col min="6" max="6" width="8.6640625" customWidth="1"/>
    <col min="8" max="8" width="10.33203125" customWidth="1"/>
    <col min="9" max="9" width="18.6640625" customWidth="1"/>
    <col min="10" max="10" width="15.6640625" customWidth="1"/>
    <col min="11" max="11" width="21.5" customWidth="1"/>
    <col min="12" max="12" width="16.6640625" customWidth="1"/>
    <col min="13" max="13" width="11.83203125" customWidth="1"/>
    <col min="14" max="15" width="16.5" customWidth="1"/>
    <col min="16" max="16" width="17.83203125" customWidth="1"/>
    <col min="24" max="24" width="13.83203125" customWidth="1"/>
    <col min="25" max="25" width="17.1640625" customWidth="1"/>
    <col min="28" max="28" width="9.1640625" customWidth="1"/>
    <col min="33" max="33" width="8.1640625" customWidth="1"/>
    <col min="34" max="34" width="8.33203125" customWidth="1"/>
    <col min="39" max="39" width="28" customWidth="1"/>
    <col min="40" max="40" width="30.5" customWidth="1"/>
  </cols>
  <sheetData>
    <row r="4" spans="1:41">
      <c r="A4" s="42"/>
      <c r="B4" s="42" t="s">
        <v>105</v>
      </c>
      <c r="C4" s="42" t="s">
        <v>106</v>
      </c>
      <c r="D4" s="42" t="s">
        <v>107</v>
      </c>
      <c r="E4" s="42" t="s">
        <v>108</v>
      </c>
      <c r="F4" s="42" t="s">
        <v>109</v>
      </c>
      <c r="G4" s="42" t="s">
        <v>110</v>
      </c>
      <c r="I4" s="42" t="s">
        <v>111</v>
      </c>
      <c r="J4" s="42" t="s">
        <v>112</v>
      </c>
      <c r="K4" s="42" t="s">
        <v>113</v>
      </c>
      <c r="L4" s="42" t="s">
        <v>114</v>
      </c>
      <c r="M4" s="42" t="s">
        <v>115</v>
      </c>
      <c r="N4" s="42" t="s">
        <v>115</v>
      </c>
      <c r="Q4" s="42" t="s">
        <v>116</v>
      </c>
      <c r="X4" t="s">
        <v>117</v>
      </c>
      <c r="Z4" s="42" t="s">
        <v>118</v>
      </c>
      <c r="AF4" t="s">
        <v>119</v>
      </c>
      <c r="AG4" t="s">
        <v>120</v>
      </c>
      <c r="AH4" t="s">
        <v>121</v>
      </c>
    </row>
    <row r="5" spans="1:41">
      <c r="A5" s="43" t="s">
        <v>126</v>
      </c>
      <c r="B5">
        <v>4</v>
      </c>
      <c r="C5">
        <v>11</v>
      </c>
      <c r="D5">
        <v>10</v>
      </c>
      <c r="E5">
        <v>3</v>
      </c>
      <c r="F5">
        <v>12</v>
      </c>
      <c r="G5">
        <v>15</v>
      </c>
      <c r="I5">
        <v>28</v>
      </c>
      <c r="J5">
        <v>58</v>
      </c>
      <c r="K5">
        <v>62</v>
      </c>
      <c r="L5">
        <v>20</v>
      </c>
      <c r="M5">
        <v>48</v>
      </c>
      <c r="N5">
        <v>67</v>
      </c>
      <c r="P5" s="133" t="s">
        <v>90</v>
      </c>
      <c r="Q5" s="43">
        <f>(B5/I5)*100</f>
        <v>14.285714285714285</v>
      </c>
      <c r="R5" s="43">
        <f t="shared" ref="R5:V8" si="0">(C5/J5)*100</f>
        <v>18.96551724137931</v>
      </c>
      <c r="S5" s="43">
        <f t="shared" si="0"/>
        <v>16.129032258064516</v>
      </c>
      <c r="T5" s="43">
        <f t="shared" si="0"/>
        <v>15</v>
      </c>
      <c r="U5" s="43">
        <f t="shared" si="0"/>
        <v>25</v>
      </c>
      <c r="V5" s="43">
        <f t="shared" si="0"/>
        <v>22.388059701492537</v>
      </c>
      <c r="X5" s="44">
        <f>AVERAGE(Q5:V8)</f>
        <v>27.512117655811256</v>
      </c>
      <c r="Y5" s="133" t="s">
        <v>90</v>
      </c>
      <c r="Z5" s="43">
        <f>Q5/$X$5</f>
        <v>0.5192517153508458</v>
      </c>
      <c r="AA5" s="43">
        <f t="shared" ref="AA5:AE8" si="1">R5/$X$5</f>
        <v>0.68935141520715737</v>
      </c>
      <c r="AB5" s="43">
        <f t="shared" si="1"/>
        <v>0.58625193668643882</v>
      </c>
      <c r="AC5" s="43">
        <f t="shared" si="1"/>
        <v>0.54521430111838809</v>
      </c>
      <c r="AD5" s="43">
        <f t="shared" si="1"/>
        <v>0.90869050186398015</v>
      </c>
      <c r="AE5" s="43">
        <f t="shared" si="1"/>
        <v>0.81375268823640012</v>
      </c>
      <c r="AF5" s="45">
        <f>AVERAGE(Z5:AE6)</f>
        <v>0.76632479702606526</v>
      </c>
      <c r="AG5" s="23">
        <f>STDEV(Z5:AE6)</f>
        <v>0.15249224726146518</v>
      </c>
      <c r="AH5">
        <f>AG5/SQRT(12)</f>
        <v>4.4020720002868947E-2</v>
      </c>
      <c r="AL5" s="46"/>
      <c r="AM5" s="47" t="s">
        <v>122</v>
      </c>
      <c r="AN5" s="47" t="s">
        <v>123</v>
      </c>
    </row>
    <row r="6" spans="1:41">
      <c r="A6" s="43" t="s">
        <v>126</v>
      </c>
      <c r="B6">
        <v>18</v>
      </c>
      <c r="C6">
        <v>29</v>
      </c>
      <c r="D6">
        <v>30</v>
      </c>
      <c r="E6">
        <v>25</v>
      </c>
      <c r="F6">
        <v>21</v>
      </c>
      <c r="G6">
        <v>17</v>
      </c>
      <c r="I6">
        <v>78</v>
      </c>
      <c r="J6">
        <v>148</v>
      </c>
      <c r="K6">
        <v>112</v>
      </c>
      <c r="L6">
        <v>101</v>
      </c>
      <c r="M6">
        <v>91</v>
      </c>
      <c r="N6">
        <v>71</v>
      </c>
      <c r="P6" s="133"/>
      <c r="Q6" s="43">
        <f t="shared" ref="Q6:Q8" si="2">(B6/I6)*100</f>
        <v>23.076923076923077</v>
      </c>
      <c r="R6" s="43">
        <f t="shared" si="0"/>
        <v>19.594594594594593</v>
      </c>
      <c r="S6" s="43">
        <f t="shared" si="0"/>
        <v>26.785714285714285</v>
      </c>
      <c r="T6" s="43">
        <f t="shared" si="0"/>
        <v>24.752475247524753</v>
      </c>
      <c r="U6" s="43">
        <f t="shared" si="0"/>
        <v>23.076923076923077</v>
      </c>
      <c r="V6" s="43">
        <f t="shared" si="0"/>
        <v>23.943661971830984</v>
      </c>
      <c r="Y6" s="133"/>
      <c r="Z6" s="43">
        <f t="shared" ref="Z6:Z8" si="3">Q6/$X$5</f>
        <v>0.8387912324898279</v>
      </c>
      <c r="AA6" s="43">
        <f t="shared" si="1"/>
        <v>0.71221687983933579</v>
      </c>
      <c r="AB6" s="43">
        <f t="shared" si="1"/>
        <v>0.97359696628283587</v>
      </c>
      <c r="AC6" s="43">
        <f t="shared" si="1"/>
        <v>0.89969356620196062</v>
      </c>
      <c r="AD6" s="43">
        <f t="shared" si="1"/>
        <v>0.8387912324898279</v>
      </c>
      <c r="AE6" s="43">
        <f t="shared" si="1"/>
        <v>0.87029512854578372</v>
      </c>
      <c r="AF6" s="48"/>
      <c r="AG6" s="48"/>
      <c r="AH6" s="48"/>
      <c r="AL6" s="46" t="s">
        <v>124</v>
      </c>
      <c r="AM6" s="49">
        <f>AF5</f>
        <v>0.76632479702606526</v>
      </c>
      <c r="AN6" s="50">
        <f>AF8</f>
        <v>1.2336752029739351</v>
      </c>
    </row>
    <row r="7" spans="1:41">
      <c r="A7" s="1" t="s">
        <v>127</v>
      </c>
      <c r="B7">
        <v>20</v>
      </c>
      <c r="C7">
        <v>25</v>
      </c>
      <c r="D7">
        <v>45</v>
      </c>
      <c r="E7">
        <v>29</v>
      </c>
      <c r="F7">
        <v>39</v>
      </c>
      <c r="G7">
        <v>52</v>
      </c>
      <c r="I7">
        <v>60</v>
      </c>
      <c r="J7">
        <v>88</v>
      </c>
      <c r="K7">
        <v>118</v>
      </c>
      <c r="L7">
        <v>104</v>
      </c>
      <c r="M7">
        <v>127</v>
      </c>
      <c r="N7">
        <v>151</v>
      </c>
      <c r="P7" s="133" t="s">
        <v>101</v>
      </c>
      <c r="Q7" s="1">
        <f t="shared" si="2"/>
        <v>33.333333333333329</v>
      </c>
      <c r="R7" s="1">
        <f t="shared" si="0"/>
        <v>28.40909090909091</v>
      </c>
      <c r="S7" s="1">
        <f t="shared" si="0"/>
        <v>38.135593220338983</v>
      </c>
      <c r="T7" s="1">
        <f t="shared" si="0"/>
        <v>27.884615384615387</v>
      </c>
      <c r="U7" s="1">
        <f t="shared" si="0"/>
        <v>30.708661417322837</v>
      </c>
      <c r="V7" s="1">
        <f t="shared" si="0"/>
        <v>34.437086092715234</v>
      </c>
      <c r="Y7" s="133" t="s">
        <v>101</v>
      </c>
      <c r="Z7" s="1">
        <f t="shared" si="3"/>
        <v>1.21158733581864</v>
      </c>
      <c r="AA7" s="1">
        <f t="shared" si="1"/>
        <v>1.0326028430272503</v>
      </c>
      <c r="AB7" s="1">
        <f t="shared" si="1"/>
        <v>1.3861380536908172</v>
      </c>
      <c r="AC7" s="1">
        <f t="shared" si="1"/>
        <v>1.0135394059252087</v>
      </c>
      <c r="AD7" s="1">
        <f t="shared" si="1"/>
        <v>1.1161867581951253</v>
      </c>
      <c r="AE7" s="1">
        <f t="shared" si="1"/>
        <v>1.2517061217729</v>
      </c>
      <c r="AF7" s="48"/>
      <c r="AG7" s="48"/>
      <c r="AH7" s="48"/>
      <c r="AL7" s="46" t="s">
        <v>89</v>
      </c>
      <c r="AM7" s="46">
        <f>AH5</f>
        <v>4.4020720002868947E-2</v>
      </c>
      <c r="AN7" s="46">
        <f>AH8</f>
        <v>5.2882855257345214E-2</v>
      </c>
    </row>
    <row r="8" spans="1:41">
      <c r="A8" s="1" t="s">
        <v>127</v>
      </c>
      <c r="B8">
        <v>22</v>
      </c>
      <c r="C8">
        <v>21</v>
      </c>
      <c r="D8">
        <v>22</v>
      </c>
      <c r="E8">
        <v>27</v>
      </c>
      <c r="F8">
        <v>38</v>
      </c>
      <c r="G8">
        <v>20</v>
      </c>
      <c r="I8">
        <v>50</v>
      </c>
      <c r="J8">
        <v>60</v>
      </c>
      <c r="K8">
        <v>70</v>
      </c>
      <c r="L8">
        <v>65</v>
      </c>
      <c r="M8">
        <v>126</v>
      </c>
      <c r="N8">
        <v>62</v>
      </c>
      <c r="P8" s="133"/>
      <c r="Q8" s="1">
        <f t="shared" si="2"/>
        <v>44</v>
      </c>
      <c r="R8" s="1">
        <f t="shared" si="0"/>
        <v>35</v>
      </c>
      <c r="S8" s="1">
        <f t="shared" si="0"/>
        <v>31.428571428571427</v>
      </c>
      <c r="T8" s="1">
        <f t="shared" si="0"/>
        <v>41.53846153846154</v>
      </c>
      <c r="U8" s="1">
        <f t="shared" si="0"/>
        <v>30.158730158730158</v>
      </c>
      <c r="V8" s="1">
        <f t="shared" si="0"/>
        <v>32.258064516129032</v>
      </c>
      <c r="Y8" s="133"/>
      <c r="Z8" s="1">
        <f t="shared" si="3"/>
        <v>1.5992952832806051</v>
      </c>
      <c r="AA8" s="1">
        <f t="shared" si="1"/>
        <v>1.2721667026095722</v>
      </c>
      <c r="AB8" s="1">
        <f t="shared" si="1"/>
        <v>1.1423537737718608</v>
      </c>
      <c r="AC8" s="1">
        <f t="shared" si="1"/>
        <v>1.5098242184816901</v>
      </c>
      <c r="AD8" s="1">
        <f t="shared" si="1"/>
        <v>1.0961980657406745</v>
      </c>
      <c r="AE8" s="1">
        <f t="shared" si="1"/>
        <v>1.1725038733728776</v>
      </c>
      <c r="AF8" s="45">
        <f>AVERAGE(Z7:AE8)</f>
        <v>1.2336752029739351</v>
      </c>
      <c r="AG8" s="23">
        <f>STDEV(Z7:AE8)</f>
        <v>0.18319158431006563</v>
      </c>
      <c r="AH8">
        <f>AG8/SQRT(12)</f>
        <v>5.2882855257345214E-2</v>
      </c>
    </row>
    <row r="9" spans="1:41">
      <c r="A9" s="42"/>
      <c r="Y9" s="51"/>
    </row>
    <row r="10" spans="1:41">
      <c r="Y10" s="51"/>
    </row>
    <row r="14" spans="1:41">
      <c r="B14" s="42" t="s">
        <v>105</v>
      </c>
      <c r="C14" s="42" t="s">
        <v>106</v>
      </c>
      <c r="D14" s="42" t="s">
        <v>107</v>
      </c>
      <c r="E14" s="42" t="s">
        <v>108</v>
      </c>
      <c r="F14" s="42" t="s">
        <v>109</v>
      </c>
      <c r="G14" s="42" t="s">
        <v>110</v>
      </c>
      <c r="I14" s="42" t="s">
        <v>111</v>
      </c>
      <c r="J14" s="42" t="s">
        <v>112</v>
      </c>
      <c r="K14" s="42" t="s">
        <v>113</v>
      </c>
      <c r="L14" s="42" t="s">
        <v>114</v>
      </c>
      <c r="M14" s="42" t="s">
        <v>115</v>
      </c>
      <c r="N14" s="42" t="s">
        <v>115</v>
      </c>
      <c r="O14" s="42"/>
      <c r="Q14" s="42" t="s">
        <v>116</v>
      </c>
      <c r="X14" t="s">
        <v>117</v>
      </c>
      <c r="Z14" s="42" t="s">
        <v>118</v>
      </c>
      <c r="AF14" t="s">
        <v>119</v>
      </c>
      <c r="AG14" t="s">
        <v>120</v>
      </c>
      <c r="AH14" t="s">
        <v>121</v>
      </c>
    </row>
    <row r="15" spans="1:41">
      <c r="A15" s="43" t="s">
        <v>126</v>
      </c>
      <c r="B15">
        <v>2</v>
      </c>
      <c r="C15">
        <v>6</v>
      </c>
      <c r="D15">
        <v>6</v>
      </c>
      <c r="E15">
        <v>5</v>
      </c>
      <c r="F15">
        <v>10</v>
      </c>
      <c r="G15">
        <v>5</v>
      </c>
      <c r="I15">
        <v>9</v>
      </c>
      <c r="J15">
        <v>54</v>
      </c>
      <c r="K15">
        <v>39</v>
      </c>
      <c r="L15">
        <v>37</v>
      </c>
      <c r="M15">
        <v>62</v>
      </c>
      <c r="N15">
        <v>33</v>
      </c>
      <c r="P15" s="133" t="s">
        <v>90</v>
      </c>
      <c r="Q15" s="52">
        <f>(B15/I15)*100</f>
        <v>22.222222222222221</v>
      </c>
      <c r="R15" s="52">
        <f t="shared" ref="R15:V20" si="4">(C15/J15)*100</f>
        <v>11.111111111111111</v>
      </c>
      <c r="S15" s="52">
        <f t="shared" si="4"/>
        <v>15.384615384615385</v>
      </c>
      <c r="T15" s="52">
        <f t="shared" si="4"/>
        <v>13.513513513513514</v>
      </c>
      <c r="U15" s="52">
        <f t="shared" si="4"/>
        <v>16.129032258064516</v>
      </c>
      <c r="V15" s="52">
        <f t="shared" si="4"/>
        <v>15.151515151515152</v>
      </c>
      <c r="X15" s="44">
        <f>AVERAGE(Q15:V20)</f>
        <v>19.629072697538192</v>
      </c>
      <c r="Y15" s="133" t="s">
        <v>90</v>
      </c>
      <c r="Z15" s="52">
        <f>Q15/$X$15</f>
        <v>1.1321075918685275</v>
      </c>
      <c r="AA15" s="52">
        <f t="shared" ref="AA15:AE20" si="5">R15/$X$15</f>
        <v>0.56605379593426375</v>
      </c>
      <c r="AB15" s="52">
        <f t="shared" si="5"/>
        <v>0.78376679437051899</v>
      </c>
      <c r="AC15" s="52">
        <f t="shared" si="5"/>
        <v>0.68844380586599641</v>
      </c>
      <c r="AD15" s="52">
        <f t="shared" si="5"/>
        <v>0.82169099409812474</v>
      </c>
      <c r="AE15" s="52">
        <f t="shared" si="5"/>
        <v>0.77189153991035964</v>
      </c>
      <c r="AF15" s="45">
        <f>AVERAGE(Z15:AE17)</f>
        <v>0.8728797046494684</v>
      </c>
      <c r="AG15" s="23">
        <f>STDEV(Z15:AE17)</f>
        <v>0.28528905167275692</v>
      </c>
      <c r="AH15">
        <f>AG15/SQRT(18)</f>
        <v>6.7243274345361925E-2</v>
      </c>
      <c r="AI15" s="53"/>
      <c r="AJ15" s="53"/>
      <c r="AK15" s="53"/>
      <c r="AL15" s="46"/>
      <c r="AM15" s="47" t="s">
        <v>122</v>
      </c>
      <c r="AN15" s="47" t="s">
        <v>123</v>
      </c>
      <c r="AO15" s="37"/>
    </row>
    <row r="16" spans="1:41">
      <c r="A16" s="43" t="s">
        <v>126</v>
      </c>
      <c r="B16">
        <v>12</v>
      </c>
      <c r="C16">
        <v>14</v>
      </c>
      <c r="D16">
        <v>7</v>
      </c>
      <c r="E16">
        <v>20</v>
      </c>
      <c r="F16">
        <v>24</v>
      </c>
      <c r="G16">
        <v>25</v>
      </c>
      <c r="I16">
        <v>100</v>
      </c>
      <c r="J16">
        <v>77</v>
      </c>
      <c r="K16">
        <v>56</v>
      </c>
      <c r="L16">
        <v>146</v>
      </c>
      <c r="M16">
        <v>150</v>
      </c>
      <c r="N16">
        <v>108</v>
      </c>
      <c r="P16" s="133"/>
      <c r="Q16" s="52">
        <f t="shared" ref="Q16:Q20" si="6">(B16/I16)*100</f>
        <v>12</v>
      </c>
      <c r="R16" s="52">
        <f t="shared" si="4"/>
        <v>18.181818181818183</v>
      </c>
      <c r="S16" s="52">
        <f t="shared" si="4"/>
        <v>12.5</v>
      </c>
      <c r="T16" s="52">
        <f t="shared" si="4"/>
        <v>13.698630136986301</v>
      </c>
      <c r="U16" s="52">
        <f t="shared" si="4"/>
        <v>16</v>
      </c>
      <c r="V16" s="52">
        <f t="shared" si="4"/>
        <v>23.148148148148149</v>
      </c>
      <c r="Y16" s="133"/>
      <c r="Z16" s="52">
        <f t="shared" ref="Z16:Z20" si="7">Q16/$X$15</f>
        <v>0.61133809960900487</v>
      </c>
      <c r="AA16" s="52">
        <f t="shared" si="5"/>
        <v>0.92626984789243161</v>
      </c>
      <c r="AB16" s="52">
        <f t="shared" si="5"/>
        <v>0.63681052042604669</v>
      </c>
      <c r="AC16" s="52">
        <f t="shared" si="5"/>
        <v>0.69787454293265394</v>
      </c>
      <c r="AD16" s="52">
        <f t="shared" si="5"/>
        <v>0.81511746614533975</v>
      </c>
      <c r="AE16" s="52">
        <f t="shared" si="5"/>
        <v>1.1792787415297161</v>
      </c>
      <c r="AF16" s="48"/>
      <c r="AG16" s="48"/>
      <c r="AH16" s="48"/>
      <c r="AI16" s="48"/>
      <c r="AJ16" s="48"/>
      <c r="AK16" s="48"/>
      <c r="AL16" s="46" t="s">
        <v>124</v>
      </c>
      <c r="AM16" s="49">
        <f>AF15</f>
        <v>0.8728797046494684</v>
      </c>
      <c r="AN16" s="50">
        <f>AF18</f>
        <v>1.1271202953505317</v>
      </c>
      <c r="AO16" s="37"/>
    </row>
    <row r="17" spans="1:41">
      <c r="A17" s="43" t="s">
        <v>126</v>
      </c>
      <c r="B17">
        <v>25</v>
      </c>
      <c r="C17">
        <v>7</v>
      </c>
      <c r="D17">
        <v>13</v>
      </c>
      <c r="E17">
        <v>20</v>
      </c>
      <c r="F17">
        <v>16</v>
      </c>
      <c r="G17">
        <v>11</v>
      </c>
      <c r="I17">
        <v>105</v>
      </c>
      <c r="J17">
        <v>73</v>
      </c>
      <c r="K17">
        <v>72</v>
      </c>
      <c r="L17">
        <v>61</v>
      </c>
      <c r="M17">
        <v>99</v>
      </c>
      <c r="N17">
        <v>58</v>
      </c>
      <c r="P17" s="133"/>
      <c r="Q17" s="52">
        <f t="shared" si="6"/>
        <v>23.809523809523807</v>
      </c>
      <c r="R17" s="52">
        <f t="shared" si="4"/>
        <v>9.5890410958904102</v>
      </c>
      <c r="S17" s="52">
        <f t="shared" si="4"/>
        <v>18.055555555555554</v>
      </c>
      <c r="T17" s="52">
        <f t="shared" si="4"/>
        <v>32.786885245901637</v>
      </c>
      <c r="U17" s="52">
        <f t="shared" si="4"/>
        <v>16.161616161616163</v>
      </c>
      <c r="V17" s="52">
        <f t="shared" si="4"/>
        <v>18.96551724137931</v>
      </c>
      <c r="Y17" s="133"/>
      <c r="Z17" s="52">
        <f t="shared" si="7"/>
        <v>1.2129724198591365</v>
      </c>
      <c r="AA17" s="52">
        <f t="shared" si="5"/>
        <v>0.48851218005285768</v>
      </c>
      <c r="AB17" s="52">
        <f t="shared" si="5"/>
        <v>0.91983741839317845</v>
      </c>
      <c r="AC17" s="52">
        <f t="shared" si="5"/>
        <v>1.6703226765273353</v>
      </c>
      <c r="AD17" s="52">
        <f t="shared" si="5"/>
        <v>0.82335097590438366</v>
      </c>
      <c r="AE17" s="52">
        <f t="shared" si="5"/>
        <v>0.96619527237055358</v>
      </c>
      <c r="AF17" s="48"/>
      <c r="AG17" s="48"/>
      <c r="AH17" s="48"/>
      <c r="AI17" s="48"/>
      <c r="AJ17" s="48"/>
      <c r="AK17" s="48"/>
      <c r="AL17" s="46" t="s">
        <v>89</v>
      </c>
      <c r="AM17" s="46">
        <f>AH15</f>
        <v>6.7243274345361925E-2</v>
      </c>
      <c r="AN17" s="46">
        <f>AH18</f>
        <v>8.390897601042642E-2</v>
      </c>
      <c r="AO17" s="37"/>
    </row>
    <row r="18" spans="1:41">
      <c r="A18" s="1" t="s">
        <v>127</v>
      </c>
      <c r="B18">
        <v>7</v>
      </c>
      <c r="C18">
        <v>12</v>
      </c>
      <c r="D18">
        <v>6</v>
      </c>
      <c r="E18">
        <v>10</v>
      </c>
      <c r="F18">
        <v>7</v>
      </c>
      <c r="G18">
        <v>12</v>
      </c>
      <c r="I18">
        <v>24</v>
      </c>
      <c r="J18">
        <v>44</v>
      </c>
      <c r="K18">
        <v>34</v>
      </c>
      <c r="L18">
        <v>51</v>
      </c>
      <c r="M18">
        <v>54</v>
      </c>
      <c r="N18">
        <v>56</v>
      </c>
      <c r="P18" s="133" t="s">
        <v>101</v>
      </c>
      <c r="Q18" s="54">
        <f t="shared" si="6"/>
        <v>29.166666666666668</v>
      </c>
      <c r="R18" s="54">
        <f t="shared" si="4"/>
        <v>27.27272727272727</v>
      </c>
      <c r="S18" s="54">
        <f t="shared" si="4"/>
        <v>17.647058823529413</v>
      </c>
      <c r="T18" s="54">
        <f t="shared" si="4"/>
        <v>19.607843137254903</v>
      </c>
      <c r="U18" s="54">
        <f t="shared" si="4"/>
        <v>12.962962962962962</v>
      </c>
      <c r="V18" s="54">
        <f t="shared" si="4"/>
        <v>21.428571428571427</v>
      </c>
      <c r="Y18" s="133" t="s">
        <v>101</v>
      </c>
      <c r="Z18" s="54">
        <f t="shared" si="7"/>
        <v>1.4858912143274423</v>
      </c>
      <c r="AA18" s="54">
        <f t="shared" si="5"/>
        <v>1.3894047718386471</v>
      </c>
      <c r="AB18" s="54">
        <f t="shared" si="5"/>
        <v>0.89902661707206599</v>
      </c>
      <c r="AC18" s="54">
        <f t="shared" si="5"/>
        <v>0.99891846341340662</v>
      </c>
      <c r="AD18" s="54">
        <f t="shared" si="5"/>
        <v>0.660396095256641</v>
      </c>
      <c r="AE18" s="54">
        <f t="shared" si="5"/>
        <v>1.0916751778732228</v>
      </c>
      <c r="AF18" s="45">
        <f>AVERAGE(Z18:AE20)</f>
        <v>1.1271202953505317</v>
      </c>
      <c r="AG18" s="23">
        <f>STDEV(Z18:AE20)</f>
        <v>0.35599563563635112</v>
      </c>
      <c r="AH18">
        <f>AG18/SQRT(18)</f>
        <v>8.390897601042642E-2</v>
      </c>
      <c r="AI18" s="55"/>
      <c r="AJ18" s="55"/>
      <c r="AK18" s="55"/>
      <c r="AL18" s="55"/>
      <c r="AM18" s="56"/>
      <c r="AN18" s="37"/>
      <c r="AO18" s="36"/>
    </row>
    <row r="19" spans="1:41">
      <c r="A19" s="1" t="s">
        <v>127</v>
      </c>
      <c r="B19">
        <v>25</v>
      </c>
      <c r="C19">
        <v>18</v>
      </c>
      <c r="D19">
        <v>5</v>
      </c>
      <c r="E19">
        <v>7</v>
      </c>
      <c r="F19">
        <v>22</v>
      </c>
      <c r="G19">
        <v>11</v>
      </c>
      <c r="I19">
        <v>95</v>
      </c>
      <c r="J19">
        <v>53</v>
      </c>
      <c r="K19">
        <v>32</v>
      </c>
      <c r="L19">
        <v>52</v>
      </c>
      <c r="M19">
        <v>90</v>
      </c>
      <c r="N19">
        <v>86</v>
      </c>
      <c r="P19" s="133"/>
      <c r="Q19" s="54">
        <f t="shared" si="6"/>
        <v>26.315789473684209</v>
      </c>
      <c r="R19" s="54">
        <f t="shared" si="4"/>
        <v>33.962264150943398</v>
      </c>
      <c r="S19" s="54">
        <f t="shared" si="4"/>
        <v>15.625</v>
      </c>
      <c r="T19" s="54">
        <f t="shared" si="4"/>
        <v>13.461538461538462</v>
      </c>
      <c r="U19" s="54">
        <f t="shared" si="4"/>
        <v>24.444444444444443</v>
      </c>
      <c r="V19" s="54">
        <f t="shared" si="4"/>
        <v>12.790697674418606</v>
      </c>
      <c r="Y19" s="133"/>
      <c r="Z19" s="54">
        <f t="shared" si="7"/>
        <v>1.3406537272127299</v>
      </c>
      <c r="AA19" s="54">
        <f t="shared" si="5"/>
        <v>1.7302021687047306</v>
      </c>
      <c r="AB19" s="54">
        <f t="shared" si="5"/>
        <v>0.79601315053255839</v>
      </c>
      <c r="AC19" s="54">
        <f t="shared" si="5"/>
        <v>0.68579594507420416</v>
      </c>
      <c r="AD19" s="54">
        <f t="shared" si="5"/>
        <v>1.24531835105538</v>
      </c>
      <c r="AE19" s="54">
        <f t="shared" si="5"/>
        <v>0.65162006741269907</v>
      </c>
      <c r="AF19" s="55"/>
      <c r="AG19" s="55"/>
      <c r="AH19" s="55"/>
      <c r="AI19" s="55"/>
      <c r="AJ19" s="55"/>
      <c r="AK19" s="55"/>
      <c r="AL19" s="37"/>
      <c r="AM19" s="37"/>
      <c r="AN19" s="37"/>
      <c r="AO19" s="37"/>
    </row>
    <row r="20" spans="1:41">
      <c r="A20" s="1" t="s">
        <v>127</v>
      </c>
      <c r="B20">
        <v>15</v>
      </c>
      <c r="C20">
        <v>14</v>
      </c>
      <c r="D20">
        <v>9</v>
      </c>
      <c r="E20">
        <v>26</v>
      </c>
      <c r="F20">
        <v>13</v>
      </c>
      <c r="G20">
        <v>15</v>
      </c>
      <c r="I20">
        <v>52</v>
      </c>
      <c r="J20">
        <v>69</v>
      </c>
      <c r="K20">
        <v>35</v>
      </c>
      <c r="L20">
        <v>75</v>
      </c>
      <c r="M20">
        <v>70</v>
      </c>
      <c r="N20">
        <v>97</v>
      </c>
      <c r="P20" s="133"/>
      <c r="Q20" s="54">
        <f t="shared" si="6"/>
        <v>28.846153846153843</v>
      </c>
      <c r="R20" s="54">
        <f t="shared" si="4"/>
        <v>20.289855072463769</v>
      </c>
      <c r="S20" s="54">
        <f t="shared" si="4"/>
        <v>25.714285714285712</v>
      </c>
      <c r="T20" s="54">
        <f t="shared" si="4"/>
        <v>34.666666666666671</v>
      </c>
      <c r="U20" s="54">
        <f t="shared" si="4"/>
        <v>18.571428571428573</v>
      </c>
      <c r="V20" s="54">
        <f t="shared" si="4"/>
        <v>15.463917525773196</v>
      </c>
      <c r="Y20" s="133"/>
      <c r="Z20" s="54">
        <f t="shared" si="7"/>
        <v>1.469562739444723</v>
      </c>
      <c r="AA20" s="54">
        <f t="shared" si="5"/>
        <v>1.0336634534451774</v>
      </c>
      <c r="AB20" s="54">
        <f t="shared" si="5"/>
        <v>1.3100102134478673</v>
      </c>
      <c r="AC20" s="54">
        <f t="shared" si="5"/>
        <v>1.766087843314903</v>
      </c>
      <c r="AD20" s="54">
        <f t="shared" si="5"/>
        <v>0.94611848749012661</v>
      </c>
      <c r="AE20" s="54">
        <f t="shared" si="5"/>
        <v>0.78780682939304747</v>
      </c>
      <c r="AF20" s="55"/>
      <c r="AG20" s="55"/>
      <c r="AH20" s="55"/>
      <c r="AI20" s="55"/>
      <c r="AJ20" s="55"/>
      <c r="AK20" s="55"/>
      <c r="AL20" s="37"/>
      <c r="AM20" s="37"/>
      <c r="AN20" s="37"/>
      <c r="AO20" s="37"/>
    </row>
    <row r="21" spans="1:41">
      <c r="P21" s="51"/>
    </row>
    <row r="22" spans="1:41">
      <c r="P22" s="51"/>
    </row>
    <row r="23" spans="1:41">
      <c r="P23" s="51"/>
    </row>
    <row r="24" spans="1:41">
      <c r="P24" s="51"/>
    </row>
    <row r="25" spans="1:41">
      <c r="A25" s="42"/>
      <c r="B25" s="42" t="s">
        <v>105</v>
      </c>
      <c r="C25" s="42" t="s">
        <v>106</v>
      </c>
      <c r="D25" s="42" t="s">
        <v>107</v>
      </c>
      <c r="E25" s="42" t="s">
        <v>108</v>
      </c>
      <c r="F25" s="42"/>
      <c r="G25" s="42"/>
      <c r="H25" s="42"/>
      <c r="I25" s="42" t="s">
        <v>111</v>
      </c>
      <c r="J25" s="42" t="s">
        <v>112</v>
      </c>
      <c r="K25" s="42" t="s">
        <v>113</v>
      </c>
      <c r="L25" s="42" t="s">
        <v>114</v>
      </c>
      <c r="Q25" s="42" t="s">
        <v>116</v>
      </c>
      <c r="X25" t="s">
        <v>117</v>
      </c>
      <c r="Z25" s="42" t="s">
        <v>118</v>
      </c>
      <c r="AF25" t="s">
        <v>119</v>
      </c>
      <c r="AG25" t="s">
        <v>120</v>
      </c>
      <c r="AH25" t="s">
        <v>121</v>
      </c>
      <c r="AI25" t="s">
        <v>125</v>
      </c>
    </row>
    <row r="26" spans="1:41">
      <c r="A26" s="43" t="s">
        <v>126</v>
      </c>
      <c r="B26">
        <v>28</v>
      </c>
      <c r="C26">
        <v>26</v>
      </c>
      <c r="D26">
        <v>10</v>
      </c>
      <c r="E26">
        <v>13</v>
      </c>
      <c r="I26">
        <f>70</f>
        <v>70</v>
      </c>
      <c r="J26">
        <f>72</f>
        <v>72</v>
      </c>
      <c r="K26">
        <f>45</f>
        <v>45</v>
      </c>
      <c r="L26">
        <f>38</f>
        <v>38</v>
      </c>
      <c r="P26" s="133" t="s">
        <v>90</v>
      </c>
      <c r="Q26" s="43">
        <f>(B26/I26)*100</f>
        <v>40</v>
      </c>
      <c r="R26" s="43">
        <f t="shared" ref="R26:T41" si="8">(C26/J26)*100</f>
        <v>36.111111111111107</v>
      </c>
      <c r="S26" s="43">
        <f t="shared" si="8"/>
        <v>22.222222222222221</v>
      </c>
      <c r="T26" s="43">
        <f t="shared" si="8"/>
        <v>34.210526315789473</v>
      </c>
      <c r="X26" s="36">
        <f>AVERAGE(Q26:T45)</f>
        <v>26.147607036075541</v>
      </c>
      <c r="Y26" s="133" t="s">
        <v>90</v>
      </c>
      <c r="Z26" s="43">
        <f>Q26/$X$26</f>
        <v>1.5297766998262012</v>
      </c>
      <c r="AA26" s="43">
        <f t="shared" ref="AA26:AC41" si="9">R26/$X$26</f>
        <v>1.3810484095653204</v>
      </c>
      <c r="AB26" s="43">
        <f t="shared" si="9"/>
        <v>0.84987594434788949</v>
      </c>
      <c r="AC26" s="43">
        <f t="shared" si="9"/>
        <v>1.3083616511671456</v>
      </c>
      <c r="AF26" s="23">
        <f>AVERAGE(Z26:AB35,AC26:AC29,AC31:AC32,AC34)</f>
        <v>0.90054346504209015</v>
      </c>
      <c r="AG26" s="23">
        <f>STDEV(Z26:AB35,AC26:AC29,AC31:AC32,AC34)</f>
        <v>0.28197411233651648</v>
      </c>
      <c r="AH26">
        <f>AG26/SQRT(40-3)</f>
        <v>4.6356258514450369E-2</v>
      </c>
      <c r="AI26" s="53">
        <f>TTEST(Z26:AC35,Z36:AC45,2,2)</f>
        <v>4.0094955792121412E-2</v>
      </c>
      <c r="AL26" s="46"/>
      <c r="AM26" s="47" t="s">
        <v>122</v>
      </c>
      <c r="AN26" s="47" t="s">
        <v>123</v>
      </c>
    </row>
    <row r="27" spans="1:41">
      <c r="A27" s="43" t="s">
        <v>126</v>
      </c>
      <c r="B27">
        <v>13</v>
      </c>
      <c r="C27">
        <v>13</v>
      </c>
      <c r="D27">
        <v>19</v>
      </c>
      <c r="E27">
        <v>9</v>
      </c>
      <c r="I27">
        <f>56</f>
        <v>56</v>
      </c>
      <c r="J27">
        <f>46</f>
        <v>46</v>
      </c>
      <c r="K27">
        <f>76</f>
        <v>76</v>
      </c>
      <c r="L27">
        <f>50</f>
        <v>50</v>
      </c>
      <c r="P27" s="133"/>
      <c r="Q27" s="43">
        <f t="shared" ref="Q27:T45" si="10">(B27/I27)*100</f>
        <v>23.214285714285715</v>
      </c>
      <c r="R27" s="43">
        <f t="shared" si="8"/>
        <v>28.260869565217391</v>
      </c>
      <c r="S27" s="43">
        <f t="shared" si="8"/>
        <v>25</v>
      </c>
      <c r="T27" s="43">
        <f t="shared" si="8"/>
        <v>18</v>
      </c>
      <c r="Y27" s="133"/>
      <c r="Z27" s="43">
        <f t="shared" ref="Z27:AC45" si="11">Q27/$X$26</f>
        <v>0.88781683472056327</v>
      </c>
      <c r="AA27" s="43">
        <f t="shared" si="9"/>
        <v>1.0808204944424247</v>
      </c>
      <c r="AB27" s="43">
        <f t="shared" si="9"/>
        <v>0.9561104373913758</v>
      </c>
      <c r="AC27" s="43">
        <f t="shared" si="9"/>
        <v>0.68839951492179052</v>
      </c>
      <c r="AL27" s="46" t="s">
        <v>124</v>
      </c>
      <c r="AM27" s="57">
        <f>AF26</f>
        <v>0.90054346504209015</v>
      </c>
      <c r="AN27" s="57">
        <f>AF36</f>
        <v>1.0994565349579095</v>
      </c>
    </row>
    <row r="28" spans="1:41">
      <c r="A28" s="43" t="s">
        <v>126</v>
      </c>
      <c r="B28">
        <v>17</v>
      </c>
      <c r="C28">
        <v>17</v>
      </c>
      <c r="D28">
        <v>21</v>
      </c>
      <c r="E28">
        <v>15</v>
      </c>
      <c r="I28">
        <v>89</v>
      </c>
      <c r="J28">
        <v>78</v>
      </c>
      <c r="K28">
        <f>68</f>
        <v>68</v>
      </c>
      <c r="L28">
        <v>59</v>
      </c>
      <c r="P28" s="133"/>
      <c r="Q28" s="43">
        <f t="shared" si="10"/>
        <v>19.101123595505616</v>
      </c>
      <c r="R28" s="43">
        <f t="shared" si="8"/>
        <v>21.794871794871796</v>
      </c>
      <c r="S28" s="43">
        <f t="shared" si="8"/>
        <v>30.882352941176471</v>
      </c>
      <c r="T28" s="43">
        <f t="shared" si="8"/>
        <v>25.423728813559322</v>
      </c>
      <c r="Y28" s="133"/>
      <c r="Z28" s="43">
        <f t="shared" si="11"/>
        <v>0.73051134542262408</v>
      </c>
      <c r="AA28" s="43">
        <f t="shared" si="9"/>
        <v>0.8335321761873532</v>
      </c>
      <c r="AB28" s="43">
        <f t="shared" si="9"/>
        <v>1.1810775991305229</v>
      </c>
      <c r="AC28" s="43">
        <f t="shared" si="9"/>
        <v>0.97231569904207704</v>
      </c>
      <c r="AL28" s="46" t="s">
        <v>89</v>
      </c>
      <c r="AM28" s="46">
        <f>AH26</f>
        <v>4.6356258514450369E-2</v>
      </c>
      <c r="AN28" s="46">
        <f>AH36</f>
        <v>5.2351290575648891E-2</v>
      </c>
    </row>
    <row r="29" spans="1:41">
      <c r="A29" s="43" t="s">
        <v>126</v>
      </c>
      <c r="B29">
        <v>10</v>
      </c>
      <c r="C29">
        <v>13</v>
      </c>
      <c r="D29">
        <v>15</v>
      </c>
      <c r="E29">
        <v>8</v>
      </c>
      <c r="I29">
        <v>61</v>
      </c>
      <c r="J29">
        <v>80</v>
      </c>
      <c r="K29">
        <v>62</v>
      </c>
      <c r="L29">
        <v>52</v>
      </c>
      <c r="P29" s="133"/>
      <c r="Q29" s="43">
        <f t="shared" si="10"/>
        <v>16.393442622950818</v>
      </c>
      <c r="R29" s="43">
        <f t="shared" si="8"/>
        <v>16.25</v>
      </c>
      <c r="S29" s="43">
        <f t="shared" si="8"/>
        <v>24.193548387096776</v>
      </c>
      <c r="T29" s="43">
        <f t="shared" si="8"/>
        <v>15.384615384615385</v>
      </c>
      <c r="Y29" s="133"/>
      <c r="Z29" s="43">
        <f t="shared" si="11"/>
        <v>0.62695766386319718</v>
      </c>
      <c r="AA29" s="43">
        <f t="shared" si="9"/>
        <v>0.6214717843043942</v>
      </c>
      <c r="AB29" s="43">
        <f t="shared" si="9"/>
        <v>0.92526816521746047</v>
      </c>
      <c r="AC29" s="43">
        <f t="shared" si="9"/>
        <v>0.58837565377930812</v>
      </c>
    </row>
    <row r="30" spans="1:41">
      <c r="A30" s="43" t="s">
        <v>126</v>
      </c>
      <c r="B30">
        <v>12</v>
      </c>
      <c r="C30">
        <v>15</v>
      </c>
      <c r="D30">
        <v>13</v>
      </c>
      <c r="I30">
        <v>69</v>
      </c>
      <c r="J30">
        <v>55</v>
      </c>
      <c r="K30">
        <v>64</v>
      </c>
      <c r="P30" s="133"/>
      <c r="Q30" s="43">
        <f t="shared" si="10"/>
        <v>17.391304347826086</v>
      </c>
      <c r="R30" s="43">
        <f t="shared" si="8"/>
        <v>27.27272727272727</v>
      </c>
      <c r="S30" s="43">
        <f t="shared" si="8"/>
        <v>20.3125</v>
      </c>
      <c r="T30" s="43"/>
      <c r="Y30" s="133"/>
      <c r="Z30" s="43">
        <f t="shared" si="11"/>
        <v>0.66512030427226132</v>
      </c>
      <c r="AA30" s="43">
        <f t="shared" si="9"/>
        <v>1.0430295680633188</v>
      </c>
      <c r="AB30" s="43">
        <f t="shared" si="9"/>
        <v>0.77683973038049281</v>
      </c>
      <c r="AC30" s="43">
        <f t="shared" si="9"/>
        <v>0</v>
      </c>
    </row>
    <row r="31" spans="1:41">
      <c r="A31" s="43" t="s">
        <v>126</v>
      </c>
      <c r="B31">
        <v>14</v>
      </c>
      <c r="C31">
        <v>13</v>
      </c>
      <c r="D31">
        <v>7</v>
      </c>
      <c r="E31">
        <v>12</v>
      </c>
      <c r="I31">
        <v>46</v>
      </c>
      <c r="J31">
        <v>57</v>
      </c>
      <c r="K31">
        <v>43</v>
      </c>
      <c r="L31">
        <v>75</v>
      </c>
      <c r="P31" s="133"/>
      <c r="Q31" s="43">
        <f t="shared" si="10"/>
        <v>30.434782608695656</v>
      </c>
      <c r="R31" s="43">
        <f t="shared" si="8"/>
        <v>22.807017543859647</v>
      </c>
      <c r="S31" s="43">
        <f t="shared" si="8"/>
        <v>16.279069767441861</v>
      </c>
      <c r="T31" s="43">
        <f t="shared" si="8"/>
        <v>16</v>
      </c>
      <c r="Y31" s="133"/>
      <c r="Z31" s="43">
        <f t="shared" si="11"/>
        <v>1.1639605324764575</v>
      </c>
      <c r="AA31" s="43">
        <f t="shared" si="9"/>
        <v>0.87224110077809713</v>
      </c>
      <c r="AB31" s="43">
        <f t="shared" si="9"/>
        <v>0.62258354062694232</v>
      </c>
      <c r="AC31" s="43">
        <f t="shared" si="9"/>
        <v>0.61191067993048043</v>
      </c>
    </row>
    <row r="32" spans="1:41">
      <c r="A32" s="43" t="s">
        <v>126</v>
      </c>
      <c r="B32">
        <v>33</v>
      </c>
      <c r="C32">
        <v>18</v>
      </c>
      <c r="D32">
        <v>19</v>
      </c>
      <c r="E32">
        <v>8</v>
      </c>
      <c r="I32">
        <f>91</f>
        <v>91</v>
      </c>
      <c r="J32">
        <f>65</f>
        <v>65</v>
      </c>
      <c r="K32">
        <v>79</v>
      </c>
      <c r="L32">
        <v>55</v>
      </c>
      <c r="P32" s="133"/>
      <c r="Q32" s="43">
        <f t="shared" si="10"/>
        <v>36.263736263736263</v>
      </c>
      <c r="R32" s="43">
        <f t="shared" si="8"/>
        <v>27.692307692307693</v>
      </c>
      <c r="S32" s="43">
        <f t="shared" si="8"/>
        <v>24.050632911392405</v>
      </c>
      <c r="T32" s="43">
        <f t="shared" si="8"/>
        <v>14.545454545454545</v>
      </c>
      <c r="Y32" s="133"/>
      <c r="Z32" s="43">
        <f t="shared" si="11"/>
        <v>1.3868854696226549</v>
      </c>
      <c r="AA32" s="43">
        <f t="shared" si="9"/>
        <v>1.0590761768027548</v>
      </c>
      <c r="AB32" s="43">
        <f t="shared" si="9"/>
        <v>0.91980244609803241</v>
      </c>
      <c r="AC32" s="43">
        <f t="shared" si="9"/>
        <v>0.55628243630043683</v>
      </c>
    </row>
    <row r="33" spans="1:34">
      <c r="A33" s="43" t="s">
        <v>126</v>
      </c>
      <c r="B33">
        <v>13</v>
      </c>
      <c r="C33">
        <v>6</v>
      </c>
      <c r="D33">
        <v>14</v>
      </c>
      <c r="I33">
        <v>43</v>
      </c>
      <c r="J33">
        <v>46</v>
      </c>
      <c r="K33">
        <v>40</v>
      </c>
      <c r="P33" s="133"/>
      <c r="Q33" s="43">
        <f t="shared" si="10"/>
        <v>30.232558139534881</v>
      </c>
      <c r="R33" s="43">
        <f t="shared" si="8"/>
        <v>13.043478260869565</v>
      </c>
      <c r="S33" s="43">
        <f t="shared" si="8"/>
        <v>35</v>
      </c>
      <c r="T33" s="43"/>
      <c r="Y33" s="133"/>
      <c r="Z33" s="43">
        <f t="shared" si="11"/>
        <v>1.1562265754500356</v>
      </c>
      <c r="AA33" s="43">
        <f t="shared" si="9"/>
        <v>0.49884022820419599</v>
      </c>
      <c r="AB33" s="43">
        <f t="shared" si="9"/>
        <v>1.3385546123479259</v>
      </c>
      <c r="AC33" s="43">
        <f t="shared" si="9"/>
        <v>0</v>
      </c>
    </row>
    <row r="34" spans="1:34">
      <c r="A34" s="43" t="s">
        <v>126</v>
      </c>
      <c r="B34">
        <v>22</v>
      </c>
      <c r="C34">
        <v>28</v>
      </c>
      <c r="D34">
        <v>12</v>
      </c>
      <c r="E34">
        <v>17</v>
      </c>
      <c r="I34">
        <v>73</v>
      </c>
      <c r="J34">
        <v>102</v>
      </c>
      <c r="K34">
        <v>69</v>
      </c>
      <c r="L34">
        <v>80</v>
      </c>
      <c r="P34" s="133"/>
      <c r="Q34" s="43">
        <f t="shared" si="10"/>
        <v>30.136986301369863</v>
      </c>
      <c r="R34" s="43">
        <f t="shared" si="8"/>
        <v>27.450980392156865</v>
      </c>
      <c r="S34" s="43">
        <f t="shared" si="8"/>
        <v>17.391304347826086</v>
      </c>
      <c r="T34" s="43">
        <f t="shared" si="8"/>
        <v>21.25</v>
      </c>
      <c r="Y34" s="133"/>
      <c r="Z34" s="43">
        <f t="shared" si="11"/>
        <v>1.1525714861704255</v>
      </c>
      <c r="AA34" s="43">
        <f t="shared" si="9"/>
        <v>1.0498467547826871</v>
      </c>
      <c r="AB34" s="43">
        <f t="shared" si="9"/>
        <v>0.66512030427226132</v>
      </c>
      <c r="AC34" s="43">
        <f t="shared" si="9"/>
        <v>0.81269387178266939</v>
      </c>
    </row>
    <row r="35" spans="1:34">
      <c r="A35" s="43" t="s">
        <v>126</v>
      </c>
      <c r="B35">
        <v>3</v>
      </c>
      <c r="C35">
        <v>8</v>
      </c>
      <c r="D35">
        <v>10</v>
      </c>
      <c r="I35">
        <v>31</v>
      </c>
      <c r="J35">
        <v>42</v>
      </c>
      <c r="K35">
        <v>54</v>
      </c>
      <c r="P35" s="133"/>
      <c r="Q35" s="43">
        <f t="shared" si="10"/>
        <v>9.67741935483871</v>
      </c>
      <c r="R35" s="43">
        <f t="shared" si="8"/>
        <v>19.047619047619047</v>
      </c>
      <c r="S35" s="43">
        <f t="shared" si="8"/>
        <v>18.518518518518519</v>
      </c>
      <c r="T35" s="43"/>
      <c r="Y35" s="133"/>
      <c r="Z35" s="43">
        <f t="shared" si="11"/>
        <v>0.37010726608698419</v>
      </c>
      <c r="AA35" s="43">
        <f t="shared" si="9"/>
        <v>0.72846509515533386</v>
      </c>
      <c r="AB35" s="43">
        <f t="shared" si="9"/>
        <v>0.70822995362324126</v>
      </c>
      <c r="AC35" s="43">
        <f t="shared" si="9"/>
        <v>0</v>
      </c>
    </row>
    <row r="36" spans="1:34">
      <c r="A36" s="1" t="s">
        <v>127</v>
      </c>
      <c r="B36">
        <v>18</v>
      </c>
      <c r="C36">
        <v>14</v>
      </c>
      <c r="D36">
        <v>20</v>
      </c>
      <c r="E36">
        <v>23</v>
      </c>
      <c r="I36">
        <v>65</v>
      </c>
      <c r="J36">
        <v>65</v>
      </c>
      <c r="K36">
        <v>71</v>
      </c>
      <c r="L36">
        <v>99</v>
      </c>
      <c r="P36" s="133" t="s">
        <v>101</v>
      </c>
      <c r="Q36" s="1">
        <f t="shared" si="10"/>
        <v>27.692307692307693</v>
      </c>
      <c r="R36" s="1">
        <f t="shared" si="8"/>
        <v>21.53846153846154</v>
      </c>
      <c r="S36" s="1">
        <f t="shared" si="8"/>
        <v>28.169014084507044</v>
      </c>
      <c r="T36" s="1">
        <f t="shared" si="8"/>
        <v>23.232323232323232</v>
      </c>
      <c r="Y36" s="133" t="s">
        <v>101</v>
      </c>
      <c r="Z36" s="1">
        <f t="shared" si="11"/>
        <v>1.0590761768027548</v>
      </c>
      <c r="AA36" s="1">
        <f t="shared" si="9"/>
        <v>0.82372591529103145</v>
      </c>
      <c r="AB36" s="1">
        <f t="shared" si="9"/>
        <v>1.0773075350888741</v>
      </c>
      <c r="AC36" s="1">
        <f t="shared" si="9"/>
        <v>0.88850666909097542</v>
      </c>
      <c r="AF36" s="23">
        <f>AVERAGE(Z36:AB45,AC36:AC39,AC41:AC43)</f>
        <v>1.0994565349579095</v>
      </c>
      <c r="AG36" s="23">
        <f>STDEV(Z36:AB45,AC36:AC39,AC41:AC43)</f>
        <v>0.31844046872631138</v>
      </c>
      <c r="AH36" s="37">
        <f>AG36/SQRT(40-3)</f>
        <v>5.2351290575648891E-2</v>
      </c>
    </row>
    <row r="37" spans="1:34">
      <c r="A37" s="1" t="s">
        <v>127</v>
      </c>
      <c r="B37">
        <v>13</v>
      </c>
      <c r="C37">
        <v>17</v>
      </c>
      <c r="D37">
        <v>26</v>
      </c>
      <c r="E37">
        <v>10</v>
      </c>
      <c r="I37">
        <v>54</v>
      </c>
      <c r="J37">
        <v>64</v>
      </c>
      <c r="K37">
        <v>83</v>
      </c>
      <c r="L37">
        <v>38</v>
      </c>
      <c r="P37" s="133"/>
      <c r="Q37" s="1">
        <f t="shared" si="10"/>
        <v>24.074074074074073</v>
      </c>
      <c r="R37" s="1">
        <f t="shared" si="8"/>
        <v>26.5625</v>
      </c>
      <c r="S37" s="1">
        <f t="shared" si="8"/>
        <v>31.325301204819279</v>
      </c>
      <c r="T37" s="1">
        <f t="shared" si="8"/>
        <v>26.315789473684209</v>
      </c>
      <c r="Y37" s="133"/>
      <c r="Z37" s="1">
        <f t="shared" si="11"/>
        <v>0.92069893971021366</v>
      </c>
      <c r="AA37" s="1">
        <f t="shared" si="9"/>
        <v>1.0158673397283366</v>
      </c>
      <c r="AB37" s="1">
        <f t="shared" si="9"/>
        <v>1.1980178974542541</v>
      </c>
      <c r="AC37" s="1">
        <f t="shared" si="9"/>
        <v>1.0064320393593429</v>
      </c>
    </row>
    <row r="38" spans="1:34">
      <c r="A38" s="1" t="s">
        <v>127</v>
      </c>
      <c r="B38">
        <v>26</v>
      </c>
      <c r="C38">
        <v>23</v>
      </c>
      <c r="D38">
        <v>20</v>
      </c>
      <c r="E38">
        <v>14</v>
      </c>
      <c r="I38">
        <v>78</v>
      </c>
      <c r="J38">
        <v>87</v>
      </c>
      <c r="K38">
        <v>42</v>
      </c>
      <c r="L38">
        <v>38</v>
      </c>
      <c r="P38" s="133"/>
      <c r="Q38" s="1">
        <f t="shared" si="10"/>
        <v>33.333333333333329</v>
      </c>
      <c r="R38" s="1">
        <f t="shared" si="8"/>
        <v>26.436781609195403</v>
      </c>
      <c r="S38" s="1">
        <f t="shared" si="8"/>
        <v>47.619047619047613</v>
      </c>
      <c r="T38" s="1">
        <f t="shared" si="8"/>
        <v>36.84210526315789</v>
      </c>
      <c r="Y38" s="133"/>
      <c r="Z38" s="1">
        <f t="shared" si="11"/>
        <v>1.2748139165218342</v>
      </c>
      <c r="AA38" s="1">
        <f t="shared" si="9"/>
        <v>1.0110593131035239</v>
      </c>
      <c r="AB38" s="1">
        <f t="shared" si="9"/>
        <v>1.8211627378883346</v>
      </c>
      <c r="AC38" s="1">
        <f t="shared" si="9"/>
        <v>1.4090048551030798</v>
      </c>
    </row>
    <row r="39" spans="1:34">
      <c r="A39" s="1" t="s">
        <v>127</v>
      </c>
      <c r="B39">
        <v>20</v>
      </c>
      <c r="C39">
        <v>12</v>
      </c>
      <c r="D39">
        <v>16</v>
      </c>
      <c r="E39">
        <v>10</v>
      </c>
      <c r="I39">
        <v>68</v>
      </c>
      <c r="J39">
        <v>77</v>
      </c>
      <c r="K39">
        <v>76</v>
      </c>
      <c r="L39">
        <v>40</v>
      </c>
      <c r="P39" s="133"/>
      <c r="Q39" s="1">
        <f t="shared" si="10"/>
        <v>29.411764705882355</v>
      </c>
      <c r="R39" s="1">
        <f t="shared" si="8"/>
        <v>15.584415584415584</v>
      </c>
      <c r="S39" s="1">
        <f t="shared" si="8"/>
        <v>21.052631578947366</v>
      </c>
      <c r="T39" s="1">
        <f t="shared" si="8"/>
        <v>25</v>
      </c>
      <c r="Y39" s="133"/>
      <c r="Z39" s="1">
        <f t="shared" si="11"/>
        <v>1.1248358086957362</v>
      </c>
      <c r="AA39" s="1">
        <f t="shared" si="9"/>
        <v>0.59601689603618224</v>
      </c>
      <c r="AB39" s="1">
        <f t="shared" si="9"/>
        <v>0.8051456314874742</v>
      </c>
      <c r="AC39" s="1">
        <f t="shared" si="9"/>
        <v>0.9561104373913758</v>
      </c>
    </row>
    <row r="40" spans="1:34">
      <c r="A40" s="1" t="s">
        <v>127</v>
      </c>
      <c r="B40">
        <v>25</v>
      </c>
      <c r="C40">
        <v>20</v>
      </c>
      <c r="D40">
        <v>8</v>
      </c>
      <c r="I40">
        <v>66</v>
      </c>
      <c r="J40">
        <v>51</v>
      </c>
      <c r="K40">
        <v>40</v>
      </c>
      <c r="P40" s="133"/>
      <c r="Q40" s="1">
        <f t="shared" si="10"/>
        <v>37.878787878787875</v>
      </c>
      <c r="R40" s="1">
        <f t="shared" si="8"/>
        <v>39.215686274509807</v>
      </c>
      <c r="S40" s="1">
        <f t="shared" si="8"/>
        <v>20</v>
      </c>
      <c r="T40" s="1"/>
      <c r="Y40" s="133"/>
      <c r="Z40" s="1">
        <f t="shared" si="11"/>
        <v>1.4486521778657206</v>
      </c>
      <c r="AA40" s="1">
        <f t="shared" si="9"/>
        <v>1.4997810782609817</v>
      </c>
      <c r="AB40" s="1">
        <f t="shared" si="9"/>
        <v>0.76488834991310062</v>
      </c>
      <c r="AC40" s="1">
        <f t="shared" si="9"/>
        <v>0</v>
      </c>
    </row>
    <row r="41" spans="1:34">
      <c r="A41" s="1" t="s">
        <v>127</v>
      </c>
      <c r="B41">
        <v>21</v>
      </c>
      <c r="C41">
        <v>13</v>
      </c>
      <c r="D41">
        <v>17</v>
      </c>
      <c r="E41">
        <v>17</v>
      </c>
      <c r="I41">
        <f>40</f>
        <v>40</v>
      </c>
      <c r="J41">
        <v>45</v>
      </c>
      <c r="K41">
        <v>47</v>
      </c>
      <c r="L41">
        <v>49</v>
      </c>
      <c r="P41" s="133"/>
      <c r="Q41" s="1">
        <f t="shared" si="10"/>
        <v>52.5</v>
      </c>
      <c r="R41" s="1">
        <f t="shared" si="8"/>
        <v>28.888888888888886</v>
      </c>
      <c r="S41" s="1">
        <f t="shared" si="8"/>
        <v>36.170212765957451</v>
      </c>
      <c r="T41" s="1">
        <f t="shared" si="8"/>
        <v>34.693877551020407</v>
      </c>
      <c r="Y41" s="133"/>
      <c r="Z41" s="1">
        <f t="shared" si="11"/>
        <v>2.0078319185218891</v>
      </c>
      <c r="AA41" s="1">
        <f t="shared" si="9"/>
        <v>1.1048387276522562</v>
      </c>
      <c r="AB41" s="1">
        <f t="shared" si="9"/>
        <v>1.383308717927948</v>
      </c>
      <c r="AC41" s="1">
        <f t="shared" si="9"/>
        <v>1.326847137604358</v>
      </c>
    </row>
    <row r="42" spans="1:34">
      <c r="A42" s="1" t="s">
        <v>127</v>
      </c>
      <c r="B42">
        <v>15</v>
      </c>
      <c r="C42">
        <v>13</v>
      </c>
      <c r="D42">
        <v>21</v>
      </c>
      <c r="E42">
        <v>22</v>
      </c>
      <c r="I42">
        <v>76</v>
      </c>
      <c r="J42">
        <v>53</v>
      </c>
      <c r="K42">
        <v>71</v>
      </c>
      <c r="L42">
        <v>69</v>
      </c>
      <c r="P42" s="133"/>
      <c r="Q42" s="1">
        <f t="shared" si="10"/>
        <v>19.736842105263158</v>
      </c>
      <c r="R42" s="1">
        <f t="shared" si="10"/>
        <v>24.528301886792452</v>
      </c>
      <c r="S42" s="1">
        <f t="shared" si="10"/>
        <v>29.577464788732392</v>
      </c>
      <c r="T42" s="1">
        <f t="shared" si="10"/>
        <v>31.884057971014489</v>
      </c>
      <c r="Y42" s="133"/>
      <c r="Z42" s="1">
        <f t="shared" si="11"/>
        <v>0.75482402951950711</v>
      </c>
      <c r="AA42" s="1">
        <f t="shared" si="11"/>
        <v>0.93807061781795353</v>
      </c>
      <c r="AB42" s="1">
        <f t="shared" si="11"/>
        <v>1.1311729118433178</v>
      </c>
      <c r="AC42" s="1">
        <f t="shared" si="11"/>
        <v>1.2193872244991457</v>
      </c>
    </row>
    <row r="43" spans="1:34">
      <c r="A43" s="1" t="s">
        <v>127</v>
      </c>
      <c r="B43">
        <v>23</v>
      </c>
      <c r="C43">
        <v>30</v>
      </c>
      <c r="D43">
        <v>22</v>
      </c>
      <c r="E43">
        <v>22</v>
      </c>
      <c r="I43">
        <v>78</v>
      </c>
      <c r="J43">
        <v>112</v>
      </c>
      <c r="K43">
        <v>65</v>
      </c>
      <c r="L43">
        <v>76</v>
      </c>
      <c r="P43" s="133"/>
      <c r="Q43" s="1">
        <f t="shared" si="10"/>
        <v>29.487179487179489</v>
      </c>
      <c r="R43" s="1">
        <f t="shared" si="10"/>
        <v>26.785714285714285</v>
      </c>
      <c r="S43" s="1">
        <f t="shared" si="10"/>
        <v>33.846153846153847</v>
      </c>
      <c r="T43" s="1">
        <f t="shared" si="10"/>
        <v>28.947368421052634</v>
      </c>
      <c r="Y43" s="133"/>
      <c r="Z43" s="1">
        <f t="shared" si="11"/>
        <v>1.1277200030770074</v>
      </c>
      <c r="AA43" s="1">
        <f t="shared" si="11"/>
        <v>1.0244040400621883</v>
      </c>
      <c r="AB43" s="1">
        <f t="shared" si="11"/>
        <v>1.2944264383144779</v>
      </c>
      <c r="AC43" s="1">
        <f t="shared" si="11"/>
        <v>1.1070752432952773</v>
      </c>
    </row>
    <row r="44" spans="1:34">
      <c r="A44" s="1" t="s">
        <v>127</v>
      </c>
      <c r="B44">
        <v>12</v>
      </c>
      <c r="C44">
        <v>13</v>
      </c>
      <c r="D44">
        <v>9</v>
      </c>
      <c r="I44">
        <v>41</v>
      </c>
      <c r="J44">
        <v>34</v>
      </c>
      <c r="K44">
        <v>33</v>
      </c>
      <c r="P44" s="133"/>
      <c r="Q44" s="1">
        <f t="shared" si="10"/>
        <v>29.268292682926827</v>
      </c>
      <c r="R44" s="1">
        <f t="shared" si="10"/>
        <v>38.235294117647058</v>
      </c>
      <c r="S44" s="1">
        <f t="shared" si="10"/>
        <v>27.27272727272727</v>
      </c>
      <c r="T44" s="1"/>
      <c r="Y44" s="133"/>
      <c r="Z44" s="1">
        <f t="shared" si="11"/>
        <v>1.1193488047508788</v>
      </c>
      <c r="AA44" s="1">
        <f t="shared" si="11"/>
        <v>1.4622865513044569</v>
      </c>
      <c r="AB44" s="1">
        <f t="shared" si="11"/>
        <v>1.0430295680633188</v>
      </c>
      <c r="AC44" s="1">
        <f t="shared" si="11"/>
        <v>0</v>
      </c>
    </row>
    <row r="45" spans="1:34">
      <c r="A45" s="1" t="s">
        <v>127</v>
      </c>
      <c r="B45">
        <v>9</v>
      </c>
      <c r="C45">
        <v>11</v>
      </c>
      <c r="D45">
        <v>4</v>
      </c>
      <c r="I45">
        <v>51</v>
      </c>
      <c r="J45">
        <v>47</v>
      </c>
      <c r="K45">
        <v>42</v>
      </c>
      <c r="P45" s="133"/>
      <c r="Q45" s="1">
        <f t="shared" si="10"/>
        <v>17.647058823529413</v>
      </c>
      <c r="R45" s="1">
        <f t="shared" si="10"/>
        <v>23.404255319148938</v>
      </c>
      <c r="S45" s="1">
        <f t="shared" si="10"/>
        <v>9.5238095238095237</v>
      </c>
      <c r="T45" s="1"/>
      <c r="Y45" s="133"/>
      <c r="Z45" s="1">
        <f t="shared" si="11"/>
        <v>0.67490148521744175</v>
      </c>
      <c r="AA45" s="1">
        <f t="shared" si="11"/>
        <v>0.89508211160043694</v>
      </c>
      <c r="AB45" s="1">
        <f t="shared" si="11"/>
        <v>0.36423254757766693</v>
      </c>
      <c r="AC45" s="1">
        <f t="shared" si="11"/>
        <v>0</v>
      </c>
    </row>
  </sheetData>
  <mergeCells count="12">
    <mergeCell ref="P5:P6"/>
    <mergeCell ref="Y5:Y6"/>
    <mergeCell ref="P7:P8"/>
    <mergeCell ref="Y7:Y8"/>
    <mergeCell ref="P15:P17"/>
    <mergeCell ref="Y15:Y17"/>
    <mergeCell ref="P18:P20"/>
    <mergeCell ref="Y18:Y20"/>
    <mergeCell ref="P26:P35"/>
    <mergeCell ref="Y26:Y35"/>
    <mergeCell ref="P36:P45"/>
    <mergeCell ref="Y36:Y4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3"/>
  <sheetViews>
    <sheetView zoomScale="120" zoomScaleNormal="120" workbookViewId="0">
      <selection activeCell="C29" sqref="C29"/>
    </sheetView>
  </sheetViews>
  <sheetFormatPr baseColWidth="10" defaultColWidth="8.83203125" defaultRowHeight="15"/>
  <cols>
    <col min="1" max="1" width="15.5" customWidth="1"/>
    <col min="2" max="2" width="20.5" customWidth="1"/>
    <col min="3" max="3" width="12.1640625" customWidth="1"/>
    <col min="4" max="4" width="10.33203125" customWidth="1"/>
    <col min="6" max="6" width="26.5" customWidth="1"/>
    <col min="7" max="7" width="9.1640625" customWidth="1"/>
    <col min="10" max="10" width="24" customWidth="1"/>
    <col min="11" max="11" width="28.5" customWidth="1"/>
    <col min="13" max="13" width="14.5" customWidth="1"/>
    <col min="16" max="16" width="14.83203125" customWidth="1"/>
    <col min="17" max="17" width="16.1640625" customWidth="1"/>
    <col min="18" max="18" width="18.6640625" customWidth="1"/>
  </cols>
  <sheetData>
    <row r="1" spans="1:18">
      <c r="A1" t="s">
        <v>257</v>
      </c>
    </row>
    <row r="2" spans="1:18">
      <c r="A2" s="37"/>
      <c r="B2" s="44" t="s">
        <v>1</v>
      </c>
      <c r="C2" s="44"/>
      <c r="D2" s="44"/>
      <c r="E2" s="44"/>
      <c r="F2" s="44" t="s">
        <v>2</v>
      </c>
      <c r="G2" s="44"/>
      <c r="H2" s="44"/>
      <c r="I2" s="44"/>
      <c r="J2" s="44" t="s">
        <v>3</v>
      </c>
      <c r="K2" s="44" t="s">
        <v>4</v>
      </c>
    </row>
    <row r="3" spans="1:18" ht="16" thickBot="1">
      <c r="B3" s="44" t="s">
        <v>5</v>
      </c>
      <c r="C3" s="44" t="s">
        <v>6</v>
      </c>
      <c r="D3" s="44" t="s">
        <v>7</v>
      </c>
      <c r="E3" s="44"/>
      <c r="F3" s="42"/>
      <c r="G3" s="44" t="s">
        <v>5</v>
      </c>
      <c r="H3" s="42"/>
      <c r="I3" s="44"/>
      <c r="J3" s="44" t="s">
        <v>5</v>
      </c>
      <c r="K3" s="44" t="s">
        <v>5</v>
      </c>
    </row>
    <row r="4" spans="1:18">
      <c r="A4" s="1"/>
      <c r="B4" s="21"/>
      <c r="C4" s="21"/>
      <c r="D4" s="21"/>
      <c r="E4" s="21"/>
      <c r="G4" s="21"/>
      <c r="I4" s="21"/>
      <c r="J4" s="21"/>
      <c r="K4" s="21"/>
      <c r="P4" s="2"/>
      <c r="Q4" s="3" t="s">
        <v>129</v>
      </c>
      <c r="R4" s="4" t="s">
        <v>130</v>
      </c>
    </row>
    <row r="5" spans="1:18">
      <c r="A5" s="60" t="s">
        <v>134</v>
      </c>
      <c r="B5">
        <v>42.27</v>
      </c>
      <c r="C5">
        <v>19.91</v>
      </c>
      <c r="D5">
        <v>32.83</v>
      </c>
      <c r="F5">
        <f>SUM(B5:D5)</f>
        <v>95.01</v>
      </c>
      <c r="G5">
        <f>B5/F5*100</f>
        <v>44.490053678560152</v>
      </c>
      <c r="H5">
        <f>AVERAGE(G5:G6)</f>
        <v>45.91232561719832</v>
      </c>
      <c r="J5">
        <f>G5/$H$5</f>
        <v>0.96902200183679221</v>
      </c>
      <c r="K5">
        <f t="shared" ref="K5:K6" si="0">LOG(J5,2)</f>
        <v>-4.5398672198012864E-2</v>
      </c>
      <c r="P5" s="5" t="s">
        <v>131</v>
      </c>
      <c r="Q5" s="109">
        <f>AVERAGE(K5:K6,K10:K11)</f>
        <v>-3.7320704841460996E-4</v>
      </c>
      <c r="R5" s="110">
        <f>-STDEV(K5:K6,K10:K11)/SQRT(4)</f>
        <v>-1.894826960385575E-2</v>
      </c>
    </row>
    <row r="6" spans="1:18">
      <c r="A6" s="60" t="s">
        <v>134</v>
      </c>
      <c r="B6">
        <v>44.93</v>
      </c>
      <c r="C6">
        <v>18.75</v>
      </c>
      <c r="D6">
        <v>31.24</v>
      </c>
      <c r="F6">
        <f>SUM(B6:D6)</f>
        <v>94.92</v>
      </c>
      <c r="G6">
        <f>B6/F6*100</f>
        <v>47.334597555836496</v>
      </c>
      <c r="J6">
        <f>G6/$H$5</f>
        <v>1.0309779981632079</v>
      </c>
      <c r="K6">
        <f t="shared" si="0"/>
        <v>4.4013544850030735E-2</v>
      </c>
      <c r="P6" s="5" t="s">
        <v>132</v>
      </c>
      <c r="Q6" s="109">
        <f>AVERAGE(K7,K12,K13)</f>
        <v>0.24855511891417459</v>
      </c>
      <c r="R6" s="110">
        <f>STDEV(K7,K12:K13)/SQRT(3)</f>
        <v>2.0544479197184645E-2</v>
      </c>
    </row>
    <row r="7" spans="1:18" ht="16" thickBot="1">
      <c r="A7" t="s">
        <v>132</v>
      </c>
      <c r="B7">
        <v>50.76</v>
      </c>
      <c r="C7">
        <v>13.3</v>
      </c>
      <c r="D7">
        <v>31.69</v>
      </c>
      <c r="F7">
        <f>SUM(B7:D7)</f>
        <v>95.75</v>
      </c>
      <c r="G7">
        <f>B7/F7*100</f>
        <v>53.01305483028721</v>
      </c>
      <c r="J7">
        <f>G7/$H$5</f>
        <v>1.1546584521178997</v>
      </c>
      <c r="K7">
        <f>LOG(J7,2)</f>
        <v>0.20746616566196469</v>
      </c>
      <c r="P7" s="58"/>
      <c r="Q7" s="9"/>
      <c r="R7" s="10"/>
    </row>
    <row r="9" spans="1:18">
      <c r="A9" s="1"/>
    </row>
    <row r="10" spans="1:18">
      <c r="A10" s="60" t="s">
        <v>134</v>
      </c>
      <c r="B10">
        <v>39.99</v>
      </c>
      <c r="C10">
        <v>26.16</v>
      </c>
      <c r="D10">
        <v>28.07</v>
      </c>
      <c r="F10">
        <f t="shared" ref="F10:F13" si="1">SUM(B10:D10)</f>
        <v>94.22</v>
      </c>
      <c r="G10">
        <f t="shared" ref="G10:G13" si="2">B10/F10*100</f>
        <v>42.443218000424544</v>
      </c>
      <c r="H10">
        <f>AVERAGE(G10:G11)</f>
        <v>42.813123764096716</v>
      </c>
      <c r="J10">
        <f>G10/$H$10</f>
        <v>0.99135999125617702</v>
      </c>
      <c r="K10">
        <f>LOG(J10,2)</f>
        <v>-1.2519058371854019E-2</v>
      </c>
    </row>
    <row r="11" spans="1:18">
      <c r="A11" s="60" t="s">
        <v>134</v>
      </c>
      <c r="B11">
        <v>40.51</v>
      </c>
      <c r="C11">
        <v>26.5</v>
      </c>
      <c r="D11">
        <v>26.8</v>
      </c>
      <c r="F11">
        <f t="shared" si="1"/>
        <v>93.809999999999988</v>
      </c>
      <c r="G11">
        <f t="shared" si="2"/>
        <v>43.183029527768895</v>
      </c>
      <c r="J11">
        <f t="shared" ref="J11:J13" si="3">G11/$H$10</f>
        <v>1.0086400087438232</v>
      </c>
      <c r="K11">
        <f>LOG(J11,2)</f>
        <v>1.2411357526177709E-2</v>
      </c>
    </row>
    <row r="12" spans="1:18">
      <c r="A12" t="s">
        <v>132</v>
      </c>
      <c r="B12">
        <v>49.11</v>
      </c>
      <c r="C12">
        <v>19.149999999999999</v>
      </c>
      <c r="D12">
        <v>26.93</v>
      </c>
      <c r="F12">
        <f t="shared" si="1"/>
        <v>95.19</v>
      </c>
      <c r="G12">
        <f t="shared" si="2"/>
        <v>51.591553734635987</v>
      </c>
      <c r="J12">
        <f t="shared" si="3"/>
        <v>1.205040632374994</v>
      </c>
      <c r="K12">
        <f>LOG(J12,2)</f>
        <v>0.26908179304245333</v>
      </c>
    </row>
    <row r="13" spans="1:18">
      <c r="A13" t="s">
        <v>132</v>
      </c>
      <c r="B13">
        <v>48.91</v>
      </c>
      <c r="C13">
        <v>18.95</v>
      </c>
      <c r="D13">
        <v>26.94</v>
      </c>
      <c r="F13">
        <f t="shared" si="1"/>
        <v>94.8</v>
      </c>
      <c r="G13">
        <f t="shared" si="2"/>
        <v>51.592827004219409</v>
      </c>
      <c r="J13">
        <f t="shared" si="3"/>
        <v>1.2050703725450977</v>
      </c>
      <c r="K13">
        <f t="shared" ref="K13" si="4">LOG(J13,2)</f>
        <v>0.26911739803810575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S8"/>
  <sheetViews>
    <sheetView zoomScale="80" zoomScaleNormal="80" workbookViewId="0">
      <selection activeCell="S13" sqref="S13"/>
    </sheetView>
  </sheetViews>
  <sheetFormatPr baseColWidth="10" defaultColWidth="8.83203125" defaultRowHeight="15"/>
  <cols>
    <col min="2" max="2" width="15.5" customWidth="1"/>
    <col min="3" max="3" width="20.5" customWidth="1"/>
    <col min="4" max="4" width="12.1640625" customWidth="1"/>
    <col min="5" max="5" width="10.33203125" customWidth="1"/>
    <col min="7" max="7" width="26.5" customWidth="1"/>
    <col min="8" max="8" width="9.1640625" customWidth="1"/>
    <col min="11" max="11" width="24" customWidth="1"/>
    <col min="12" max="12" width="28.5" customWidth="1"/>
    <col min="14" max="14" width="14.5" customWidth="1"/>
    <col min="17" max="17" width="14.83203125" customWidth="1"/>
    <col min="18" max="18" width="13.6640625" bestFit="1" customWidth="1"/>
  </cols>
  <sheetData>
    <row r="2" spans="2:19">
      <c r="B2" s="37"/>
      <c r="C2" s="44" t="s">
        <v>1</v>
      </c>
      <c r="D2" s="44"/>
      <c r="E2" s="44"/>
      <c r="F2" s="44"/>
      <c r="G2" s="44" t="s">
        <v>2</v>
      </c>
      <c r="H2" s="44"/>
      <c r="I2" s="44"/>
      <c r="J2" s="44"/>
      <c r="K2" s="44" t="s">
        <v>3</v>
      </c>
      <c r="L2" s="44" t="s">
        <v>4</v>
      </c>
    </row>
    <row r="3" spans="2:19" ht="16" thickBot="1">
      <c r="C3" s="44" t="s">
        <v>5</v>
      </c>
      <c r="D3" s="44" t="s">
        <v>6</v>
      </c>
      <c r="E3" s="44" t="s">
        <v>7</v>
      </c>
      <c r="F3" s="44"/>
      <c r="G3" s="42"/>
      <c r="H3" s="44" t="s">
        <v>5</v>
      </c>
      <c r="I3" s="42"/>
      <c r="J3" s="44"/>
      <c r="K3" s="44" t="s">
        <v>5</v>
      </c>
      <c r="L3" s="44" t="s">
        <v>5</v>
      </c>
    </row>
    <row r="4" spans="2:19">
      <c r="B4" s="1"/>
      <c r="Q4" s="2"/>
      <c r="R4" s="3" t="s">
        <v>129</v>
      </c>
      <c r="S4" s="4" t="s">
        <v>130</v>
      </c>
    </row>
    <row r="5" spans="2:19">
      <c r="B5" s="60" t="s">
        <v>134</v>
      </c>
      <c r="C5">
        <v>39.99</v>
      </c>
      <c r="D5">
        <v>26.16</v>
      </c>
      <c r="E5">
        <v>28.07</v>
      </c>
      <c r="G5">
        <f t="shared" ref="G5:G6" si="0">SUM(C5:E5)</f>
        <v>94.22</v>
      </c>
      <c r="H5">
        <f t="shared" ref="H5:H6" si="1">C5/G5*100</f>
        <v>42.443218000424544</v>
      </c>
      <c r="I5">
        <f>AVERAGE(H5:H6)</f>
        <v>42.813123764096716</v>
      </c>
      <c r="K5">
        <f>H5/$I$5</f>
        <v>0.99135999125617702</v>
      </c>
      <c r="L5">
        <f>LOG(K5,2)</f>
        <v>-1.2519058371854019E-2</v>
      </c>
      <c r="Q5" s="5" t="s">
        <v>131</v>
      </c>
      <c r="R5" s="6">
        <f>AVERAGE(L5:L6)</f>
        <v>-5.3850422838155367E-5</v>
      </c>
      <c r="S5" s="7">
        <f>-STDEV(L5:L6)/SQRT(4)</f>
        <v>-8.8142330696495737E-3</v>
      </c>
    </row>
    <row r="6" spans="2:19" ht="16" thickBot="1">
      <c r="B6" s="60" t="s">
        <v>134</v>
      </c>
      <c r="C6">
        <v>40.51</v>
      </c>
      <c r="D6">
        <v>26.5</v>
      </c>
      <c r="E6">
        <v>26.8</v>
      </c>
      <c r="G6">
        <f t="shared" si="0"/>
        <v>93.809999999999988</v>
      </c>
      <c r="H6">
        <f t="shared" si="1"/>
        <v>43.183029527768895</v>
      </c>
      <c r="K6">
        <f>H6/$I$5</f>
        <v>1.0086400087438232</v>
      </c>
      <c r="L6">
        <f>LOG(K6,2)</f>
        <v>1.2411357526177709E-2</v>
      </c>
      <c r="Q6" s="58" t="s">
        <v>133</v>
      </c>
      <c r="R6" s="9">
        <f>AVERAGE(L7:L8)</f>
        <v>0.3117339694295338</v>
      </c>
      <c r="S6" s="10">
        <f>STDEV(L7:L8)</f>
        <v>1.3553646875989754E-2</v>
      </c>
    </row>
    <row r="7" spans="2:19">
      <c r="B7" s="53" t="s">
        <v>133</v>
      </c>
      <c r="C7">
        <v>49.99</v>
      </c>
      <c r="D7">
        <v>19.079999999999998</v>
      </c>
      <c r="E7">
        <v>25.63</v>
      </c>
      <c r="G7">
        <f>SUM(C7:E7)</f>
        <v>94.699999999999989</v>
      </c>
      <c r="H7">
        <f>C7/G7*100</f>
        <v>52.787750791974666</v>
      </c>
      <c r="K7">
        <f>H7/$I$5</f>
        <v>1.2329805945214098</v>
      </c>
      <c r="L7">
        <f>LOG(K7,2)</f>
        <v>0.3021500938137136</v>
      </c>
    </row>
    <row r="8" spans="2:19">
      <c r="B8" s="53" t="s">
        <v>133</v>
      </c>
      <c r="C8">
        <v>50.68</v>
      </c>
      <c r="D8">
        <v>20.07</v>
      </c>
      <c r="E8">
        <v>23.99</v>
      </c>
      <c r="G8">
        <f>SUM(C8:E8)</f>
        <v>94.74</v>
      </c>
      <c r="H8">
        <f>C8/G8*100</f>
        <v>53.493772429807898</v>
      </c>
      <c r="K8">
        <f>H8/$I$5</f>
        <v>1.2494713706143541</v>
      </c>
      <c r="L8">
        <f>LOG(K8,2)</f>
        <v>0.32131784504535404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43"/>
  <sheetViews>
    <sheetView zoomScale="80" zoomScaleNormal="80" workbookViewId="0">
      <selection activeCell="A20" sqref="A20:A22"/>
    </sheetView>
  </sheetViews>
  <sheetFormatPr baseColWidth="10" defaultColWidth="8.83203125" defaultRowHeight="15"/>
  <cols>
    <col min="1" max="1" width="27.6640625" bestFit="1" customWidth="1"/>
    <col min="3" max="3" width="16.83203125" customWidth="1"/>
    <col min="6" max="6" width="22.5" customWidth="1"/>
    <col min="10" max="10" width="19.6640625" customWidth="1"/>
    <col min="11" max="11" width="19.33203125" customWidth="1"/>
    <col min="13" max="13" width="12.5" customWidth="1"/>
    <col min="14" max="14" width="13.83203125" customWidth="1"/>
    <col min="15" max="15" width="19.33203125" customWidth="1"/>
    <col min="19" max="19" width="15" customWidth="1"/>
    <col min="20" max="20" width="14.83203125" customWidth="1"/>
    <col min="21" max="21" width="14.33203125" customWidth="1"/>
  </cols>
  <sheetData>
    <row r="1" spans="1:21">
      <c r="A1" s="37"/>
      <c r="B1" s="44" t="s">
        <v>1</v>
      </c>
      <c r="C1" s="44"/>
      <c r="D1" s="44"/>
      <c r="E1" s="44"/>
      <c r="F1" s="44" t="s">
        <v>2</v>
      </c>
      <c r="G1" s="44"/>
      <c r="H1" s="44"/>
      <c r="I1" s="44"/>
      <c r="J1" s="44" t="s">
        <v>3</v>
      </c>
      <c r="K1" s="44" t="s">
        <v>4</v>
      </c>
      <c r="L1" s="42"/>
      <c r="M1" s="42"/>
      <c r="O1" s="37"/>
    </row>
    <row r="2" spans="1:21">
      <c r="B2" s="44" t="s">
        <v>5</v>
      </c>
      <c r="C2" s="44" t="s">
        <v>6</v>
      </c>
      <c r="D2" s="44" t="s">
        <v>7</v>
      </c>
      <c r="E2" s="44"/>
      <c r="F2" s="42"/>
      <c r="G2" s="44" t="s">
        <v>5</v>
      </c>
      <c r="H2" s="42"/>
      <c r="I2" s="44"/>
      <c r="J2" s="44" t="s">
        <v>5</v>
      </c>
      <c r="K2" s="44" t="s">
        <v>5</v>
      </c>
      <c r="L2" s="42"/>
      <c r="M2" s="42"/>
    </row>
    <row r="3" spans="1:21">
      <c r="J3">
        <f>AVERAGE(G5:G7)</f>
        <v>36.442568181462377</v>
      </c>
    </row>
    <row r="4" spans="1:21">
      <c r="A4" s="1"/>
    </row>
    <row r="5" spans="1:21" ht="16" thickBot="1">
      <c r="A5" s="60" t="s">
        <v>255</v>
      </c>
      <c r="B5">
        <v>31.36</v>
      </c>
      <c r="C5">
        <v>39.25</v>
      </c>
      <c r="D5">
        <v>16.89</v>
      </c>
      <c r="F5">
        <f>SUM(B5:D5)</f>
        <v>87.5</v>
      </c>
      <c r="G5">
        <f>B5/F5*100</f>
        <v>35.839999999999996</v>
      </c>
      <c r="J5">
        <f>G5/$J$3</f>
        <v>0.98346526571722526</v>
      </c>
      <c r="K5">
        <f t="shared" ref="K5:K12" si="0">LOG(J5,2)</f>
        <v>-2.4053994963540395E-2</v>
      </c>
    </row>
    <row r="6" spans="1:21">
      <c r="A6" s="60" t="s">
        <v>255</v>
      </c>
      <c r="B6">
        <v>32.340000000000003</v>
      </c>
      <c r="C6">
        <v>39.31</v>
      </c>
      <c r="D6">
        <v>15.5</v>
      </c>
      <c r="F6">
        <f t="shared" ref="F6:F11" si="1">SUM(B6:D6)</f>
        <v>87.15</v>
      </c>
      <c r="G6">
        <f t="shared" ref="G6:G12" si="2">B6/F6*100</f>
        <v>37.108433734939759</v>
      </c>
      <c r="J6">
        <f t="shared" ref="J6:J12" si="3">G6/$J$3</f>
        <v>1.0182716418382416</v>
      </c>
      <c r="K6">
        <f t="shared" si="0"/>
        <v>2.6122476988919265E-2</v>
      </c>
      <c r="S6" s="2"/>
      <c r="T6" s="3" t="s">
        <v>96</v>
      </c>
      <c r="U6" s="4" t="s">
        <v>97</v>
      </c>
    </row>
    <row r="7" spans="1:21">
      <c r="A7" s="60" t="s">
        <v>255</v>
      </c>
      <c r="B7">
        <v>31.73</v>
      </c>
      <c r="C7">
        <v>38.92</v>
      </c>
      <c r="D7">
        <v>16.57</v>
      </c>
      <c r="F7">
        <f t="shared" si="1"/>
        <v>87.22</v>
      </c>
      <c r="G7">
        <f>B7/F7*100</f>
        <v>36.37927080944737</v>
      </c>
      <c r="J7">
        <f t="shared" si="3"/>
        <v>0.99826309244453293</v>
      </c>
      <c r="K7">
        <f t="shared" si="0"/>
        <v>-2.5080066356632912E-3</v>
      </c>
      <c r="S7" s="5" t="s">
        <v>134</v>
      </c>
      <c r="T7" s="6">
        <f>AVERAGE(K5:K7,K17:K19)</f>
        <v>-2.5410323857059475E-4</v>
      </c>
      <c r="U7" s="7">
        <f>STDEV(K5:K7,K17:K19)/SQRT(6)</f>
        <v>1.2131187712462294E-2</v>
      </c>
    </row>
    <row r="8" spans="1:21" ht="16" thickBot="1">
      <c r="A8" t="s">
        <v>259</v>
      </c>
      <c r="B8">
        <v>38.24</v>
      </c>
      <c r="C8">
        <v>38</v>
      </c>
      <c r="D8">
        <v>12.1</v>
      </c>
      <c r="F8">
        <f t="shared" si="1"/>
        <v>88.34</v>
      </c>
      <c r="G8">
        <f t="shared" si="2"/>
        <v>43.287299071768167</v>
      </c>
      <c r="J8">
        <f t="shared" si="3"/>
        <v>1.1878224074720281</v>
      </c>
      <c r="K8">
        <f t="shared" si="0"/>
        <v>0.24831915346890054</v>
      </c>
      <c r="S8" s="8" t="s">
        <v>132</v>
      </c>
      <c r="T8" s="9">
        <f>AVERAGE(K8:K12,K20:K22)</f>
        <v>0.32323742337644024</v>
      </c>
      <c r="U8" s="10">
        <f>STDEV(K8:K12,K20:K22)/SQRT(8)</f>
        <v>2.6563754285817379E-2</v>
      </c>
    </row>
    <row r="9" spans="1:21">
      <c r="A9" t="s">
        <v>259</v>
      </c>
      <c r="B9">
        <v>40.729999999999997</v>
      </c>
      <c r="C9">
        <v>36.979999999999997</v>
      </c>
      <c r="D9">
        <v>10.06</v>
      </c>
      <c r="F9">
        <f t="shared" si="1"/>
        <v>87.77</v>
      </c>
      <c r="G9">
        <f t="shared" si="2"/>
        <v>46.405377691694198</v>
      </c>
      <c r="J9">
        <f t="shared" si="3"/>
        <v>1.2733838477195938</v>
      </c>
      <c r="K9">
        <f t="shared" si="0"/>
        <v>0.3486673695364973</v>
      </c>
    </row>
    <row r="10" spans="1:21">
      <c r="A10" t="s">
        <v>259</v>
      </c>
      <c r="B10">
        <v>38.83</v>
      </c>
      <c r="C10">
        <v>37.81</v>
      </c>
      <c r="D10">
        <v>11.26</v>
      </c>
      <c r="F10">
        <f t="shared" si="1"/>
        <v>87.9</v>
      </c>
      <c r="G10">
        <f>B10/F10*100</f>
        <v>44.175199089874852</v>
      </c>
      <c r="J10">
        <f>G10/$J$3</f>
        <v>1.212186772071292</v>
      </c>
      <c r="K10">
        <f t="shared" si="0"/>
        <v>0.27761200440601608</v>
      </c>
    </row>
    <row r="11" spans="1:21">
      <c r="A11" t="s">
        <v>259</v>
      </c>
      <c r="B11">
        <v>37.76</v>
      </c>
      <c r="C11">
        <v>37.82</v>
      </c>
      <c r="D11">
        <v>11.71</v>
      </c>
      <c r="F11">
        <f t="shared" si="1"/>
        <v>87.289999999999992</v>
      </c>
      <c r="G11">
        <f t="shared" si="2"/>
        <v>43.258105166685759</v>
      </c>
      <c r="J11">
        <f t="shared" si="3"/>
        <v>1.1870213139558674</v>
      </c>
      <c r="K11">
        <f t="shared" si="0"/>
        <v>0.24734584000287207</v>
      </c>
    </row>
    <row r="12" spans="1:21">
      <c r="A12" t="s">
        <v>259</v>
      </c>
      <c r="B12">
        <v>38.770000000000003</v>
      </c>
      <c r="C12">
        <v>37.06</v>
      </c>
      <c r="D12">
        <v>11.94</v>
      </c>
      <c r="F12">
        <f>SUM(B12:D12)</f>
        <v>87.77000000000001</v>
      </c>
      <c r="G12">
        <f t="shared" si="2"/>
        <v>44.17226842884812</v>
      </c>
      <c r="J12">
        <f t="shared" si="3"/>
        <v>1.2121063534517222</v>
      </c>
      <c r="K12">
        <f t="shared" si="0"/>
        <v>0.27751629028426278</v>
      </c>
    </row>
    <row r="15" spans="1:21">
      <c r="J15">
        <f>AVERAGE(G17:G19)</f>
        <v>32.362060745315702</v>
      </c>
    </row>
    <row r="16" spans="1:21">
      <c r="A16" s="1"/>
    </row>
    <row r="17" spans="1:11">
      <c r="A17" s="60" t="s">
        <v>255</v>
      </c>
      <c r="B17">
        <v>27.51</v>
      </c>
      <c r="C17">
        <v>42.07</v>
      </c>
      <c r="D17">
        <v>18.190000000000001</v>
      </c>
      <c r="F17">
        <f>SUM(B17:D17)</f>
        <v>87.77</v>
      </c>
      <c r="G17">
        <f>B17/F17*100</f>
        <v>31.343283582089555</v>
      </c>
      <c r="J17">
        <f>G17/$J$15</f>
        <v>0.96851939772180262</v>
      </c>
      <c r="K17">
        <f t="shared" ref="K17:K22" si="4">LOG(J17,2)</f>
        <v>-4.6147151152480761E-2</v>
      </c>
    </row>
    <row r="18" spans="1:11">
      <c r="A18" s="60" t="s">
        <v>255</v>
      </c>
      <c r="B18">
        <v>28.88</v>
      </c>
      <c r="C18">
        <v>42.77</v>
      </c>
      <c r="D18">
        <v>16.13</v>
      </c>
      <c r="F18">
        <f t="shared" ref="F18:F22" si="5">SUM(B18:D18)</f>
        <v>87.78</v>
      </c>
      <c r="G18">
        <f t="shared" ref="G18:G20" si="6">B18/F18*100</f>
        <v>32.900432900432897</v>
      </c>
      <c r="J18">
        <f t="shared" ref="J18:J22" si="7">G18/$J$15</f>
        <v>1.0166359045968703</v>
      </c>
      <c r="K18">
        <f t="shared" si="4"/>
        <v>2.3803088554058941E-2</v>
      </c>
    </row>
    <row r="19" spans="1:11">
      <c r="A19" s="60" t="s">
        <v>255</v>
      </c>
      <c r="B19">
        <v>28.77</v>
      </c>
      <c r="C19">
        <v>42.29</v>
      </c>
      <c r="D19">
        <v>16.54</v>
      </c>
      <c r="F19">
        <f t="shared" si="5"/>
        <v>87.6</v>
      </c>
      <c r="G19">
        <f t="shared" si="6"/>
        <v>32.842465753424662</v>
      </c>
      <c r="J19">
        <f t="shared" si="7"/>
        <v>1.0148446976813272</v>
      </c>
      <c r="K19">
        <f t="shared" si="4"/>
        <v>2.1258967777282676E-2</v>
      </c>
    </row>
    <row r="20" spans="1:11">
      <c r="A20" t="s">
        <v>259</v>
      </c>
      <c r="B20">
        <v>35.67</v>
      </c>
      <c r="C20">
        <v>34.69</v>
      </c>
      <c r="D20">
        <v>17.68</v>
      </c>
      <c r="F20">
        <f t="shared" si="5"/>
        <v>88.039999999999992</v>
      </c>
      <c r="G20">
        <f t="shared" si="6"/>
        <v>40.515674693321223</v>
      </c>
      <c r="J20">
        <f t="shared" si="7"/>
        <v>1.2519497757628346</v>
      </c>
      <c r="K20">
        <f t="shared" si="4"/>
        <v>0.32417668710178627</v>
      </c>
    </row>
    <row r="21" spans="1:11">
      <c r="A21" t="s">
        <v>259</v>
      </c>
      <c r="B21">
        <v>38.44</v>
      </c>
      <c r="C21">
        <v>34.36</v>
      </c>
      <c r="D21">
        <v>15.02</v>
      </c>
      <c r="F21">
        <f t="shared" si="5"/>
        <v>87.82</v>
      </c>
      <c r="G21">
        <f>B21/F21*100</f>
        <v>43.771350489637896</v>
      </c>
      <c r="J21">
        <f t="shared" si="7"/>
        <v>1.3525513975797616</v>
      </c>
      <c r="K21">
        <f t="shared" si="4"/>
        <v>0.43568341817374023</v>
      </c>
    </row>
    <row r="22" spans="1:11">
      <c r="A22" t="s">
        <v>259</v>
      </c>
      <c r="B22">
        <v>38.42</v>
      </c>
      <c r="C22">
        <v>34.42</v>
      </c>
      <c r="D22">
        <v>15.49</v>
      </c>
      <c r="F22">
        <f t="shared" si="5"/>
        <v>88.33</v>
      </c>
      <c r="G22">
        <f t="shared" ref="G22" si="8">B22/F22*100</f>
        <v>43.495980980414359</v>
      </c>
      <c r="J22">
        <f t="shared" si="7"/>
        <v>1.3440423748883252</v>
      </c>
      <c r="K22">
        <f t="shared" si="4"/>
        <v>0.4265786240374469</v>
      </c>
    </row>
    <row r="28" spans="1:11">
      <c r="A28" s="37"/>
      <c r="B28" s="44" t="s">
        <v>1</v>
      </c>
      <c r="C28" s="44"/>
      <c r="D28" s="44"/>
      <c r="E28" s="44"/>
      <c r="F28" s="44" t="s">
        <v>2</v>
      </c>
      <c r="G28" s="44"/>
      <c r="H28" s="44"/>
      <c r="I28" s="44"/>
      <c r="J28" s="44" t="s">
        <v>3</v>
      </c>
      <c r="K28" s="44" t="s">
        <v>4</v>
      </c>
    </row>
    <row r="29" spans="1:11">
      <c r="B29" s="44" t="s">
        <v>5</v>
      </c>
      <c r="C29" s="44" t="s">
        <v>6</v>
      </c>
      <c r="D29" s="44" t="s">
        <v>7</v>
      </c>
      <c r="E29" s="44"/>
      <c r="F29" s="42"/>
      <c r="G29" s="44" t="s">
        <v>5</v>
      </c>
      <c r="H29" s="42"/>
      <c r="I29" s="44"/>
      <c r="J29" s="44" t="s">
        <v>5</v>
      </c>
      <c r="K29" s="44" t="s">
        <v>5</v>
      </c>
    </row>
    <row r="30" spans="1:11">
      <c r="B30" s="21"/>
      <c r="C30" s="21"/>
      <c r="D30" s="21"/>
      <c r="E30" s="21"/>
      <c r="G30" s="21"/>
      <c r="I30" s="21"/>
      <c r="J30" s="21"/>
      <c r="K30" s="21"/>
    </row>
    <row r="31" spans="1:11">
      <c r="A31" s="20"/>
      <c r="J31" s="59">
        <f>AVERAGE(G32:G37)</f>
        <v>26.975593749409185</v>
      </c>
    </row>
    <row r="32" spans="1:11">
      <c r="A32" s="60" t="s">
        <v>255</v>
      </c>
      <c r="B32">
        <v>24.35</v>
      </c>
      <c r="C32">
        <v>29.83</v>
      </c>
      <c r="D32">
        <v>33.97</v>
      </c>
      <c r="F32" s="59">
        <f>SUM(B32:D32)</f>
        <v>88.15</v>
      </c>
      <c r="G32" s="59">
        <f>B32/F32*100</f>
        <v>27.623369256948383</v>
      </c>
      <c r="J32" s="61">
        <f t="shared" ref="J32:J43" si="9">G32/$J$31</f>
        <v>1.0240133920148982</v>
      </c>
      <c r="K32">
        <f t="shared" ref="K32:K37" si="10">LOG(J32,2)</f>
        <v>3.4234582981607767E-2</v>
      </c>
    </row>
    <row r="33" spans="1:15">
      <c r="A33" s="60" t="s">
        <v>255</v>
      </c>
      <c r="B33">
        <v>24.95</v>
      </c>
      <c r="C33">
        <v>29.75</v>
      </c>
      <c r="D33">
        <v>33.020000000000003</v>
      </c>
      <c r="F33" s="59">
        <f t="shared" ref="F33:F43" si="11">SUM(B33:D33)</f>
        <v>87.72</v>
      </c>
      <c r="G33" s="59">
        <f t="shared" ref="G33:G43" si="12">B33/F33*100</f>
        <v>28.442772457820336</v>
      </c>
      <c r="J33" s="61">
        <f t="shared" si="9"/>
        <v>1.0543891164005716</v>
      </c>
      <c r="K33">
        <f t="shared" si="10"/>
        <v>7.6407383770476373E-2</v>
      </c>
    </row>
    <row r="34" spans="1:15">
      <c r="A34" s="60" t="s">
        <v>255</v>
      </c>
      <c r="B34">
        <v>23.45</v>
      </c>
      <c r="C34">
        <v>28.91</v>
      </c>
      <c r="D34">
        <v>36.07</v>
      </c>
      <c r="F34" s="59">
        <f t="shared" si="11"/>
        <v>88.43</v>
      </c>
      <c r="G34" s="59">
        <f t="shared" si="12"/>
        <v>26.518149949112292</v>
      </c>
      <c r="J34" s="61">
        <f t="shared" si="9"/>
        <v>0.98304230837154749</v>
      </c>
      <c r="K34">
        <f t="shared" si="10"/>
        <v>-2.467458598751222E-2</v>
      </c>
    </row>
    <row r="35" spans="1:15">
      <c r="A35" s="60" t="s">
        <v>255</v>
      </c>
      <c r="B35">
        <v>23.14</v>
      </c>
      <c r="C35">
        <v>29.4</v>
      </c>
      <c r="D35">
        <v>35.61</v>
      </c>
      <c r="F35" s="59">
        <f t="shared" si="11"/>
        <v>88.15</v>
      </c>
      <c r="G35" s="59">
        <f t="shared" si="12"/>
        <v>26.250709018718094</v>
      </c>
      <c r="J35" s="61">
        <f t="shared" si="9"/>
        <v>0.97312812694968143</v>
      </c>
      <c r="K35">
        <f t="shared" si="10"/>
        <v>-3.9298324880606882E-2</v>
      </c>
    </row>
    <row r="36" spans="1:15" ht="16" thickBot="1">
      <c r="A36" s="60" t="s">
        <v>255</v>
      </c>
      <c r="B36">
        <v>23.02</v>
      </c>
      <c r="C36">
        <v>29.37</v>
      </c>
      <c r="D36">
        <v>35.86</v>
      </c>
      <c r="F36" s="59">
        <f t="shared" si="11"/>
        <v>88.25</v>
      </c>
      <c r="G36" s="59">
        <f t="shared" si="12"/>
        <v>26.084985835694052</v>
      </c>
      <c r="J36" s="61">
        <f t="shared" si="9"/>
        <v>0.96698467800232801</v>
      </c>
      <c r="K36">
        <f t="shared" si="10"/>
        <v>-4.8435064694227259E-2</v>
      </c>
    </row>
    <row r="37" spans="1:15">
      <c r="A37" s="60" t="s">
        <v>255</v>
      </c>
      <c r="B37">
        <v>23.68</v>
      </c>
      <c r="C37">
        <v>28.76</v>
      </c>
      <c r="D37">
        <v>35.479999999999997</v>
      </c>
      <c r="F37" s="59">
        <f t="shared" si="11"/>
        <v>87.919999999999987</v>
      </c>
      <c r="G37" s="59">
        <f t="shared" si="12"/>
        <v>26.933575978161965</v>
      </c>
      <c r="J37" s="61">
        <f t="shared" si="9"/>
        <v>0.99844237826097371</v>
      </c>
      <c r="K37">
        <f t="shared" si="10"/>
        <v>-2.2489251008342495E-3</v>
      </c>
      <c r="M37" s="2"/>
      <c r="N37" s="3" t="s">
        <v>77</v>
      </c>
      <c r="O37" s="4" t="s">
        <v>97</v>
      </c>
    </row>
    <row r="38" spans="1:15">
      <c r="A38" s="62" t="s">
        <v>258</v>
      </c>
      <c r="B38">
        <v>28.85</v>
      </c>
      <c r="C38">
        <v>31.68</v>
      </c>
      <c r="D38">
        <v>26.81</v>
      </c>
      <c r="F38" s="59">
        <f t="shared" si="11"/>
        <v>87.34</v>
      </c>
      <c r="G38" s="59">
        <f t="shared" si="12"/>
        <v>33.031829631325856</v>
      </c>
      <c r="J38" s="61">
        <f t="shared" si="9"/>
        <v>1.224507973324936</v>
      </c>
      <c r="K38">
        <f>LOG(J38,2)</f>
        <v>0.29220216797203696</v>
      </c>
      <c r="M38" s="5" t="s">
        <v>134</v>
      </c>
      <c r="N38" s="6">
        <f>AVERAGE(K32:K37)</f>
        <v>-6.6915565184941239E-4</v>
      </c>
      <c r="O38" s="7">
        <f>STDEV(K32:K37)/SQRT(6)</f>
        <v>1.9588785089922445E-2</v>
      </c>
    </row>
    <row r="39" spans="1:15" ht="16" thickBot="1">
      <c r="A39" s="62" t="s">
        <v>258</v>
      </c>
      <c r="B39">
        <v>31.19</v>
      </c>
      <c r="C39">
        <v>28.69</v>
      </c>
      <c r="D39">
        <v>28.12</v>
      </c>
      <c r="F39" s="59">
        <f t="shared" si="11"/>
        <v>88</v>
      </c>
      <c r="G39" s="59">
        <f t="shared" si="12"/>
        <v>35.44318181818182</v>
      </c>
      <c r="J39" s="61">
        <f t="shared" si="9"/>
        <v>1.3138981164764201</v>
      </c>
      <c r="K39">
        <f t="shared" ref="K39:K43" si="13">LOG(J39,2)</f>
        <v>0.3938534091815773</v>
      </c>
      <c r="M39" s="63" t="s">
        <v>135</v>
      </c>
      <c r="N39" s="9">
        <f>AVERAGE(K38:K43)</f>
        <v>0.27005428926468911</v>
      </c>
      <c r="O39" s="10">
        <f>STDEV(K38:K43)/SQRT(7)</f>
        <v>3.5038414306324185E-2</v>
      </c>
    </row>
    <row r="40" spans="1:15">
      <c r="A40" s="62" t="s">
        <v>258</v>
      </c>
      <c r="B40">
        <v>25.73</v>
      </c>
      <c r="C40">
        <v>33.630000000000003</v>
      </c>
      <c r="D40">
        <v>28.6</v>
      </c>
      <c r="F40" s="59">
        <f t="shared" si="11"/>
        <v>87.960000000000008</v>
      </c>
      <c r="G40" s="59">
        <f t="shared" si="12"/>
        <v>29.251932696680306</v>
      </c>
      <c r="J40" s="61">
        <f t="shared" si="9"/>
        <v>1.0843851285876136</v>
      </c>
      <c r="K40">
        <f t="shared" si="13"/>
        <v>0.11687723309827888</v>
      </c>
    </row>
    <row r="41" spans="1:15">
      <c r="A41" s="62" t="s">
        <v>258</v>
      </c>
      <c r="B41">
        <v>29.26</v>
      </c>
      <c r="C41">
        <v>28.42</v>
      </c>
      <c r="D41">
        <v>30.27</v>
      </c>
      <c r="F41" s="59">
        <f t="shared" si="11"/>
        <v>87.95</v>
      </c>
      <c r="G41" s="59">
        <f t="shared" si="12"/>
        <v>33.268902785673674</v>
      </c>
      <c r="J41" s="61">
        <f t="shared" si="9"/>
        <v>1.2332964046955341</v>
      </c>
      <c r="K41">
        <f t="shared" si="13"/>
        <v>0.3025195719986104</v>
      </c>
    </row>
    <row r="42" spans="1:15">
      <c r="A42" s="62" t="s">
        <v>258</v>
      </c>
      <c r="B42">
        <v>27.56</v>
      </c>
      <c r="C42">
        <v>31.13</v>
      </c>
      <c r="D42">
        <v>28.82</v>
      </c>
      <c r="F42" s="59">
        <f t="shared" si="11"/>
        <v>87.509999999999991</v>
      </c>
      <c r="G42" s="59">
        <f t="shared" si="12"/>
        <v>31.493543595017716</v>
      </c>
      <c r="H42" s="59"/>
      <c r="J42" s="61">
        <f t="shared" si="9"/>
        <v>1.1674828694255333</v>
      </c>
      <c r="K42">
        <f t="shared" si="13"/>
        <v>0.22340138130440479</v>
      </c>
    </row>
    <row r="43" spans="1:15">
      <c r="A43" s="62" t="s">
        <v>258</v>
      </c>
      <c r="B43">
        <v>29.05</v>
      </c>
      <c r="C43">
        <v>31.62</v>
      </c>
      <c r="D43">
        <v>27.32</v>
      </c>
      <c r="F43" s="59">
        <f t="shared" si="11"/>
        <v>87.990000000000009</v>
      </c>
      <c r="G43" s="59">
        <f t="shared" si="12"/>
        <v>33.015115354017496</v>
      </c>
      <c r="H43" s="59"/>
      <c r="J43" s="61">
        <f t="shared" si="9"/>
        <v>1.2238883659322823</v>
      </c>
      <c r="K43">
        <f t="shared" si="13"/>
        <v>0.29147197203322628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K48"/>
  <sheetViews>
    <sheetView zoomScale="110" zoomScaleNormal="110" workbookViewId="0">
      <selection activeCell="A16" sqref="A16"/>
    </sheetView>
  </sheetViews>
  <sheetFormatPr baseColWidth="10" defaultColWidth="8.83203125" defaultRowHeight="15"/>
  <cols>
    <col min="1" max="1" width="26.6640625" customWidth="1"/>
    <col min="2" max="2" width="21" customWidth="1"/>
    <col min="9" max="9" width="11.5" customWidth="1"/>
    <col min="10" max="10" width="50.1640625" customWidth="1"/>
  </cols>
  <sheetData>
    <row r="2" spans="1:11">
      <c r="A2" s="37" t="s">
        <v>246</v>
      </c>
    </row>
    <row r="3" spans="1:11">
      <c r="B3" s="42" t="s">
        <v>1</v>
      </c>
      <c r="C3" s="42"/>
      <c r="D3" s="42" t="s">
        <v>136</v>
      </c>
      <c r="E3" s="42"/>
      <c r="F3" s="42"/>
    </row>
    <row r="4" spans="1:11">
      <c r="B4" s="42" t="s">
        <v>137</v>
      </c>
      <c r="C4" s="42"/>
      <c r="D4" s="42"/>
      <c r="E4" s="42"/>
      <c r="F4" s="42"/>
    </row>
    <row r="5" spans="1:11" ht="16" thickBot="1">
      <c r="A5" t="s">
        <v>134</v>
      </c>
      <c r="B5">
        <v>81.760000000000005</v>
      </c>
      <c r="D5">
        <f>AVERAGE(B5:B6)</f>
        <v>82.68</v>
      </c>
    </row>
    <row r="6" spans="1:11">
      <c r="A6" t="s">
        <v>134</v>
      </c>
      <c r="B6">
        <v>83.6</v>
      </c>
      <c r="I6" s="100" t="s">
        <v>138</v>
      </c>
      <c r="J6" s="101" t="s">
        <v>139</v>
      </c>
      <c r="K6" s="102" t="s">
        <v>89</v>
      </c>
    </row>
    <row r="7" spans="1:11">
      <c r="A7" s="113" t="s">
        <v>42</v>
      </c>
      <c r="B7">
        <v>59.53</v>
      </c>
      <c r="D7">
        <f>B7/$D$5</f>
        <v>0.7200048379293662</v>
      </c>
      <c r="I7" s="5"/>
      <c r="J7" s="6"/>
      <c r="K7" s="7"/>
    </row>
    <row r="8" spans="1:11">
      <c r="A8" s="113" t="s">
        <v>42</v>
      </c>
      <c r="B8">
        <v>58.08</v>
      </c>
      <c r="D8">
        <f t="shared" ref="D8:D22" si="0">B8/$D$5</f>
        <v>0.7024673439767779</v>
      </c>
      <c r="I8" s="5" t="s">
        <v>42</v>
      </c>
      <c r="J8" s="6">
        <f>AVERAGE(D7:D8,D37:D38)</f>
        <v>0.72119968209954211</v>
      </c>
      <c r="K8" s="7">
        <f>STDEV(D7:D8,D37:D38)/SQRT(4)</f>
        <v>6.9590896024856732E-3</v>
      </c>
    </row>
    <row r="9" spans="1:11">
      <c r="A9" s="113" t="s">
        <v>74</v>
      </c>
      <c r="B9">
        <v>75.260000000000005</v>
      </c>
      <c r="D9">
        <f t="shared" si="0"/>
        <v>0.91025641025641024</v>
      </c>
      <c r="I9" s="5" t="s">
        <v>74</v>
      </c>
      <c r="J9" s="6">
        <f>AVERAGE(D9:D10,D39:D40)</f>
        <v>0.85573703306625282</v>
      </c>
      <c r="K9" s="7">
        <f>STDEV(D9:D10,D39:D40)/SQRT(4)</f>
        <v>2.586893611108974E-2</v>
      </c>
    </row>
    <row r="10" spans="1:11">
      <c r="A10" s="113" t="s">
        <v>74</v>
      </c>
      <c r="B10">
        <v>65.11</v>
      </c>
      <c r="D10">
        <f t="shared" si="0"/>
        <v>0.78749395258829213</v>
      </c>
      <c r="I10" s="5" t="s">
        <v>43</v>
      </c>
      <c r="J10" s="6">
        <f>AVERAGE(D11:D12,D41:D42)</f>
        <v>0.80815626282849651</v>
      </c>
      <c r="K10" s="7">
        <f>STDEV(D11:D12,D41:D42)/SQRT(4)</f>
        <v>1.7297686802340465E-2</v>
      </c>
    </row>
    <row r="11" spans="1:11">
      <c r="A11" s="113" t="s">
        <v>43</v>
      </c>
      <c r="B11">
        <v>63.72</v>
      </c>
      <c r="D11">
        <f t="shared" si="0"/>
        <v>0.7706821480406385</v>
      </c>
      <c r="I11" s="5" t="s">
        <v>90</v>
      </c>
      <c r="J11" s="6">
        <f>AVERAGE(D13:D16,D31:D32)</f>
        <v>0.91860767119039843</v>
      </c>
      <c r="K11" s="7">
        <f>STDEV(D13:D16,D31:D32)/SQRT(6)</f>
        <v>1.5111671157700918E-2</v>
      </c>
    </row>
    <row r="12" spans="1:11">
      <c r="A12" s="113" t="s">
        <v>43</v>
      </c>
      <c r="B12">
        <v>67.83</v>
      </c>
      <c r="D12">
        <f t="shared" si="0"/>
        <v>0.82039187227866461</v>
      </c>
      <c r="I12" s="5" t="s">
        <v>10</v>
      </c>
      <c r="J12" s="6">
        <f>AVERAGE(D17:D18,D29:D30,D43:D44)</f>
        <v>0.98849464559709921</v>
      </c>
      <c r="K12" s="7">
        <f>STDEV(D17:D18,D29:D30,D43:D44)/SQRT(6)</f>
        <v>2.4322228344123672E-2</v>
      </c>
    </row>
    <row r="13" spans="1:11">
      <c r="A13" s="123" t="s">
        <v>90</v>
      </c>
      <c r="B13">
        <v>78.19</v>
      </c>
      <c r="D13">
        <f t="shared" si="0"/>
        <v>0.94569424286405412</v>
      </c>
      <c r="I13" s="5" t="s">
        <v>59</v>
      </c>
      <c r="J13" s="6">
        <f>AVERAGE(D19:D20,D27:D28,D45:D46)</f>
        <v>0.95872938769031923</v>
      </c>
      <c r="K13" s="7">
        <f>STDEV(D19:D20,D27:D28,D45:D46)/SQRT(6)</f>
        <v>1.2647352251840119E-2</v>
      </c>
    </row>
    <row r="14" spans="1:11" ht="16" thickBot="1">
      <c r="A14" s="123" t="s">
        <v>90</v>
      </c>
      <c r="B14">
        <v>75.989999999999995</v>
      </c>
      <c r="D14">
        <f t="shared" si="0"/>
        <v>0.91908563134978216</v>
      </c>
      <c r="I14" s="8" t="s">
        <v>40</v>
      </c>
      <c r="J14" s="9">
        <f>AVERAGE(D21:D22,D47:D48)</f>
        <v>1.0030870425118534</v>
      </c>
      <c r="K14" s="10">
        <f>STDEV(D21:D22,D47:D48)/SQRT(4)</f>
        <v>1.8900741561996011E-2</v>
      </c>
    </row>
    <row r="15" spans="1:11">
      <c r="A15" s="123" t="s">
        <v>90</v>
      </c>
      <c r="B15">
        <v>69.94</v>
      </c>
      <c r="D15">
        <f t="shared" si="0"/>
        <v>0.84591194968553451</v>
      </c>
    </row>
    <row r="16" spans="1:11">
      <c r="A16" s="123" t="s">
        <v>90</v>
      </c>
      <c r="B16">
        <v>76.41</v>
      </c>
      <c r="D16">
        <f t="shared" si="0"/>
        <v>0.92416545718432497</v>
      </c>
    </row>
    <row r="17" spans="1:4">
      <c r="A17" s="53" t="s">
        <v>10</v>
      </c>
      <c r="B17">
        <v>79.900000000000006</v>
      </c>
      <c r="D17">
        <f t="shared" si="0"/>
        <v>0.96637639090469274</v>
      </c>
    </row>
    <row r="18" spans="1:4">
      <c r="A18" s="53" t="s">
        <v>10</v>
      </c>
      <c r="B18">
        <v>77.510000000000005</v>
      </c>
      <c r="D18">
        <f t="shared" si="0"/>
        <v>0.937469762941461</v>
      </c>
    </row>
    <row r="19" spans="1:4">
      <c r="A19" s="124" t="s">
        <v>59</v>
      </c>
      <c r="B19">
        <v>77.260000000000005</v>
      </c>
      <c r="D19">
        <f t="shared" si="0"/>
        <v>0.93444605708756656</v>
      </c>
    </row>
    <row r="20" spans="1:4">
      <c r="A20" s="124" t="s">
        <v>59</v>
      </c>
      <c r="B20">
        <v>77.5</v>
      </c>
      <c r="D20">
        <f t="shared" si="0"/>
        <v>0.93734881470730524</v>
      </c>
    </row>
    <row r="21" spans="1:4">
      <c r="A21" s="113" t="s">
        <v>40</v>
      </c>
      <c r="B21">
        <v>78.66</v>
      </c>
      <c r="D21">
        <f t="shared" si="0"/>
        <v>0.95137880986937584</v>
      </c>
    </row>
    <row r="22" spans="1:4">
      <c r="A22" s="113" t="s">
        <v>40</v>
      </c>
      <c r="B22">
        <v>82.66</v>
      </c>
      <c r="D22">
        <f t="shared" si="0"/>
        <v>0.99975810353168837</v>
      </c>
    </row>
    <row r="23" spans="1:4">
      <c r="A23" s="53"/>
    </row>
    <row r="24" spans="1:4">
      <c r="A24" s="53"/>
    </row>
    <row r="25" spans="1:4">
      <c r="A25" s="53" t="s">
        <v>134</v>
      </c>
      <c r="B25">
        <v>81.34</v>
      </c>
      <c r="D25">
        <f>AVERAGE(B25:B26)</f>
        <v>82.460000000000008</v>
      </c>
    </row>
    <row r="26" spans="1:4">
      <c r="A26" s="53" t="s">
        <v>134</v>
      </c>
      <c r="B26">
        <v>83.58</v>
      </c>
    </row>
    <row r="27" spans="1:4">
      <c r="A27" s="124" t="s">
        <v>59</v>
      </c>
      <c r="B27">
        <v>80.39</v>
      </c>
      <c r="D27">
        <f>B27/$D$25</f>
        <v>0.97489691971865133</v>
      </c>
    </row>
    <row r="28" spans="1:4">
      <c r="A28" s="124" t="s">
        <v>59</v>
      </c>
      <c r="B28">
        <v>83.58</v>
      </c>
      <c r="D28">
        <f t="shared" ref="D28:D32" si="1">B28/$D$25</f>
        <v>1.0135823429541595</v>
      </c>
    </row>
    <row r="29" spans="1:4">
      <c r="A29" s="53" t="s">
        <v>10</v>
      </c>
      <c r="B29">
        <v>86.47</v>
      </c>
      <c r="D29">
        <f t="shared" si="1"/>
        <v>1.0486296386126606</v>
      </c>
    </row>
    <row r="30" spans="1:4">
      <c r="A30" s="53" t="s">
        <v>10</v>
      </c>
      <c r="B30">
        <v>88.91</v>
      </c>
      <c r="D30">
        <f t="shared" si="1"/>
        <v>1.078219742905651</v>
      </c>
    </row>
    <row r="31" spans="1:4">
      <c r="A31" s="123" t="s">
        <v>90</v>
      </c>
      <c r="B31">
        <v>77.13</v>
      </c>
      <c r="D31">
        <f t="shared" si="1"/>
        <v>0.93536260004850824</v>
      </c>
    </row>
    <row r="32" spans="1:4">
      <c r="A32" s="123" t="s">
        <v>90</v>
      </c>
      <c r="B32">
        <v>77.63</v>
      </c>
      <c r="D32">
        <f t="shared" si="1"/>
        <v>0.94142614601018659</v>
      </c>
    </row>
    <row r="33" spans="1:4">
      <c r="A33" s="53"/>
    </row>
    <row r="34" spans="1:4">
      <c r="A34" s="53"/>
    </row>
    <row r="35" spans="1:4">
      <c r="A35" s="53" t="s">
        <v>134</v>
      </c>
      <c r="B35">
        <v>79.31</v>
      </c>
      <c r="D35">
        <f>AVERAGE(B35:B36)</f>
        <v>77.11</v>
      </c>
    </row>
    <row r="36" spans="1:4">
      <c r="A36" s="53" t="s">
        <v>134</v>
      </c>
      <c r="B36">
        <v>74.91</v>
      </c>
    </row>
    <row r="37" spans="1:4">
      <c r="A37" s="113" t="s">
        <v>42</v>
      </c>
      <c r="B37">
        <v>56.08</v>
      </c>
      <c r="D37">
        <f>B37/$D$35</f>
        <v>0.72727272727272729</v>
      </c>
    </row>
    <row r="38" spans="1:4">
      <c r="A38" s="113" t="s">
        <v>42</v>
      </c>
      <c r="B38">
        <v>56.68</v>
      </c>
      <c r="D38">
        <f t="shared" ref="D38:D48" si="2">B38/$D$35</f>
        <v>0.73505381921929713</v>
      </c>
    </row>
    <row r="39" spans="1:4">
      <c r="A39" s="113" t="s">
        <v>74</v>
      </c>
      <c r="B39">
        <v>67.47</v>
      </c>
      <c r="D39">
        <f t="shared" si="2"/>
        <v>0.87498378939177801</v>
      </c>
    </row>
    <row r="40" spans="1:4">
      <c r="A40" s="113" t="s">
        <v>74</v>
      </c>
      <c r="B40">
        <v>65.56</v>
      </c>
      <c r="D40">
        <f t="shared" si="2"/>
        <v>0.85021398002853066</v>
      </c>
    </row>
    <row r="41" spans="1:4">
      <c r="A41" s="113" t="s">
        <v>43</v>
      </c>
      <c r="B41">
        <v>65.55</v>
      </c>
      <c r="D41">
        <f t="shared" si="2"/>
        <v>0.85008429516275452</v>
      </c>
    </row>
    <row r="42" spans="1:4">
      <c r="A42" s="113" t="s">
        <v>43</v>
      </c>
      <c r="B42">
        <v>61.03</v>
      </c>
      <c r="D42">
        <f t="shared" si="2"/>
        <v>0.79146673583192839</v>
      </c>
    </row>
    <row r="43" spans="1:4">
      <c r="A43" s="53" t="s">
        <v>10</v>
      </c>
      <c r="B43">
        <v>72.900000000000006</v>
      </c>
      <c r="D43">
        <f t="shared" si="2"/>
        <v>0.94540267150823509</v>
      </c>
    </row>
    <row r="44" spans="1:4">
      <c r="A44" s="53" t="s">
        <v>10</v>
      </c>
      <c r="B44">
        <v>73.63</v>
      </c>
      <c r="D44">
        <f t="shared" si="2"/>
        <v>0.95486966670989493</v>
      </c>
    </row>
    <row r="45" spans="1:4">
      <c r="A45" s="124" t="s">
        <v>59</v>
      </c>
      <c r="B45">
        <v>72.260000000000005</v>
      </c>
      <c r="D45">
        <f t="shared" si="2"/>
        <v>0.9371028400985606</v>
      </c>
    </row>
    <row r="46" spans="1:4">
      <c r="A46" s="124" t="s">
        <v>59</v>
      </c>
      <c r="B46">
        <v>73.64</v>
      </c>
      <c r="D46">
        <f t="shared" si="2"/>
        <v>0.95499935157567117</v>
      </c>
    </row>
    <row r="47" spans="1:4">
      <c r="A47" s="113" t="s">
        <v>40</v>
      </c>
      <c r="B47">
        <v>78.959999999999994</v>
      </c>
      <c r="D47">
        <f t="shared" si="2"/>
        <v>1.0239917001685903</v>
      </c>
    </row>
    <row r="48" spans="1:4">
      <c r="A48" s="113" t="s">
        <v>40</v>
      </c>
      <c r="B48">
        <v>79.98</v>
      </c>
      <c r="D48">
        <f t="shared" si="2"/>
        <v>1.0372195564777591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W288"/>
  <sheetViews>
    <sheetView topLeftCell="A10" zoomScaleNormal="100" workbookViewId="0">
      <selection activeCell="K10" sqref="K10"/>
    </sheetView>
  </sheetViews>
  <sheetFormatPr baseColWidth="10" defaultColWidth="8.83203125" defaultRowHeight="15"/>
  <cols>
    <col min="1" max="1" width="22" customWidth="1"/>
    <col min="2" max="2" width="17.83203125" customWidth="1"/>
    <col min="10" max="10" width="19.5" customWidth="1"/>
    <col min="11" max="11" width="61.83203125" customWidth="1"/>
  </cols>
  <sheetData>
    <row r="2" spans="1:13">
      <c r="A2" s="37" t="s">
        <v>245</v>
      </c>
    </row>
    <row r="3" spans="1:13">
      <c r="B3" s="42" t="s">
        <v>1</v>
      </c>
      <c r="C3" s="42"/>
      <c r="D3" s="42" t="s">
        <v>136</v>
      </c>
      <c r="E3" s="42"/>
      <c r="F3" s="42"/>
    </row>
    <row r="4" spans="1:13" ht="16" thickBot="1">
      <c r="B4" s="42" t="s">
        <v>137</v>
      </c>
      <c r="C4" s="42"/>
      <c r="D4" s="42"/>
      <c r="E4" s="42"/>
      <c r="F4" s="42"/>
    </row>
    <row r="5" spans="1:13">
      <c r="A5" t="s">
        <v>134</v>
      </c>
      <c r="B5">
        <v>91.39</v>
      </c>
      <c r="D5">
        <f>AVERAGE(B5:B8)</f>
        <v>91.56</v>
      </c>
      <c r="J5" s="100" t="s">
        <v>138</v>
      </c>
      <c r="K5" s="101" t="s">
        <v>139</v>
      </c>
      <c r="L5" s="3" t="s">
        <v>88</v>
      </c>
      <c r="M5" s="102" t="s">
        <v>89</v>
      </c>
    </row>
    <row r="6" spans="1:13">
      <c r="A6" t="s">
        <v>134</v>
      </c>
      <c r="B6">
        <v>91.23</v>
      </c>
      <c r="J6" s="5" t="s">
        <v>42</v>
      </c>
      <c r="K6" s="6">
        <f>AVERAGE(D9,D16,D23,D30)</f>
        <v>0.8402716044092593</v>
      </c>
      <c r="L6" s="6">
        <f>STDEV(D9,D16,D23,D30)</f>
        <v>5.9398595854939708E-2</v>
      </c>
      <c r="M6" s="7">
        <f>L6/SQRT(4)</f>
        <v>2.9699297927469854E-2</v>
      </c>
    </row>
    <row r="7" spans="1:13">
      <c r="A7" t="s">
        <v>134</v>
      </c>
      <c r="B7">
        <v>91.84</v>
      </c>
      <c r="J7" s="5" t="s">
        <v>74</v>
      </c>
      <c r="K7" s="6">
        <f>AVERAGE(D53,D61,D45)</f>
        <v>0.87279045771320274</v>
      </c>
      <c r="L7" s="6">
        <f>STDEV(D53,D61,D45)</f>
        <v>6.2057989400351635E-2</v>
      </c>
      <c r="M7" s="7">
        <f>L7/SQRT(3)</f>
        <v>3.5829196885659963E-2</v>
      </c>
    </row>
    <row r="8" spans="1:13">
      <c r="A8" t="s">
        <v>134</v>
      </c>
      <c r="B8">
        <v>91.78</v>
      </c>
      <c r="J8" s="5" t="s">
        <v>43</v>
      </c>
      <c r="K8" s="6">
        <f>AVERAGE(D37,D44,D52,D60)</f>
        <v>0.86337889701443882</v>
      </c>
      <c r="L8" s="6">
        <f>STDEV(D37,D44,D52,D60)</f>
        <v>9.2254259460391064E-2</v>
      </c>
      <c r="M8" s="7">
        <f>L8/SQRT(4)</f>
        <v>4.6127129730195532E-2</v>
      </c>
    </row>
    <row r="9" spans="1:13">
      <c r="A9" s="113" t="s">
        <v>42</v>
      </c>
      <c r="B9">
        <v>79.349999999999994</v>
      </c>
      <c r="D9">
        <f>B9/D5</f>
        <v>0.86664482306684132</v>
      </c>
      <c r="J9" s="5" t="s">
        <v>90</v>
      </c>
      <c r="K9" s="6">
        <f>AVERAGE(D69,D77,D85,D93,D99:D102,D116,D122,D128,D108,D109,D110)</f>
        <v>0.91778787214465118</v>
      </c>
      <c r="L9" s="6">
        <f>STDEV(D69,D77,D85,D93,D99:D102,D116,D122,D128,D108,D109,D110)</f>
        <v>3.9622562862236796E-2</v>
      </c>
      <c r="M9" s="7">
        <f>L9/SQRT(14)</f>
        <v>1.058957535831451E-2</v>
      </c>
    </row>
    <row r="10" spans="1:13">
      <c r="A10" s="53"/>
      <c r="J10" s="5" t="s">
        <v>10</v>
      </c>
      <c r="K10" s="6">
        <f>AVERAGE(D132,D136,D143,D150)</f>
        <v>0.98079496588893089</v>
      </c>
      <c r="L10" s="6">
        <f>STDEV(D132,D136,D143,D150)</f>
        <v>4.0191408714399156E-2</v>
      </c>
      <c r="M10" s="7">
        <f>L10/SQRT(4)</f>
        <v>2.0095704357199578E-2</v>
      </c>
    </row>
    <row r="11" spans="1:13">
      <c r="A11" s="53"/>
      <c r="J11" s="5" t="s">
        <v>59</v>
      </c>
      <c r="K11" s="6">
        <f>AVERAGE(D68,D76,D84,D92)</f>
        <v>0.96453090318633039</v>
      </c>
      <c r="L11" s="6">
        <f>STDEV(D68,D76,D84,D92)</f>
        <v>3.6137727761583582E-2</v>
      </c>
      <c r="M11" s="7">
        <f t="shared" ref="M11:M14" si="0">L11/SQRT(4)</f>
        <v>1.8068863880791791E-2</v>
      </c>
    </row>
    <row r="12" spans="1:13">
      <c r="A12" s="53" t="s">
        <v>134</v>
      </c>
      <c r="B12">
        <v>88.86</v>
      </c>
      <c r="D12">
        <f>AVERAGE(B12:B15)</f>
        <v>89.355000000000004</v>
      </c>
      <c r="J12" s="5" t="s">
        <v>40</v>
      </c>
      <c r="K12" s="6">
        <f>AVERAGE(D158,D166,D174,D182)</f>
        <v>0.99740971737625561</v>
      </c>
      <c r="L12" s="6">
        <f>STDEV(D158,D166,D174,D182)</f>
        <v>1.3754872578686407E-2</v>
      </c>
      <c r="M12" s="7">
        <f t="shared" si="0"/>
        <v>6.8774362893432037E-3</v>
      </c>
    </row>
    <row r="13" spans="1:13">
      <c r="A13" s="53" t="s">
        <v>134</v>
      </c>
      <c r="B13">
        <v>88.51</v>
      </c>
      <c r="J13" s="5" t="s">
        <v>21</v>
      </c>
      <c r="K13" s="6">
        <f>AVERAGE(D187,D192,D199,D206)</f>
        <v>1.0241067123539354</v>
      </c>
      <c r="L13" s="6">
        <f>STDEV(D187,D192,D199,D206)</f>
        <v>2.1813089745851173E-2</v>
      </c>
      <c r="M13" s="7">
        <f t="shared" si="0"/>
        <v>1.0906544872925587E-2</v>
      </c>
    </row>
    <row r="14" spans="1:13" ht="16" thickBot="1">
      <c r="A14" s="53" t="s">
        <v>134</v>
      </c>
      <c r="B14">
        <v>88.81</v>
      </c>
      <c r="J14" s="8" t="s">
        <v>48</v>
      </c>
      <c r="K14" s="9">
        <f>AVERAGE(D173,D181,D157,D165)</f>
        <v>1.0033129015800151</v>
      </c>
      <c r="L14" s="9">
        <f>STDEV(D173,D181,D157,D165)</f>
        <v>5.3700918615300665E-3</v>
      </c>
      <c r="M14" s="10">
        <f t="shared" si="0"/>
        <v>2.6850459307650332E-3</v>
      </c>
    </row>
    <row r="15" spans="1:13">
      <c r="A15" s="53" t="s">
        <v>134</v>
      </c>
      <c r="B15">
        <v>91.24</v>
      </c>
    </row>
    <row r="16" spans="1:13">
      <c r="A16" s="113" t="s">
        <v>42</v>
      </c>
      <c r="B16">
        <v>81.099999999999994</v>
      </c>
      <c r="D16">
        <f>B16/D12</f>
        <v>0.90761569022438582</v>
      </c>
    </row>
    <row r="17" spans="1:4">
      <c r="A17" s="53"/>
    </row>
    <row r="18" spans="1:4">
      <c r="A18" s="53"/>
    </row>
    <row r="19" spans="1:4">
      <c r="A19" s="53" t="s">
        <v>134</v>
      </c>
      <c r="B19">
        <v>84.05</v>
      </c>
      <c r="D19">
        <f>AVERAGE(B19:B22)</f>
        <v>84.914999999999992</v>
      </c>
    </row>
    <row r="20" spans="1:4">
      <c r="A20" s="53" t="s">
        <v>134</v>
      </c>
      <c r="B20">
        <v>86.79</v>
      </c>
    </row>
    <row r="21" spans="1:4">
      <c r="A21" s="53" t="s">
        <v>134</v>
      </c>
      <c r="B21">
        <v>84.29</v>
      </c>
    </row>
    <row r="22" spans="1:4">
      <c r="A22" s="53" t="s">
        <v>134</v>
      </c>
      <c r="B22">
        <v>84.53</v>
      </c>
    </row>
    <row r="23" spans="1:4">
      <c r="A23" s="113" t="s">
        <v>42</v>
      </c>
      <c r="B23">
        <v>65.510000000000005</v>
      </c>
      <c r="D23">
        <f>B23/D19</f>
        <v>0.77147735971265397</v>
      </c>
    </row>
    <row r="24" spans="1:4">
      <c r="A24" s="53"/>
    </row>
    <row r="25" spans="1:4">
      <c r="A25" s="53"/>
    </row>
    <row r="26" spans="1:4">
      <c r="A26" s="53" t="s">
        <v>134</v>
      </c>
      <c r="B26">
        <v>86.52</v>
      </c>
      <c r="D26">
        <f>AVERAGE(B26:B29)</f>
        <v>87.435000000000002</v>
      </c>
    </row>
    <row r="27" spans="1:4">
      <c r="A27" s="53" t="s">
        <v>134</v>
      </c>
      <c r="B27">
        <v>87.84</v>
      </c>
    </row>
    <row r="28" spans="1:4">
      <c r="A28" s="53" t="s">
        <v>134</v>
      </c>
      <c r="B28">
        <v>88.2</v>
      </c>
    </row>
    <row r="29" spans="1:4">
      <c r="A29" s="53" t="s">
        <v>134</v>
      </c>
      <c r="B29">
        <v>87.18</v>
      </c>
    </row>
    <row r="30" spans="1:4">
      <c r="A30" s="113" t="s">
        <v>42</v>
      </c>
      <c r="B30">
        <v>71.290000000000006</v>
      </c>
      <c r="D30">
        <f>B30/D26</f>
        <v>0.81534854463315609</v>
      </c>
    </row>
    <row r="31" spans="1:4">
      <c r="A31" s="53"/>
    </row>
    <row r="32" spans="1:4">
      <c r="A32" s="53"/>
    </row>
    <row r="33" spans="1:23">
      <c r="A33" s="53" t="s">
        <v>134</v>
      </c>
      <c r="B33">
        <v>77.510000000000005</v>
      </c>
      <c r="D33">
        <f>AVERAGE(B33:B36)</f>
        <v>79.317499999999995</v>
      </c>
    </row>
    <row r="34" spans="1:23">
      <c r="A34" s="53" t="s">
        <v>134</v>
      </c>
      <c r="B34">
        <v>78.239999999999995</v>
      </c>
    </row>
    <row r="35" spans="1:23">
      <c r="A35" s="53" t="s">
        <v>134</v>
      </c>
      <c r="B35">
        <v>80.260000000000005</v>
      </c>
    </row>
    <row r="36" spans="1:23">
      <c r="A36" s="53" t="s">
        <v>134</v>
      </c>
      <c r="B36">
        <v>81.260000000000005</v>
      </c>
    </row>
    <row r="37" spans="1:23">
      <c r="A37" s="113" t="s">
        <v>43</v>
      </c>
      <c r="B37">
        <v>60.91</v>
      </c>
      <c r="D37">
        <f>B37/D33</f>
        <v>0.76792637185993007</v>
      </c>
      <c r="W37" s="65"/>
    </row>
    <row r="38" spans="1:23">
      <c r="A38" s="113"/>
      <c r="B38" s="42"/>
      <c r="W38" s="65"/>
    </row>
    <row r="39" spans="1:23">
      <c r="A39" s="53"/>
    </row>
    <row r="40" spans="1:23">
      <c r="A40" s="53" t="s">
        <v>134</v>
      </c>
      <c r="B40">
        <v>82.01</v>
      </c>
      <c r="D40">
        <f>AVERAGE(B40:B43)</f>
        <v>81.882500000000007</v>
      </c>
    </row>
    <row r="41" spans="1:23">
      <c r="A41" s="53" t="s">
        <v>134</v>
      </c>
      <c r="B41">
        <v>81.17</v>
      </c>
    </row>
    <row r="42" spans="1:23">
      <c r="A42" s="53" t="s">
        <v>134</v>
      </c>
      <c r="B42">
        <v>80.680000000000007</v>
      </c>
    </row>
    <row r="43" spans="1:23">
      <c r="A43" s="53" t="s">
        <v>134</v>
      </c>
      <c r="B43">
        <v>83.67</v>
      </c>
    </row>
    <row r="44" spans="1:23">
      <c r="A44" s="113" t="s">
        <v>43</v>
      </c>
      <c r="B44">
        <v>70.319999999999993</v>
      </c>
      <c r="D44">
        <f>B44/$D$40</f>
        <v>0.85879156107837429</v>
      </c>
    </row>
    <row r="45" spans="1:23">
      <c r="A45" s="113" t="s">
        <v>74</v>
      </c>
      <c r="B45">
        <v>70.02</v>
      </c>
      <c r="D45">
        <f>B45/$D$40</f>
        <v>0.85512777455500244</v>
      </c>
    </row>
    <row r="46" spans="1:23">
      <c r="A46" s="53"/>
    </row>
    <row r="47" spans="1:23">
      <c r="A47" s="53"/>
    </row>
    <row r="48" spans="1:23">
      <c r="A48" s="53" t="s">
        <v>134</v>
      </c>
      <c r="B48">
        <v>87.86</v>
      </c>
      <c r="D48">
        <f>AVERAGE(B48:B51)</f>
        <v>87.622500000000002</v>
      </c>
    </row>
    <row r="49" spans="1:4">
      <c r="A49" s="53" t="s">
        <v>134</v>
      </c>
      <c r="B49">
        <v>86.5</v>
      </c>
    </row>
    <row r="50" spans="1:4">
      <c r="A50" s="53" t="s">
        <v>134</v>
      </c>
      <c r="B50">
        <v>87.74</v>
      </c>
    </row>
    <row r="51" spans="1:4">
      <c r="A51" s="53" t="s">
        <v>134</v>
      </c>
      <c r="B51">
        <v>88.39</v>
      </c>
    </row>
    <row r="52" spans="1:4">
      <c r="A52" s="113" t="s">
        <v>43</v>
      </c>
      <c r="B52">
        <v>73.42</v>
      </c>
      <c r="D52">
        <f>B52/$D$48</f>
        <v>0.83791263659448201</v>
      </c>
    </row>
    <row r="53" spans="1:4">
      <c r="A53" s="113" t="s">
        <v>74</v>
      </c>
      <c r="B53">
        <v>71.98</v>
      </c>
      <c r="D53">
        <f>B53/$D$48</f>
        <v>0.82147850152643442</v>
      </c>
    </row>
    <row r="54" spans="1:4">
      <c r="A54" s="53"/>
    </row>
    <row r="55" spans="1:4">
      <c r="A55" s="53"/>
    </row>
    <row r="56" spans="1:4">
      <c r="A56" s="53" t="s">
        <v>134</v>
      </c>
      <c r="B56">
        <v>79.08</v>
      </c>
      <c r="D56">
        <f>AVERAGE(B56:B59)</f>
        <v>78.947500000000005</v>
      </c>
    </row>
    <row r="57" spans="1:4">
      <c r="A57" s="53" t="s">
        <v>134</v>
      </c>
      <c r="B57">
        <v>78.260000000000005</v>
      </c>
    </row>
    <row r="58" spans="1:4">
      <c r="A58" s="53" t="s">
        <v>134</v>
      </c>
      <c r="B58">
        <v>78.2</v>
      </c>
    </row>
    <row r="59" spans="1:4">
      <c r="A59" s="53" t="s">
        <v>134</v>
      </c>
      <c r="B59">
        <v>80.25</v>
      </c>
    </row>
    <row r="60" spans="1:4">
      <c r="A60" s="113" t="s">
        <v>43</v>
      </c>
      <c r="B60">
        <v>78.069999999999993</v>
      </c>
      <c r="D60">
        <f>B60/$D$56</f>
        <v>0.98888501852496902</v>
      </c>
    </row>
    <row r="61" spans="1:4">
      <c r="A61" s="113" t="s">
        <v>74</v>
      </c>
      <c r="B61">
        <v>74.349999999999994</v>
      </c>
      <c r="D61">
        <f>B61/$D$56</f>
        <v>0.94176509705817146</v>
      </c>
    </row>
    <row r="62" spans="1:4">
      <c r="A62" s="53"/>
    </row>
    <row r="63" spans="1:4">
      <c r="A63" s="53"/>
    </row>
    <row r="64" spans="1:4">
      <c r="A64" s="53" t="s">
        <v>134</v>
      </c>
      <c r="B64">
        <v>74.55</v>
      </c>
      <c r="D64">
        <f>AVERAGE(B64:B67)</f>
        <v>74.875</v>
      </c>
    </row>
    <row r="65" spans="1:4">
      <c r="A65" s="53" t="s">
        <v>134</v>
      </c>
      <c r="B65">
        <v>76.81</v>
      </c>
    </row>
    <row r="66" spans="1:4">
      <c r="A66" s="53" t="s">
        <v>134</v>
      </c>
      <c r="B66">
        <v>74.92</v>
      </c>
    </row>
    <row r="67" spans="1:4">
      <c r="A67" s="53" t="s">
        <v>134</v>
      </c>
      <c r="B67">
        <v>73.22</v>
      </c>
    </row>
    <row r="68" spans="1:4">
      <c r="A68" s="124" t="s">
        <v>59</v>
      </c>
      <c r="B68">
        <v>69.67</v>
      </c>
      <c r="D68">
        <f>B68/$D$64</f>
        <v>0.93048414023372295</v>
      </c>
    </row>
    <row r="69" spans="1:4">
      <c r="A69" s="123" t="s">
        <v>90</v>
      </c>
      <c r="B69">
        <v>66.44</v>
      </c>
      <c r="D69">
        <f>B69/$D$64</f>
        <v>0.88734557595993324</v>
      </c>
    </row>
    <row r="70" spans="1:4">
      <c r="A70" s="53"/>
    </row>
    <row r="71" spans="1:4">
      <c r="A71" s="53"/>
    </row>
    <row r="72" spans="1:4">
      <c r="A72" s="53" t="s">
        <v>134</v>
      </c>
      <c r="B72">
        <v>83.88</v>
      </c>
      <c r="D72">
        <f>AVERAGE(B72:B75)</f>
        <v>78.539999999999992</v>
      </c>
    </row>
    <row r="73" spans="1:4">
      <c r="A73" s="53" t="s">
        <v>134</v>
      </c>
      <c r="B73">
        <v>75.31</v>
      </c>
    </row>
    <row r="74" spans="1:4">
      <c r="A74" s="53" t="s">
        <v>134</v>
      </c>
      <c r="B74">
        <v>77.75</v>
      </c>
    </row>
    <row r="75" spans="1:4">
      <c r="A75" s="53" t="s">
        <v>134</v>
      </c>
      <c r="B75">
        <v>77.22</v>
      </c>
    </row>
    <row r="76" spans="1:4">
      <c r="A76" s="124" t="s">
        <v>59</v>
      </c>
      <c r="B76">
        <v>79.290000000000006</v>
      </c>
      <c r="D76">
        <f>B76/$D$72</f>
        <v>1.0095492742551568</v>
      </c>
    </row>
    <row r="77" spans="1:4">
      <c r="A77" s="123" t="s">
        <v>90</v>
      </c>
      <c r="B77">
        <v>68.900000000000006</v>
      </c>
      <c r="D77">
        <f>B77/$D$72</f>
        <v>0.87725999490705386</v>
      </c>
    </row>
    <row r="78" spans="1:4">
      <c r="A78" s="53"/>
    </row>
    <row r="79" spans="1:4">
      <c r="A79" s="53"/>
    </row>
    <row r="80" spans="1:4">
      <c r="A80" s="53" t="s">
        <v>134</v>
      </c>
      <c r="B80">
        <v>82.95</v>
      </c>
      <c r="D80">
        <f>AVERAGE(B80:B83)</f>
        <v>84.637500000000003</v>
      </c>
    </row>
    <row r="81" spans="1:4">
      <c r="A81" s="53" t="s">
        <v>134</v>
      </c>
      <c r="B81">
        <v>84.97</v>
      </c>
    </row>
    <row r="82" spans="1:4">
      <c r="A82" s="53" t="s">
        <v>134</v>
      </c>
      <c r="B82">
        <v>85.09</v>
      </c>
    </row>
    <row r="83" spans="1:4">
      <c r="A83" s="53" t="s">
        <v>134</v>
      </c>
      <c r="B83">
        <v>85.54</v>
      </c>
    </row>
    <row r="84" spans="1:4">
      <c r="A84" s="124" t="s">
        <v>59</v>
      </c>
      <c r="B84">
        <v>79.62</v>
      </c>
      <c r="D84">
        <f>B84/$D$80</f>
        <v>0.94071776694727516</v>
      </c>
    </row>
    <row r="85" spans="1:4">
      <c r="A85" s="123" t="s">
        <v>90</v>
      </c>
      <c r="B85">
        <v>74.69</v>
      </c>
      <c r="D85">
        <f>B85/$D$80</f>
        <v>0.88246935460050213</v>
      </c>
    </row>
    <row r="86" spans="1:4">
      <c r="A86" s="53"/>
    </row>
    <row r="87" spans="1:4">
      <c r="A87" s="53"/>
    </row>
    <row r="88" spans="1:4">
      <c r="A88" s="53" t="s">
        <v>134</v>
      </c>
      <c r="B88">
        <v>85.68</v>
      </c>
      <c r="D88">
        <f>AVERAGE(B88:B91)</f>
        <v>86.62</v>
      </c>
    </row>
    <row r="89" spans="1:4">
      <c r="A89" s="53" t="s">
        <v>134</v>
      </c>
      <c r="B89">
        <v>86.37</v>
      </c>
    </row>
    <row r="90" spans="1:4">
      <c r="A90" s="53" t="s">
        <v>134</v>
      </c>
      <c r="B90">
        <v>85.84</v>
      </c>
    </row>
    <row r="91" spans="1:4">
      <c r="A91" s="53" t="s">
        <v>134</v>
      </c>
      <c r="B91">
        <v>88.59</v>
      </c>
    </row>
    <row r="92" spans="1:4">
      <c r="A92" s="124" t="s">
        <v>59</v>
      </c>
      <c r="B92">
        <v>84.66</v>
      </c>
      <c r="D92">
        <f>B92/$D$88</f>
        <v>0.9773724313091664</v>
      </c>
    </row>
    <row r="93" spans="1:4">
      <c r="A93" s="123" t="s">
        <v>90</v>
      </c>
      <c r="B93">
        <v>83.33</v>
      </c>
      <c r="D93">
        <f>B93/$D$88</f>
        <v>0.96201800969752937</v>
      </c>
    </row>
    <row r="94" spans="1:4">
      <c r="A94" s="53"/>
    </row>
    <row r="95" spans="1:4">
      <c r="A95" s="53" t="s">
        <v>134</v>
      </c>
      <c r="B95">
        <v>84.71</v>
      </c>
      <c r="D95">
        <f>AVERAGE(B95:B98)</f>
        <v>86.577500000000001</v>
      </c>
    </row>
    <row r="96" spans="1:4">
      <c r="A96" s="53" t="s">
        <v>134</v>
      </c>
      <c r="B96">
        <v>87.22</v>
      </c>
    </row>
    <row r="97" spans="1:4">
      <c r="A97" s="53" t="s">
        <v>134</v>
      </c>
      <c r="B97">
        <v>86.63</v>
      </c>
    </row>
    <row r="98" spans="1:4">
      <c r="A98" s="53" t="s">
        <v>134</v>
      </c>
      <c r="B98">
        <v>87.75</v>
      </c>
    </row>
    <row r="99" spans="1:4">
      <c r="A99" s="123" t="s">
        <v>90</v>
      </c>
      <c r="B99">
        <v>76.790000000000006</v>
      </c>
      <c r="D99">
        <f>B99/$D$95</f>
        <v>0.88695099766105523</v>
      </c>
    </row>
    <row r="100" spans="1:4">
      <c r="A100" s="123" t="s">
        <v>90</v>
      </c>
      <c r="B100">
        <v>78.02</v>
      </c>
      <c r="D100">
        <f>B100/$D$95</f>
        <v>0.90115792209292245</v>
      </c>
    </row>
    <row r="101" spans="1:4">
      <c r="A101" s="123" t="s">
        <v>90</v>
      </c>
      <c r="B101">
        <v>78.03</v>
      </c>
      <c r="D101">
        <f>B101/$D$95</f>
        <v>0.90127342554358814</v>
      </c>
    </row>
    <row r="102" spans="1:4">
      <c r="A102" s="123" t="s">
        <v>90</v>
      </c>
      <c r="B102">
        <v>76.489999999999995</v>
      </c>
      <c r="D102">
        <f>B102/$D$95</f>
        <v>0.88348589414108736</v>
      </c>
    </row>
    <row r="103" spans="1:4">
      <c r="A103" s="123"/>
    </row>
    <row r="104" spans="1:4">
      <c r="A104" s="53"/>
    </row>
    <row r="105" spans="1:4">
      <c r="A105" s="53" t="s">
        <v>134</v>
      </c>
      <c r="B105" s="59">
        <v>77</v>
      </c>
      <c r="D105" s="59">
        <f>AVERAGE(B105:B107)</f>
        <v>74</v>
      </c>
    </row>
    <row r="106" spans="1:4">
      <c r="A106" s="53" t="s">
        <v>134</v>
      </c>
      <c r="B106" s="59">
        <v>73</v>
      </c>
    </row>
    <row r="107" spans="1:4">
      <c r="A107" s="53" t="s">
        <v>134</v>
      </c>
      <c r="B107" s="59">
        <v>72</v>
      </c>
    </row>
    <row r="108" spans="1:4">
      <c r="A108" s="123" t="s">
        <v>90</v>
      </c>
      <c r="B108">
        <v>70</v>
      </c>
      <c r="D108">
        <f>B108/$D$105</f>
        <v>0.94594594594594594</v>
      </c>
    </row>
    <row r="109" spans="1:4">
      <c r="A109" s="123" t="s">
        <v>90</v>
      </c>
      <c r="B109">
        <v>66</v>
      </c>
      <c r="D109">
        <f t="shared" ref="D109:D110" si="1">B109/$D$105</f>
        <v>0.89189189189189189</v>
      </c>
    </row>
    <row r="110" spans="1:4">
      <c r="A110" s="123" t="s">
        <v>90</v>
      </c>
      <c r="B110">
        <v>69</v>
      </c>
      <c r="D110">
        <f t="shared" si="1"/>
        <v>0.93243243243243246</v>
      </c>
    </row>
    <row r="111" spans="1:4">
      <c r="A111" s="53"/>
    </row>
    <row r="112" spans="1:4">
      <c r="A112" s="53"/>
    </row>
    <row r="113" spans="1:4">
      <c r="A113" s="53" t="s">
        <v>134</v>
      </c>
      <c r="B113">
        <v>87.59</v>
      </c>
      <c r="D113">
        <f>AVERAGE(B113:B115)</f>
        <v>86.320000000000007</v>
      </c>
    </row>
    <row r="114" spans="1:4">
      <c r="A114" s="53" t="s">
        <v>134</v>
      </c>
      <c r="B114">
        <v>85.26</v>
      </c>
    </row>
    <row r="115" spans="1:4">
      <c r="A115" s="53" t="s">
        <v>134</v>
      </c>
      <c r="B115">
        <v>86.11</v>
      </c>
    </row>
    <row r="116" spans="1:4">
      <c r="A116" s="123" t="s">
        <v>90</v>
      </c>
      <c r="B116">
        <v>79.319999999999993</v>
      </c>
      <c r="D116">
        <f>B116/D113</f>
        <v>0.91890639481000913</v>
      </c>
    </row>
    <row r="117" spans="1:4">
      <c r="A117" s="53"/>
    </row>
    <row r="118" spans="1:4">
      <c r="A118" s="53"/>
    </row>
    <row r="119" spans="1:4">
      <c r="A119" s="53" t="s">
        <v>134</v>
      </c>
      <c r="B119">
        <v>85.31</v>
      </c>
      <c r="D119">
        <f>AVERAGE(B119:B121)</f>
        <v>84.63666666666667</v>
      </c>
    </row>
    <row r="120" spans="1:4">
      <c r="A120" s="53" t="s">
        <v>134</v>
      </c>
      <c r="B120">
        <v>84.36</v>
      </c>
    </row>
    <row r="121" spans="1:4">
      <c r="A121" s="53" t="s">
        <v>134</v>
      </c>
      <c r="B121">
        <v>84.24</v>
      </c>
    </row>
    <row r="122" spans="1:4">
      <c r="A122" s="123" t="s">
        <v>90</v>
      </c>
      <c r="B122">
        <v>82.96</v>
      </c>
      <c r="D122">
        <f>B122/D119</f>
        <v>0.98018983104249524</v>
      </c>
    </row>
    <row r="123" spans="1:4">
      <c r="A123" s="53"/>
    </row>
    <row r="124" spans="1:4">
      <c r="A124" s="53"/>
    </row>
    <row r="125" spans="1:4">
      <c r="A125" s="53" t="s">
        <v>134</v>
      </c>
      <c r="B125">
        <v>81.349999999999994</v>
      </c>
      <c r="D125">
        <f>AVERAGE(B125:B127)</f>
        <v>82.7</v>
      </c>
    </row>
    <row r="126" spans="1:4">
      <c r="A126" s="53" t="s">
        <v>134</v>
      </c>
      <c r="B126">
        <v>82.93</v>
      </c>
    </row>
    <row r="127" spans="1:4">
      <c r="A127" s="53" t="s">
        <v>134</v>
      </c>
      <c r="B127">
        <v>83.82</v>
      </c>
    </row>
    <row r="128" spans="1:4">
      <c r="A128" s="123" t="s">
        <v>90</v>
      </c>
      <c r="B128">
        <v>82.51</v>
      </c>
      <c r="D128">
        <f>B128/D125</f>
        <v>0.99770253929866992</v>
      </c>
    </row>
    <row r="129" spans="1:4">
      <c r="A129" s="53"/>
    </row>
    <row r="130" spans="1:4">
      <c r="A130" s="53"/>
    </row>
    <row r="131" spans="1:4">
      <c r="A131" s="53" t="s">
        <v>134</v>
      </c>
      <c r="B131">
        <v>87.67</v>
      </c>
      <c r="D131">
        <f>AVERAGE(B131)</f>
        <v>87.67</v>
      </c>
    </row>
    <row r="132" spans="1:4">
      <c r="A132" s="53" t="s">
        <v>10</v>
      </c>
      <c r="B132">
        <v>87.91</v>
      </c>
      <c r="D132">
        <f>B132/D131</f>
        <v>1.0027375384966351</v>
      </c>
    </row>
    <row r="133" spans="1:4">
      <c r="A133" s="53"/>
    </row>
    <row r="134" spans="1:4">
      <c r="A134" s="53"/>
    </row>
    <row r="135" spans="1:4">
      <c r="A135" s="53" t="s">
        <v>134</v>
      </c>
      <c r="B135">
        <v>89.81</v>
      </c>
      <c r="D135">
        <f>AVERAGE(B135)</f>
        <v>89.81</v>
      </c>
    </row>
    <row r="136" spans="1:4">
      <c r="A136" s="53" t="s">
        <v>10</v>
      </c>
      <c r="B136">
        <v>91.23</v>
      </c>
      <c r="D136">
        <f>B136/D135</f>
        <v>1.0158111568867609</v>
      </c>
    </row>
    <row r="137" spans="1:4">
      <c r="A137" s="53"/>
    </row>
    <row r="138" spans="1:4">
      <c r="A138" s="53"/>
    </row>
    <row r="139" spans="1:4">
      <c r="A139" s="53" t="s">
        <v>134</v>
      </c>
      <c r="B139">
        <v>86.92</v>
      </c>
      <c r="D139">
        <f>AVERAGE(B139:B142)</f>
        <v>87.112499999999997</v>
      </c>
    </row>
    <row r="140" spans="1:4">
      <c r="A140" s="53" t="s">
        <v>134</v>
      </c>
      <c r="B140">
        <v>87.69</v>
      </c>
    </row>
    <row r="141" spans="1:4">
      <c r="A141" s="53" t="s">
        <v>134</v>
      </c>
      <c r="B141">
        <v>87.16</v>
      </c>
    </row>
    <row r="142" spans="1:4">
      <c r="A142" s="53" t="s">
        <v>134</v>
      </c>
      <c r="B142">
        <v>86.68</v>
      </c>
    </row>
    <row r="143" spans="1:4">
      <c r="A143" s="53" t="s">
        <v>10</v>
      </c>
      <c r="B143">
        <v>80.56</v>
      </c>
      <c r="D143">
        <f>B143/D139</f>
        <v>0.92478117376955093</v>
      </c>
    </row>
    <row r="144" spans="1:4">
      <c r="A144" s="53"/>
    </row>
    <row r="145" spans="1:4">
      <c r="A145" s="53"/>
    </row>
    <row r="146" spans="1:4">
      <c r="A146" s="53" t="s">
        <v>134</v>
      </c>
      <c r="B146">
        <v>90.64</v>
      </c>
      <c r="D146">
        <f>AVERAGE(B146:B149)</f>
        <v>89.33</v>
      </c>
    </row>
    <row r="147" spans="1:4">
      <c r="A147" s="53" t="s">
        <v>134</v>
      </c>
      <c r="B147">
        <v>89.01</v>
      </c>
    </row>
    <row r="148" spans="1:4">
      <c r="A148" s="53" t="s">
        <v>134</v>
      </c>
      <c r="B148">
        <v>88.1</v>
      </c>
    </row>
    <row r="149" spans="1:4">
      <c r="A149" s="53" t="s">
        <v>134</v>
      </c>
      <c r="B149">
        <v>89.57</v>
      </c>
    </row>
    <row r="150" spans="1:4">
      <c r="A150" s="53" t="s">
        <v>10</v>
      </c>
      <c r="B150">
        <v>87.53</v>
      </c>
      <c r="D150">
        <f>B150/D146</f>
        <v>0.9798499944027762</v>
      </c>
    </row>
    <row r="151" spans="1:4">
      <c r="A151" s="53"/>
    </row>
    <row r="152" spans="1:4">
      <c r="A152" s="53"/>
    </row>
    <row r="153" spans="1:4">
      <c r="A153" s="53" t="s">
        <v>134</v>
      </c>
      <c r="B153">
        <v>91.39</v>
      </c>
      <c r="D153">
        <f>AVERAGE(B153:B156)</f>
        <v>91.56</v>
      </c>
    </row>
    <row r="154" spans="1:4">
      <c r="A154" s="53" t="s">
        <v>134</v>
      </c>
      <c r="B154">
        <v>91.23</v>
      </c>
    </row>
    <row r="155" spans="1:4">
      <c r="A155" s="53" t="s">
        <v>134</v>
      </c>
      <c r="B155">
        <v>91.84</v>
      </c>
    </row>
    <row r="156" spans="1:4">
      <c r="A156" s="53" t="s">
        <v>134</v>
      </c>
      <c r="B156">
        <v>91.78</v>
      </c>
    </row>
    <row r="157" spans="1:4">
      <c r="A157" s="124" t="s">
        <v>48</v>
      </c>
      <c r="B157">
        <v>92.01</v>
      </c>
      <c r="D157">
        <f>B157/$D$153</f>
        <v>1.0049148099606815</v>
      </c>
    </row>
    <row r="158" spans="1:4">
      <c r="A158" s="113" t="s">
        <v>40</v>
      </c>
      <c r="B158">
        <v>91.67</v>
      </c>
      <c r="D158">
        <f>B158/$D$153</f>
        <v>1.0012013979903889</v>
      </c>
    </row>
    <row r="159" spans="1:4">
      <c r="A159" s="53"/>
    </row>
    <row r="160" spans="1:4">
      <c r="A160" s="53"/>
    </row>
    <row r="161" spans="1:4">
      <c r="A161" s="53" t="s">
        <v>134</v>
      </c>
      <c r="B161">
        <v>88.86</v>
      </c>
      <c r="D161">
        <f>AVERAGE(B161:B164)</f>
        <v>89.355000000000004</v>
      </c>
    </row>
    <row r="162" spans="1:4">
      <c r="A162" s="53" t="s">
        <v>134</v>
      </c>
      <c r="B162">
        <v>88.51</v>
      </c>
    </row>
    <row r="163" spans="1:4">
      <c r="A163" s="53" t="s">
        <v>134</v>
      </c>
      <c r="B163">
        <v>88.81</v>
      </c>
    </row>
    <row r="164" spans="1:4">
      <c r="A164" s="53" t="s">
        <v>134</v>
      </c>
      <c r="B164">
        <v>91.24</v>
      </c>
    </row>
    <row r="165" spans="1:4">
      <c r="A165" s="124" t="s">
        <v>48</v>
      </c>
      <c r="B165">
        <v>90.23</v>
      </c>
      <c r="D165">
        <f>B165/$D$161</f>
        <v>1.0097924010967489</v>
      </c>
    </row>
    <row r="166" spans="1:4">
      <c r="A166" s="113" t="s">
        <v>40</v>
      </c>
      <c r="B166">
        <v>90.37</v>
      </c>
      <c r="D166">
        <f>B166/$D$161</f>
        <v>1.0113591852722288</v>
      </c>
    </row>
    <row r="167" spans="1:4">
      <c r="A167" s="53"/>
    </row>
    <row r="168" spans="1:4">
      <c r="A168" s="53"/>
    </row>
    <row r="169" spans="1:4">
      <c r="A169" s="53" t="s">
        <v>134</v>
      </c>
      <c r="B169">
        <v>84.05</v>
      </c>
      <c r="D169">
        <f>AVERAGE(B169:B172)</f>
        <v>84.914999999999992</v>
      </c>
    </row>
    <row r="170" spans="1:4">
      <c r="A170" s="53" t="s">
        <v>134</v>
      </c>
      <c r="B170">
        <v>86.79</v>
      </c>
    </row>
    <row r="171" spans="1:4">
      <c r="A171" s="53" t="s">
        <v>134</v>
      </c>
      <c r="B171">
        <v>84.29</v>
      </c>
    </row>
    <row r="172" spans="1:4">
      <c r="A172" s="53" t="s">
        <v>134</v>
      </c>
      <c r="B172">
        <v>84.53</v>
      </c>
    </row>
    <row r="173" spans="1:4">
      <c r="A173" s="124" t="s">
        <v>48</v>
      </c>
      <c r="B173">
        <v>84.67</v>
      </c>
      <c r="D173">
        <f>B173/$D$169</f>
        <v>0.99711476182064429</v>
      </c>
    </row>
    <row r="174" spans="1:4">
      <c r="A174" s="113" t="s">
        <v>40</v>
      </c>
      <c r="B174">
        <v>83.09</v>
      </c>
      <c r="D174">
        <f>B174/$D$169</f>
        <v>0.97850791968439044</v>
      </c>
    </row>
    <row r="175" spans="1:4">
      <c r="A175" s="53"/>
    </row>
    <row r="176" spans="1:4">
      <c r="A176" s="53"/>
    </row>
    <row r="177" spans="1:4">
      <c r="A177" s="53" t="s">
        <v>134</v>
      </c>
      <c r="B177">
        <v>86.52</v>
      </c>
      <c r="D177">
        <f>AVERAGE(B177:B180)</f>
        <v>87.435000000000002</v>
      </c>
    </row>
    <row r="178" spans="1:4">
      <c r="A178" s="53" t="s">
        <v>134</v>
      </c>
      <c r="B178">
        <v>87.84</v>
      </c>
    </row>
    <row r="179" spans="1:4">
      <c r="A179" s="53" t="s">
        <v>134</v>
      </c>
      <c r="B179">
        <v>88.2</v>
      </c>
    </row>
    <row r="180" spans="1:4">
      <c r="A180" s="53" t="s">
        <v>134</v>
      </c>
      <c r="B180">
        <v>87.18</v>
      </c>
    </row>
    <row r="181" spans="1:4">
      <c r="A181" s="124" t="s">
        <v>48</v>
      </c>
      <c r="B181">
        <v>87.56</v>
      </c>
      <c r="D181">
        <f>B181/$D$177</f>
        <v>1.0014296334419854</v>
      </c>
    </row>
    <row r="182" spans="1:4">
      <c r="A182" s="113" t="s">
        <v>40</v>
      </c>
      <c r="B182">
        <v>87.31</v>
      </c>
      <c r="D182">
        <f>B182/$D$177</f>
        <v>0.99857036655801457</v>
      </c>
    </row>
    <row r="183" spans="1:4">
      <c r="A183" s="53"/>
    </row>
    <row r="184" spans="1:4">
      <c r="A184" s="53"/>
    </row>
    <row r="185" spans="1:4">
      <c r="A185" s="53" t="s">
        <v>134</v>
      </c>
      <c r="B185">
        <v>84.21</v>
      </c>
      <c r="D185">
        <f>AVERAGE(B185:B186)</f>
        <v>85.32</v>
      </c>
    </row>
    <row r="186" spans="1:4">
      <c r="A186" s="53" t="s">
        <v>134</v>
      </c>
      <c r="B186">
        <v>86.43</v>
      </c>
    </row>
    <row r="187" spans="1:4">
      <c r="A187" s="125" t="s">
        <v>21</v>
      </c>
      <c r="B187">
        <v>89.65</v>
      </c>
      <c r="D187">
        <f>B187/D185</f>
        <v>1.0507501172058136</v>
      </c>
    </row>
    <row r="188" spans="1:4">
      <c r="A188" s="53"/>
    </row>
    <row r="189" spans="1:4">
      <c r="A189" s="53"/>
    </row>
    <row r="190" spans="1:4">
      <c r="A190" s="53" t="s">
        <v>134</v>
      </c>
      <c r="B190">
        <v>89.42</v>
      </c>
      <c r="D190">
        <f>AVERAGE(B190:B191)</f>
        <v>89.675000000000011</v>
      </c>
    </row>
    <row r="191" spans="1:4">
      <c r="A191" s="53" t="s">
        <v>134</v>
      </c>
      <c r="B191">
        <v>89.93</v>
      </c>
    </row>
    <row r="192" spans="1:4">
      <c r="A192" s="125" t="s">
        <v>21</v>
      </c>
      <c r="B192">
        <v>91.41</v>
      </c>
      <c r="D192">
        <f>B192/D190</f>
        <v>1.0193476442709783</v>
      </c>
    </row>
    <row r="193" spans="1:4">
      <c r="A193" s="53"/>
    </row>
    <row r="194" spans="1:4">
      <c r="A194" s="53"/>
    </row>
    <row r="195" spans="1:4">
      <c r="A195" s="53" t="s">
        <v>134</v>
      </c>
      <c r="B195">
        <v>82.21</v>
      </c>
      <c r="D195">
        <f>AVERAGE(B195:B198)</f>
        <v>82.197499999999991</v>
      </c>
    </row>
    <row r="196" spans="1:4">
      <c r="A196" s="53" t="s">
        <v>134</v>
      </c>
      <c r="B196">
        <v>82.66</v>
      </c>
    </row>
    <row r="197" spans="1:4">
      <c r="A197" s="53" t="s">
        <v>134</v>
      </c>
      <c r="B197">
        <v>82.02</v>
      </c>
    </row>
    <row r="198" spans="1:4">
      <c r="A198" s="53" t="s">
        <v>134</v>
      </c>
      <c r="B198">
        <v>81.900000000000006</v>
      </c>
    </row>
    <row r="199" spans="1:4">
      <c r="A199" s="125" t="s">
        <v>21</v>
      </c>
      <c r="B199">
        <v>84.52</v>
      </c>
      <c r="D199">
        <f>B199/D195</f>
        <v>1.0282551172480916</v>
      </c>
    </row>
    <row r="200" spans="1:4">
      <c r="A200" s="53"/>
    </row>
    <row r="201" spans="1:4">
      <c r="A201" s="53"/>
    </row>
    <row r="202" spans="1:4">
      <c r="A202" s="53" t="s">
        <v>134</v>
      </c>
      <c r="B202">
        <v>89.13</v>
      </c>
      <c r="D202">
        <f>AVERAGE(B202:B205)</f>
        <v>89.5625</v>
      </c>
    </row>
    <row r="203" spans="1:4">
      <c r="A203" s="53" t="s">
        <v>134</v>
      </c>
      <c r="B203">
        <v>91.5</v>
      </c>
    </row>
    <row r="204" spans="1:4">
      <c r="A204" s="53" t="s">
        <v>134</v>
      </c>
      <c r="B204">
        <v>88.72</v>
      </c>
    </row>
    <row r="205" spans="1:4">
      <c r="A205" s="53" t="s">
        <v>134</v>
      </c>
      <c r="B205">
        <v>88.9</v>
      </c>
    </row>
    <row r="206" spans="1:4">
      <c r="A206" s="125" t="s">
        <v>21</v>
      </c>
      <c r="B206">
        <v>89.39</v>
      </c>
      <c r="D206">
        <f>B206/D202</f>
        <v>0.99807397069085835</v>
      </c>
    </row>
    <row r="207" spans="1:4">
      <c r="A207" s="53"/>
    </row>
    <row r="208" spans="1:4">
      <c r="A208" s="53"/>
    </row>
    <row r="209" spans="1:1">
      <c r="A209" s="53"/>
    </row>
    <row r="210" spans="1:1">
      <c r="A210" s="53"/>
    </row>
    <row r="211" spans="1:1">
      <c r="A211" s="53"/>
    </row>
    <row r="212" spans="1:1">
      <c r="A212" s="53"/>
    </row>
    <row r="213" spans="1:1">
      <c r="A213" s="53"/>
    </row>
    <row r="214" spans="1:1">
      <c r="A214" s="53"/>
    </row>
    <row r="215" spans="1:1">
      <c r="A215" s="53"/>
    </row>
    <row r="216" spans="1:1">
      <c r="A216" s="53"/>
    </row>
    <row r="217" spans="1:1">
      <c r="A217" s="53"/>
    </row>
    <row r="218" spans="1:1">
      <c r="A218" s="53"/>
    </row>
    <row r="219" spans="1:1">
      <c r="A219" s="53"/>
    </row>
    <row r="220" spans="1:1">
      <c r="A220" s="53"/>
    </row>
    <row r="221" spans="1:1">
      <c r="A221" s="53"/>
    </row>
    <row r="222" spans="1:1">
      <c r="A222" s="53"/>
    </row>
    <row r="223" spans="1:1">
      <c r="A223" s="53"/>
    </row>
    <row r="224" spans="1:1">
      <c r="A224" s="53"/>
    </row>
    <row r="225" spans="1:1">
      <c r="A225" s="53"/>
    </row>
    <row r="226" spans="1:1">
      <c r="A226" s="53"/>
    </row>
    <row r="227" spans="1:1">
      <c r="A227" s="53"/>
    </row>
    <row r="228" spans="1:1">
      <c r="A228" s="53"/>
    </row>
    <row r="229" spans="1:1">
      <c r="A229" s="53"/>
    </row>
    <row r="230" spans="1:1">
      <c r="A230" s="53"/>
    </row>
    <row r="231" spans="1:1">
      <c r="A231" s="53"/>
    </row>
    <row r="232" spans="1:1">
      <c r="A232" s="53"/>
    </row>
    <row r="233" spans="1:1">
      <c r="A233" s="53"/>
    </row>
    <row r="234" spans="1:1">
      <c r="A234" s="53"/>
    </row>
    <row r="235" spans="1:1">
      <c r="A235" s="53"/>
    </row>
    <row r="236" spans="1:1">
      <c r="A236" s="53"/>
    </row>
    <row r="237" spans="1:1">
      <c r="A237" s="53"/>
    </row>
    <row r="238" spans="1:1">
      <c r="A238" s="53"/>
    </row>
    <row r="239" spans="1:1">
      <c r="A239" s="53"/>
    </row>
    <row r="240" spans="1:1">
      <c r="A240" s="53"/>
    </row>
    <row r="241" spans="1:1">
      <c r="A241" s="53"/>
    </row>
    <row r="242" spans="1:1">
      <c r="A242" s="53"/>
    </row>
    <row r="243" spans="1:1">
      <c r="A243" s="53"/>
    </row>
    <row r="244" spans="1:1">
      <c r="A244" s="53"/>
    </row>
    <row r="245" spans="1:1">
      <c r="A245" s="53"/>
    </row>
    <row r="246" spans="1:1">
      <c r="A246" s="53"/>
    </row>
    <row r="247" spans="1:1">
      <c r="A247" s="53"/>
    </row>
    <row r="248" spans="1:1">
      <c r="A248" s="53"/>
    </row>
    <row r="249" spans="1:1">
      <c r="A249" s="53"/>
    </row>
    <row r="250" spans="1:1">
      <c r="A250" s="53"/>
    </row>
    <row r="251" spans="1:1">
      <c r="A251" s="53"/>
    </row>
    <row r="252" spans="1:1">
      <c r="A252" s="53"/>
    </row>
    <row r="253" spans="1:1">
      <c r="A253" s="53"/>
    </row>
    <row r="254" spans="1:1">
      <c r="A254" s="53"/>
    </row>
    <row r="255" spans="1:1">
      <c r="A255" s="53"/>
    </row>
    <row r="256" spans="1:1">
      <c r="A256" s="53"/>
    </row>
    <row r="257" spans="1:1">
      <c r="A257" s="53"/>
    </row>
    <row r="258" spans="1:1">
      <c r="A258" s="53"/>
    </row>
    <row r="259" spans="1:1">
      <c r="A259" s="53"/>
    </row>
    <row r="260" spans="1:1">
      <c r="A260" s="53"/>
    </row>
    <row r="261" spans="1:1">
      <c r="A261" s="53"/>
    </row>
    <row r="262" spans="1:1">
      <c r="A262" s="53"/>
    </row>
    <row r="263" spans="1:1">
      <c r="A263" s="53"/>
    </row>
    <row r="264" spans="1:1">
      <c r="A264" s="53"/>
    </row>
    <row r="265" spans="1:1">
      <c r="A265" s="53"/>
    </row>
    <row r="266" spans="1:1">
      <c r="A266" s="53"/>
    </row>
    <row r="267" spans="1:1">
      <c r="A267" s="53"/>
    </row>
    <row r="268" spans="1:1">
      <c r="A268" s="53"/>
    </row>
    <row r="269" spans="1:1">
      <c r="A269" s="53"/>
    </row>
    <row r="270" spans="1:1">
      <c r="A270" s="53"/>
    </row>
    <row r="271" spans="1:1">
      <c r="A271" s="53"/>
    </row>
    <row r="272" spans="1:1">
      <c r="A272" s="53"/>
    </row>
    <row r="273" spans="1:1">
      <c r="A273" s="53"/>
    </row>
    <row r="274" spans="1:1">
      <c r="A274" s="53"/>
    </row>
    <row r="275" spans="1:1">
      <c r="A275" s="53"/>
    </row>
    <row r="276" spans="1:1">
      <c r="A276" s="53"/>
    </row>
    <row r="277" spans="1:1">
      <c r="A277" s="53"/>
    </row>
    <row r="278" spans="1:1">
      <c r="A278" s="53"/>
    </row>
    <row r="279" spans="1:1">
      <c r="A279" s="53"/>
    </row>
    <row r="280" spans="1:1">
      <c r="A280" s="53"/>
    </row>
    <row r="281" spans="1:1">
      <c r="A281" s="53"/>
    </row>
    <row r="282" spans="1:1">
      <c r="A282" s="53"/>
    </row>
    <row r="283" spans="1:1">
      <c r="A283" s="53"/>
    </row>
    <row r="284" spans="1:1">
      <c r="A284" s="53"/>
    </row>
    <row r="285" spans="1:1">
      <c r="A285" s="53"/>
    </row>
    <row r="286" spans="1:1">
      <c r="A286" s="53"/>
    </row>
    <row r="287" spans="1:1">
      <c r="A287" s="53"/>
    </row>
    <row r="288" spans="1:1">
      <c r="A288" s="5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T35"/>
  <sheetViews>
    <sheetView topLeftCell="A10" zoomScale="110" zoomScaleNormal="110" workbookViewId="0">
      <selection activeCell="N24" sqref="N24"/>
    </sheetView>
  </sheetViews>
  <sheetFormatPr baseColWidth="10" defaultColWidth="8.83203125" defaultRowHeight="15"/>
  <cols>
    <col min="2" max="2" width="19.1640625" customWidth="1"/>
    <col min="3" max="3" width="17.5" customWidth="1"/>
    <col min="4" max="5" width="12.83203125" customWidth="1"/>
    <col min="6" max="6" width="12.1640625" customWidth="1"/>
    <col min="7" max="7" width="22.1640625" style="59" customWidth="1"/>
    <col min="8" max="9" width="12.1640625" style="59" customWidth="1"/>
    <col min="10" max="10" width="17.6640625" style="59" customWidth="1"/>
    <col min="11" max="13" width="13.1640625" style="59" customWidth="1"/>
    <col min="14" max="15" width="8.83203125" style="59"/>
    <col min="18" max="18" width="11.5" customWidth="1"/>
  </cols>
  <sheetData>
    <row r="2" spans="2:20">
      <c r="B2" s="37" t="s">
        <v>260</v>
      </c>
    </row>
    <row r="3" spans="2:20">
      <c r="B3" s="37"/>
      <c r="C3" s="44" t="s">
        <v>1</v>
      </c>
      <c r="D3" s="44"/>
      <c r="E3" s="44"/>
      <c r="F3" s="44"/>
      <c r="G3" s="44" t="s">
        <v>2</v>
      </c>
      <c r="H3" s="44"/>
      <c r="I3" s="44"/>
      <c r="J3" s="44" t="s">
        <v>3</v>
      </c>
      <c r="K3" s="44" t="s">
        <v>4</v>
      </c>
      <c r="M3" s="21"/>
    </row>
    <row r="4" spans="2:20">
      <c r="C4" s="44" t="s">
        <v>5</v>
      </c>
      <c r="D4" s="44" t="s">
        <v>6</v>
      </c>
      <c r="E4" s="44" t="s">
        <v>7</v>
      </c>
      <c r="F4" s="44"/>
      <c r="G4" s="42"/>
      <c r="H4" s="44" t="s">
        <v>5</v>
      </c>
      <c r="I4" s="42"/>
      <c r="J4" s="44" t="s">
        <v>5</v>
      </c>
      <c r="K4" s="44" t="s">
        <v>5</v>
      </c>
      <c r="M4" s="21"/>
    </row>
    <row r="5" spans="2:20">
      <c r="B5" s="1"/>
    </row>
    <row r="6" spans="2:20">
      <c r="B6" s="51" t="s">
        <v>134</v>
      </c>
      <c r="C6">
        <v>34.67</v>
      </c>
      <c r="D6">
        <v>36.18</v>
      </c>
      <c r="E6">
        <v>16.420000000000002</v>
      </c>
      <c r="G6" s="59">
        <f>SUM(C6:E6)</f>
        <v>87.27</v>
      </c>
      <c r="H6" s="59">
        <f>C6/G6*100</f>
        <v>39.727283144264931</v>
      </c>
      <c r="J6" s="59">
        <f>AVERAGE(H6:H8)</f>
        <v>40.69770289902273</v>
      </c>
      <c r="R6" s="115"/>
      <c r="S6" s="116" t="s">
        <v>77</v>
      </c>
      <c r="T6" s="117" t="s">
        <v>97</v>
      </c>
    </row>
    <row r="7" spans="2:20">
      <c r="B7" s="51" t="s">
        <v>134</v>
      </c>
      <c r="C7">
        <v>36.96</v>
      </c>
      <c r="D7">
        <v>35.83</v>
      </c>
      <c r="E7">
        <v>13.65</v>
      </c>
      <c r="G7" s="59">
        <f t="shared" ref="G7:G9" si="0">SUM(C7:E7)</f>
        <v>86.44</v>
      </c>
      <c r="H7" s="59">
        <f t="shared" ref="H7:H9" si="1">C7/G7*100</f>
        <v>42.757982415548355</v>
      </c>
      <c r="R7" s="127" t="s">
        <v>90</v>
      </c>
      <c r="S7" s="67">
        <f>AVERAGE(K11,K18,K25,K32:K35)</f>
        <v>-1.0715566387414879</v>
      </c>
      <c r="T7" s="128">
        <f>STDEV(K11,K18,K25,K32:K35)/SQRT(7)</f>
        <v>0.13491618928989521</v>
      </c>
    </row>
    <row r="8" spans="2:20">
      <c r="B8" s="51" t="s">
        <v>134</v>
      </c>
      <c r="C8">
        <v>34.340000000000003</v>
      </c>
      <c r="D8">
        <v>36.17</v>
      </c>
      <c r="E8">
        <v>16.190000000000001</v>
      </c>
      <c r="G8" s="59">
        <f t="shared" si="0"/>
        <v>86.7</v>
      </c>
      <c r="H8" s="59">
        <f t="shared" si="1"/>
        <v>39.607843137254903</v>
      </c>
      <c r="R8" s="127" t="s">
        <v>10</v>
      </c>
      <c r="S8" s="67">
        <f>AVERAGE(K9,K16,K23)</f>
        <v>-0.371018768182581</v>
      </c>
      <c r="T8" s="128">
        <f>STDEV(K9,K16,K23)/SQRT(3)</f>
        <v>4.6777359680550586E-2</v>
      </c>
    </row>
    <row r="9" spans="2:20">
      <c r="B9" s="51" t="s">
        <v>10</v>
      </c>
      <c r="C9">
        <v>28.74</v>
      </c>
      <c r="D9">
        <v>37.29</v>
      </c>
      <c r="E9">
        <v>19.940000000000001</v>
      </c>
      <c r="G9" s="59">
        <f t="shared" si="0"/>
        <v>85.97</v>
      </c>
      <c r="H9" s="59">
        <f t="shared" si="1"/>
        <v>33.430266371990228</v>
      </c>
      <c r="J9" s="59">
        <f>H9/$J$6</f>
        <v>0.8214288274435505</v>
      </c>
      <c r="K9" s="59">
        <f>LOG(J9,2)</f>
        <v>-0.28379251635530744</v>
      </c>
      <c r="R9" s="129" t="s">
        <v>140</v>
      </c>
      <c r="S9" s="130">
        <f>AVERAGE(K10,K17,K24)</f>
        <v>-0.32860713703736594</v>
      </c>
      <c r="T9" s="131">
        <f>STDEV(K10,K17,K24)/SQRT(3)</f>
        <v>1.6782265785464396E-2</v>
      </c>
    </row>
    <row r="10" spans="2:20">
      <c r="B10" s="51" t="s">
        <v>140</v>
      </c>
      <c r="C10">
        <v>27.35</v>
      </c>
      <c r="D10">
        <v>39.51</v>
      </c>
      <c r="E10">
        <v>18.46</v>
      </c>
      <c r="G10" s="59">
        <f>SUM(C10:E10)</f>
        <v>85.32</v>
      </c>
      <c r="H10" s="59">
        <f>C10/G10*100</f>
        <v>32.055789967182378</v>
      </c>
      <c r="J10" s="59">
        <f>H10/$J$6</f>
        <v>0.7876560022740775</v>
      </c>
      <c r="K10" s="59">
        <f>LOG(J10,2)</f>
        <v>-0.3443624045077337</v>
      </c>
    </row>
    <row r="11" spans="2:20">
      <c r="B11" s="69" t="s">
        <v>90</v>
      </c>
      <c r="C11">
        <v>19.28</v>
      </c>
      <c r="D11">
        <v>43.67</v>
      </c>
      <c r="E11">
        <v>21.08</v>
      </c>
      <c r="G11" s="59">
        <f>SUM(C11:E11)</f>
        <v>84.03</v>
      </c>
      <c r="H11" s="59">
        <f>C11/G11*100</f>
        <v>22.944186600023802</v>
      </c>
      <c r="J11" s="59">
        <f>H11/$J$6</f>
        <v>0.56377104764246433</v>
      </c>
      <c r="K11" s="59">
        <f>LOG(J11,2)</f>
        <v>-0.82681870441278227</v>
      </c>
    </row>
    <row r="12" spans="2:20">
      <c r="B12" s="1"/>
    </row>
    <row r="13" spans="2:20">
      <c r="B13" s="51" t="s">
        <v>134</v>
      </c>
      <c r="C13" s="59">
        <v>34.4</v>
      </c>
      <c r="D13" s="59">
        <v>37.090000000000003</v>
      </c>
      <c r="E13" s="59">
        <v>13.53</v>
      </c>
      <c r="F13" s="59"/>
      <c r="G13" s="59">
        <f>SUM(C13:E13)</f>
        <v>85.02000000000001</v>
      </c>
      <c r="H13" s="59">
        <f>C13/G13*100</f>
        <v>40.461067984003755</v>
      </c>
      <c r="J13" s="59">
        <f>AVERAGE(H13:H15)</f>
        <v>40.912443306354</v>
      </c>
    </row>
    <row r="14" spans="2:20">
      <c r="B14" s="51" t="s">
        <v>134</v>
      </c>
      <c r="C14" s="59">
        <v>36.14</v>
      </c>
      <c r="D14" s="59">
        <v>36.4</v>
      </c>
      <c r="E14" s="59">
        <v>13.59</v>
      </c>
      <c r="F14" s="59"/>
      <c r="G14" s="59">
        <f>SUM(C14:E14)</f>
        <v>86.13</v>
      </c>
      <c r="H14" s="59">
        <f>C14/G14*100</f>
        <v>41.959828166724719</v>
      </c>
    </row>
    <row r="15" spans="2:20">
      <c r="B15" s="51" t="s">
        <v>134</v>
      </c>
      <c r="C15" s="59">
        <v>34.909999999999997</v>
      </c>
      <c r="D15" s="59">
        <v>36.6</v>
      </c>
      <c r="E15" s="59">
        <v>15.08</v>
      </c>
      <c r="F15" s="59"/>
      <c r="G15" s="59">
        <f t="shared" ref="G15:G16" si="2">SUM(C15:E15)</f>
        <v>86.589999999999989</v>
      </c>
      <c r="H15" s="59">
        <f t="shared" ref="H15:H16" si="3">C15/G15*100</f>
        <v>40.316433768333525</v>
      </c>
    </row>
    <row r="16" spans="2:20">
      <c r="B16" s="69" t="s">
        <v>10</v>
      </c>
      <c r="C16" s="59">
        <v>26.1</v>
      </c>
      <c r="D16" s="59">
        <v>39.72</v>
      </c>
      <c r="E16" s="59">
        <v>20.96</v>
      </c>
      <c r="F16" s="59"/>
      <c r="G16" s="59">
        <f t="shared" si="2"/>
        <v>86.78</v>
      </c>
      <c r="H16" s="59">
        <f t="shared" si="3"/>
        <v>30.076054390412537</v>
      </c>
      <c r="J16" s="59">
        <f>H16/$J$13</f>
        <v>0.73513219841704025</v>
      </c>
      <c r="K16" s="59">
        <f>LOG(J16,2)</f>
        <v>-0.44392438255613809</v>
      </c>
    </row>
    <row r="17" spans="2:11">
      <c r="B17" s="69" t="s">
        <v>140</v>
      </c>
      <c r="C17" s="59">
        <v>28.24</v>
      </c>
      <c r="D17" s="59">
        <v>39.33</v>
      </c>
      <c r="E17" s="59">
        <v>17.12</v>
      </c>
      <c r="F17" s="59"/>
      <c r="G17" s="59">
        <f>SUM(C17:E17)</f>
        <v>84.69</v>
      </c>
      <c r="H17" s="59">
        <f>C17/G17*100</f>
        <v>33.345141102845673</v>
      </c>
      <c r="J17" s="59">
        <f t="shared" ref="J17:J18" si="4">H17/$J$13</f>
        <v>0.81503665897330879</v>
      </c>
      <c r="K17" s="59">
        <f>LOG(J17,2)</f>
        <v>-0.29506314409631135</v>
      </c>
    </row>
    <row r="18" spans="2:11">
      <c r="B18" s="69" t="s">
        <v>90</v>
      </c>
      <c r="C18" s="59">
        <v>21.05</v>
      </c>
      <c r="D18" s="59">
        <v>49.14</v>
      </c>
      <c r="E18" s="59">
        <v>13.29</v>
      </c>
      <c r="F18" s="59"/>
      <c r="G18" s="59">
        <f>SUM(C18:E18)</f>
        <v>83.47999999999999</v>
      </c>
      <c r="H18" s="59">
        <f>C18/G18*100</f>
        <v>25.215620507906088</v>
      </c>
      <c r="J18" s="59">
        <f t="shared" si="4"/>
        <v>0.6163313278332101</v>
      </c>
      <c r="K18" s="59">
        <f>LOG(J18,2)</f>
        <v>-0.69822197040271905</v>
      </c>
    </row>
    <row r="19" spans="2:11">
      <c r="B19" s="1"/>
      <c r="I19" s="69"/>
    </row>
    <row r="20" spans="2:11">
      <c r="B20" s="51" t="s">
        <v>134</v>
      </c>
      <c r="C20" s="59">
        <v>35.380000000000003</v>
      </c>
      <c r="D20" s="59">
        <v>34.799999999999997</v>
      </c>
      <c r="E20" s="59">
        <v>16.13</v>
      </c>
      <c r="F20" s="59"/>
      <c r="G20" s="59">
        <f>SUM(C20:E20)</f>
        <v>86.31</v>
      </c>
      <c r="H20" s="59">
        <f>C20/G20*100</f>
        <v>40.991773838489173</v>
      </c>
      <c r="J20" s="59">
        <f>AVERAGE(H20:H22)</f>
        <v>40.414148181174397</v>
      </c>
    </row>
    <row r="21" spans="2:11">
      <c r="B21" s="51" t="s">
        <v>134</v>
      </c>
      <c r="C21" s="59">
        <v>35.64</v>
      </c>
      <c r="D21" s="59">
        <v>35.08</v>
      </c>
      <c r="E21" s="59">
        <v>15.9</v>
      </c>
      <c r="F21" s="59"/>
      <c r="G21" s="59">
        <f>SUM(C21:E21)</f>
        <v>86.62</v>
      </c>
      <c r="H21" s="59">
        <f>C21/G21*100</f>
        <v>41.145232048025861</v>
      </c>
    </row>
    <row r="22" spans="2:11">
      <c r="B22" s="51" t="s">
        <v>134</v>
      </c>
      <c r="C22" s="59">
        <v>34.01</v>
      </c>
      <c r="D22" s="59">
        <v>34.520000000000003</v>
      </c>
      <c r="E22" s="59">
        <v>18.440000000000001</v>
      </c>
      <c r="F22" s="59"/>
      <c r="G22" s="59">
        <f t="shared" ref="G22:G23" si="5">SUM(C22:E22)</f>
        <v>86.97</v>
      </c>
      <c r="H22" s="59">
        <f t="shared" ref="H22" si="6">C22/G22*100</f>
        <v>39.105438657008165</v>
      </c>
    </row>
    <row r="23" spans="2:11">
      <c r="B23" s="69" t="s">
        <v>10</v>
      </c>
      <c r="C23" s="59">
        <v>26.6</v>
      </c>
      <c r="D23" s="59">
        <v>38.840000000000003</v>
      </c>
      <c r="E23" s="59">
        <v>20.53</v>
      </c>
      <c r="F23" s="59"/>
      <c r="G23" s="59">
        <f t="shared" si="5"/>
        <v>85.97</v>
      </c>
      <c r="H23" s="59">
        <f>C23/G23*100</f>
        <v>30.941025939281147</v>
      </c>
      <c r="J23" s="59">
        <f>H23/$J$20</f>
        <v>0.76559886405558353</v>
      </c>
      <c r="K23" s="59">
        <f>LOG(J23,2)</f>
        <v>-0.38533940563629759</v>
      </c>
    </row>
    <row r="24" spans="2:11">
      <c r="B24" s="69" t="s">
        <v>140</v>
      </c>
      <c r="C24" s="59">
        <v>26.94</v>
      </c>
      <c r="D24" s="59">
        <v>39.380000000000003</v>
      </c>
      <c r="E24" s="59">
        <v>18.43</v>
      </c>
      <c r="F24" s="59"/>
      <c r="G24" s="59">
        <f>SUM(C24:E24)</f>
        <v>84.75</v>
      </c>
      <c r="H24" s="59">
        <f>C24/G24*100</f>
        <v>31.787610619469024</v>
      </c>
      <c r="J24" s="59">
        <f t="shared" ref="J24:J25" si="7">H24/$J$20</f>
        <v>0.78654659444922403</v>
      </c>
      <c r="K24" s="59">
        <f>LOG(J24,2)</f>
        <v>-0.34639586250805282</v>
      </c>
    </row>
    <row r="25" spans="2:11">
      <c r="B25" s="69" t="s">
        <v>90</v>
      </c>
      <c r="C25" s="59">
        <v>20.49</v>
      </c>
      <c r="D25" s="59">
        <v>43.14</v>
      </c>
      <c r="E25" s="59">
        <v>20.57</v>
      </c>
      <c r="F25" s="59"/>
      <c r="G25" s="59">
        <f>SUM(C25:E25)</f>
        <v>84.199999999999989</v>
      </c>
      <c r="H25" s="59">
        <f>C25/G25*100</f>
        <v>24.334916864608079</v>
      </c>
      <c r="J25" s="59">
        <f t="shared" si="7"/>
        <v>0.6021385569112081</v>
      </c>
      <c r="K25" s="59">
        <f>LOG(J25,2)</f>
        <v>-0.73183259400179901</v>
      </c>
    </row>
    <row r="27" spans="2:11">
      <c r="B27" s="1"/>
      <c r="G27"/>
      <c r="H27"/>
      <c r="I27"/>
      <c r="J27"/>
      <c r="K27"/>
    </row>
    <row r="28" spans="2:11">
      <c r="B28" s="51" t="s">
        <v>134</v>
      </c>
      <c r="D28">
        <v>23.74</v>
      </c>
      <c r="E28">
        <v>32.22</v>
      </c>
      <c r="F28">
        <v>35.29</v>
      </c>
      <c r="G28">
        <f t="shared" ref="G28:G35" si="8">SUM(D28:F28)</f>
        <v>91.25</v>
      </c>
      <c r="H28">
        <f t="shared" ref="H28:H35" si="9">D28/G28*100</f>
        <v>26.016438356164386</v>
      </c>
      <c r="J28">
        <f>AVERAGE(H28:H31)</f>
        <v>26.060519185636487</v>
      </c>
    </row>
    <row r="29" spans="2:11">
      <c r="B29" s="51" t="s">
        <v>134</v>
      </c>
      <c r="D29">
        <v>24.85</v>
      </c>
      <c r="E29">
        <v>31.94</v>
      </c>
      <c r="F29">
        <v>34.200000000000003</v>
      </c>
      <c r="G29">
        <f t="shared" si="8"/>
        <v>90.990000000000009</v>
      </c>
      <c r="H29">
        <f t="shared" si="9"/>
        <v>27.310693482800307</v>
      </c>
      <c r="J29"/>
      <c r="K29"/>
    </row>
    <row r="30" spans="2:11">
      <c r="B30" s="51" t="s">
        <v>134</v>
      </c>
      <c r="D30">
        <v>23.14</v>
      </c>
      <c r="E30">
        <v>31.62</v>
      </c>
      <c r="F30">
        <v>36.76</v>
      </c>
      <c r="G30">
        <f t="shared" si="8"/>
        <v>91.52000000000001</v>
      </c>
      <c r="H30">
        <f t="shared" si="9"/>
        <v>25.284090909090907</v>
      </c>
      <c r="J30"/>
      <c r="K30"/>
    </row>
    <row r="31" spans="2:11">
      <c r="B31" s="51" t="s">
        <v>134</v>
      </c>
      <c r="D31">
        <v>23.26</v>
      </c>
      <c r="E31">
        <v>32.06</v>
      </c>
      <c r="F31">
        <v>35.43</v>
      </c>
      <c r="G31">
        <f t="shared" si="8"/>
        <v>90.75</v>
      </c>
      <c r="H31">
        <f t="shared" si="9"/>
        <v>25.630853994490359</v>
      </c>
      <c r="J31"/>
      <c r="K31"/>
    </row>
    <row r="32" spans="2:11">
      <c r="B32" s="69" t="s">
        <v>90</v>
      </c>
      <c r="D32">
        <v>9.91</v>
      </c>
      <c r="E32">
        <v>44.94</v>
      </c>
      <c r="F32">
        <v>34.68</v>
      </c>
      <c r="G32">
        <f t="shared" si="8"/>
        <v>89.53</v>
      </c>
      <c r="H32">
        <f t="shared" si="9"/>
        <v>11.068915447336089</v>
      </c>
      <c r="J32" s="21">
        <f>H32/$J$28</f>
        <v>0.4247388691103603</v>
      </c>
      <c r="K32" s="21">
        <f>LOG(J32,2)</f>
        <v>-1.2353519548697436</v>
      </c>
    </row>
    <row r="33" spans="2:11">
      <c r="B33" s="69" t="s">
        <v>90</v>
      </c>
      <c r="D33">
        <v>7.68</v>
      </c>
      <c r="E33">
        <v>43.13</v>
      </c>
      <c r="F33">
        <v>39.15</v>
      </c>
      <c r="G33">
        <f t="shared" si="8"/>
        <v>89.960000000000008</v>
      </c>
      <c r="H33">
        <f t="shared" si="9"/>
        <v>8.5371276122721209</v>
      </c>
      <c r="J33" s="21">
        <f t="shared" ref="J33:J35" si="10">H33/$J$28</f>
        <v>0.32758854693030992</v>
      </c>
      <c r="K33" s="21">
        <f>LOG(J33,2)</f>
        <v>-1.6100431761736513</v>
      </c>
    </row>
    <row r="34" spans="2:11">
      <c r="B34" s="69" t="s">
        <v>90</v>
      </c>
      <c r="D34">
        <v>11.67</v>
      </c>
      <c r="E34">
        <v>43.12</v>
      </c>
      <c r="F34">
        <v>33.25</v>
      </c>
      <c r="G34">
        <f t="shared" si="8"/>
        <v>88.039999999999992</v>
      </c>
      <c r="H34">
        <f t="shared" si="9"/>
        <v>13.255338482507954</v>
      </c>
      <c r="J34" s="21">
        <f t="shared" si="10"/>
        <v>0.50863677688408315</v>
      </c>
      <c r="K34" s="21">
        <f>LOG(J34,2)</f>
        <v>-0.97529231530119953</v>
      </c>
    </row>
    <row r="35" spans="2:11">
      <c r="B35" s="69" t="s">
        <v>90</v>
      </c>
      <c r="D35">
        <v>8.7100000000000009</v>
      </c>
      <c r="E35">
        <v>41.34</v>
      </c>
      <c r="F35">
        <v>39.590000000000003</v>
      </c>
      <c r="G35">
        <f t="shared" si="8"/>
        <v>89.640000000000015</v>
      </c>
      <c r="H35">
        <f t="shared" si="9"/>
        <v>9.7166443551985715</v>
      </c>
      <c r="J35" s="21">
        <f t="shared" si="10"/>
        <v>0.37284922399220644</v>
      </c>
      <c r="K35" s="21">
        <f>LOG(J35,2)</f>
        <v>-1.4233357560285194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C2:Q27"/>
  <sheetViews>
    <sheetView zoomScale="90" zoomScaleNormal="90" workbookViewId="0">
      <selection activeCell="F8" sqref="F8"/>
    </sheetView>
  </sheetViews>
  <sheetFormatPr baseColWidth="10" defaultColWidth="8.83203125" defaultRowHeight="15"/>
  <cols>
    <col min="3" max="3" width="18.33203125" customWidth="1"/>
    <col min="4" max="4" width="17.33203125" customWidth="1"/>
    <col min="5" max="5" width="18.33203125" customWidth="1"/>
    <col min="6" max="6" width="11.6640625" customWidth="1"/>
    <col min="8" max="8" width="27.5" customWidth="1"/>
    <col min="9" max="9" width="12.5" customWidth="1"/>
    <col min="11" max="11" width="17" customWidth="1"/>
    <col min="12" max="13" width="15.5" customWidth="1"/>
    <col min="15" max="15" width="17" customWidth="1"/>
  </cols>
  <sheetData>
    <row r="2" spans="3:17">
      <c r="C2" s="37" t="s">
        <v>279</v>
      </c>
    </row>
    <row r="3" spans="3:17">
      <c r="C3" s="37"/>
      <c r="D3" s="44" t="s">
        <v>1</v>
      </c>
      <c r="E3" s="44"/>
      <c r="F3" s="44"/>
      <c r="G3" s="44"/>
      <c r="H3" s="44" t="s">
        <v>2</v>
      </c>
      <c r="I3" s="44"/>
      <c r="J3" s="44"/>
      <c r="K3" s="44" t="s">
        <v>3</v>
      </c>
      <c r="L3" s="44" t="s">
        <v>4</v>
      </c>
      <c r="M3" s="59"/>
      <c r="N3" s="21"/>
    </row>
    <row r="4" spans="3:17">
      <c r="D4" s="44" t="s">
        <v>5</v>
      </c>
      <c r="E4" s="44" t="s">
        <v>6</v>
      </c>
      <c r="F4" s="44" t="s">
        <v>7</v>
      </c>
      <c r="G4" s="44"/>
      <c r="H4" s="42"/>
      <c r="I4" s="44" t="s">
        <v>5</v>
      </c>
      <c r="J4" s="42"/>
      <c r="K4" s="44" t="s">
        <v>5</v>
      </c>
      <c r="L4" s="44" t="s">
        <v>5</v>
      </c>
      <c r="M4" s="59"/>
      <c r="N4" s="21"/>
    </row>
    <row r="5" spans="3:17">
      <c r="C5" s="1"/>
    </row>
    <row r="6" spans="3:17">
      <c r="C6" t="s">
        <v>134</v>
      </c>
      <c r="D6">
        <v>23.46</v>
      </c>
      <c r="E6">
        <v>37.08</v>
      </c>
      <c r="F6">
        <v>29.87</v>
      </c>
      <c r="H6">
        <f>SUM(D6:F6)</f>
        <v>90.41</v>
      </c>
      <c r="I6">
        <f>D6/H6*100</f>
        <v>25.948457029089706</v>
      </c>
      <c r="K6">
        <f>AVERAGE(I6:I7)</f>
        <v>24.359983878402407</v>
      </c>
    </row>
    <row r="7" spans="3:17">
      <c r="C7" t="s">
        <v>134</v>
      </c>
      <c r="D7">
        <v>20.59</v>
      </c>
      <c r="E7">
        <v>35.78</v>
      </c>
      <c r="F7">
        <v>34.049999999999997</v>
      </c>
      <c r="H7">
        <f t="shared" ref="H7:H9" si="0">SUM(D7:F7)</f>
        <v>90.42</v>
      </c>
      <c r="I7">
        <f>D7/H7*100</f>
        <v>22.771510727715107</v>
      </c>
    </row>
    <row r="8" spans="3:17" ht="16" thickBot="1">
      <c r="C8" t="s">
        <v>90</v>
      </c>
      <c r="D8">
        <v>8.75</v>
      </c>
      <c r="E8">
        <v>43.27</v>
      </c>
      <c r="F8">
        <v>39.29</v>
      </c>
      <c r="H8">
        <f t="shared" si="0"/>
        <v>91.31</v>
      </c>
      <c r="I8">
        <f>D8/H8*100</f>
        <v>9.5827401160880505</v>
      </c>
      <c r="K8">
        <f>I8/$K$6</f>
        <v>0.39338039646997142</v>
      </c>
      <c r="L8">
        <f>LOG(K8,2)</f>
        <v>-1.3460030300524093</v>
      </c>
    </row>
    <row r="9" spans="3:17">
      <c r="C9" t="s">
        <v>90</v>
      </c>
      <c r="D9">
        <v>10.89</v>
      </c>
      <c r="E9">
        <v>45.93</v>
      </c>
      <c r="F9">
        <v>33.979999999999997</v>
      </c>
      <c r="H9">
        <f t="shared" si="0"/>
        <v>90.8</v>
      </c>
      <c r="I9">
        <f>D9/H9*100</f>
        <v>11.993392070484582</v>
      </c>
      <c r="K9">
        <f>I9/$K$6</f>
        <v>0.49233990179763376</v>
      </c>
      <c r="L9">
        <f>LOG(K9,2)</f>
        <v>-1.0222734270334999</v>
      </c>
      <c r="O9" s="2"/>
      <c r="P9" s="3" t="s">
        <v>77</v>
      </c>
      <c r="Q9" s="4" t="s">
        <v>97</v>
      </c>
    </row>
    <row r="10" spans="3:17">
      <c r="O10" s="5" t="s">
        <v>90</v>
      </c>
      <c r="P10" s="6">
        <f>AVERAGE(L8:L9,L15:L17,L22:L23)</f>
        <v>-1.2522832453512116</v>
      </c>
      <c r="Q10" s="7">
        <f>STDEV(L8:L9,L15:L17,L22:L23)/SQRT(7)</f>
        <v>0.19287962111032539</v>
      </c>
    </row>
    <row r="11" spans="3:17">
      <c r="C11" s="1"/>
      <c r="O11" s="5" t="s">
        <v>101</v>
      </c>
      <c r="P11" s="6">
        <f>AVERAGE(L24:L27)</f>
        <v>-8.3078344580553964E-2</v>
      </c>
      <c r="Q11" s="7">
        <f>STDEV(L24:L27)/SQRT(4)</f>
        <v>6.237647324202121E-2</v>
      </c>
    </row>
    <row r="12" spans="3:17" ht="16" thickBot="1">
      <c r="C12" t="s">
        <v>134</v>
      </c>
      <c r="D12">
        <v>26.43</v>
      </c>
      <c r="E12">
        <v>36.21</v>
      </c>
      <c r="F12">
        <v>25.07</v>
      </c>
      <c r="H12">
        <f>SUM(D12:F12)</f>
        <v>87.710000000000008</v>
      </c>
      <c r="I12">
        <f t="shared" ref="I12:I17" si="1">D12/H12*100</f>
        <v>30.133394139778812</v>
      </c>
      <c r="K12">
        <f>AVERAGE(I12:I14)</f>
        <v>27.698188378725447</v>
      </c>
      <c r="O12" s="8" t="s">
        <v>148</v>
      </c>
      <c r="P12" s="9">
        <v>-0.15770000000000001</v>
      </c>
      <c r="Q12" s="10"/>
    </row>
    <row r="13" spans="3:17">
      <c r="C13" t="s">
        <v>134</v>
      </c>
      <c r="D13">
        <v>23.55</v>
      </c>
      <c r="E13">
        <v>36.47</v>
      </c>
      <c r="F13">
        <v>29.36</v>
      </c>
      <c r="H13">
        <f t="shared" ref="H13:H17" si="2">SUM(D13:F13)</f>
        <v>89.38</v>
      </c>
      <c r="I13">
        <f t="shared" si="1"/>
        <v>26.348176325799955</v>
      </c>
    </row>
    <row r="14" spans="3:17">
      <c r="C14" t="s">
        <v>134</v>
      </c>
      <c r="D14">
        <v>23.47</v>
      </c>
      <c r="E14">
        <v>35.270000000000003</v>
      </c>
      <c r="F14">
        <v>29.45</v>
      </c>
      <c r="H14">
        <f t="shared" si="2"/>
        <v>88.19</v>
      </c>
      <c r="I14">
        <f t="shared" si="1"/>
        <v>26.612994670597573</v>
      </c>
    </row>
    <row r="15" spans="3:17">
      <c r="C15" t="s">
        <v>90</v>
      </c>
      <c r="D15">
        <v>7.18</v>
      </c>
      <c r="E15">
        <v>51.29</v>
      </c>
      <c r="F15">
        <v>30.43</v>
      </c>
      <c r="H15">
        <f t="shared" si="2"/>
        <v>88.9</v>
      </c>
      <c r="I15">
        <f t="shared" si="1"/>
        <v>8.0764904386951617</v>
      </c>
      <c r="K15">
        <f>I15/$K$12</f>
        <v>0.29158912230153616</v>
      </c>
      <c r="L15">
        <f>LOG(K15,2)</f>
        <v>-1.777991193790218</v>
      </c>
    </row>
    <row r="16" spans="3:17">
      <c r="C16" t="s">
        <v>90</v>
      </c>
      <c r="D16">
        <v>8.31</v>
      </c>
      <c r="E16">
        <v>53.42</v>
      </c>
      <c r="F16">
        <v>27.47</v>
      </c>
      <c r="H16">
        <f t="shared" si="2"/>
        <v>89.2</v>
      </c>
      <c r="I16">
        <f t="shared" si="1"/>
        <v>9.3161434977578477</v>
      </c>
      <c r="K16">
        <f>I16/$K$12</f>
        <v>0.33634486741065833</v>
      </c>
      <c r="L16">
        <f>LOG(K16,2)</f>
        <v>-1.5719868519334592</v>
      </c>
    </row>
    <row r="17" spans="3:12">
      <c r="C17" t="s">
        <v>90</v>
      </c>
      <c r="D17">
        <v>7.13</v>
      </c>
      <c r="E17">
        <v>49.98</v>
      </c>
      <c r="F17">
        <v>32.31</v>
      </c>
      <c r="H17">
        <f t="shared" si="2"/>
        <v>89.42</v>
      </c>
      <c r="I17">
        <f t="shared" si="1"/>
        <v>7.973607694028181</v>
      </c>
      <c r="K17">
        <f>I17/$K$12</f>
        <v>0.28787470086500627</v>
      </c>
      <c r="L17">
        <f>LOG(K17,2)</f>
        <v>-1.7964870879948907</v>
      </c>
    </row>
    <row r="19" spans="3:12">
      <c r="C19" s="1"/>
    </row>
    <row r="20" spans="3:12">
      <c r="C20" t="s">
        <v>134</v>
      </c>
      <c r="D20">
        <v>31.58</v>
      </c>
      <c r="E20">
        <v>39.82</v>
      </c>
      <c r="F20">
        <v>18.329999999999998</v>
      </c>
      <c r="H20">
        <f>SUM(D20:F20)</f>
        <v>89.73</v>
      </c>
      <c r="I20">
        <f>D20/H20*100</f>
        <v>35.194472305806308</v>
      </c>
      <c r="K20">
        <f>AVERAGE(I20:I21)</f>
        <v>35.791773873968744</v>
      </c>
    </row>
    <row r="21" spans="3:12">
      <c r="C21" t="s">
        <v>134</v>
      </c>
      <c r="D21">
        <v>32.51</v>
      </c>
      <c r="E21">
        <v>39.630000000000003</v>
      </c>
      <c r="F21">
        <v>17.2</v>
      </c>
      <c r="H21">
        <f t="shared" ref="H21:H22" si="3">SUM(D21:F21)</f>
        <v>89.34</v>
      </c>
      <c r="I21">
        <f t="shared" ref="I21:I22" si="4">D21/H21*100</f>
        <v>36.38907544213118</v>
      </c>
    </row>
    <row r="22" spans="3:12">
      <c r="C22" t="s">
        <v>90</v>
      </c>
      <c r="D22">
        <v>22.63</v>
      </c>
      <c r="E22">
        <v>49.22</v>
      </c>
      <c r="F22">
        <v>16.52</v>
      </c>
      <c r="H22">
        <f t="shared" si="3"/>
        <v>88.36999999999999</v>
      </c>
      <c r="I22">
        <f t="shared" si="4"/>
        <v>25.6082380898495</v>
      </c>
      <c r="K22">
        <f t="shared" ref="K22:K27" si="5">I22/$K$20</f>
        <v>0.71547831577228138</v>
      </c>
      <c r="L22">
        <f t="shared" ref="L22:L27" si="6">LOG(K22,2)</f>
        <v>-0.48302005148797461</v>
      </c>
    </row>
    <row r="23" spans="3:12">
      <c r="C23" t="s">
        <v>90</v>
      </c>
      <c r="D23">
        <v>18.72</v>
      </c>
      <c r="E23">
        <v>48.62</v>
      </c>
      <c r="F23">
        <v>21.74</v>
      </c>
      <c r="H23">
        <f>SUM(D23:F23)</f>
        <v>89.08</v>
      </c>
      <c r="I23">
        <f>D23/H23*100</f>
        <v>21.014818140996855</v>
      </c>
      <c r="K23">
        <f t="shared" si="5"/>
        <v>0.58714100661774893</v>
      </c>
      <c r="L23">
        <f t="shared" si="6"/>
        <v>-0.76822107516602967</v>
      </c>
    </row>
    <row r="24" spans="3:12">
      <c r="C24" t="s">
        <v>101</v>
      </c>
      <c r="D24">
        <v>29.15</v>
      </c>
      <c r="E24">
        <v>44.25</v>
      </c>
      <c r="F24">
        <v>16.11</v>
      </c>
      <c r="H24">
        <f t="shared" ref="H24:H27" si="7">SUM(D24:F24)</f>
        <v>89.51</v>
      </c>
      <c r="I24">
        <f t="shared" ref="I24:I27" si="8">D24/H24*100</f>
        <v>32.56619372137191</v>
      </c>
      <c r="K24">
        <f t="shared" si="5"/>
        <v>0.90987928779515481</v>
      </c>
      <c r="L24">
        <f t="shared" si="6"/>
        <v>-0.13625293688476725</v>
      </c>
    </row>
    <row r="25" spans="3:12">
      <c r="C25" t="s">
        <v>101</v>
      </c>
      <c r="D25">
        <v>27.09</v>
      </c>
      <c r="E25">
        <v>42.28</v>
      </c>
      <c r="F25">
        <v>19.649999999999999</v>
      </c>
      <c r="H25">
        <f t="shared" si="7"/>
        <v>89.02000000000001</v>
      </c>
      <c r="I25">
        <f t="shared" si="8"/>
        <v>30.431363738485729</v>
      </c>
      <c r="K25">
        <f t="shared" si="5"/>
        <v>0.85023345994645916</v>
      </c>
      <c r="L25">
        <f t="shared" si="6"/>
        <v>-0.23406905921189947</v>
      </c>
    </row>
    <row r="26" spans="3:12">
      <c r="C26" t="s">
        <v>101</v>
      </c>
      <c r="D26">
        <v>32.15</v>
      </c>
      <c r="E26">
        <v>41.36</v>
      </c>
      <c r="F26">
        <v>15.79</v>
      </c>
      <c r="H26">
        <f t="shared" si="7"/>
        <v>89.299999999999983</v>
      </c>
      <c r="I26">
        <f t="shared" si="8"/>
        <v>36.00223964165734</v>
      </c>
      <c r="K26">
        <f t="shared" si="5"/>
        <v>1.005880283230155</v>
      </c>
      <c r="L26">
        <f t="shared" si="6"/>
        <v>8.4586102450804022E-3</v>
      </c>
    </row>
    <row r="27" spans="3:12">
      <c r="C27" t="s">
        <v>101</v>
      </c>
      <c r="D27">
        <v>32.659999999999997</v>
      </c>
      <c r="E27">
        <v>40.479999999999997</v>
      </c>
      <c r="F27">
        <v>16.260000000000002</v>
      </c>
      <c r="H27">
        <f t="shared" si="7"/>
        <v>89.399999999999991</v>
      </c>
      <c r="I27">
        <f t="shared" si="8"/>
        <v>36.532438478747203</v>
      </c>
      <c r="K27">
        <f t="shared" si="5"/>
        <v>1.0206937104426987</v>
      </c>
      <c r="L27">
        <f t="shared" si="6"/>
        <v>2.9550007529370478E-2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9"/>
  <sheetViews>
    <sheetView zoomScale="110" zoomScaleNormal="110" workbookViewId="0">
      <selection activeCell="L3" sqref="L3"/>
    </sheetView>
  </sheetViews>
  <sheetFormatPr baseColWidth="10" defaultColWidth="8.83203125" defaultRowHeight="15"/>
  <cols>
    <col min="1" max="1" width="26.6640625" customWidth="1"/>
    <col min="2" max="2" width="13.1640625" customWidth="1"/>
    <col min="5" max="5" width="11.5" bestFit="1" customWidth="1"/>
    <col min="11" max="11" width="17.1640625" customWidth="1"/>
  </cols>
  <sheetData>
    <row r="1" spans="1:13" ht="16" thickBot="1">
      <c r="A1" s="37" t="s">
        <v>245</v>
      </c>
    </row>
    <row r="2" spans="1:13">
      <c r="B2" s="103" t="s">
        <v>141</v>
      </c>
      <c r="C2" s="103" t="s">
        <v>142</v>
      </c>
      <c r="D2" s="104" t="s">
        <v>143</v>
      </c>
      <c r="E2" s="103" t="s">
        <v>144</v>
      </c>
      <c r="F2" s="105" t="s">
        <v>261</v>
      </c>
      <c r="G2" s="105" t="s">
        <v>262</v>
      </c>
      <c r="H2" s="103" t="s">
        <v>145</v>
      </c>
      <c r="K2" s="72"/>
      <c r="L2" s="73" t="s">
        <v>263</v>
      </c>
      <c r="M2" s="74" t="s">
        <v>88</v>
      </c>
    </row>
    <row r="3" spans="1:13">
      <c r="A3" s="75" t="s">
        <v>146</v>
      </c>
      <c r="B3" s="37">
        <v>72</v>
      </c>
      <c r="C3" s="37">
        <v>16</v>
      </c>
      <c r="D3" s="37">
        <v>30.555555555555557</v>
      </c>
      <c r="E3" s="37">
        <f>D3/E8</f>
        <v>0.65699658703071673</v>
      </c>
      <c r="F3" s="37">
        <f>LOG(E3,2)</f>
        <v>-0.60604221883998421</v>
      </c>
      <c r="G3" s="55">
        <f>AVERAGE(F3:F4)</f>
        <v>-0.96152741165661482</v>
      </c>
      <c r="H3" s="64">
        <f>STDEV(F3:F4)/SQRT((2))</f>
        <v>0.35548519281663077</v>
      </c>
      <c r="K3" s="76" t="s">
        <v>90</v>
      </c>
      <c r="L3" s="46">
        <v>-0.96152741165661482</v>
      </c>
      <c r="M3" s="77">
        <v>0.35548519281663077</v>
      </c>
    </row>
    <row r="4" spans="1:13" ht="16" thickBot="1">
      <c r="A4" s="75" t="s">
        <v>146</v>
      </c>
      <c r="B4" s="37">
        <v>75</v>
      </c>
      <c r="C4" s="37">
        <v>13</v>
      </c>
      <c r="D4" s="37">
        <v>18.666666666666668</v>
      </c>
      <c r="E4" s="37">
        <f>D4/E8</f>
        <v>0.40136518771331064</v>
      </c>
      <c r="F4" s="37">
        <f t="shared" ref="F4:F7" si="0">LOG(E4,2)</f>
        <v>-1.3170126044732455</v>
      </c>
      <c r="G4" s="37"/>
      <c r="H4" s="37"/>
      <c r="K4" s="78" t="s">
        <v>93</v>
      </c>
      <c r="L4" s="79">
        <v>-1.225043548611382E-2</v>
      </c>
      <c r="M4" s="80">
        <v>6.6446658756420612E-2</v>
      </c>
    </row>
    <row r="5" spans="1:13">
      <c r="A5" s="75" t="s">
        <v>147</v>
      </c>
      <c r="B5" s="37">
        <v>128</v>
      </c>
      <c r="C5" s="37">
        <v>74</v>
      </c>
      <c r="D5" s="37">
        <v>47.65625</v>
      </c>
      <c r="E5" s="37">
        <f>D5/E8</f>
        <v>1.0246906996587031</v>
      </c>
      <c r="F5" s="37">
        <f t="shared" si="0"/>
        <v>3.5188501527917221E-2</v>
      </c>
      <c r="G5" s="55">
        <f>AVERAGE(F5:F7)</f>
        <v>-1.225043548611382E-2</v>
      </c>
      <c r="H5" s="64">
        <f>STDEV(F5:F7)/SQRT((3))</f>
        <v>6.6446658756420612E-2</v>
      </c>
    </row>
    <row r="6" spans="1:13">
      <c r="A6" s="75" t="s">
        <v>147</v>
      </c>
      <c r="B6">
        <v>133</v>
      </c>
      <c r="C6">
        <v>70</v>
      </c>
      <c r="D6">
        <v>48.872180451127818</v>
      </c>
      <c r="E6">
        <f>D6/E8</f>
        <v>1.0508352793245914</v>
      </c>
      <c r="F6">
        <f t="shared" si="0"/>
        <v>7.1536541492295963E-2</v>
      </c>
    </row>
    <row r="7" spans="1:13">
      <c r="A7" s="75" t="s">
        <v>147</v>
      </c>
      <c r="B7">
        <v>38</v>
      </c>
      <c r="C7">
        <v>16</v>
      </c>
      <c r="D7">
        <v>42.105263157894733</v>
      </c>
      <c r="E7">
        <f>D7/E8</f>
        <v>0.90533500987964788</v>
      </c>
      <c r="F7">
        <f t="shared" si="0"/>
        <v>-0.14347634947855464</v>
      </c>
    </row>
    <row r="8" spans="1:13">
      <c r="A8" s="75" t="s">
        <v>247</v>
      </c>
      <c r="B8">
        <v>90</v>
      </c>
      <c r="C8">
        <v>45</v>
      </c>
      <c r="D8">
        <v>47.777777777777779</v>
      </c>
      <c r="E8" s="135">
        <f>AVERAGE(D8:D9)</f>
        <v>46.507936507936506</v>
      </c>
    </row>
    <row r="9" spans="1:13">
      <c r="A9" s="75" t="s">
        <v>248</v>
      </c>
      <c r="B9">
        <v>126</v>
      </c>
      <c r="C9">
        <v>64</v>
      </c>
      <c r="D9">
        <v>45.238095238095241</v>
      </c>
      <c r="E9" s="135"/>
    </row>
  </sheetData>
  <mergeCells count="1">
    <mergeCell ref="E8:E9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T91"/>
  <sheetViews>
    <sheetView topLeftCell="A10" zoomScaleNormal="100" workbookViewId="0">
      <selection activeCell="R25" sqref="R25"/>
    </sheetView>
  </sheetViews>
  <sheetFormatPr baseColWidth="10" defaultColWidth="8.83203125" defaultRowHeight="15"/>
  <cols>
    <col min="2" max="2" width="23" customWidth="1"/>
    <col min="3" max="3" width="13.5" customWidth="1"/>
    <col min="4" max="4" width="14.6640625" customWidth="1"/>
    <col min="8" max="8" width="15.6640625" customWidth="1"/>
    <col min="10" max="10" width="14.6640625" customWidth="1"/>
    <col min="11" max="11" width="18.5" customWidth="1"/>
    <col min="12" max="12" width="15.83203125" customWidth="1"/>
    <col min="16" max="16" width="14.5" customWidth="1"/>
    <col min="17" max="17" width="20.5" customWidth="1"/>
  </cols>
  <sheetData>
    <row r="2" spans="2:20">
      <c r="B2" s="1"/>
      <c r="C2" s="37"/>
      <c r="D2" s="21" t="s">
        <v>1</v>
      </c>
      <c r="E2" s="21"/>
      <c r="F2" s="21"/>
      <c r="G2" s="21"/>
      <c r="H2" s="21" t="s">
        <v>2</v>
      </c>
      <c r="I2" s="21"/>
      <c r="J2" s="21"/>
      <c r="K2" s="21" t="s">
        <v>3</v>
      </c>
      <c r="L2" s="21" t="s">
        <v>4</v>
      </c>
      <c r="M2" s="59"/>
    </row>
    <row r="3" spans="2:20">
      <c r="D3" s="21" t="s">
        <v>5</v>
      </c>
      <c r="E3" s="21" t="s">
        <v>6</v>
      </c>
      <c r="F3" s="21" t="s">
        <v>7</v>
      </c>
      <c r="G3" s="21"/>
      <c r="I3" s="21" t="s">
        <v>5</v>
      </c>
      <c r="K3" s="21" t="s">
        <v>5</v>
      </c>
      <c r="L3" s="21" t="s">
        <v>5</v>
      </c>
      <c r="M3" s="59"/>
    </row>
    <row r="4" spans="2:20">
      <c r="B4" t="s">
        <v>149</v>
      </c>
      <c r="D4">
        <v>17.89</v>
      </c>
      <c r="E4">
        <v>29.31</v>
      </c>
      <c r="F4">
        <v>42.97</v>
      </c>
      <c r="H4">
        <f>SUM(D4:F4)</f>
        <v>90.17</v>
      </c>
      <c r="I4">
        <f>D4/H4*100</f>
        <v>19.840301652434292</v>
      </c>
      <c r="K4">
        <f>AVERAGE(I4:I5)</f>
        <v>22.05427665328903</v>
      </c>
    </row>
    <row r="5" spans="2:20">
      <c r="B5" t="s">
        <v>149</v>
      </c>
      <c r="D5">
        <v>21.64</v>
      </c>
      <c r="E5">
        <v>33.450000000000003</v>
      </c>
      <c r="F5">
        <v>34.08</v>
      </c>
      <c r="H5">
        <f t="shared" ref="H5:H15" si="0">SUM(D5:F5)</f>
        <v>89.17</v>
      </c>
      <c r="I5">
        <f t="shared" ref="I5:I43" si="1">D5/H5*100</f>
        <v>24.268251654143771</v>
      </c>
    </row>
    <row r="6" spans="2:20">
      <c r="B6" t="s">
        <v>150</v>
      </c>
      <c r="D6">
        <v>22.37</v>
      </c>
      <c r="E6">
        <v>30.78</v>
      </c>
      <c r="F6">
        <v>36.78</v>
      </c>
      <c r="H6">
        <f t="shared" si="0"/>
        <v>89.93</v>
      </c>
      <c r="I6">
        <f t="shared" si="1"/>
        <v>24.874902702101632</v>
      </c>
      <c r="K6">
        <f>I6/$K$4</f>
        <v>1.1278947431899542</v>
      </c>
      <c r="L6">
        <f>LOG(K6,2)</f>
        <v>0.17363243957779839</v>
      </c>
    </row>
    <row r="7" spans="2:20">
      <c r="B7" t="s">
        <v>150</v>
      </c>
      <c r="D7">
        <v>22.44</v>
      </c>
      <c r="E7">
        <v>31.23</v>
      </c>
      <c r="F7">
        <v>36.29</v>
      </c>
      <c r="H7">
        <f t="shared" si="0"/>
        <v>89.960000000000008</v>
      </c>
      <c r="I7">
        <f t="shared" si="1"/>
        <v>24.944419742107602</v>
      </c>
      <c r="K7">
        <f t="shared" ref="K7:K9" si="2">I7/$K$4</f>
        <v>1.1310468320613705</v>
      </c>
      <c r="L7">
        <f t="shared" ref="L7:L9" si="3">LOG(K7,2)</f>
        <v>0.17765866671402075</v>
      </c>
    </row>
    <row r="8" spans="2:20">
      <c r="B8" t="s">
        <v>151</v>
      </c>
      <c r="D8">
        <v>3.53</v>
      </c>
      <c r="E8">
        <v>42.22</v>
      </c>
      <c r="F8">
        <v>46.7</v>
      </c>
      <c r="H8">
        <f t="shared" si="0"/>
        <v>92.45</v>
      </c>
      <c r="I8">
        <f t="shared" si="1"/>
        <v>3.8182801514332065</v>
      </c>
      <c r="K8">
        <f>I8/$K$4</f>
        <v>0.17313105351218913</v>
      </c>
      <c r="L8">
        <f t="shared" si="3"/>
        <v>-2.5300635791373334</v>
      </c>
    </row>
    <row r="9" spans="2:20">
      <c r="B9" t="s">
        <v>151</v>
      </c>
      <c r="D9">
        <v>4.3499999999999996</v>
      </c>
      <c r="E9">
        <v>43.07</v>
      </c>
      <c r="F9">
        <v>44.37</v>
      </c>
      <c r="H9">
        <f t="shared" si="0"/>
        <v>91.789999999999992</v>
      </c>
      <c r="I9">
        <f t="shared" si="1"/>
        <v>4.7390783309728723</v>
      </c>
      <c r="K9">
        <f t="shared" si="2"/>
        <v>0.21488251033915082</v>
      </c>
      <c r="L9">
        <f t="shared" si="3"/>
        <v>-2.2183800307991639</v>
      </c>
    </row>
    <row r="10" spans="2:20">
      <c r="B10" t="s">
        <v>275</v>
      </c>
      <c r="D10">
        <v>22.77</v>
      </c>
      <c r="E10">
        <v>30.64</v>
      </c>
      <c r="F10">
        <v>37.33</v>
      </c>
      <c r="H10">
        <f t="shared" si="0"/>
        <v>90.74</v>
      </c>
      <c r="I10">
        <f>D10/H10*100</f>
        <v>25.09367423407538</v>
      </c>
      <c r="K10">
        <f>AVERAGE(I10:I11)</f>
        <v>24.561481004324133</v>
      </c>
    </row>
    <row r="11" spans="2:20">
      <c r="B11" t="s">
        <v>275</v>
      </c>
      <c r="D11">
        <v>21.66</v>
      </c>
      <c r="E11">
        <v>30.48</v>
      </c>
      <c r="F11">
        <v>38</v>
      </c>
      <c r="H11">
        <f t="shared" si="0"/>
        <v>90.14</v>
      </c>
      <c r="I11">
        <f t="shared" si="1"/>
        <v>24.029287774572886</v>
      </c>
    </row>
    <row r="12" spans="2:20">
      <c r="B12" t="s">
        <v>152</v>
      </c>
      <c r="D12">
        <v>24.22</v>
      </c>
      <c r="E12">
        <v>29.38</v>
      </c>
      <c r="F12">
        <v>37.58</v>
      </c>
      <c r="H12">
        <f t="shared" si="0"/>
        <v>91.179999999999993</v>
      </c>
      <c r="I12">
        <f t="shared" si="1"/>
        <v>26.562842728668567</v>
      </c>
      <c r="K12">
        <f>I12/$K$10</f>
        <v>1.0814837559669992</v>
      </c>
      <c r="L12">
        <f>LOG(K12,2)</f>
        <v>0.1130119959870361</v>
      </c>
    </row>
    <row r="13" spans="2:20">
      <c r="B13" t="s">
        <v>152</v>
      </c>
      <c r="D13">
        <v>21.87</v>
      </c>
      <c r="E13">
        <v>29.1</v>
      </c>
      <c r="F13">
        <v>40.18</v>
      </c>
      <c r="H13">
        <f t="shared" si="0"/>
        <v>91.15</v>
      </c>
      <c r="I13">
        <f t="shared" si="1"/>
        <v>23.993417443774</v>
      </c>
      <c r="K13">
        <f t="shared" ref="K13:K14" si="4">I13/$K$10</f>
        <v>0.97687177086552213</v>
      </c>
      <c r="L13">
        <f t="shared" ref="L13:L15" si="5">LOG(K13,2)</f>
        <v>-3.3758895720930923E-2</v>
      </c>
    </row>
    <row r="14" spans="2:20">
      <c r="B14" t="s">
        <v>153</v>
      </c>
      <c r="D14">
        <v>3.6</v>
      </c>
      <c r="E14">
        <v>38.96</v>
      </c>
      <c r="F14">
        <v>49.41</v>
      </c>
      <c r="H14">
        <f t="shared" si="0"/>
        <v>91.97</v>
      </c>
      <c r="I14">
        <f t="shared" si="1"/>
        <v>3.9143198869196474</v>
      </c>
      <c r="K14">
        <f t="shared" si="4"/>
        <v>0.15936823541831691</v>
      </c>
      <c r="L14">
        <f t="shared" si="5"/>
        <v>-2.6495639885900077</v>
      </c>
    </row>
    <row r="15" spans="2:20" ht="16" thickBot="1">
      <c r="B15" t="s">
        <v>153</v>
      </c>
      <c r="D15">
        <v>4.3899999999999997</v>
      </c>
      <c r="E15">
        <v>38.270000000000003</v>
      </c>
      <c r="F15">
        <v>48.45</v>
      </c>
      <c r="H15">
        <f t="shared" si="0"/>
        <v>91.110000000000014</v>
      </c>
      <c r="I15">
        <f t="shared" si="1"/>
        <v>4.8183514433102834</v>
      </c>
      <c r="K15">
        <f>I15/$K$10</f>
        <v>0.19617511836773996</v>
      </c>
      <c r="L15">
        <f t="shared" si="5"/>
        <v>-2.3497860241957857</v>
      </c>
    </row>
    <row r="16" spans="2:20">
      <c r="Q16" s="2"/>
      <c r="R16" s="3" t="s">
        <v>154</v>
      </c>
      <c r="S16" s="3" t="s">
        <v>155</v>
      </c>
      <c r="T16" s="4" t="s">
        <v>156</v>
      </c>
    </row>
    <row r="17" spans="2:20">
      <c r="B17" s="1"/>
      <c r="Q17" s="5" t="s">
        <v>269</v>
      </c>
      <c r="R17" s="6">
        <f>AVERAGE(L6:L7,L20:L21,L34:L35)</f>
        <v>-3.2037732378066099E-3</v>
      </c>
      <c r="S17" s="6">
        <f>STDEV(L6:L7,L20:L21,L34:L35)</f>
        <v>0.22935210640895679</v>
      </c>
      <c r="T17" s="7">
        <f>S17/SQRT(6)</f>
        <v>9.363260535574261E-2</v>
      </c>
    </row>
    <row r="18" spans="2:20">
      <c r="B18" t="s">
        <v>149</v>
      </c>
      <c r="D18">
        <v>12.97</v>
      </c>
      <c r="E18">
        <v>27.56</v>
      </c>
      <c r="F18">
        <v>51.01</v>
      </c>
      <c r="H18">
        <f>SUM(D18:F18)</f>
        <v>91.539999999999992</v>
      </c>
      <c r="I18">
        <f>D18/H18*100</f>
        <v>14.16866943412716</v>
      </c>
      <c r="K18">
        <f>AVERAGE(I18:I19)</f>
        <v>15.091121056818396</v>
      </c>
      <c r="Q18" s="5" t="s">
        <v>270</v>
      </c>
      <c r="R18" s="6">
        <f>AVERAGE(L8:L9,L22:L23,L36:L37)</f>
        <v>-2.314326368259898</v>
      </c>
      <c r="S18" s="6">
        <f>STDEV(L8:L9,L22:L23,L36:L37)</f>
        <v>0.34689909656599238</v>
      </c>
      <c r="T18" s="7">
        <f>S18/SQRT(6)</f>
        <v>0.14162096313652495</v>
      </c>
    </row>
    <row r="19" spans="2:20">
      <c r="B19" t="s">
        <v>149</v>
      </c>
      <c r="D19">
        <v>14.63</v>
      </c>
      <c r="E19">
        <v>29.07</v>
      </c>
      <c r="F19">
        <v>47.66</v>
      </c>
      <c r="H19">
        <f t="shared" ref="H19:H29" si="6">SUM(D19:F19)</f>
        <v>91.36</v>
      </c>
      <c r="I19">
        <f t="shared" ref="I19:I29" si="7">D19/H19*100</f>
        <v>16.013572679509632</v>
      </c>
      <c r="Q19" s="5" t="s">
        <v>271</v>
      </c>
      <c r="R19" s="6">
        <f>AVERAGE(L12:L13,L26:L27,L40:L41)</f>
        <v>-7.3499687049900743E-3</v>
      </c>
      <c r="S19" s="6">
        <f>STDEV(L12:L13,L26:L27,L40:L41)</f>
        <v>7.3703179581482078E-2</v>
      </c>
      <c r="T19" s="7">
        <f>S19/SQRT(6)</f>
        <v>3.0089197065891155E-2</v>
      </c>
    </row>
    <row r="20" spans="2:20">
      <c r="B20" t="s">
        <v>150</v>
      </c>
      <c r="D20">
        <v>15.93</v>
      </c>
      <c r="E20">
        <v>28.02</v>
      </c>
      <c r="F20">
        <v>46.87</v>
      </c>
      <c r="H20">
        <f t="shared" si="6"/>
        <v>90.82</v>
      </c>
      <c r="I20">
        <f t="shared" si="7"/>
        <v>17.540189385597888</v>
      </c>
      <c r="K20">
        <f>I20/$K$18</f>
        <v>1.1622853808911011</v>
      </c>
      <c r="L20">
        <f>LOG(K20,2)</f>
        <v>0.21696434330942047</v>
      </c>
      <c r="Q20" s="5" t="s">
        <v>272</v>
      </c>
      <c r="R20" s="6">
        <f>AVERAGE(L14:L15,L28:L29,L42:L43)</f>
        <v>-2.6020038078962755</v>
      </c>
      <c r="S20" s="6">
        <f>STDEV(L14:L15,L28:L29,L42:L43)</f>
        <v>0.21305705612652126</v>
      </c>
      <c r="T20" s="7">
        <f>S20/SQRT(6)</f>
        <v>8.6980178934915622E-2</v>
      </c>
    </row>
    <row r="21" spans="2:20">
      <c r="B21" t="s">
        <v>150</v>
      </c>
      <c r="D21">
        <v>13.52</v>
      </c>
      <c r="E21">
        <v>26.32</v>
      </c>
      <c r="F21">
        <v>51.92</v>
      </c>
      <c r="H21">
        <f t="shared" si="6"/>
        <v>91.76</v>
      </c>
      <c r="I21">
        <f t="shared" si="7"/>
        <v>14.734088927637313</v>
      </c>
      <c r="K21">
        <f t="shared" ref="K21:K23" si="8">I21/$K$18</f>
        <v>0.97634157675650135</v>
      </c>
      <c r="L21">
        <f t="shared" ref="L21:L23" si="9">LOG(K21,2)</f>
        <v>-3.4542126525196233E-2</v>
      </c>
      <c r="Q21" s="126" t="s">
        <v>273</v>
      </c>
      <c r="R21" s="6">
        <f>AVERAGE(L84,L91)</f>
        <v>0.20256026814189076</v>
      </c>
      <c r="S21" s="6">
        <f>STDEV(L84,L91)</f>
        <v>2.4986312010112904E-2</v>
      </c>
      <c r="T21" s="7">
        <f>S21/SQRT(2)</f>
        <v>1.7667990659193708E-2</v>
      </c>
    </row>
    <row r="22" spans="2:20">
      <c r="B22" t="s">
        <v>151</v>
      </c>
      <c r="D22">
        <v>2.4500000000000002</v>
      </c>
      <c r="E22">
        <v>41.54</v>
      </c>
      <c r="F22">
        <v>49.97</v>
      </c>
      <c r="H22">
        <f t="shared" si="6"/>
        <v>93.960000000000008</v>
      </c>
      <c r="I22">
        <f t="shared" si="7"/>
        <v>2.6074925500212855</v>
      </c>
      <c r="K22">
        <f t="shared" si="8"/>
        <v>0.17278322400330762</v>
      </c>
      <c r="L22">
        <f t="shared" si="9"/>
        <v>-2.5329649458011816</v>
      </c>
      <c r="Q22" s="126" t="s">
        <v>268</v>
      </c>
      <c r="R22" s="6">
        <f>AVERAGE(L82,L83,L89,L90)</f>
        <v>-0.69129169878299712</v>
      </c>
      <c r="S22" s="6">
        <f>STDEV(L82,L83,L89,L90)</f>
        <v>0.28810505663046776</v>
      </c>
      <c r="T22" s="7">
        <f>S22/SQRT(4)</f>
        <v>0.14405252831523388</v>
      </c>
    </row>
    <row r="23" spans="2:20">
      <c r="B23" t="s">
        <v>151</v>
      </c>
      <c r="D23">
        <v>2.36</v>
      </c>
      <c r="E23">
        <v>40.81</v>
      </c>
      <c r="F23">
        <v>50.66</v>
      </c>
      <c r="H23">
        <f t="shared" si="6"/>
        <v>93.83</v>
      </c>
      <c r="I23">
        <f t="shared" si="7"/>
        <v>2.5151870403921985</v>
      </c>
      <c r="K23">
        <f t="shared" si="8"/>
        <v>0.16666667975973853</v>
      </c>
      <c r="L23">
        <f t="shared" si="9"/>
        <v>-2.5849623873853016</v>
      </c>
      <c r="Q23" s="5" t="s">
        <v>274</v>
      </c>
      <c r="R23" s="6">
        <f>AVERAGE(L50:L55)</f>
        <v>2.0542666831281396E-2</v>
      </c>
      <c r="S23" s="6">
        <f>STDEV(L50:L55)</f>
        <v>0.12499073664325597</v>
      </c>
      <c r="T23" s="7">
        <f>S23/SQRT(6)</f>
        <v>5.1027254558428173E-2</v>
      </c>
    </row>
    <row r="24" spans="2:20" ht="16" thickBot="1">
      <c r="B24" t="s">
        <v>275</v>
      </c>
      <c r="D24">
        <v>26.09</v>
      </c>
      <c r="E24">
        <v>30.63</v>
      </c>
      <c r="F24">
        <v>34.03</v>
      </c>
      <c r="H24">
        <f t="shared" si="6"/>
        <v>90.75</v>
      </c>
      <c r="I24">
        <f t="shared" si="7"/>
        <v>28.749311294765839</v>
      </c>
      <c r="K24">
        <f>AVERAGE(I24:I25)</f>
        <v>30.823336649378042</v>
      </c>
      <c r="Q24" s="8" t="s">
        <v>267</v>
      </c>
      <c r="R24" s="68">
        <f>AVERAGE(L56:L59,L65,L71,L77)</f>
        <v>-1.0715566387414877</v>
      </c>
      <c r="S24" s="9">
        <f>STDEV(L56:L59,L65,L71,L77)</f>
        <v>0.35695468469758002</v>
      </c>
      <c r="T24" s="10">
        <f>S24/SQRT(7)</f>
        <v>0.13491618928989568</v>
      </c>
    </row>
    <row r="25" spans="2:20">
      <c r="B25" t="s">
        <v>275</v>
      </c>
      <c r="D25">
        <v>29.68</v>
      </c>
      <c r="E25">
        <v>30.86</v>
      </c>
      <c r="F25">
        <v>29.68</v>
      </c>
      <c r="H25">
        <f t="shared" si="6"/>
        <v>90.22</v>
      </c>
      <c r="I25">
        <f t="shared" si="7"/>
        <v>32.897362003990246</v>
      </c>
      <c r="Q25" s="6"/>
      <c r="R25" s="6"/>
      <c r="S25" s="6"/>
      <c r="T25" s="6"/>
    </row>
    <row r="26" spans="2:20">
      <c r="B26" t="s">
        <v>152</v>
      </c>
      <c r="D26">
        <v>28.26</v>
      </c>
      <c r="E26">
        <v>31.88</v>
      </c>
      <c r="F26">
        <v>30.73</v>
      </c>
      <c r="H26">
        <f t="shared" si="6"/>
        <v>90.87</v>
      </c>
      <c r="I26">
        <f t="shared" si="7"/>
        <v>31.099372730274016</v>
      </c>
      <c r="K26">
        <f>I26/$K$24</f>
        <v>1.0089554250416151</v>
      </c>
      <c r="L26">
        <f>LOG(K26,2)</f>
        <v>1.2862438575160088E-2</v>
      </c>
      <c r="Q26" s="6"/>
      <c r="R26" s="6"/>
      <c r="S26" s="6"/>
      <c r="T26" s="6"/>
    </row>
    <row r="27" spans="2:20">
      <c r="B27" t="s">
        <v>152</v>
      </c>
      <c r="D27">
        <v>28.39</v>
      </c>
      <c r="E27">
        <v>32.21</v>
      </c>
      <c r="F27">
        <v>30.07</v>
      </c>
      <c r="H27">
        <f t="shared" si="6"/>
        <v>90.67</v>
      </c>
      <c r="I27">
        <f t="shared" si="7"/>
        <v>31.311348847468846</v>
      </c>
      <c r="K27">
        <f t="shared" ref="K27:K29" si="10">I27/$K$24</f>
        <v>1.0158325558210017</v>
      </c>
      <c r="L27">
        <f t="shared" ref="L27:L29" si="11">LOG(K27,2)</f>
        <v>2.2662615894358112E-2</v>
      </c>
      <c r="Q27" s="6"/>
      <c r="R27" s="6"/>
      <c r="S27" s="6"/>
      <c r="T27" s="6"/>
    </row>
    <row r="28" spans="2:20">
      <c r="B28" t="s">
        <v>153</v>
      </c>
      <c r="D28">
        <v>4.57</v>
      </c>
      <c r="E28">
        <v>53.17</v>
      </c>
      <c r="F28">
        <v>33.270000000000003</v>
      </c>
      <c r="H28">
        <f t="shared" si="6"/>
        <v>91.01</v>
      </c>
      <c r="I28">
        <f t="shared" si="7"/>
        <v>5.0214262168992416</v>
      </c>
      <c r="K28">
        <f t="shared" si="10"/>
        <v>0.16290988461174805</v>
      </c>
      <c r="L28">
        <f t="shared" si="11"/>
        <v>-2.6178539523639466</v>
      </c>
      <c r="Q28" s="6"/>
      <c r="R28" s="6"/>
      <c r="S28" s="6"/>
      <c r="T28" s="6"/>
    </row>
    <row r="29" spans="2:20">
      <c r="B29" t="s">
        <v>153</v>
      </c>
      <c r="D29">
        <v>3.62</v>
      </c>
      <c r="E29">
        <v>47.83</v>
      </c>
      <c r="F29">
        <v>41.17</v>
      </c>
      <c r="H29">
        <f t="shared" si="6"/>
        <v>92.62</v>
      </c>
      <c r="I29">
        <f t="shared" si="7"/>
        <v>3.9084431008421507</v>
      </c>
      <c r="K29">
        <f t="shared" si="10"/>
        <v>0.12680142793434454</v>
      </c>
      <c r="L29">
        <f t="shared" si="11"/>
        <v>-2.979357102862739</v>
      </c>
    </row>
    <row r="31" spans="2:20">
      <c r="B31" s="1"/>
    </row>
    <row r="32" spans="2:20">
      <c r="B32" t="s">
        <v>149</v>
      </c>
      <c r="D32">
        <v>20.05</v>
      </c>
      <c r="E32">
        <v>30.47</v>
      </c>
      <c r="F32">
        <v>38.67</v>
      </c>
      <c r="H32">
        <f t="shared" ref="H32:H43" si="12">SUM(D32:F32)</f>
        <v>89.19</v>
      </c>
      <c r="I32">
        <f>D32/H32*100</f>
        <v>22.480098665769706</v>
      </c>
      <c r="K32">
        <f>AVERAGE(I32:I33)</f>
        <v>18.561007153622988</v>
      </c>
    </row>
    <row r="33" spans="2:12">
      <c r="B33" t="s">
        <v>149</v>
      </c>
      <c r="D33">
        <v>13.33</v>
      </c>
      <c r="E33">
        <v>24.22</v>
      </c>
      <c r="F33">
        <v>53.49</v>
      </c>
      <c r="H33">
        <f t="shared" si="12"/>
        <v>91.039999999999992</v>
      </c>
      <c r="I33">
        <f t="shared" si="1"/>
        <v>14.641915641476274</v>
      </c>
    </row>
    <row r="34" spans="2:12">
      <c r="B34" t="s">
        <v>150</v>
      </c>
      <c r="D34">
        <v>14.09</v>
      </c>
      <c r="E34">
        <v>25.23</v>
      </c>
      <c r="F34">
        <v>51.95</v>
      </c>
      <c r="H34">
        <f t="shared" si="12"/>
        <v>91.27000000000001</v>
      </c>
      <c r="I34">
        <f t="shared" si="1"/>
        <v>15.437712282239508</v>
      </c>
      <c r="K34">
        <f>I34/$K$32</f>
        <v>0.83172815755454121</v>
      </c>
      <c r="L34">
        <f>LOG(K34,2)</f>
        <v>-0.26581602064608839</v>
      </c>
    </row>
    <row r="35" spans="2:12">
      <c r="B35" t="s">
        <v>150</v>
      </c>
      <c r="D35">
        <v>13.85</v>
      </c>
      <c r="E35">
        <v>23.37</v>
      </c>
      <c r="F35">
        <v>53.83</v>
      </c>
      <c r="H35">
        <f t="shared" si="12"/>
        <v>91.05</v>
      </c>
      <c r="I35">
        <f t="shared" si="1"/>
        <v>15.211422295442064</v>
      </c>
      <c r="K35">
        <f t="shared" ref="K35:K37" si="13">I35/$K$32</f>
        <v>0.81953647070670377</v>
      </c>
      <c r="L35">
        <f t="shared" ref="L35:L37" si="14">LOG(K35,2)</f>
        <v>-0.28711994185679462</v>
      </c>
    </row>
    <row r="36" spans="2:12">
      <c r="B36" t="s">
        <v>151</v>
      </c>
      <c r="D36">
        <v>5.37</v>
      </c>
      <c r="E36">
        <v>41.83</v>
      </c>
      <c r="F36">
        <v>44.47</v>
      </c>
      <c r="H36">
        <f t="shared" si="12"/>
        <v>91.669999999999987</v>
      </c>
      <c r="I36">
        <f t="shared" si="1"/>
        <v>5.857968801134505</v>
      </c>
      <c r="K36">
        <f>I36/$K$32</f>
        <v>0.31560619273782603</v>
      </c>
      <c r="L36">
        <f t="shared" si="14"/>
        <v>-1.6638025810933483</v>
      </c>
    </row>
    <row r="37" spans="2:12">
      <c r="B37" t="s">
        <v>151</v>
      </c>
      <c r="D37">
        <v>3.34</v>
      </c>
      <c r="E37">
        <v>36.619999999999997</v>
      </c>
      <c r="F37">
        <v>52.15</v>
      </c>
      <c r="H37">
        <f t="shared" si="12"/>
        <v>92.109999999999985</v>
      </c>
      <c r="I37">
        <f t="shared" si="1"/>
        <v>3.6260992291824992</v>
      </c>
      <c r="K37">
        <f t="shared" si="13"/>
        <v>0.19536112448912601</v>
      </c>
      <c r="L37">
        <f t="shared" si="14"/>
        <v>-2.3557846853430577</v>
      </c>
    </row>
    <row r="38" spans="2:12">
      <c r="B38" t="s">
        <v>275</v>
      </c>
      <c r="D38">
        <v>16.57</v>
      </c>
      <c r="E38">
        <v>23.15</v>
      </c>
      <c r="F38">
        <v>52.24</v>
      </c>
      <c r="H38">
        <f t="shared" si="12"/>
        <v>91.960000000000008</v>
      </c>
      <c r="I38">
        <f t="shared" si="1"/>
        <v>18.018703784254022</v>
      </c>
      <c r="K38">
        <f>AVERAGE(I38:I39)</f>
        <v>17.993641658655484</v>
      </c>
    </row>
    <row r="39" spans="2:12">
      <c r="B39" t="s">
        <v>275</v>
      </c>
      <c r="D39">
        <v>16.47</v>
      </c>
      <c r="E39">
        <v>22.63</v>
      </c>
      <c r="F39">
        <v>52.56</v>
      </c>
      <c r="H39">
        <f t="shared" si="12"/>
        <v>91.66</v>
      </c>
      <c r="I39">
        <f t="shared" si="1"/>
        <v>17.96857953305695</v>
      </c>
    </row>
    <row r="40" spans="2:12">
      <c r="B40" t="s">
        <v>152</v>
      </c>
      <c r="D40">
        <v>15.86</v>
      </c>
      <c r="E40">
        <v>24.4</v>
      </c>
      <c r="F40">
        <v>52.12</v>
      </c>
      <c r="H40">
        <f t="shared" si="12"/>
        <v>92.38</v>
      </c>
      <c r="I40">
        <f t="shared" si="1"/>
        <v>17.16821822905391</v>
      </c>
      <c r="K40">
        <f>I40/$K$38</f>
        <v>0.95412693854528774</v>
      </c>
      <c r="L40">
        <f>LOG(K40,2)</f>
        <v>-6.7746877475178671E-2</v>
      </c>
    </row>
    <row r="41" spans="2:12">
      <c r="B41" t="s">
        <v>152</v>
      </c>
      <c r="D41">
        <v>15.48</v>
      </c>
      <c r="E41">
        <v>24</v>
      </c>
      <c r="F41">
        <v>52.16</v>
      </c>
      <c r="H41">
        <f t="shared" si="12"/>
        <v>91.64</v>
      </c>
      <c r="I41">
        <f t="shared" si="1"/>
        <v>16.892186817983415</v>
      </c>
      <c r="K41">
        <f t="shared" ref="K41:K43" si="15">I41/$K$38</f>
        <v>0.93878644125702948</v>
      </c>
      <c r="L41">
        <f t="shared" ref="L41:L43" si="16">LOG(K41,2)</f>
        <v>-9.1131089490385148E-2</v>
      </c>
    </row>
    <row r="42" spans="2:12">
      <c r="B42" t="s">
        <v>153</v>
      </c>
      <c r="D42">
        <v>2.97</v>
      </c>
      <c r="E42">
        <v>37.14</v>
      </c>
      <c r="F42">
        <v>52.58</v>
      </c>
      <c r="H42">
        <f t="shared" si="12"/>
        <v>92.69</v>
      </c>
      <c r="I42">
        <f t="shared" si="1"/>
        <v>3.2042291509332186</v>
      </c>
      <c r="K42">
        <f>I42/$K$38</f>
        <v>0.17807563425560871</v>
      </c>
      <c r="L42">
        <f t="shared" si="16"/>
        <v>-2.4894379661143349</v>
      </c>
    </row>
    <row r="43" spans="2:12">
      <c r="B43" t="s">
        <v>153</v>
      </c>
      <c r="D43">
        <v>2.91</v>
      </c>
      <c r="E43">
        <v>33.72</v>
      </c>
      <c r="F43">
        <v>56.52</v>
      </c>
      <c r="H43">
        <f t="shared" si="12"/>
        <v>93.15</v>
      </c>
      <c r="I43">
        <f t="shared" si="1"/>
        <v>3.1239935587761676</v>
      </c>
      <c r="K43">
        <f t="shared" si="15"/>
        <v>0.17361652621738372</v>
      </c>
      <c r="L43">
        <f t="shared" si="16"/>
        <v>-2.5260238132508368</v>
      </c>
    </row>
    <row r="45" spans="2:12">
      <c r="B45" s="1"/>
    </row>
    <row r="46" spans="2:12">
      <c r="B46" t="s">
        <v>158</v>
      </c>
      <c r="D46">
        <v>23.74</v>
      </c>
      <c r="E46">
        <v>32.22</v>
      </c>
      <c r="F46">
        <v>35.29</v>
      </c>
      <c r="H46">
        <f>SUM(D46:F46)</f>
        <v>91.25</v>
      </c>
      <c r="I46">
        <f>D46/H46*100</f>
        <v>26.016438356164386</v>
      </c>
      <c r="K46">
        <f>AVERAGE(I46:I49)</f>
        <v>26.060519185636487</v>
      </c>
    </row>
    <row r="47" spans="2:12">
      <c r="B47" t="s">
        <v>158</v>
      </c>
      <c r="D47">
        <v>24.85</v>
      </c>
      <c r="E47">
        <v>31.94</v>
      </c>
      <c r="F47">
        <v>34.200000000000003</v>
      </c>
      <c r="H47">
        <f t="shared" ref="H47:H59" si="17">SUM(D47:F47)</f>
        <v>90.990000000000009</v>
      </c>
      <c r="I47">
        <f t="shared" ref="I47:I59" si="18">D47/H47*100</f>
        <v>27.310693482800307</v>
      </c>
    </row>
    <row r="48" spans="2:12">
      <c r="B48" t="s">
        <v>158</v>
      </c>
      <c r="D48">
        <v>23.14</v>
      </c>
      <c r="E48">
        <v>31.62</v>
      </c>
      <c r="F48">
        <v>36.76</v>
      </c>
      <c r="H48">
        <f t="shared" si="17"/>
        <v>91.52000000000001</v>
      </c>
      <c r="I48">
        <f t="shared" si="18"/>
        <v>25.284090909090907</v>
      </c>
    </row>
    <row r="49" spans="2:12">
      <c r="B49" t="s">
        <v>158</v>
      </c>
      <c r="D49">
        <v>23.26</v>
      </c>
      <c r="E49">
        <v>32.06</v>
      </c>
      <c r="F49">
        <v>35.43</v>
      </c>
      <c r="H49">
        <f t="shared" si="17"/>
        <v>90.75</v>
      </c>
      <c r="I49">
        <f t="shared" si="18"/>
        <v>25.630853994490359</v>
      </c>
    </row>
    <row r="50" spans="2:12">
      <c r="B50" t="s">
        <v>157</v>
      </c>
      <c r="D50">
        <v>20.7</v>
      </c>
      <c r="E50">
        <v>31.77</v>
      </c>
      <c r="F50">
        <v>39.61</v>
      </c>
      <c r="H50">
        <f t="shared" si="17"/>
        <v>92.08</v>
      </c>
      <c r="I50">
        <f t="shared" si="18"/>
        <v>22.480451781059948</v>
      </c>
      <c r="K50">
        <f>I50/$K$46</f>
        <v>0.86262486257181981</v>
      </c>
      <c r="L50">
        <f>LOG(K50,2)</f>
        <v>-0.21319479686253351</v>
      </c>
    </row>
    <row r="51" spans="2:12">
      <c r="B51" t="s">
        <v>157</v>
      </c>
      <c r="D51">
        <v>23.44</v>
      </c>
      <c r="E51">
        <v>32.58</v>
      </c>
      <c r="F51">
        <v>34.74</v>
      </c>
      <c r="H51">
        <f t="shared" si="17"/>
        <v>90.759999999999991</v>
      </c>
      <c r="I51">
        <f t="shared" si="18"/>
        <v>25.826355222565013</v>
      </c>
      <c r="K51">
        <f t="shared" ref="K51:K59" si="19">I51/$K$46</f>
        <v>0.99101460867285651</v>
      </c>
      <c r="L51">
        <f t="shared" ref="L51:L59" si="20">LOG(K51,2)</f>
        <v>-1.3021770367079872E-2</v>
      </c>
    </row>
    <row r="52" spans="2:12">
      <c r="B52" t="s">
        <v>157</v>
      </c>
      <c r="D52">
        <v>25.58</v>
      </c>
      <c r="E52">
        <v>31.53</v>
      </c>
      <c r="F52">
        <v>33.700000000000003</v>
      </c>
      <c r="H52">
        <f t="shared" si="17"/>
        <v>90.81</v>
      </c>
      <c r="I52">
        <f t="shared" si="18"/>
        <v>28.168703887237083</v>
      </c>
      <c r="K52">
        <f t="shared" si="19"/>
        <v>1.0808957291519559</v>
      </c>
      <c r="L52">
        <f t="shared" si="20"/>
        <v>0.11222735721597658</v>
      </c>
    </row>
    <row r="53" spans="2:12">
      <c r="B53" t="s">
        <v>157</v>
      </c>
      <c r="D53">
        <v>25.2</v>
      </c>
      <c r="E53">
        <v>33.1</v>
      </c>
      <c r="F53">
        <v>32.5</v>
      </c>
      <c r="H53">
        <f t="shared" si="17"/>
        <v>90.8</v>
      </c>
      <c r="I53">
        <f t="shared" si="18"/>
        <v>27.753303964757709</v>
      </c>
      <c r="K53">
        <f t="shared" si="19"/>
        <v>1.0649559115481559</v>
      </c>
      <c r="L53">
        <f t="shared" si="20"/>
        <v>9.0793705092010943E-2</v>
      </c>
    </row>
    <row r="54" spans="2:12">
      <c r="B54" t="s">
        <v>157</v>
      </c>
      <c r="D54">
        <v>25.66</v>
      </c>
      <c r="E54">
        <v>32.130000000000003</v>
      </c>
      <c r="F54">
        <v>33.14</v>
      </c>
      <c r="H54">
        <f t="shared" si="17"/>
        <v>90.93</v>
      </c>
      <c r="I54">
        <f t="shared" si="18"/>
        <v>28.219509512812053</v>
      </c>
      <c r="K54">
        <f t="shared" si="19"/>
        <v>1.0828452538415088</v>
      </c>
      <c r="L54">
        <f t="shared" si="20"/>
        <v>0.1148270864672065</v>
      </c>
    </row>
    <row r="55" spans="2:12">
      <c r="B55" t="s">
        <v>157</v>
      </c>
      <c r="D55">
        <v>24.23</v>
      </c>
      <c r="E55">
        <v>31.8</v>
      </c>
      <c r="F55">
        <v>34.93</v>
      </c>
      <c r="H55">
        <f t="shared" si="17"/>
        <v>90.960000000000008</v>
      </c>
      <c r="I55">
        <f t="shared" si="18"/>
        <v>26.638082673702723</v>
      </c>
      <c r="K55">
        <f t="shared" si="19"/>
        <v>1.0221623937709026</v>
      </c>
      <c r="L55">
        <f t="shared" si="20"/>
        <v>3.162441944210774E-2</v>
      </c>
    </row>
    <row r="56" spans="2:12">
      <c r="B56" t="s">
        <v>267</v>
      </c>
      <c r="D56">
        <v>9.91</v>
      </c>
      <c r="E56">
        <v>44.94</v>
      </c>
      <c r="F56">
        <v>34.68</v>
      </c>
      <c r="H56">
        <f t="shared" si="17"/>
        <v>89.53</v>
      </c>
      <c r="I56">
        <f t="shared" si="18"/>
        <v>11.068915447336089</v>
      </c>
      <c r="K56">
        <f t="shared" si="19"/>
        <v>0.4247388691103603</v>
      </c>
      <c r="L56">
        <f t="shared" si="20"/>
        <v>-1.2353519548697436</v>
      </c>
    </row>
    <row r="57" spans="2:12">
      <c r="B57" t="s">
        <v>267</v>
      </c>
      <c r="D57">
        <v>7.68</v>
      </c>
      <c r="E57">
        <v>43.13</v>
      </c>
      <c r="F57">
        <v>39.15</v>
      </c>
      <c r="H57">
        <f t="shared" si="17"/>
        <v>89.960000000000008</v>
      </c>
      <c r="I57">
        <f t="shared" si="18"/>
        <v>8.5371276122721209</v>
      </c>
      <c r="K57">
        <f t="shared" si="19"/>
        <v>0.32758854693030992</v>
      </c>
      <c r="L57">
        <f t="shared" si="20"/>
        <v>-1.6100431761736513</v>
      </c>
    </row>
    <row r="58" spans="2:12">
      <c r="B58" t="s">
        <v>267</v>
      </c>
      <c r="D58">
        <v>11.67</v>
      </c>
      <c r="E58">
        <v>43.12</v>
      </c>
      <c r="F58">
        <v>33.25</v>
      </c>
      <c r="H58">
        <f t="shared" si="17"/>
        <v>88.039999999999992</v>
      </c>
      <c r="I58">
        <f t="shared" si="18"/>
        <v>13.255338482507954</v>
      </c>
      <c r="K58">
        <f t="shared" si="19"/>
        <v>0.50863677688408315</v>
      </c>
      <c r="L58">
        <f t="shared" si="20"/>
        <v>-0.97529231530119953</v>
      </c>
    </row>
    <row r="59" spans="2:12">
      <c r="B59" t="s">
        <v>267</v>
      </c>
      <c r="D59">
        <v>8.7100000000000009</v>
      </c>
      <c r="E59">
        <v>41.34</v>
      </c>
      <c r="F59">
        <v>39.590000000000003</v>
      </c>
      <c r="H59">
        <f t="shared" si="17"/>
        <v>89.640000000000015</v>
      </c>
      <c r="I59">
        <f t="shared" si="18"/>
        <v>9.7166443551985715</v>
      </c>
      <c r="K59">
        <f t="shared" si="19"/>
        <v>0.37284922399220644</v>
      </c>
      <c r="L59">
        <f t="shared" si="20"/>
        <v>-1.4233357560285194</v>
      </c>
    </row>
    <row r="61" spans="2:12">
      <c r="B61" s="1"/>
    </row>
    <row r="62" spans="2:12">
      <c r="B62" t="s">
        <v>158</v>
      </c>
      <c r="C62">
        <v>34.67</v>
      </c>
      <c r="D62">
        <v>36.18</v>
      </c>
      <c r="E62">
        <v>16.420000000000002</v>
      </c>
      <c r="G62" s="59">
        <f>SUM(C62:E62)</f>
        <v>87.27</v>
      </c>
      <c r="H62" s="59">
        <f>C62/G62*100</f>
        <v>39.727283144264931</v>
      </c>
      <c r="I62" s="59"/>
      <c r="K62" s="59">
        <f>AVERAGE(H62:H64)</f>
        <v>40.69770289902273</v>
      </c>
    </row>
    <row r="63" spans="2:12">
      <c r="B63" t="s">
        <v>158</v>
      </c>
      <c r="C63">
        <v>36.96</v>
      </c>
      <c r="D63">
        <v>35.83</v>
      </c>
      <c r="E63">
        <v>13.65</v>
      </c>
      <c r="G63" s="59">
        <f t="shared" ref="G63:G64" si="21">SUM(C63:E63)</f>
        <v>86.44</v>
      </c>
      <c r="H63" s="59">
        <f t="shared" ref="H63:H64" si="22">C63/G63*100</f>
        <v>42.757982415548355</v>
      </c>
      <c r="I63" s="59"/>
      <c r="K63" s="59"/>
    </row>
    <row r="64" spans="2:12">
      <c r="B64" t="s">
        <v>158</v>
      </c>
      <c r="C64">
        <v>34.340000000000003</v>
      </c>
      <c r="D64">
        <v>36.17</v>
      </c>
      <c r="E64">
        <v>16.190000000000001</v>
      </c>
      <c r="G64" s="59">
        <f t="shared" si="21"/>
        <v>86.7</v>
      </c>
      <c r="H64" s="59">
        <f t="shared" si="22"/>
        <v>39.607843137254903</v>
      </c>
      <c r="I64" s="59"/>
      <c r="K64" s="59"/>
    </row>
    <row r="65" spans="2:12">
      <c r="B65" t="s">
        <v>267</v>
      </c>
      <c r="C65">
        <v>19.28</v>
      </c>
      <c r="D65">
        <v>43.67</v>
      </c>
      <c r="E65">
        <v>21.08</v>
      </c>
      <c r="G65" s="59">
        <f>SUM(C65:E65)</f>
        <v>84.03</v>
      </c>
      <c r="H65" s="59">
        <f>C65/G65*100</f>
        <v>22.944186600023802</v>
      </c>
      <c r="I65" s="59"/>
      <c r="K65" s="59">
        <f>H65/K62</f>
        <v>0.56377104764246433</v>
      </c>
      <c r="L65" s="59">
        <f>LOG(K65,2)</f>
        <v>-0.82681870441278227</v>
      </c>
    </row>
    <row r="67" spans="2:12">
      <c r="B67" s="1"/>
    </row>
    <row r="68" spans="2:12">
      <c r="B68" t="s">
        <v>158</v>
      </c>
      <c r="C68" s="59">
        <v>34.4</v>
      </c>
      <c r="D68" s="59">
        <v>37.090000000000003</v>
      </c>
      <c r="E68" s="59">
        <v>13.53</v>
      </c>
      <c r="F68" s="59"/>
      <c r="G68" s="59">
        <f>SUM(C68:E68)</f>
        <v>85.02000000000001</v>
      </c>
      <c r="H68" s="59">
        <f>C68/G68*100</f>
        <v>40.461067984003755</v>
      </c>
      <c r="I68" s="59"/>
      <c r="K68" s="59">
        <f>AVERAGE(H68:H70)</f>
        <v>40.912443306354</v>
      </c>
      <c r="L68" s="59"/>
    </row>
    <row r="69" spans="2:12">
      <c r="B69" t="s">
        <v>158</v>
      </c>
      <c r="C69" s="59">
        <v>36.14</v>
      </c>
      <c r="D69" s="59">
        <v>36.4</v>
      </c>
      <c r="E69" s="59">
        <v>13.59</v>
      </c>
      <c r="F69" s="59"/>
      <c r="G69" s="59">
        <f>SUM(C69:E69)</f>
        <v>86.13</v>
      </c>
      <c r="H69" s="59">
        <f>C69/G69*100</f>
        <v>41.959828166724719</v>
      </c>
      <c r="I69" s="59"/>
      <c r="K69" s="59"/>
      <c r="L69" s="59"/>
    </row>
    <row r="70" spans="2:12">
      <c r="B70" t="s">
        <v>158</v>
      </c>
      <c r="C70" s="59">
        <v>34.909999999999997</v>
      </c>
      <c r="D70" s="59">
        <v>36.6</v>
      </c>
      <c r="E70" s="59">
        <v>15.08</v>
      </c>
      <c r="F70" s="59"/>
      <c r="G70" s="59">
        <f t="shared" ref="G70" si="23">SUM(C70:E70)</f>
        <v>86.589999999999989</v>
      </c>
      <c r="H70" s="59">
        <f t="shared" ref="H70" si="24">C70/G70*100</f>
        <v>40.316433768333525</v>
      </c>
      <c r="I70" s="59"/>
      <c r="K70" s="59"/>
      <c r="L70" s="59"/>
    </row>
    <row r="71" spans="2:12">
      <c r="B71" t="s">
        <v>267</v>
      </c>
      <c r="C71" s="59">
        <v>21.05</v>
      </c>
      <c r="D71" s="59">
        <v>49.14</v>
      </c>
      <c r="E71" s="59">
        <v>13.29</v>
      </c>
      <c r="F71" s="59"/>
      <c r="G71" s="59">
        <f>SUM(C71:E71)</f>
        <v>83.47999999999999</v>
      </c>
      <c r="H71" s="59">
        <f>C71/G71*100</f>
        <v>25.215620507906088</v>
      </c>
      <c r="I71" s="59"/>
      <c r="K71" s="59">
        <f>H71/K68</f>
        <v>0.6163313278332101</v>
      </c>
      <c r="L71" s="59">
        <f>LOG(K71,2)</f>
        <v>-0.69822197040271905</v>
      </c>
    </row>
    <row r="73" spans="2:12">
      <c r="B73" s="1"/>
    </row>
    <row r="74" spans="2:12">
      <c r="B74" t="s">
        <v>158</v>
      </c>
      <c r="C74" s="59">
        <v>35.380000000000003</v>
      </c>
      <c r="D74" s="59">
        <v>34.799999999999997</v>
      </c>
      <c r="E74" s="59">
        <v>16.13</v>
      </c>
      <c r="F74" s="59"/>
      <c r="G74" s="59">
        <f>SUM(C74:E74)</f>
        <v>86.31</v>
      </c>
      <c r="H74" s="59">
        <f>C74/G74*100</f>
        <v>40.991773838489173</v>
      </c>
      <c r="I74" s="59"/>
      <c r="K74" s="59">
        <f>AVERAGE(H74:H76)</f>
        <v>40.414148181174397</v>
      </c>
    </row>
    <row r="75" spans="2:12">
      <c r="B75" t="s">
        <v>158</v>
      </c>
      <c r="C75" s="59">
        <v>35.64</v>
      </c>
      <c r="D75" s="59">
        <v>35.08</v>
      </c>
      <c r="E75" s="59">
        <v>15.9</v>
      </c>
      <c r="F75" s="59"/>
      <c r="G75" s="59">
        <f>SUM(C75:E75)</f>
        <v>86.62</v>
      </c>
      <c r="H75" s="59">
        <f>C75/G75*100</f>
        <v>41.145232048025861</v>
      </c>
      <c r="I75" s="59"/>
      <c r="K75" s="59"/>
    </row>
    <row r="76" spans="2:12">
      <c r="B76" t="s">
        <v>158</v>
      </c>
      <c r="C76" s="59">
        <v>34.01</v>
      </c>
      <c r="D76" s="59">
        <v>34.520000000000003</v>
      </c>
      <c r="E76" s="59">
        <v>18.440000000000001</v>
      </c>
      <c r="F76" s="59"/>
      <c r="G76" s="59">
        <f t="shared" ref="G76" si="25">SUM(C76:E76)</f>
        <v>86.97</v>
      </c>
      <c r="H76" s="59">
        <f t="shared" ref="H76" si="26">C76/G76*100</f>
        <v>39.105438657008165</v>
      </c>
      <c r="I76" s="59"/>
      <c r="K76" s="59"/>
    </row>
    <row r="77" spans="2:12">
      <c r="B77" t="s">
        <v>267</v>
      </c>
      <c r="C77" s="59">
        <v>20.49</v>
      </c>
      <c r="D77" s="59">
        <v>43.14</v>
      </c>
      <c r="E77" s="59">
        <v>20.57</v>
      </c>
      <c r="F77" s="59"/>
      <c r="G77" s="59">
        <f>SUM(C77:E77)</f>
        <v>84.199999999999989</v>
      </c>
      <c r="H77" s="59">
        <f>C77/G77*100</f>
        <v>24.334916864608079</v>
      </c>
      <c r="I77" s="59"/>
      <c r="K77" s="59">
        <f>H77/K74</f>
        <v>0.6021385569112081</v>
      </c>
      <c r="L77" s="59">
        <f>LOG(K77,2)</f>
        <v>-0.73183259400179901</v>
      </c>
    </row>
    <row r="79" spans="2:12">
      <c r="B79" s="1"/>
    </row>
    <row r="80" spans="2:12">
      <c r="B80" s="82" t="s">
        <v>159</v>
      </c>
      <c r="D80">
        <v>17.89</v>
      </c>
      <c r="E80">
        <v>42.67</v>
      </c>
      <c r="F80">
        <v>28.43</v>
      </c>
      <c r="H80">
        <f t="shared" ref="H80:H84" si="27">SUM(D80:F80)</f>
        <v>88.990000000000009</v>
      </c>
      <c r="I80">
        <f>D80/H80*100</f>
        <v>20.103382402517138</v>
      </c>
      <c r="K80">
        <f>AVERAGE(I80:I81)</f>
        <v>20.206886882770039</v>
      </c>
    </row>
    <row r="81" spans="2:12">
      <c r="B81" s="82" t="s">
        <v>159</v>
      </c>
      <c r="D81">
        <v>18.059999999999999</v>
      </c>
      <c r="E81">
        <v>42.32</v>
      </c>
      <c r="F81">
        <v>28.54</v>
      </c>
      <c r="H81">
        <f t="shared" si="27"/>
        <v>88.919999999999987</v>
      </c>
      <c r="I81">
        <f t="shared" ref="I81:I84" si="28">D81/H81*100</f>
        <v>20.310391363022941</v>
      </c>
    </row>
    <row r="82" spans="2:12">
      <c r="B82" s="82" t="s">
        <v>268</v>
      </c>
      <c r="D82">
        <v>12.64</v>
      </c>
      <c r="E82">
        <v>43.03</v>
      </c>
      <c r="F82">
        <v>33.729999999999997</v>
      </c>
      <c r="H82">
        <f t="shared" si="27"/>
        <v>89.4</v>
      </c>
      <c r="I82">
        <f t="shared" si="28"/>
        <v>14.13870246085011</v>
      </c>
      <c r="K82">
        <f>I82/$K$80</f>
        <v>0.69969721426539311</v>
      </c>
      <c r="L82">
        <f t="shared" ref="L82:L84" si="29">LOG(K82,2)</f>
        <v>-0.51519734708706344</v>
      </c>
    </row>
    <row r="83" spans="2:12">
      <c r="B83" s="82" t="s">
        <v>268</v>
      </c>
      <c r="D83">
        <v>11.41</v>
      </c>
      <c r="E83">
        <v>43.71</v>
      </c>
      <c r="F83">
        <v>34.04</v>
      </c>
      <c r="H83">
        <f t="shared" si="27"/>
        <v>89.16</v>
      </c>
      <c r="I83">
        <f t="shared" si="28"/>
        <v>12.797218483624945</v>
      </c>
      <c r="K83">
        <f>I83/$K$80</f>
        <v>0.63330975017912572</v>
      </c>
      <c r="L83">
        <f t="shared" si="29"/>
        <v>-0.65901680416455655</v>
      </c>
    </row>
    <row r="84" spans="2:12">
      <c r="B84" s="82" t="s">
        <v>160</v>
      </c>
      <c r="D84">
        <v>20.87</v>
      </c>
      <c r="E84">
        <v>43.48</v>
      </c>
      <c r="F84">
        <v>24.31</v>
      </c>
      <c r="H84">
        <f t="shared" si="27"/>
        <v>88.66</v>
      </c>
      <c r="I84">
        <f t="shared" si="28"/>
        <v>23.539363861944508</v>
      </c>
      <c r="K84">
        <f>I84/$K$80</f>
        <v>1.1649178816364829</v>
      </c>
      <c r="L84">
        <f t="shared" si="29"/>
        <v>0.22022825880108446</v>
      </c>
    </row>
    <row r="86" spans="2:12">
      <c r="B86" s="1"/>
    </row>
    <row r="87" spans="2:12">
      <c r="B87" s="82" t="s">
        <v>159</v>
      </c>
      <c r="D87">
        <v>16.989999999999998</v>
      </c>
      <c r="E87">
        <v>30.68</v>
      </c>
      <c r="F87">
        <v>41.05</v>
      </c>
      <c r="H87">
        <f t="shared" ref="H87:H91" si="30">SUM(D87:F87)</f>
        <v>88.72</v>
      </c>
      <c r="I87">
        <f t="shared" ref="I87:I91" si="31">D87/H87*100</f>
        <v>19.150135256988278</v>
      </c>
      <c r="K87">
        <f>AVERAGE(I87:I88)</f>
        <v>19.442079912952611</v>
      </c>
    </row>
    <row r="88" spans="2:12">
      <c r="B88" s="82" t="s">
        <v>159</v>
      </c>
      <c r="D88">
        <v>17.510000000000002</v>
      </c>
      <c r="E88">
        <v>30.65</v>
      </c>
      <c r="F88">
        <v>40.57</v>
      </c>
      <c r="H88">
        <f t="shared" si="30"/>
        <v>88.72999999999999</v>
      </c>
      <c r="I88">
        <f t="shared" si="31"/>
        <v>19.734024568916944</v>
      </c>
    </row>
    <row r="89" spans="2:12">
      <c r="B89" s="82" t="s">
        <v>268</v>
      </c>
      <c r="D89">
        <v>8.25</v>
      </c>
      <c r="E89">
        <v>35.909999999999997</v>
      </c>
      <c r="F89">
        <v>47.3</v>
      </c>
      <c r="H89">
        <f t="shared" si="30"/>
        <v>91.46</v>
      </c>
      <c r="I89">
        <f t="shared" si="31"/>
        <v>9.0203367592390116</v>
      </c>
      <c r="K89">
        <f>I89/$K$87</f>
        <v>0.46395945287877999</v>
      </c>
      <c r="L89">
        <f t="shared" ref="L89:L91" si="32">LOG(K89,2)</f>
        <v>-1.1079293664456604</v>
      </c>
    </row>
    <row r="90" spans="2:12">
      <c r="B90" s="82" t="s">
        <v>268</v>
      </c>
      <c r="D90">
        <v>12.6</v>
      </c>
      <c r="E90">
        <v>35.380000000000003</v>
      </c>
      <c r="F90">
        <v>42.6</v>
      </c>
      <c r="H90">
        <f t="shared" si="30"/>
        <v>90.580000000000013</v>
      </c>
      <c r="I90">
        <f t="shared" si="31"/>
        <v>13.910355486862439</v>
      </c>
      <c r="K90">
        <f>I90/$K$87</f>
        <v>0.71547671592457285</v>
      </c>
      <c r="L90">
        <f t="shared" si="32"/>
        <v>-0.48302327743470824</v>
      </c>
    </row>
    <row r="91" spans="2:12">
      <c r="B91" s="82" t="s">
        <v>161</v>
      </c>
      <c r="D91">
        <v>19.760000000000002</v>
      </c>
      <c r="E91">
        <v>33.6</v>
      </c>
      <c r="F91">
        <v>36.049999999999997</v>
      </c>
      <c r="H91">
        <f t="shared" si="30"/>
        <v>89.41</v>
      </c>
      <c r="I91">
        <f t="shared" si="31"/>
        <v>22.100436192819597</v>
      </c>
      <c r="K91">
        <f>I91/$K$87</f>
        <v>1.136732093056358</v>
      </c>
      <c r="L91">
        <f t="shared" si="32"/>
        <v>0.18489227748269704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Q15"/>
  <sheetViews>
    <sheetView zoomScale="80" zoomScaleNormal="80" workbookViewId="0">
      <selection activeCell="C14" sqref="C14"/>
    </sheetView>
  </sheetViews>
  <sheetFormatPr baseColWidth="10" defaultColWidth="8.83203125" defaultRowHeight="15"/>
  <sheetData>
    <row r="2" spans="2:17">
      <c r="B2" s="1" t="s">
        <v>75</v>
      </c>
    </row>
    <row r="3" spans="2:17">
      <c r="L3" t="s">
        <v>232</v>
      </c>
    </row>
    <row r="4" spans="2:17">
      <c r="Q4" t="s">
        <v>236</v>
      </c>
    </row>
    <row r="5" spans="2:17">
      <c r="Q5" t="s">
        <v>237</v>
      </c>
    </row>
    <row r="15" spans="2:17">
      <c r="N15" t="s">
        <v>233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J38"/>
  <sheetViews>
    <sheetView topLeftCell="A10" zoomScale="110" zoomScaleNormal="110" workbookViewId="0">
      <selection activeCell="J39" sqref="J39"/>
    </sheetView>
  </sheetViews>
  <sheetFormatPr baseColWidth="10" defaultColWidth="8.83203125" defaultRowHeight="15"/>
  <cols>
    <col min="1" max="1" width="15.6640625" customWidth="1"/>
    <col min="2" max="2" width="21" customWidth="1"/>
    <col min="4" max="4" width="38.5" customWidth="1"/>
    <col min="5" max="5" width="33.5" customWidth="1"/>
    <col min="6" max="6" width="14.6640625" customWidth="1"/>
  </cols>
  <sheetData>
    <row r="2" spans="1:6">
      <c r="A2" t="s">
        <v>266</v>
      </c>
      <c r="B2" s="37" t="s">
        <v>264</v>
      </c>
    </row>
    <row r="3" spans="1:6">
      <c r="B3" s="1">
        <v>1</v>
      </c>
      <c r="D3" s="42" t="s">
        <v>214</v>
      </c>
      <c r="E3" s="42" t="s">
        <v>213</v>
      </c>
      <c r="F3" s="42" t="s">
        <v>215</v>
      </c>
    </row>
    <row r="4" spans="1:6">
      <c r="A4" s="37" t="s">
        <v>245</v>
      </c>
      <c r="B4" t="s">
        <v>162</v>
      </c>
      <c r="D4">
        <v>6374.4470000000001</v>
      </c>
      <c r="E4">
        <v>3906.0329999999999</v>
      </c>
      <c r="F4">
        <f>D4/E4</f>
        <v>1.6319490900358498</v>
      </c>
    </row>
    <row r="5" spans="1:6">
      <c r="A5" t="s">
        <v>265</v>
      </c>
      <c r="B5" t="s">
        <v>162</v>
      </c>
      <c r="D5">
        <v>887.69799999999998</v>
      </c>
      <c r="E5">
        <v>2970.0830000000001</v>
      </c>
      <c r="F5">
        <f>D5/E5</f>
        <v>0.29887986295332486</v>
      </c>
    </row>
    <row r="6" spans="1:6" ht="16">
      <c r="A6" s="37" t="s">
        <v>245</v>
      </c>
      <c r="B6" s="83" t="s">
        <v>163</v>
      </c>
      <c r="D6">
        <v>0</v>
      </c>
      <c r="E6">
        <v>506.04199999999997</v>
      </c>
      <c r="F6">
        <f>D6/E6</f>
        <v>0</v>
      </c>
    </row>
    <row r="7" spans="1:6">
      <c r="A7" s="37" t="s">
        <v>245</v>
      </c>
      <c r="B7" t="s">
        <v>164</v>
      </c>
      <c r="D7">
        <v>5016.3969999999999</v>
      </c>
      <c r="E7">
        <v>10183.66</v>
      </c>
      <c r="F7">
        <f>D7/E7</f>
        <v>0.49259274170583073</v>
      </c>
    </row>
    <row r="9" spans="1:6">
      <c r="B9" s="1">
        <v>2</v>
      </c>
      <c r="D9" s="42"/>
      <c r="E9" s="42"/>
    </row>
    <row r="10" spans="1:6">
      <c r="A10" s="37" t="s">
        <v>245</v>
      </c>
      <c r="B10" t="s">
        <v>164</v>
      </c>
      <c r="D10">
        <v>10838.368</v>
      </c>
      <c r="E10">
        <v>16503.409</v>
      </c>
      <c r="F10">
        <f t="shared" ref="F10:F11" si="0">D10/E10</f>
        <v>0.65673510242641386</v>
      </c>
    </row>
    <row r="11" spans="1:6">
      <c r="A11" s="37" t="s">
        <v>245</v>
      </c>
      <c r="B11" t="s">
        <v>162</v>
      </c>
      <c r="D11">
        <v>7347.2169999999996</v>
      </c>
      <c r="E11">
        <v>7508.2380000000003</v>
      </c>
      <c r="F11">
        <f t="shared" si="0"/>
        <v>0.97855408952140299</v>
      </c>
    </row>
    <row r="13" spans="1:6">
      <c r="B13" s="1">
        <v>3</v>
      </c>
      <c r="D13" s="42"/>
      <c r="E13" s="42"/>
    </row>
    <row r="14" spans="1:6">
      <c r="A14" s="37" t="s">
        <v>245</v>
      </c>
      <c r="B14" t="s">
        <v>162</v>
      </c>
      <c r="D14">
        <v>5709.5510000000004</v>
      </c>
      <c r="E14">
        <v>4022.79</v>
      </c>
      <c r="F14">
        <f>D14/E14</f>
        <v>1.4193012809517773</v>
      </c>
    </row>
    <row r="15" spans="1:6">
      <c r="A15" s="37" t="s">
        <v>245</v>
      </c>
      <c r="B15" t="s">
        <v>164</v>
      </c>
      <c r="D15">
        <v>5732.2759999999998</v>
      </c>
      <c r="E15">
        <v>8772.1749999999993</v>
      </c>
      <c r="F15">
        <f t="shared" ref="F15:F17" si="1">D15/E15</f>
        <v>0.6534611997594667</v>
      </c>
    </row>
    <row r="16" spans="1:6" ht="16">
      <c r="A16" s="37" t="s">
        <v>245</v>
      </c>
      <c r="B16" s="83" t="s">
        <v>163</v>
      </c>
      <c r="E16">
        <v>157.84899999999999</v>
      </c>
      <c r="F16">
        <f t="shared" si="1"/>
        <v>0</v>
      </c>
    </row>
    <row r="17" spans="1:6">
      <c r="A17" t="s">
        <v>265</v>
      </c>
      <c r="B17" t="s">
        <v>167</v>
      </c>
      <c r="D17">
        <v>233.84899999999999</v>
      </c>
      <c r="E17">
        <v>4587.74</v>
      </c>
      <c r="F17">
        <f t="shared" si="1"/>
        <v>5.097259216956497E-2</v>
      </c>
    </row>
    <row r="19" spans="1:6">
      <c r="B19" s="1">
        <v>4</v>
      </c>
    </row>
    <row r="20" spans="1:6">
      <c r="A20" s="37" t="s">
        <v>245</v>
      </c>
      <c r="B20" t="s">
        <v>162</v>
      </c>
      <c r="D20">
        <v>1487.355</v>
      </c>
      <c r="E20">
        <v>7526.518</v>
      </c>
      <c r="F20">
        <f>D20/E20</f>
        <v>0.1976152850494744</v>
      </c>
    </row>
    <row r="21" spans="1:6">
      <c r="A21" s="37" t="s">
        <v>245</v>
      </c>
      <c r="B21" t="s">
        <v>164</v>
      </c>
      <c r="D21">
        <v>736.577</v>
      </c>
      <c r="E21">
        <v>14264.023999999999</v>
      </c>
      <c r="F21">
        <f t="shared" ref="F21:F23" si="2">D21/E21</f>
        <v>5.1638794214031052E-2</v>
      </c>
    </row>
    <row r="22" spans="1:6" ht="16">
      <c r="A22" s="37" t="s">
        <v>245</v>
      </c>
      <c r="B22" s="83" t="s">
        <v>163</v>
      </c>
      <c r="D22">
        <v>0</v>
      </c>
      <c r="E22">
        <v>2760.4259999999999</v>
      </c>
      <c r="F22">
        <f t="shared" si="2"/>
        <v>0</v>
      </c>
    </row>
    <row r="23" spans="1:6">
      <c r="A23" t="s">
        <v>265</v>
      </c>
      <c r="B23" t="s">
        <v>167</v>
      </c>
      <c r="D23">
        <v>523.45600000000002</v>
      </c>
      <c r="E23">
        <v>7970.8609999999999</v>
      </c>
      <c r="F23">
        <f t="shared" si="2"/>
        <v>6.5671199133945507E-2</v>
      </c>
    </row>
    <row r="25" spans="1:6">
      <c r="B25" s="1">
        <v>5</v>
      </c>
      <c r="D25" s="42"/>
      <c r="E25" s="42"/>
    </row>
    <row r="26" spans="1:6">
      <c r="A26" s="37" t="s">
        <v>245</v>
      </c>
      <c r="B26" t="s">
        <v>162</v>
      </c>
      <c r="D26">
        <v>7269.652</v>
      </c>
      <c r="E26">
        <v>9904.4680000000008</v>
      </c>
      <c r="F26">
        <f>D26/E26</f>
        <v>0.73397702935685183</v>
      </c>
    </row>
    <row r="27" spans="1:6">
      <c r="A27" s="37" t="s">
        <v>245</v>
      </c>
      <c r="B27" t="s">
        <v>164</v>
      </c>
      <c r="D27">
        <v>1424.962</v>
      </c>
      <c r="E27">
        <v>12794.094999999999</v>
      </c>
      <c r="F27">
        <f t="shared" ref="F27:F29" si="3">D27/E27</f>
        <v>0.11137653737915812</v>
      </c>
    </row>
    <row r="28" spans="1:6" ht="16">
      <c r="A28" s="37" t="s">
        <v>245</v>
      </c>
      <c r="B28" s="83" t="s">
        <v>163</v>
      </c>
      <c r="D28">
        <v>0</v>
      </c>
      <c r="E28">
        <v>293.79899999999998</v>
      </c>
      <c r="F28">
        <f t="shared" si="3"/>
        <v>0</v>
      </c>
    </row>
    <row r="29" spans="1:6">
      <c r="A29" t="s">
        <v>265</v>
      </c>
      <c r="B29" t="s">
        <v>167</v>
      </c>
      <c r="D29">
        <v>245.79900000000001</v>
      </c>
      <c r="E29">
        <v>10155.710999999999</v>
      </c>
      <c r="F29">
        <f t="shared" si="3"/>
        <v>2.4203032165842454E-2</v>
      </c>
    </row>
    <row r="34" spans="1:10">
      <c r="C34" s="1">
        <v>1</v>
      </c>
      <c r="D34" s="1">
        <v>2</v>
      </c>
      <c r="E34" s="1">
        <v>3</v>
      </c>
      <c r="F34" s="1">
        <v>4</v>
      </c>
      <c r="G34" s="1">
        <v>5</v>
      </c>
      <c r="H34" t="s">
        <v>96</v>
      </c>
      <c r="I34" t="s">
        <v>216</v>
      </c>
      <c r="J34" t="s">
        <v>97</v>
      </c>
    </row>
    <row r="35" spans="1:10">
      <c r="A35" t="s">
        <v>165</v>
      </c>
      <c r="B35" t="s">
        <v>162</v>
      </c>
      <c r="C35">
        <f>F4/F4</f>
        <v>1</v>
      </c>
      <c r="D35">
        <f>F11/F11</f>
        <v>1</v>
      </c>
      <c r="E35">
        <f>F14/F14</f>
        <v>1</v>
      </c>
      <c r="F35">
        <f>F20/F20</f>
        <v>1</v>
      </c>
      <c r="G35">
        <f>F26/F26</f>
        <v>1</v>
      </c>
      <c r="H35">
        <f>AVERAGE(C35:G35)</f>
        <v>1</v>
      </c>
      <c r="I35">
        <f>STDEV(C35:G35)</f>
        <v>0</v>
      </c>
    </row>
    <row r="36" spans="1:10">
      <c r="A36" t="s">
        <v>165</v>
      </c>
      <c r="B36" t="s">
        <v>164</v>
      </c>
      <c r="C36">
        <f>F7/F4</f>
        <v>0.30184320375766732</v>
      </c>
      <c r="D36">
        <f>F10/F11</f>
        <v>0.6711280546051509</v>
      </c>
      <c r="E36">
        <f>F15/F14</f>
        <v>0.46041049108421744</v>
      </c>
      <c r="F36">
        <f>F21/F20</f>
        <v>0.26130971701456651</v>
      </c>
      <c r="G36">
        <f>F27/F26</f>
        <v>0.15174390059148299</v>
      </c>
      <c r="H36">
        <f>AVERAGE(C36:G36)</f>
        <v>0.36928707341061706</v>
      </c>
      <c r="I36">
        <f>STDEV(C36:G36)</f>
        <v>0.20183178160615317</v>
      </c>
      <c r="J36">
        <f>I36/SQRT(5)</f>
        <v>9.0261916738250028E-2</v>
      </c>
    </row>
    <row r="37" spans="1:10" ht="16">
      <c r="A37" s="83" t="s">
        <v>165</v>
      </c>
      <c r="B37" s="83" t="s">
        <v>163</v>
      </c>
      <c r="C37">
        <v>0</v>
      </c>
      <c r="E37">
        <v>0</v>
      </c>
      <c r="F37">
        <v>0</v>
      </c>
      <c r="G37">
        <v>0</v>
      </c>
      <c r="H37">
        <f>AVERAGE(E37:G37,C37)</f>
        <v>0</v>
      </c>
      <c r="I37">
        <f>STDEV(E37:G37,C37)</f>
        <v>0</v>
      </c>
      <c r="J37">
        <f>I37/SQRT(4)</f>
        <v>0</v>
      </c>
    </row>
    <row r="38" spans="1:10">
      <c r="A38" t="s">
        <v>166</v>
      </c>
      <c r="B38" t="s">
        <v>162</v>
      </c>
      <c r="C38">
        <f>F5/F4</f>
        <v>0.18314288403859413</v>
      </c>
      <c r="E38">
        <f>F17/F14</f>
        <v>3.5913863288690173E-2</v>
      </c>
      <c r="F38">
        <f>F23/F20</f>
        <v>0.33231841918252553</v>
      </c>
      <c r="G38">
        <f>F29/F26</f>
        <v>3.297519022775193E-2</v>
      </c>
      <c r="H38">
        <f>AVERAGE(E38:G38,C38)</f>
        <v>0.14608758918439044</v>
      </c>
      <c r="I38">
        <f>STDEV(E38:G38,C38)</f>
        <v>0.14258059895370631</v>
      </c>
      <c r="J38">
        <f>I38/SQRT(4)</f>
        <v>7.1290299476853156E-2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4"/>
  <sheetViews>
    <sheetView zoomScale="120" zoomScaleNormal="120" workbookViewId="0">
      <selection activeCell="F19" sqref="F19"/>
    </sheetView>
  </sheetViews>
  <sheetFormatPr baseColWidth="10" defaultColWidth="8.83203125" defaultRowHeight="15"/>
  <sheetData>
    <row r="4" spans="2:2">
      <c r="B4" s="37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I32"/>
  <sheetViews>
    <sheetView topLeftCell="A10" zoomScale="130" zoomScaleNormal="130" workbookViewId="0">
      <selection activeCell="I33" sqref="I33"/>
    </sheetView>
  </sheetViews>
  <sheetFormatPr baseColWidth="10" defaultColWidth="8.83203125" defaultRowHeight="15"/>
  <cols>
    <col min="1" max="1" width="14.1640625" customWidth="1"/>
    <col min="2" max="2" width="18.5" customWidth="1"/>
    <col min="3" max="3" width="29.5" customWidth="1"/>
    <col min="4" max="4" width="24" customWidth="1"/>
    <col min="5" max="5" width="11.33203125" customWidth="1"/>
  </cols>
  <sheetData>
    <row r="2" spans="1:9">
      <c r="A2" t="s">
        <v>266</v>
      </c>
      <c r="B2" s="37" t="s">
        <v>264</v>
      </c>
    </row>
    <row r="3" spans="1:9">
      <c r="B3" s="1">
        <v>1</v>
      </c>
      <c r="C3" s="42" t="s">
        <v>214</v>
      </c>
      <c r="D3" s="42" t="s">
        <v>213</v>
      </c>
      <c r="E3" s="42" t="s">
        <v>215</v>
      </c>
      <c r="I3" s="42"/>
    </row>
    <row r="4" spans="1:9">
      <c r="A4" s="37" t="s">
        <v>246</v>
      </c>
      <c r="B4" t="s">
        <v>167</v>
      </c>
      <c r="C4">
        <v>5541.64</v>
      </c>
      <c r="D4">
        <v>7988.5889999999999</v>
      </c>
      <c r="E4">
        <f>C4/D4</f>
        <v>0.69369446844743177</v>
      </c>
    </row>
    <row r="5" spans="1:9">
      <c r="A5" s="37" t="s">
        <v>246</v>
      </c>
      <c r="B5" t="s">
        <v>168</v>
      </c>
      <c r="C5">
        <v>1252.6479999999999</v>
      </c>
      <c r="D5">
        <v>11610.075000000001</v>
      </c>
      <c r="E5">
        <f t="shared" ref="E5:E7" si="0">C5/D5</f>
        <v>0.10789318759784065</v>
      </c>
    </row>
    <row r="6" spans="1:9" ht="16">
      <c r="A6" s="37" t="s">
        <v>246</v>
      </c>
      <c r="B6" s="83" t="s">
        <v>169</v>
      </c>
      <c r="C6">
        <v>0</v>
      </c>
      <c r="D6">
        <v>1463.184</v>
      </c>
      <c r="E6">
        <f t="shared" si="0"/>
        <v>0</v>
      </c>
    </row>
    <row r="7" spans="1:9">
      <c r="A7" s="37" t="s">
        <v>265</v>
      </c>
      <c r="B7" t="s">
        <v>167</v>
      </c>
      <c r="C7">
        <v>625.74900000000002</v>
      </c>
      <c r="D7">
        <v>7021.0540000000001</v>
      </c>
      <c r="E7">
        <f t="shared" si="0"/>
        <v>8.9124652794295559E-2</v>
      </c>
    </row>
    <row r="9" spans="1:9">
      <c r="B9" s="1">
        <v>2</v>
      </c>
    </row>
    <row r="10" spans="1:9">
      <c r="A10" s="37" t="s">
        <v>246</v>
      </c>
      <c r="B10" t="s">
        <v>167</v>
      </c>
      <c r="C10">
        <v>5692.2550000000001</v>
      </c>
      <c r="D10">
        <v>6670.8109999999997</v>
      </c>
      <c r="E10">
        <f>C10/D10</f>
        <v>0.85330779121159339</v>
      </c>
    </row>
    <row r="11" spans="1:9">
      <c r="A11" s="37" t="s">
        <v>246</v>
      </c>
      <c r="B11" t="s">
        <v>168</v>
      </c>
      <c r="C11">
        <v>1778.2339999999999</v>
      </c>
      <c r="D11">
        <v>12633.075000000001</v>
      </c>
      <c r="E11">
        <f t="shared" ref="E11:E13" si="1">C11/D11</f>
        <v>0.14076018704867974</v>
      </c>
    </row>
    <row r="12" spans="1:9" ht="16">
      <c r="A12" s="37" t="s">
        <v>246</v>
      </c>
      <c r="B12" s="83" t="s">
        <v>169</v>
      </c>
      <c r="C12">
        <v>0</v>
      </c>
      <c r="D12">
        <v>1162.82</v>
      </c>
      <c r="E12">
        <f t="shared" si="1"/>
        <v>0</v>
      </c>
    </row>
    <row r="13" spans="1:9">
      <c r="A13" s="37" t="s">
        <v>265</v>
      </c>
      <c r="B13" t="s">
        <v>167</v>
      </c>
      <c r="C13">
        <v>1124.2840000000001</v>
      </c>
      <c r="D13">
        <v>6084.0330000000004</v>
      </c>
      <c r="E13">
        <f t="shared" si="1"/>
        <v>0.18479255454400068</v>
      </c>
    </row>
    <row r="15" spans="1:9">
      <c r="B15" s="1">
        <v>3</v>
      </c>
    </row>
    <row r="16" spans="1:9">
      <c r="A16" s="37" t="s">
        <v>246</v>
      </c>
      <c r="B16" t="s">
        <v>167</v>
      </c>
      <c r="C16">
        <v>2950.3049999999998</v>
      </c>
      <c r="D16">
        <v>6582.2759999999998</v>
      </c>
      <c r="E16">
        <f>C16/D16</f>
        <v>0.44821958240584259</v>
      </c>
    </row>
    <row r="17" spans="1:9">
      <c r="A17" s="37" t="s">
        <v>246</v>
      </c>
      <c r="B17" t="s">
        <v>168</v>
      </c>
      <c r="C17">
        <v>2246.7190000000001</v>
      </c>
      <c r="D17">
        <v>12325.731</v>
      </c>
      <c r="E17">
        <f>C17/D17</f>
        <v>0.1822787630202217</v>
      </c>
    </row>
    <row r="18" spans="1:9" ht="16">
      <c r="A18" s="37" t="s">
        <v>246</v>
      </c>
      <c r="B18" s="83" t="s">
        <v>169</v>
      </c>
      <c r="C18">
        <v>0</v>
      </c>
      <c r="D18">
        <v>930.94100000000003</v>
      </c>
      <c r="E18">
        <f>C18/D18</f>
        <v>0</v>
      </c>
    </row>
    <row r="19" spans="1:9">
      <c r="A19" s="37" t="s">
        <v>265</v>
      </c>
      <c r="B19" t="s">
        <v>167</v>
      </c>
      <c r="C19">
        <v>620.40599999999995</v>
      </c>
      <c r="D19">
        <v>5709.69</v>
      </c>
      <c r="E19">
        <f>C19/D19</f>
        <v>0.10865843854920319</v>
      </c>
    </row>
    <row r="21" spans="1:9">
      <c r="B21" s="1">
        <v>4</v>
      </c>
    </row>
    <row r="22" spans="1:9">
      <c r="A22" s="37" t="s">
        <v>246</v>
      </c>
      <c r="B22" t="s">
        <v>167</v>
      </c>
      <c r="C22">
        <v>9042.125</v>
      </c>
      <c r="D22">
        <v>4368.0330000000004</v>
      </c>
      <c r="E22">
        <f>C22/D22</f>
        <v>2.0700679230216439</v>
      </c>
    </row>
    <row r="23" spans="1:9">
      <c r="A23" s="37" t="s">
        <v>246</v>
      </c>
      <c r="B23" t="s">
        <v>168</v>
      </c>
      <c r="C23">
        <v>2570.154</v>
      </c>
      <c r="D23">
        <v>15411.681</v>
      </c>
      <c r="E23">
        <f>C23/D23</f>
        <v>0.16676662331643122</v>
      </c>
    </row>
    <row r="24" spans="1:9" ht="16">
      <c r="A24" s="37" t="s">
        <v>246</v>
      </c>
      <c r="B24" s="83" t="s">
        <v>169</v>
      </c>
      <c r="C24">
        <v>0</v>
      </c>
      <c r="D24">
        <v>783.40599999999995</v>
      </c>
      <c r="E24">
        <f>C24/D24</f>
        <v>0</v>
      </c>
    </row>
    <row r="25" spans="1:9">
      <c r="A25" s="37" t="s">
        <v>265</v>
      </c>
      <c r="B25" t="s">
        <v>167</v>
      </c>
      <c r="C25">
        <v>339.33499999999998</v>
      </c>
      <c r="D25">
        <v>4546.6189999999997</v>
      </c>
      <c r="E25">
        <f>C25/D25</f>
        <v>7.4634580113266583E-2</v>
      </c>
    </row>
    <row r="28" spans="1:9">
      <c r="C28" s="1">
        <v>1</v>
      </c>
      <c r="D28" s="1">
        <v>2</v>
      </c>
      <c r="E28" s="1">
        <v>3</v>
      </c>
      <c r="F28" s="1">
        <v>4</v>
      </c>
      <c r="G28" t="s">
        <v>77</v>
      </c>
      <c r="H28" t="s">
        <v>216</v>
      </c>
      <c r="I28" t="s">
        <v>97</v>
      </c>
    </row>
    <row r="29" spans="1:9">
      <c r="A29" s="37" t="s">
        <v>246</v>
      </c>
      <c r="B29" t="s">
        <v>167</v>
      </c>
      <c r="C29">
        <f>E4/$E$4</f>
        <v>1</v>
      </c>
      <c r="D29">
        <f>E10/$E$10</f>
        <v>1</v>
      </c>
      <c r="E29">
        <f>E16/$E$16</f>
        <v>1</v>
      </c>
      <c r="F29">
        <v>1</v>
      </c>
      <c r="G29">
        <f>AVERAGE(C29:F29)</f>
        <v>1</v>
      </c>
      <c r="H29">
        <f>STDEV(C29:F29)</f>
        <v>0</v>
      </c>
      <c r="I29">
        <f>STDEV(D29:G29)</f>
        <v>0</v>
      </c>
    </row>
    <row r="30" spans="1:9">
      <c r="A30" s="37" t="s">
        <v>246</v>
      </c>
      <c r="B30" t="s">
        <v>168</v>
      </c>
      <c r="C30">
        <f>E5/$E$4</f>
        <v>0.15553416165955317</v>
      </c>
      <c r="D30">
        <f>E11/$E$10</f>
        <v>0.16495828175764968</v>
      </c>
      <c r="E30">
        <f>E17/$E$16</f>
        <v>0.40667291250826365</v>
      </c>
      <c r="F30">
        <f>E23/E22</f>
        <v>8.0560942692645923E-2</v>
      </c>
      <c r="G30">
        <f>AVERAGE(C30:F30)</f>
        <v>0.2019315746545281</v>
      </c>
      <c r="H30">
        <f>STDEV(C30:F30)</f>
        <v>0.14162107899747692</v>
      </c>
      <c r="I30">
        <f>H30/SQRT(4)</f>
        <v>7.0810539498738459E-2</v>
      </c>
    </row>
    <row r="31" spans="1:9" ht="16">
      <c r="A31" s="37" t="s">
        <v>246</v>
      </c>
      <c r="B31" s="83" t="s">
        <v>169</v>
      </c>
      <c r="C31">
        <f>E6/$E$4</f>
        <v>0</v>
      </c>
      <c r="D31">
        <f>E12/$E$10</f>
        <v>0</v>
      </c>
      <c r="E31">
        <f>E18/$E$16</f>
        <v>0</v>
      </c>
      <c r="F31">
        <v>0</v>
      </c>
      <c r="G31">
        <f>AVERAGE(C31:F31)</f>
        <v>0</v>
      </c>
      <c r="H31">
        <f>STDEV(C31:F31)</f>
        <v>0</v>
      </c>
      <c r="I31">
        <f>H31/SQRT(4)</f>
        <v>0</v>
      </c>
    </row>
    <row r="32" spans="1:9">
      <c r="A32" s="37" t="s">
        <v>265</v>
      </c>
      <c r="B32" t="s">
        <v>167</v>
      </c>
      <c r="C32">
        <f>E7/$E$4</f>
        <v>0.12847825209528743</v>
      </c>
      <c r="D32">
        <f>E13/$E$10</f>
        <v>0.21656025697552544</v>
      </c>
      <c r="E32">
        <f>E19/$E$16</f>
        <v>0.24242233676175684</v>
      </c>
      <c r="F32">
        <f>E25/E22</f>
        <v>3.6054169664309237E-2</v>
      </c>
      <c r="G32">
        <f>AVERAGE(C32:F32)</f>
        <v>0.15587875387421973</v>
      </c>
      <c r="H32">
        <f>STDEV(C32:F32)</f>
        <v>9.3596216156532339E-2</v>
      </c>
      <c r="I32">
        <f>H32/SQRT(4)</f>
        <v>4.6798108078266169E-2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42"/>
  <sheetViews>
    <sheetView tabSelected="1" zoomScale="60" zoomScaleNormal="60" workbookViewId="0">
      <selection activeCell="B47" sqref="B47"/>
    </sheetView>
  </sheetViews>
  <sheetFormatPr baseColWidth="10" defaultColWidth="8.83203125" defaultRowHeight="15"/>
  <cols>
    <col min="1" max="1" width="14" customWidth="1"/>
    <col min="2" max="2" width="18.83203125" customWidth="1"/>
    <col min="10" max="10" width="10.5" bestFit="1" customWidth="1"/>
    <col min="11" max="11" width="14.5" bestFit="1" customWidth="1"/>
  </cols>
  <sheetData>
    <row r="1" spans="1:13" ht="15" customHeight="1">
      <c r="B1" s="139" t="s">
        <v>170</v>
      </c>
      <c r="C1" s="139"/>
      <c r="D1" s="139"/>
      <c r="E1" s="139"/>
      <c r="F1" s="139"/>
      <c r="G1" s="139"/>
    </row>
    <row r="2" spans="1:13">
      <c r="C2" t="s">
        <v>171</v>
      </c>
      <c r="D2" t="s">
        <v>172</v>
      </c>
      <c r="E2" t="s">
        <v>173</v>
      </c>
      <c r="F2" t="s">
        <v>87</v>
      </c>
      <c r="G2" t="s">
        <v>89</v>
      </c>
    </row>
    <row r="3" spans="1:13" ht="15" customHeight="1">
      <c r="A3" s="135" t="s">
        <v>135</v>
      </c>
      <c r="B3" t="s">
        <v>186</v>
      </c>
      <c r="C3">
        <v>13</v>
      </c>
      <c r="D3">
        <v>104</v>
      </c>
      <c r="E3">
        <f>(C3/D3)*100</f>
        <v>12.5</v>
      </c>
      <c r="F3">
        <f>AVERAGE(E3:E4)</f>
        <v>14.808558558558559</v>
      </c>
      <c r="G3">
        <f>STDEV(E3:E4)/SQRT(2)</f>
        <v>2.3085585585585577</v>
      </c>
    </row>
    <row r="4" spans="1:13" ht="16" thickBot="1">
      <c r="A4" s="135"/>
      <c r="B4" t="s">
        <v>186</v>
      </c>
      <c r="C4">
        <v>19</v>
      </c>
      <c r="D4">
        <v>111</v>
      </c>
      <c r="E4">
        <f>(C4/D4)*100</f>
        <v>17.117117117117118</v>
      </c>
    </row>
    <row r="5" spans="1:13">
      <c r="A5" s="135"/>
      <c r="B5" t="s">
        <v>187</v>
      </c>
      <c r="C5">
        <v>0</v>
      </c>
      <c r="D5">
        <v>171</v>
      </c>
      <c r="E5">
        <f t="shared" ref="E5:E18" si="0">(C5/D5)*100</f>
        <v>0</v>
      </c>
      <c r="F5">
        <f>AVERAGE(E5:E7)</f>
        <v>0</v>
      </c>
      <c r="G5">
        <f>STDEV(E5:E7)/SQRT(3)</f>
        <v>0</v>
      </c>
      <c r="J5" s="72"/>
      <c r="K5" s="73"/>
      <c r="L5" s="73" t="s">
        <v>87</v>
      </c>
      <c r="M5" s="74" t="s">
        <v>88</v>
      </c>
    </row>
    <row r="6" spans="1:13">
      <c r="A6" s="135"/>
      <c r="B6" t="s">
        <v>187</v>
      </c>
      <c r="C6">
        <v>0</v>
      </c>
      <c r="D6">
        <v>163</v>
      </c>
      <c r="E6">
        <f t="shared" si="0"/>
        <v>0</v>
      </c>
      <c r="J6" s="137" t="s">
        <v>135</v>
      </c>
      <c r="K6" s="46" t="s">
        <v>90</v>
      </c>
      <c r="L6" s="46">
        <f>F3</f>
        <v>14.808558558558559</v>
      </c>
      <c r="M6" s="77">
        <f>G3</f>
        <v>2.3085585585585577</v>
      </c>
    </row>
    <row r="7" spans="1:13">
      <c r="A7" s="135"/>
      <c r="B7" t="s">
        <v>187</v>
      </c>
      <c r="C7">
        <v>0</v>
      </c>
      <c r="D7">
        <v>84</v>
      </c>
      <c r="E7">
        <f t="shared" si="0"/>
        <v>0</v>
      </c>
      <c r="J7" s="137"/>
      <c r="K7" s="46" t="s">
        <v>93</v>
      </c>
      <c r="L7" s="46">
        <v>0</v>
      </c>
      <c r="M7" s="77">
        <v>0</v>
      </c>
    </row>
    <row r="8" spans="1:13">
      <c r="A8" s="135"/>
      <c r="B8" t="s">
        <v>189</v>
      </c>
      <c r="C8">
        <v>0</v>
      </c>
      <c r="D8">
        <v>130</v>
      </c>
      <c r="E8">
        <f t="shared" si="0"/>
        <v>0</v>
      </c>
      <c r="F8">
        <f>AVERAGE(E8:E9)</f>
        <v>0</v>
      </c>
      <c r="G8">
        <f>STDEV(E8:E9)/SQRT(2)</f>
        <v>0</v>
      </c>
      <c r="J8" s="137"/>
      <c r="K8" s="46" t="s">
        <v>134</v>
      </c>
      <c r="L8" s="46">
        <v>0</v>
      </c>
      <c r="M8" s="77">
        <v>0</v>
      </c>
    </row>
    <row r="9" spans="1:13">
      <c r="A9" s="135"/>
      <c r="B9" t="s">
        <v>189</v>
      </c>
      <c r="C9">
        <v>0</v>
      </c>
      <c r="D9">
        <v>193</v>
      </c>
      <c r="E9">
        <f t="shared" si="0"/>
        <v>0</v>
      </c>
      <c r="J9" s="137" t="s">
        <v>174</v>
      </c>
      <c r="K9" s="46" t="s">
        <v>90</v>
      </c>
      <c r="L9" s="46">
        <f>F10</f>
        <v>9.8932402238650496</v>
      </c>
      <c r="M9" s="77">
        <f>G10</f>
        <v>4.4638279457177488</v>
      </c>
    </row>
    <row r="10" spans="1:13">
      <c r="A10" s="135" t="s">
        <v>174</v>
      </c>
      <c r="B10" t="s">
        <v>186</v>
      </c>
      <c r="C10">
        <v>6</v>
      </c>
      <c r="D10">
        <v>83</v>
      </c>
      <c r="E10">
        <f t="shared" si="0"/>
        <v>7.2289156626506017</v>
      </c>
      <c r="F10">
        <f>AVERAGE(E10:E12)</f>
        <v>9.8932402238650496</v>
      </c>
      <c r="G10">
        <f>STDEV(E10:E12)/SQRT(3)</f>
        <v>4.4638279457177488</v>
      </c>
      <c r="J10" s="137"/>
      <c r="K10" s="46" t="s">
        <v>93</v>
      </c>
      <c r="L10" s="46">
        <v>0</v>
      </c>
      <c r="M10" s="77">
        <v>0</v>
      </c>
    </row>
    <row r="11" spans="1:13" ht="16" thickBot="1">
      <c r="A11" s="135"/>
      <c r="B11" t="s">
        <v>186</v>
      </c>
      <c r="C11">
        <v>2</v>
      </c>
      <c r="D11">
        <v>52</v>
      </c>
      <c r="E11">
        <f t="shared" si="0"/>
        <v>3.8461538461538463</v>
      </c>
      <c r="J11" s="138"/>
      <c r="K11" s="79" t="s">
        <v>134</v>
      </c>
      <c r="L11" s="79">
        <f>F16</f>
        <v>0</v>
      </c>
      <c r="M11" s="80">
        <f>G16</f>
        <v>0</v>
      </c>
    </row>
    <row r="12" spans="1:13">
      <c r="A12" s="135"/>
      <c r="B12" t="s">
        <v>186</v>
      </c>
      <c r="C12">
        <v>16</v>
      </c>
      <c r="D12">
        <v>86</v>
      </c>
      <c r="E12">
        <f t="shared" si="0"/>
        <v>18.604651162790699</v>
      </c>
    </row>
    <row r="13" spans="1:13">
      <c r="A13" s="135"/>
      <c r="B13" t="s">
        <v>187</v>
      </c>
      <c r="C13">
        <v>0</v>
      </c>
      <c r="D13">
        <v>73</v>
      </c>
      <c r="E13">
        <f t="shared" si="0"/>
        <v>0</v>
      </c>
      <c r="F13">
        <f>AVERAGE(E13:E15)</f>
        <v>0</v>
      </c>
      <c r="G13">
        <f>STDEV(E13:E15)/SQRT(3)</f>
        <v>0</v>
      </c>
    </row>
    <row r="14" spans="1:13">
      <c r="A14" s="135"/>
      <c r="B14" t="s">
        <v>187</v>
      </c>
      <c r="C14">
        <v>0</v>
      </c>
      <c r="D14">
        <v>57</v>
      </c>
      <c r="E14">
        <f t="shared" si="0"/>
        <v>0</v>
      </c>
    </row>
    <row r="15" spans="1:13">
      <c r="A15" s="135"/>
      <c r="B15" t="s">
        <v>187</v>
      </c>
      <c r="C15">
        <v>0</v>
      </c>
      <c r="D15">
        <v>46</v>
      </c>
      <c r="E15">
        <f t="shared" si="0"/>
        <v>0</v>
      </c>
    </row>
    <row r="16" spans="1:13">
      <c r="A16" s="135"/>
      <c r="B16" t="s">
        <v>189</v>
      </c>
      <c r="C16">
        <v>0</v>
      </c>
      <c r="D16">
        <v>90</v>
      </c>
      <c r="E16">
        <f t="shared" si="0"/>
        <v>0</v>
      </c>
      <c r="F16">
        <f>AVERAGE(E16:E18)</f>
        <v>0</v>
      </c>
      <c r="G16">
        <f>STDEV(E16:E18)/SQRT(3)</f>
        <v>0</v>
      </c>
    </row>
    <row r="17" spans="1:13">
      <c r="A17" s="135"/>
      <c r="B17" t="s">
        <v>189</v>
      </c>
      <c r="C17">
        <v>0</v>
      </c>
      <c r="D17">
        <v>82</v>
      </c>
      <c r="E17">
        <f t="shared" si="0"/>
        <v>0</v>
      </c>
    </row>
    <row r="18" spans="1:13">
      <c r="A18" s="135"/>
      <c r="B18" t="s">
        <v>189</v>
      </c>
      <c r="C18">
        <v>0</v>
      </c>
      <c r="D18">
        <v>113</v>
      </c>
      <c r="E18">
        <f t="shared" si="0"/>
        <v>0</v>
      </c>
    </row>
    <row r="21" spans="1:13" ht="15" customHeight="1">
      <c r="B21" s="139" t="s">
        <v>175</v>
      </c>
      <c r="C21" s="139"/>
      <c r="D21" s="139"/>
      <c r="E21" s="139"/>
      <c r="F21" s="139"/>
      <c r="G21" s="139"/>
    </row>
    <row r="22" spans="1:13">
      <c r="C22" t="s">
        <v>171</v>
      </c>
      <c r="D22" t="s">
        <v>172</v>
      </c>
      <c r="E22" t="s">
        <v>173</v>
      </c>
      <c r="F22" t="s">
        <v>87</v>
      </c>
      <c r="G22" t="s">
        <v>89</v>
      </c>
    </row>
    <row r="23" spans="1:13" ht="15" customHeight="1">
      <c r="A23" s="135" t="s">
        <v>135</v>
      </c>
      <c r="B23" t="s">
        <v>217</v>
      </c>
      <c r="C23">
        <v>3</v>
      </c>
      <c r="D23">
        <v>53</v>
      </c>
      <c r="E23">
        <f>(C23/D23)*100</f>
        <v>5.6603773584905666</v>
      </c>
      <c r="F23">
        <f>AVERAGE(E23:E28)</f>
        <v>7.4484607271317698</v>
      </c>
      <c r="G23">
        <f>STDEV(E23:E28)/SQRT(6)</f>
        <v>1.1174475174134446</v>
      </c>
    </row>
    <row r="24" spans="1:13">
      <c r="A24" s="135"/>
      <c r="B24" t="s">
        <v>217</v>
      </c>
      <c r="C24">
        <v>4</v>
      </c>
      <c r="D24">
        <v>91</v>
      </c>
      <c r="E24">
        <f t="shared" ref="E24:E42" si="1">(C24/D24)*100</f>
        <v>4.395604395604396</v>
      </c>
    </row>
    <row r="25" spans="1:13" ht="16" thickBot="1">
      <c r="A25" s="135"/>
      <c r="B25" t="s">
        <v>217</v>
      </c>
      <c r="C25">
        <v>14</v>
      </c>
      <c r="D25">
        <v>125</v>
      </c>
      <c r="E25">
        <f t="shared" si="1"/>
        <v>11.200000000000001</v>
      </c>
    </row>
    <row r="26" spans="1:13">
      <c r="A26" s="135"/>
      <c r="B26" t="s">
        <v>217</v>
      </c>
      <c r="C26">
        <v>9</v>
      </c>
      <c r="D26">
        <v>90</v>
      </c>
      <c r="E26">
        <f t="shared" si="1"/>
        <v>10</v>
      </c>
      <c r="J26" s="72"/>
      <c r="K26" s="73"/>
      <c r="L26" s="73" t="s">
        <v>87</v>
      </c>
      <c r="M26" s="74" t="s">
        <v>88</v>
      </c>
    </row>
    <row r="27" spans="1:13">
      <c r="A27" s="135"/>
      <c r="B27" t="s">
        <v>217</v>
      </c>
      <c r="C27">
        <v>5</v>
      </c>
      <c r="D27">
        <v>92</v>
      </c>
      <c r="E27">
        <f t="shared" si="1"/>
        <v>5.4347826086956523</v>
      </c>
      <c r="J27" s="137" t="s">
        <v>135</v>
      </c>
      <c r="K27" s="46" t="s">
        <v>74</v>
      </c>
      <c r="L27" s="46">
        <f>F23</f>
        <v>7.4484607271317698</v>
      </c>
      <c r="M27" s="77">
        <f>G23</f>
        <v>1.1174475174134446</v>
      </c>
    </row>
    <row r="28" spans="1:13">
      <c r="A28" s="135"/>
      <c r="B28" t="s">
        <v>217</v>
      </c>
      <c r="C28">
        <v>14</v>
      </c>
      <c r="D28">
        <v>175</v>
      </c>
      <c r="E28">
        <f t="shared" si="1"/>
        <v>8</v>
      </c>
      <c r="J28" s="137"/>
      <c r="K28" s="46" t="s">
        <v>176</v>
      </c>
      <c r="L28" s="46">
        <f>F29</f>
        <v>0.63497822931785197</v>
      </c>
      <c r="M28" s="77">
        <f>G29</f>
        <v>0.4016228123452053</v>
      </c>
    </row>
    <row r="29" spans="1:13" ht="16" thickBot="1">
      <c r="A29" s="135"/>
      <c r="B29" t="s">
        <v>218</v>
      </c>
      <c r="C29">
        <v>0</v>
      </c>
      <c r="D29">
        <v>91</v>
      </c>
      <c r="E29">
        <f t="shared" si="1"/>
        <v>0</v>
      </c>
      <c r="F29">
        <f>AVERAGE(E29:E34)</f>
        <v>0.63497822931785197</v>
      </c>
      <c r="G29">
        <f>STDEV(E29:E34)/SQRT(6)</f>
        <v>0.4016228123452053</v>
      </c>
      <c r="J29" s="138"/>
      <c r="K29" s="79" t="s">
        <v>134</v>
      </c>
      <c r="L29" s="79">
        <f>F35</f>
        <v>0.11682242990654204</v>
      </c>
      <c r="M29" s="80">
        <f>G35</f>
        <v>0.11682242990654203</v>
      </c>
    </row>
    <row r="30" spans="1:13">
      <c r="A30" s="135"/>
      <c r="B30" t="s">
        <v>218</v>
      </c>
      <c r="C30">
        <v>0</v>
      </c>
      <c r="D30">
        <v>76</v>
      </c>
      <c r="E30">
        <f t="shared" si="1"/>
        <v>0</v>
      </c>
    </row>
    <row r="31" spans="1:13">
      <c r="A31" s="135"/>
      <c r="B31" t="s">
        <v>218</v>
      </c>
      <c r="C31">
        <v>0</v>
      </c>
      <c r="D31">
        <v>135</v>
      </c>
      <c r="E31">
        <f t="shared" si="1"/>
        <v>0</v>
      </c>
    </row>
    <row r="32" spans="1:13">
      <c r="A32" s="135"/>
      <c r="B32" t="s">
        <v>218</v>
      </c>
      <c r="C32">
        <v>2</v>
      </c>
      <c r="D32">
        <v>106</v>
      </c>
      <c r="E32">
        <f t="shared" si="1"/>
        <v>1.8867924528301887</v>
      </c>
    </row>
    <row r="33" spans="1:7">
      <c r="A33" s="135"/>
      <c r="B33" t="s">
        <v>218</v>
      </c>
      <c r="C33">
        <v>1</v>
      </c>
      <c r="D33">
        <v>52</v>
      </c>
      <c r="E33">
        <f t="shared" si="1"/>
        <v>1.9230769230769231</v>
      </c>
    </row>
    <row r="34" spans="1:7">
      <c r="A34" s="135"/>
      <c r="B34" t="s">
        <v>218</v>
      </c>
      <c r="C34">
        <v>0</v>
      </c>
      <c r="D34">
        <v>52</v>
      </c>
      <c r="E34">
        <f t="shared" si="1"/>
        <v>0</v>
      </c>
    </row>
    <row r="35" spans="1:7">
      <c r="A35" s="135"/>
      <c r="B35" t="s">
        <v>189</v>
      </c>
      <c r="C35">
        <v>0</v>
      </c>
      <c r="D35">
        <v>71</v>
      </c>
      <c r="E35">
        <f t="shared" si="1"/>
        <v>0</v>
      </c>
      <c r="F35">
        <f>AVERAGE(E35:E42)</f>
        <v>0.11682242990654204</v>
      </c>
      <c r="G35">
        <f>STDEV(E35:E42)/SQRT(8)</f>
        <v>0.11682242990654203</v>
      </c>
    </row>
    <row r="36" spans="1:7">
      <c r="A36" s="135"/>
      <c r="B36" t="s">
        <v>189</v>
      </c>
      <c r="C36">
        <v>0</v>
      </c>
      <c r="D36">
        <v>69</v>
      </c>
      <c r="E36">
        <f t="shared" si="1"/>
        <v>0</v>
      </c>
    </row>
    <row r="37" spans="1:7">
      <c r="A37" s="135"/>
      <c r="B37" t="s">
        <v>189</v>
      </c>
      <c r="C37">
        <v>0</v>
      </c>
      <c r="D37">
        <v>132</v>
      </c>
      <c r="E37">
        <f t="shared" si="1"/>
        <v>0</v>
      </c>
    </row>
    <row r="38" spans="1:7">
      <c r="A38" s="135"/>
      <c r="B38" t="s">
        <v>189</v>
      </c>
      <c r="C38">
        <v>0</v>
      </c>
      <c r="D38">
        <v>60</v>
      </c>
      <c r="E38">
        <f t="shared" si="1"/>
        <v>0</v>
      </c>
    </row>
    <row r="39" spans="1:7">
      <c r="A39" s="135"/>
      <c r="B39" t="s">
        <v>189</v>
      </c>
      <c r="C39">
        <v>0</v>
      </c>
      <c r="D39">
        <v>87</v>
      </c>
      <c r="E39">
        <f t="shared" si="1"/>
        <v>0</v>
      </c>
    </row>
    <row r="40" spans="1:7">
      <c r="A40" s="135"/>
      <c r="B40" t="s">
        <v>189</v>
      </c>
      <c r="C40">
        <v>1</v>
      </c>
      <c r="D40">
        <v>107</v>
      </c>
      <c r="E40">
        <f t="shared" si="1"/>
        <v>0.93457943925233633</v>
      </c>
    </row>
    <row r="41" spans="1:7">
      <c r="A41" s="135"/>
      <c r="B41" t="s">
        <v>189</v>
      </c>
      <c r="C41">
        <v>0</v>
      </c>
      <c r="D41">
        <v>119</v>
      </c>
      <c r="E41">
        <f t="shared" si="1"/>
        <v>0</v>
      </c>
    </row>
    <row r="42" spans="1:7">
      <c r="A42" s="135"/>
      <c r="B42" t="s">
        <v>189</v>
      </c>
      <c r="C42">
        <v>0</v>
      </c>
      <c r="D42">
        <v>55</v>
      </c>
      <c r="E42">
        <f t="shared" si="1"/>
        <v>0</v>
      </c>
    </row>
  </sheetData>
  <mergeCells count="8">
    <mergeCell ref="A23:A42"/>
    <mergeCell ref="J27:J29"/>
    <mergeCell ref="B1:G1"/>
    <mergeCell ref="A3:A9"/>
    <mergeCell ref="J6:J8"/>
    <mergeCell ref="J9:J11"/>
    <mergeCell ref="A10:A18"/>
    <mergeCell ref="B21:G2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B37"/>
  <sheetViews>
    <sheetView zoomScale="130" zoomScaleNormal="130" workbookViewId="0">
      <selection activeCell="L48" sqref="L48"/>
    </sheetView>
  </sheetViews>
  <sheetFormatPr baseColWidth="10" defaultColWidth="8.83203125" defaultRowHeight="15"/>
  <sheetData>
    <row r="2" spans="2:2">
      <c r="B2" s="1" t="s">
        <v>177</v>
      </c>
    </row>
    <row r="5" spans="2:2">
      <c r="B5" s="136" t="s">
        <v>235</v>
      </c>
    </row>
    <row r="6" spans="2:2">
      <c r="B6" s="136"/>
    </row>
    <row r="7" spans="2:2">
      <c r="B7" s="136"/>
    </row>
    <row r="8" spans="2:2">
      <c r="B8" s="136"/>
    </row>
    <row r="9" spans="2:2">
      <c r="B9" s="136"/>
    </row>
    <row r="10" spans="2:2">
      <c r="B10" s="136"/>
    </row>
    <row r="11" spans="2:2">
      <c r="B11" s="136"/>
    </row>
    <row r="12" spans="2:2">
      <c r="B12" s="136"/>
    </row>
    <row r="13" spans="2:2">
      <c r="B13" s="136"/>
    </row>
    <row r="14" spans="2:2">
      <c r="B14" s="136"/>
    </row>
    <row r="15" spans="2:2">
      <c r="B15" s="136"/>
    </row>
    <row r="16" spans="2:2">
      <c r="B16" s="136"/>
    </row>
    <row r="17" spans="2:2">
      <c r="B17" s="136"/>
    </row>
    <row r="18" spans="2:2">
      <c r="B18" s="136"/>
    </row>
    <row r="19" spans="2:2">
      <c r="B19" s="136"/>
    </row>
    <row r="20" spans="2:2">
      <c r="B20" s="136"/>
    </row>
    <row r="21" spans="2:2">
      <c r="B21" s="136"/>
    </row>
    <row r="22" spans="2:2">
      <c r="B22" s="136"/>
    </row>
    <row r="23" spans="2:2">
      <c r="B23" s="136"/>
    </row>
    <row r="24" spans="2:2">
      <c r="B24" s="136"/>
    </row>
    <row r="25" spans="2:2">
      <c r="B25" s="136"/>
    </row>
    <row r="26" spans="2:2">
      <c r="B26" s="136"/>
    </row>
    <row r="27" spans="2:2">
      <c r="B27" s="136"/>
    </row>
    <row r="28" spans="2:2">
      <c r="B28" s="136"/>
    </row>
    <row r="29" spans="2:2">
      <c r="B29" s="136"/>
    </row>
    <row r="30" spans="2:2">
      <c r="B30" s="136"/>
    </row>
    <row r="31" spans="2:2">
      <c r="B31" s="136"/>
    </row>
    <row r="32" spans="2:2">
      <c r="B32" s="136"/>
    </row>
    <row r="33" spans="2:2">
      <c r="B33" s="136"/>
    </row>
    <row r="34" spans="2:2">
      <c r="B34" s="136"/>
    </row>
    <row r="35" spans="2:2">
      <c r="B35" s="136"/>
    </row>
    <row r="36" spans="2:2">
      <c r="B36" s="136"/>
    </row>
    <row r="37" spans="2:2">
      <c r="B37" s="136"/>
    </row>
  </sheetData>
  <mergeCells count="1">
    <mergeCell ref="B5:B37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1:AC49"/>
  <sheetViews>
    <sheetView zoomScale="70" zoomScaleNormal="70" workbookViewId="0">
      <selection activeCell="AC4" sqref="AC4:AC5"/>
    </sheetView>
  </sheetViews>
  <sheetFormatPr baseColWidth="10" defaultColWidth="8.83203125" defaultRowHeight="15"/>
  <sheetData>
    <row r="1" spans="2:29" ht="16" thickBot="1"/>
    <row r="2" spans="2:29">
      <c r="B2" s="25"/>
      <c r="C2" s="3"/>
      <c r="D2" s="3"/>
      <c r="E2" s="3"/>
      <c r="F2" s="3"/>
      <c r="G2" s="3"/>
      <c r="H2" s="3"/>
      <c r="I2" s="3"/>
      <c r="J2" s="3"/>
      <c r="K2" s="3"/>
      <c r="L2" s="4"/>
      <c r="O2" s="2"/>
      <c r="P2" s="3"/>
      <c r="Q2" s="3"/>
      <c r="R2" s="3"/>
      <c r="S2" s="3"/>
      <c r="T2" s="3"/>
      <c r="U2" s="3"/>
      <c r="V2" s="3"/>
      <c r="W2" s="3"/>
      <c r="X2" s="4"/>
    </row>
    <row r="3" spans="2:29">
      <c r="B3" s="5"/>
      <c r="C3" s="6"/>
      <c r="D3" s="6"/>
      <c r="E3" s="6"/>
      <c r="F3" s="6"/>
      <c r="G3" s="6"/>
      <c r="H3" s="6"/>
      <c r="I3" s="6"/>
      <c r="J3" s="6"/>
      <c r="K3" s="6"/>
      <c r="L3" s="7"/>
      <c r="O3" s="5"/>
      <c r="P3" s="6"/>
      <c r="Q3" s="6"/>
      <c r="R3" s="6"/>
      <c r="S3" s="6"/>
      <c r="T3" s="6"/>
      <c r="U3" s="6"/>
      <c r="V3" s="6"/>
      <c r="W3" s="6"/>
      <c r="X3" s="7"/>
    </row>
    <row r="4" spans="2:29">
      <c r="B4" s="5"/>
      <c r="C4" s="6"/>
      <c r="D4" s="6"/>
      <c r="E4" s="6"/>
      <c r="F4" s="6"/>
      <c r="G4" s="6"/>
      <c r="H4" s="6"/>
      <c r="I4" s="6"/>
      <c r="J4" s="6"/>
      <c r="K4" s="6"/>
      <c r="L4" s="7"/>
      <c r="O4" s="5"/>
      <c r="P4" s="6"/>
      <c r="Q4" s="6"/>
      <c r="R4" s="6"/>
      <c r="S4" s="6"/>
      <c r="T4" s="6"/>
      <c r="U4" s="6"/>
      <c r="V4" s="6"/>
      <c r="W4" s="6"/>
      <c r="X4" s="7"/>
      <c r="AC4" t="s">
        <v>236</v>
      </c>
    </row>
    <row r="5" spans="2:29">
      <c r="B5" s="5"/>
      <c r="C5" s="140" t="s">
        <v>234</v>
      </c>
      <c r="D5" s="140"/>
      <c r="E5" s="140"/>
      <c r="F5" s="140"/>
      <c r="G5" s="140"/>
      <c r="H5" s="140"/>
      <c r="I5" s="140"/>
      <c r="J5" s="140"/>
      <c r="K5" s="140"/>
      <c r="L5" s="7"/>
      <c r="O5" s="5"/>
      <c r="P5" s="140" t="s">
        <v>235</v>
      </c>
      <c r="Q5" s="140"/>
      <c r="R5" s="140"/>
      <c r="S5" s="140"/>
      <c r="T5" s="140"/>
      <c r="U5" s="140"/>
      <c r="V5" s="140"/>
      <c r="W5" s="140"/>
      <c r="X5" s="114"/>
      <c r="AC5" t="s">
        <v>237</v>
      </c>
    </row>
    <row r="6" spans="2:29">
      <c r="B6" s="28"/>
      <c r="C6" s="6"/>
      <c r="D6" s="6"/>
      <c r="E6" s="6"/>
      <c r="F6" s="6"/>
      <c r="G6" s="6"/>
      <c r="H6" s="6"/>
      <c r="I6" s="6"/>
      <c r="J6" s="6"/>
      <c r="K6" s="6"/>
      <c r="L6" s="7"/>
      <c r="O6" s="5"/>
      <c r="P6" s="6"/>
      <c r="Q6" s="6"/>
      <c r="R6" s="6"/>
      <c r="S6" s="6"/>
      <c r="T6" s="6"/>
      <c r="U6" s="6"/>
      <c r="V6" s="6"/>
      <c r="W6" s="6"/>
      <c r="X6" s="7"/>
    </row>
    <row r="7" spans="2:29">
      <c r="B7" s="5"/>
      <c r="C7" s="6"/>
      <c r="D7" s="6"/>
      <c r="E7" s="6"/>
      <c r="F7" s="6"/>
      <c r="G7" s="6"/>
      <c r="H7" s="6"/>
      <c r="I7" s="6"/>
      <c r="J7" s="6"/>
      <c r="K7" s="6"/>
      <c r="L7" s="7"/>
      <c r="O7" s="5"/>
      <c r="P7" s="6"/>
      <c r="Q7" s="6"/>
      <c r="R7" s="6"/>
      <c r="S7" s="6"/>
      <c r="T7" s="6"/>
      <c r="U7" s="6"/>
      <c r="V7" s="6"/>
      <c r="W7" s="6"/>
      <c r="X7" s="7"/>
    </row>
    <row r="8" spans="2:29">
      <c r="B8" s="5"/>
      <c r="C8" s="6"/>
      <c r="D8" s="6"/>
      <c r="E8" s="6"/>
      <c r="F8" s="6"/>
      <c r="G8" s="6"/>
      <c r="H8" s="6"/>
      <c r="I8" s="6"/>
      <c r="J8" s="6"/>
      <c r="K8" s="6"/>
      <c r="L8" s="7"/>
      <c r="O8" s="5"/>
      <c r="P8" s="6"/>
      <c r="Q8" s="6"/>
      <c r="R8" s="6"/>
      <c r="S8" s="6"/>
      <c r="T8" s="6"/>
      <c r="U8" s="6"/>
      <c r="V8" s="6"/>
      <c r="W8" s="6"/>
      <c r="X8" s="7"/>
    </row>
    <row r="9" spans="2:29">
      <c r="B9" s="5"/>
      <c r="C9" s="6"/>
      <c r="D9" s="6"/>
      <c r="E9" s="6"/>
      <c r="F9" s="6"/>
      <c r="G9" s="6"/>
      <c r="H9" s="6"/>
      <c r="I9" s="6"/>
      <c r="J9" s="6"/>
      <c r="K9" s="6"/>
      <c r="L9" s="7"/>
      <c r="O9" s="5"/>
      <c r="P9" s="6"/>
      <c r="Q9" s="6"/>
      <c r="R9" s="6"/>
      <c r="S9" s="6"/>
      <c r="T9" s="6"/>
      <c r="U9" s="6"/>
      <c r="V9" s="6"/>
      <c r="W9" s="6"/>
      <c r="X9" s="7"/>
      <c r="Y9" t="s">
        <v>178</v>
      </c>
    </row>
    <row r="10" spans="2:29">
      <c r="B10" s="5"/>
      <c r="C10" s="6"/>
      <c r="D10" s="6"/>
      <c r="E10" s="6"/>
      <c r="F10" s="6"/>
      <c r="G10" s="6"/>
      <c r="H10" s="6"/>
      <c r="I10" s="6"/>
      <c r="J10" s="6"/>
      <c r="K10" s="6"/>
      <c r="L10" s="7"/>
      <c r="O10" s="5"/>
      <c r="P10" s="6"/>
      <c r="Q10" s="6"/>
      <c r="R10" s="6"/>
      <c r="S10" s="6"/>
      <c r="T10" s="6"/>
      <c r="U10" s="6"/>
      <c r="V10" s="6"/>
      <c r="W10" s="6"/>
      <c r="X10" s="7"/>
    </row>
    <row r="11" spans="2:29">
      <c r="B11" s="5"/>
      <c r="C11" s="6"/>
      <c r="D11" s="6"/>
      <c r="E11" s="6"/>
      <c r="F11" s="6"/>
      <c r="G11" s="6"/>
      <c r="H11" s="6"/>
      <c r="I11" s="6"/>
      <c r="J11" s="6"/>
      <c r="K11" s="6"/>
      <c r="L11" s="7"/>
      <c r="O11" s="5"/>
      <c r="P11" s="6"/>
      <c r="Q11" s="6"/>
      <c r="R11" s="6"/>
      <c r="S11" s="6"/>
      <c r="T11" s="6"/>
      <c r="U11" s="6"/>
      <c r="V11" s="6"/>
      <c r="W11" s="6"/>
      <c r="X11" s="7"/>
    </row>
    <row r="12" spans="2:29">
      <c r="B12" s="5"/>
      <c r="C12" s="6"/>
      <c r="D12" s="6"/>
      <c r="E12" s="6"/>
      <c r="F12" s="6"/>
      <c r="G12" s="6"/>
      <c r="H12" s="6"/>
      <c r="I12" s="6"/>
      <c r="J12" s="6"/>
      <c r="K12" s="6"/>
      <c r="L12" s="7"/>
      <c r="O12" s="5"/>
      <c r="P12" s="6"/>
      <c r="Q12" s="6"/>
      <c r="R12" s="6"/>
      <c r="S12" s="6"/>
      <c r="T12" s="6"/>
      <c r="U12" s="6"/>
      <c r="V12" s="6"/>
      <c r="W12" s="6"/>
      <c r="X12" s="7"/>
    </row>
    <row r="13" spans="2:29">
      <c r="B13" s="5"/>
      <c r="C13" s="6"/>
      <c r="D13" s="6"/>
      <c r="E13" s="6"/>
      <c r="F13" s="6"/>
      <c r="G13" s="6"/>
      <c r="H13" s="6"/>
      <c r="I13" s="6"/>
      <c r="J13" s="6"/>
      <c r="K13" s="6"/>
      <c r="L13" s="7"/>
      <c r="O13" s="5"/>
      <c r="P13" s="6"/>
      <c r="Q13" s="6"/>
      <c r="R13" s="6"/>
      <c r="S13" s="6"/>
      <c r="T13" s="6"/>
      <c r="U13" s="6"/>
      <c r="V13" s="6"/>
      <c r="W13" s="6"/>
      <c r="X13" s="7"/>
    </row>
    <row r="14" spans="2:29">
      <c r="B14" s="5"/>
      <c r="C14" s="6"/>
      <c r="D14" s="6"/>
      <c r="E14" s="6"/>
      <c r="F14" s="6"/>
      <c r="G14" s="6"/>
      <c r="H14" s="6"/>
      <c r="I14" s="6"/>
      <c r="J14" s="6"/>
      <c r="K14" s="6"/>
      <c r="L14" s="7"/>
      <c r="O14" s="5"/>
      <c r="P14" s="6"/>
      <c r="Q14" s="6"/>
      <c r="R14" s="6"/>
      <c r="S14" s="6"/>
      <c r="T14" s="6"/>
      <c r="U14" s="6"/>
      <c r="V14" s="6"/>
      <c r="W14" s="6"/>
      <c r="X14" s="7"/>
    </row>
    <row r="15" spans="2:29">
      <c r="B15" s="5"/>
      <c r="C15" s="6"/>
      <c r="D15" s="6"/>
      <c r="E15" s="6"/>
      <c r="F15" s="6"/>
      <c r="G15" s="6"/>
      <c r="H15" s="6"/>
      <c r="I15" s="6"/>
      <c r="J15" s="6"/>
      <c r="K15" s="6"/>
      <c r="L15" s="7"/>
      <c r="O15" s="5"/>
      <c r="P15" s="6"/>
      <c r="Q15" s="6"/>
      <c r="R15" s="6"/>
      <c r="S15" s="6"/>
      <c r="T15" s="6"/>
      <c r="U15" s="6"/>
      <c r="V15" s="6"/>
      <c r="W15" s="6"/>
      <c r="X15" s="7"/>
    </row>
    <row r="16" spans="2:29">
      <c r="B16" s="5"/>
      <c r="C16" s="6"/>
      <c r="D16" s="6"/>
      <c r="E16" s="6"/>
      <c r="F16" s="6"/>
      <c r="G16" s="6"/>
      <c r="H16" s="6"/>
      <c r="I16" s="6"/>
      <c r="J16" s="6"/>
      <c r="K16" s="6"/>
      <c r="L16" s="7"/>
      <c r="O16" s="5"/>
      <c r="P16" s="6"/>
      <c r="Q16" s="6"/>
      <c r="R16" s="6"/>
      <c r="S16" s="6"/>
      <c r="T16" s="6"/>
      <c r="U16" s="6"/>
      <c r="V16" s="6"/>
      <c r="W16" s="6"/>
      <c r="X16" s="7"/>
    </row>
    <row r="17" spans="2:25">
      <c r="B17" s="5"/>
      <c r="C17" s="6"/>
      <c r="D17" s="6"/>
      <c r="E17" s="6"/>
      <c r="F17" s="6"/>
      <c r="G17" s="6"/>
      <c r="H17" s="6"/>
      <c r="I17" s="6"/>
      <c r="J17" s="6"/>
      <c r="K17" s="6"/>
      <c r="L17" s="7"/>
      <c r="O17" s="5"/>
      <c r="P17" s="6"/>
      <c r="Q17" s="6"/>
      <c r="R17" s="6"/>
      <c r="S17" s="6"/>
      <c r="T17" s="6"/>
      <c r="U17" s="6"/>
      <c r="V17" s="6"/>
      <c r="W17" s="6"/>
      <c r="X17" s="7"/>
    </row>
    <row r="18" spans="2:25">
      <c r="B18" s="5"/>
      <c r="C18" s="6"/>
      <c r="D18" s="6"/>
      <c r="E18" s="6"/>
      <c r="F18" s="6"/>
      <c r="G18" s="6"/>
      <c r="H18" s="6"/>
      <c r="I18" s="6"/>
      <c r="J18" s="6"/>
      <c r="K18" s="6"/>
      <c r="L18" s="7"/>
      <c r="O18" s="5"/>
      <c r="P18" s="6"/>
      <c r="Q18" s="6"/>
      <c r="R18" s="6"/>
      <c r="S18" s="6"/>
      <c r="T18" s="6"/>
      <c r="U18" s="6"/>
      <c r="V18" s="6"/>
      <c r="W18" s="6"/>
      <c r="X18" s="7"/>
    </row>
    <row r="19" spans="2:25">
      <c r="B19" s="5"/>
      <c r="C19" s="6"/>
      <c r="D19" s="6"/>
      <c r="E19" s="6"/>
      <c r="F19" s="6"/>
      <c r="G19" s="6"/>
      <c r="H19" s="6"/>
      <c r="I19" s="6"/>
      <c r="J19" s="6"/>
      <c r="K19" s="6"/>
      <c r="L19" s="7"/>
      <c r="O19" s="5"/>
      <c r="P19" s="6"/>
      <c r="Q19" s="6"/>
      <c r="R19" s="6"/>
      <c r="S19" s="6"/>
      <c r="T19" s="6"/>
      <c r="U19" s="6"/>
      <c r="V19" s="6"/>
      <c r="W19" s="6"/>
      <c r="X19" s="7"/>
    </row>
    <row r="20" spans="2:25">
      <c r="B20" s="5"/>
      <c r="C20" s="6"/>
      <c r="D20" s="6"/>
      <c r="E20" s="6"/>
      <c r="F20" s="6"/>
      <c r="G20" s="6"/>
      <c r="H20" s="6"/>
      <c r="I20" s="6"/>
      <c r="J20" s="6"/>
      <c r="K20" s="6"/>
      <c r="L20" s="7"/>
      <c r="O20" s="5"/>
      <c r="P20" s="6"/>
      <c r="Q20" s="6"/>
      <c r="R20" s="6"/>
      <c r="S20" s="6"/>
      <c r="T20" s="6"/>
      <c r="U20" s="6"/>
      <c r="V20" s="6"/>
      <c r="W20" s="6"/>
      <c r="X20" s="7"/>
    </row>
    <row r="21" spans="2:25">
      <c r="B21" s="5"/>
      <c r="C21" s="6"/>
      <c r="D21" s="6"/>
      <c r="E21" s="6"/>
      <c r="F21" s="6"/>
      <c r="G21" s="6"/>
      <c r="H21" s="6"/>
      <c r="I21" s="6"/>
      <c r="J21" s="6"/>
      <c r="K21" s="6"/>
      <c r="L21" s="7"/>
      <c r="O21" s="5"/>
      <c r="P21" s="6"/>
      <c r="Q21" s="6"/>
      <c r="R21" s="6"/>
      <c r="S21" s="6"/>
      <c r="T21" s="6"/>
      <c r="U21" s="6"/>
      <c r="V21" s="6"/>
      <c r="W21" s="6"/>
      <c r="X21" s="7"/>
    </row>
    <row r="22" spans="2:25">
      <c r="B22" s="5"/>
      <c r="C22" s="6"/>
      <c r="D22" s="6"/>
      <c r="E22" s="6"/>
      <c r="F22" s="6"/>
      <c r="G22" s="6"/>
      <c r="H22" s="6"/>
      <c r="I22" s="6"/>
      <c r="J22" s="6"/>
      <c r="K22" s="6"/>
      <c r="L22" s="7"/>
      <c r="O22" s="5"/>
      <c r="P22" s="6"/>
      <c r="Q22" s="6"/>
      <c r="R22" s="6"/>
      <c r="S22" s="6"/>
      <c r="T22" s="6"/>
      <c r="U22" s="6"/>
      <c r="V22" s="6"/>
      <c r="W22" s="6"/>
      <c r="X22" s="7"/>
    </row>
    <row r="23" spans="2:25">
      <c r="B23" s="5"/>
      <c r="C23" s="6"/>
      <c r="D23" s="6"/>
      <c r="E23" s="6"/>
      <c r="F23" s="6"/>
      <c r="G23" s="6"/>
      <c r="H23" s="6"/>
      <c r="I23" s="6"/>
      <c r="J23" s="6"/>
      <c r="K23" s="6"/>
      <c r="L23" s="7"/>
      <c r="O23" s="5"/>
      <c r="P23" s="6"/>
      <c r="Q23" s="6"/>
      <c r="R23" s="6"/>
      <c r="S23" s="6"/>
      <c r="T23" s="6"/>
      <c r="U23" s="6"/>
      <c r="V23" s="6"/>
      <c r="W23" s="6"/>
      <c r="X23" s="7"/>
    </row>
    <row r="24" spans="2:25">
      <c r="B24" s="5"/>
      <c r="C24" s="6"/>
      <c r="D24" s="6"/>
      <c r="E24" s="6"/>
      <c r="F24" s="6"/>
      <c r="G24" s="6"/>
      <c r="H24" s="6"/>
      <c r="I24" s="6"/>
      <c r="J24" s="6"/>
      <c r="K24" s="6"/>
      <c r="L24" s="7"/>
      <c r="O24" s="5"/>
      <c r="P24" s="6"/>
      <c r="Q24" s="6"/>
      <c r="R24" s="6"/>
      <c r="S24" s="6"/>
      <c r="T24" s="6"/>
      <c r="U24" s="6"/>
      <c r="V24" s="6"/>
      <c r="W24" s="6"/>
      <c r="X24" s="7"/>
    </row>
    <row r="25" spans="2:25"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  <c r="O25" s="5"/>
      <c r="P25" s="6"/>
      <c r="Q25" s="6"/>
      <c r="R25" s="6"/>
      <c r="S25" s="6"/>
      <c r="T25" s="6"/>
      <c r="U25" s="6"/>
      <c r="V25" s="6"/>
      <c r="W25" s="6"/>
      <c r="X25" s="7"/>
    </row>
    <row r="26" spans="2:25">
      <c r="B26" s="5"/>
      <c r="C26" s="6"/>
      <c r="D26" s="6"/>
      <c r="E26" s="6"/>
      <c r="F26" s="6"/>
      <c r="G26" s="6"/>
      <c r="H26" s="6"/>
      <c r="I26" s="6"/>
      <c r="J26" s="6"/>
      <c r="K26" s="6"/>
      <c r="L26" s="7"/>
      <c r="O26" s="5"/>
      <c r="P26" s="6"/>
      <c r="Q26" s="6"/>
      <c r="R26" s="6"/>
      <c r="S26" s="6"/>
      <c r="T26" s="6"/>
      <c r="U26" s="6"/>
      <c r="V26" s="6"/>
      <c r="W26" s="6"/>
      <c r="X26" s="7"/>
    </row>
    <row r="27" spans="2:25">
      <c r="B27" s="5"/>
      <c r="C27" s="6"/>
      <c r="D27" s="6"/>
      <c r="E27" s="6"/>
      <c r="F27" s="6"/>
      <c r="G27" s="6"/>
      <c r="H27" s="6"/>
      <c r="I27" s="6"/>
      <c r="J27" s="6"/>
      <c r="K27" s="6"/>
      <c r="L27" s="7"/>
      <c r="O27" s="5"/>
      <c r="P27" s="6"/>
      <c r="Q27" s="6"/>
      <c r="R27" s="6"/>
      <c r="S27" s="6"/>
      <c r="T27" s="6"/>
      <c r="U27" s="6"/>
      <c r="V27" s="6"/>
      <c r="W27" s="6"/>
      <c r="X27" s="7"/>
      <c r="Y27" t="s">
        <v>179</v>
      </c>
    </row>
    <row r="28" spans="2:25">
      <c r="B28" s="5"/>
      <c r="C28" s="6"/>
      <c r="D28" s="6"/>
      <c r="E28" s="6"/>
      <c r="F28" s="6"/>
      <c r="G28" s="6"/>
      <c r="H28" s="6"/>
      <c r="I28" s="6"/>
      <c r="J28" s="6"/>
      <c r="K28" s="6"/>
      <c r="L28" s="7"/>
      <c r="O28" s="5"/>
      <c r="P28" s="6"/>
      <c r="Q28" s="6"/>
      <c r="R28" s="6"/>
      <c r="S28" s="6"/>
      <c r="T28" s="6"/>
      <c r="U28" s="6"/>
      <c r="V28" s="6"/>
      <c r="W28" s="6"/>
      <c r="X28" s="7"/>
    </row>
    <row r="29" spans="2:25">
      <c r="B29" s="5"/>
      <c r="C29" s="6"/>
      <c r="D29" s="6"/>
      <c r="E29" s="6"/>
      <c r="F29" s="6"/>
      <c r="G29" s="6"/>
      <c r="H29" s="6"/>
      <c r="I29" s="6"/>
      <c r="J29" s="6"/>
      <c r="K29" s="6"/>
      <c r="L29" s="7"/>
      <c r="O29" s="5"/>
      <c r="P29" s="6"/>
      <c r="Q29" s="6"/>
      <c r="R29" s="6"/>
      <c r="S29" s="6"/>
      <c r="T29" s="6"/>
      <c r="U29" s="6"/>
      <c r="V29" s="6"/>
      <c r="W29" s="6"/>
      <c r="X29" s="7"/>
    </row>
    <row r="30" spans="2:25">
      <c r="B30" s="5"/>
      <c r="C30" s="6"/>
      <c r="D30" s="6"/>
      <c r="E30" s="6"/>
      <c r="F30" s="6"/>
      <c r="G30" s="6"/>
      <c r="H30" s="6"/>
      <c r="I30" s="6"/>
      <c r="J30" s="6"/>
      <c r="K30" s="6"/>
      <c r="L30" s="7"/>
      <c r="O30" s="5"/>
      <c r="P30" s="6"/>
      <c r="Q30" s="6"/>
      <c r="R30" s="6"/>
      <c r="S30" s="6"/>
      <c r="T30" s="6"/>
      <c r="U30" s="6"/>
      <c r="V30" s="6"/>
      <c r="W30" s="6"/>
      <c r="X30" s="7"/>
    </row>
    <row r="31" spans="2:25">
      <c r="B31" s="5"/>
      <c r="C31" s="6"/>
      <c r="D31" s="6"/>
      <c r="E31" s="6"/>
      <c r="F31" s="6"/>
      <c r="G31" s="6"/>
      <c r="H31" s="6"/>
      <c r="I31" s="6"/>
      <c r="J31" s="6"/>
      <c r="K31" s="6"/>
      <c r="L31" s="7"/>
      <c r="O31" s="5"/>
      <c r="P31" s="6"/>
      <c r="Q31" s="6"/>
      <c r="R31" s="6"/>
      <c r="S31" s="6"/>
      <c r="T31" s="6"/>
      <c r="U31" s="6"/>
      <c r="V31" s="6"/>
      <c r="W31" s="6"/>
      <c r="X31" s="7"/>
    </row>
    <row r="32" spans="2:25">
      <c r="B32" s="5"/>
      <c r="C32" s="6"/>
      <c r="D32" s="6"/>
      <c r="E32" s="6"/>
      <c r="F32" s="6"/>
      <c r="G32" s="6"/>
      <c r="H32" s="6"/>
      <c r="I32" s="6"/>
      <c r="J32" s="6"/>
      <c r="K32" s="6"/>
      <c r="L32" s="7"/>
      <c r="O32" s="5"/>
      <c r="P32" s="6"/>
      <c r="Q32" s="6"/>
      <c r="R32" s="6"/>
      <c r="S32" s="6"/>
      <c r="T32" s="6"/>
      <c r="U32" s="6"/>
      <c r="V32" s="6"/>
      <c r="W32" s="6"/>
      <c r="X32" s="7"/>
    </row>
    <row r="33" spans="2:24">
      <c r="B33" s="5"/>
      <c r="C33" s="6"/>
      <c r="D33" s="6"/>
      <c r="E33" s="6"/>
      <c r="F33" s="6"/>
      <c r="G33" s="6"/>
      <c r="H33" s="6"/>
      <c r="I33" s="6"/>
      <c r="J33" s="6"/>
      <c r="K33" s="6"/>
      <c r="L33" s="7"/>
      <c r="O33" s="5"/>
      <c r="P33" s="6"/>
      <c r="Q33" s="6"/>
      <c r="R33" s="6"/>
      <c r="S33" s="6"/>
      <c r="T33" s="6"/>
      <c r="U33" s="6"/>
      <c r="V33" s="6"/>
      <c r="W33" s="6"/>
      <c r="X33" s="7"/>
    </row>
    <row r="34" spans="2:24">
      <c r="B34" s="5"/>
      <c r="C34" s="6"/>
      <c r="D34" s="6"/>
      <c r="E34" s="6"/>
      <c r="F34" s="6"/>
      <c r="G34" s="6"/>
      <c r="H34" s="6"/>
      <c r="I34" s="6"/>
      <c r="J34" s="6"/>
      <c r="K34" s="6"/>
      <c r="L34" s="7"/>
      <c r="O34" s="5"/>
      <c r="P34" s="6"/>
      <c r="Q34" s="6"/>
      <c r="R34" s="6"/>
      <c r="S34" s="6"/>
      <c r="T34" s="6"/>
      <c r="U34" s="6"/>
      <c r="V34" s="6"/>
      <c r="W34" s="6"/>
      <c r="X34" s="7"/>
    </row>
    <row r="35" spans="2:24">
      <c r="B35" s="5"/>
      <c r="C35" s="6"/>
      <c r="D35" s="6"/>
      <c r="E35" s="6"/>
      <c r="F35" s="6"/>
      <c r="G35" s="6"/>
      <c r="H35" s="6"/>
      <c r="I35" s="6"/>
      <c r="J35" s="6"/>
      <c r="K35" s="6"/>
      <c r="L35" s="7"/>
      <c r="O35" s="5"/>
      <c r="P35" s="6"/>
      <c r="Q35" s="6"/>
      <c r="R35" s="6"/>
      <c r="S35" s="6"/>
      <c r="T35" s="6"/>
      <c r="U35" s="6"/>
      <c r="V35" s="6"/>
      <c r="W35" s="6"/>
      <c r="X35" s="7"/>
    </row>
    <row r="36" spans="2:24">
      <c r="B36" s="5"/>
      <c r="C36" s="6"/>
      <c r="D36" s="6"/>
      <c r="E36" s="6"/>
      <c r="F36" s="6"/>
      <c r="G36" s="6"/>
      <c r="H36" s="6"/>
      <c r="I36" s="6"/>
      <c r="J36" s="6"/>
      <c r="K36" s="6"/>
      <c r="L36" s="7"/>
      <c r="O36" s="5"/>
      <c r="P36" s="6"/>
      <c r="Q36" s="6"/>
      <c r="R36" s="6"/>
      <c r="S36" s="6"/>
      <c r="T36" s="6"/>
      <c r="U36" s="6"/>
      <c r="V36" s="6"/>
      <c r="W36" s="6"/>
      <c r="X36" s="7"/>
    </row>
    <row r="37" spans="2:24">
      <c r="B37" s="5"/>
      <c r="C37" s="6"/>
      <c r="D37" s="6"/>
      <c r="E37" s="6"/>
      <c r="F37" s="6"/>
      <c r="G37" s="6"/>
      <c r="H37" s="6"/>
      <c r="I37" s="6"/>
      <c r="J37" s="6"/>
      <c r="K37" s="6"/>
      <c r="L37" s="7"/>
      <c r="O37" s="5"/>
      <c r="P37" s="6"/>
      <c r="Q37" s="6"/>
      <c r="R37" s="6"/>
      <c r="S37" s="6"/>
      <c r="T37" s="6"/>
      <c r="U37" s="6"/>
      <c r="V37" s="6"/>
      <c r="W37" s="6"/>
      <c r="X37" s="7"/>
    </row>
    <row r="38" spans="2:24">
      <c r="B38" s="5"/>
      <c r="C38" s="6"/>
      <c r="D38" s="6"/>
      <c r="E38" s="6"/>
      <c r="F38" s="6"/>
      <c r="G38" s="6"/>
      <c r="H38" s="6"/>
      <c r="I38" s="6"/>
      <c r="J38" s="6"/>
      <c r="K38" s="6"/>
      <c r="L38" s="7"/>
      <c r="O38" s="5"/>
      <c r="P38" s="6"/>
      <c r="Q38" s="6"/>
      <c r="R38" s="6"/>
      <c r="S38" s="6"/>
      <c r="T38" s="6"/>
      <c r="U38" s="6"/>
      <c r="V38" s="6"/>
      <c r="W38" s="6"/>
      <c r="X38" s="7"/>
    </row>
    <row r="39" spans="2:24">
      <c r="B39" s="5"/>
      <c r="C39" s="6"/>
      <c r="D39" s="6"/>
      <c r="E39" s="6"/>
      <c r="F39" s="6"/>
      <c r="G39" s="6"/>
      <c r="H39" s="6"/>
      <c r="I39" s="6"/>
      <c r="J39" s="6"/>
      <c r="K39" s="6"/>
      <c r="L39" s="7"/>
      <c r="O39" s="5"/>
      <c r="P39" s="6"/>
      <c r="Q39" s="6"/>
      <c r="R39" s="6"/>
      <c r="S39" s="6"/>
      <c r="T39" s="6"/>
      <c r="U39" s="6"/>
      <c r="V39" s="6"/>
      <c r="W39" s="6"/>
      <c r="X39" s="7"/>
    </row>
    <row r="40" spans="2:24">
      <c r="B40" s="5"/>
      <c r="C40" s="6"/>
      <c r="D40" s="6"/>
      <c r="E40" s="6"/>
      <c r="F40" s="6"/>
      <c r="G40" s="6"/>
      <c r="H40" s="6"/>
      <c r="I40" s="6"/>
      <c r="J40" s="6"/>
      <c r="K40" s="6"/>
      <c r="L40" s="7"/>
      <c r="O40" s="5"/>
      <c r="P40" s="6"/>
      <c r="Q40" s="6"/>
      <c r="R40" s="6"/>
      <c r="S40" s="6"/>
      <c r="T40" s="6"/>
      <c r="U40" s="6"/>
      <c r="V40" s="6"/>
      <c r="W40" s="6"/>
      <c r="X40" s="7"/>
    </row>
    <row r="41" spans="2:24">
      <c r="B41" s="5"/>
      <c r="C41" s="6"/>
      <c r="D41" s="6"/>
      <c r="E41" s="6"/>
      <c r="F41" s="6"/>
      <c r="G41" s="6"/>
      <c r="H41" s="6"/>
      <c r="I41" s="6"/>
      <c r="J41" s="6"/>
      <c r="K41" s="6"/>
      <c r="L41" s="7"/>
      <c r="O41" s="5"/>
      <c r="P41" s="6"/>
      <c r="Q41" s="6"/>
      <c r="R41" s="6"/>
      <c r="S41" s="6"/>
      <c r="T41" s="6"/>
      <c r="U41" s="6"/>
      <c r="V41" s="6"/>
      <c r="W41" s="6"/>
      <c r="X41" s="7"/>
    </row>
    <row r="42" spans="2:24">
      <c r="B42" s="5"/>
      <c r="C42" s="6"/>
      <c r="D42" s="6"/>
      <c r="E42" s="6"/>
      <c r="F42" s="6"/>
      <c r="G42" s="6"/>
      <c r="H42" s="6"/>
      <c r="I42" s="6"/>
      <c r="J42" s="6"/>
      <c r="K42" s="6"/>
      <c r="L42" s="7"/>
      <c r="O42" s="5"/>
      <c r="P42" s="6"/>
      <c r="Q42" s="6"/>
      <c r="R42" s="6"/>
      <c r="S42" s="6"/>
      <c r="T42" s="6"/>
      <c r="U42" s="6"/>
      <c r="V42" s="6"/>
      <c r="W42" s="6"/>
      <c r="X42" s="7"/>
    </row>
    <row r="43" spans="2:24" ht="16" thickBot="1">
      <c r="B43" s="5"/>
      <c r="C43" s="6"/>
      <c r="D43" s="6"/>
      <c r="E43" s="6"/>
      <c r="F43" s="6"/>
      <c r="G43" s="6"/>
      <c r="H43" s="6"/>
      <c r="I43" s="6"/>
      <c r="J43" s="6"/>
      <c r="K43" s="6"/>
      <c r="L43" s="7"/>
      <c r="O43" s="8"/>
      <c r="P43" s="9"/>
      <c r="Q43" s="9"/>
      <c r="R43" s="9"/>
      <c r="S43" s="9"/>
      <c r="T43" s="9"/>
      <c r="U43" s="9"/>
      <c r="V43" s="9"/>
      <c r="W43" s="9"/>
      <c r="X43" s="10"/>
    </row>
    <row r="44" spans="2:24">
      <c r="B44" s="5"/>
      <c r="C44" s="6"/>
      <c r="D44" s="6"/>
      <c r="E44" s="6"/>
      <c r="F44" s="6"/>
      <c r="G44" s="6"/>
      <c r="H44" s="6"/>
      <c r="I44" s="6"/>
      <c r="J44" s="6"/>
      <c r="K44" s="6"/>
      <c r="L44" s="7"/>
    </row>
    <row r="45" spans="2:24">
      <c r="B45" s="5"/>
      <c r="C45" s="6"/>
      <c r="D45" s="6"/>
      <c r="E45" s="6"/>
      <c r="F45" s="6"/>
      <c r="G45" s="6"/>
      <c r="H45" s="6"/>
      <c r="I45" s="6"/>
      <c r="J45" s="6"/>
      <c r="K45" s="6"/>
      <c r="L45" s="7"/>
    </row>
    <row r="46" spans="2:24">
      <c r="B46" s="5"/>
      <c r="C46" s="6"/>
      <c r="D46" s="6"/>
      <c r="E46" s="6"/>
      <c r="F46" s="6"/>
      <c r="G46" s="6"/>
      <c r="H46" s="6"/>
      <c r="I46" s="6"/>
      <c r="J46" s="6"/>
      <c r="K46" s="6"/>
      <c r="L46" s="7"/>
    </row>
    <row r="47" spans="2:24">
      <c r="B47" s="5"/>
      <c r="C47" s="6"/>
      <c r="D47" s="6"/>
      <c r="E47" s="6"/>
      <c r="F47" s="6"/>
      <c r="G47" s="6"/>
      <c r="H47" s="6"/>
      <c r="I47" s="6"/>
      <c r="J47" s="6"/>
      <c r="K47" s="6"/>
      <c r="L47" s="7"/>
    </row>
    <row r="48" spans="2:24">
      <c r="B48" s="5"/>
      <c r="C48" s="6"/>
      <c r="D48" s="6"/>
      <c r="E48" s="6"/>
      <c r="F48" s="6"/>
      <c r="G48" s="6"/>
      <c r="H48" s="6"/>
      <c r="I48" s="6"/>
      <c r="J48" s="6"/>
      <c r="K48" s="6"/>
      <c r="L48" s="7"/>
    </row>
    <row r="49" spans="2:12" ht="16" thickBot="1">
      <c r="B49" s="8"/>
      <c r="C49" s="9"/>
      <c r="D49" s="9"/>
      <c r="E49" s="9"/>
      <c r="F49" s="9"/>
      <c r="G49" s="9"/>
      <c r="H49" s="9"/>
      <c r="I49" s="9"/>
      <c r="J49" s="9"/>
      <c r="K49" s="9"/>
      <c r="L49" s="10"/>
    </row>
  </sheetData>
  <mergeCells count="2">
    <mergeCell ref="C5:K5"/>
    <mergeCell ref="P5:W5"/>
  </mergeCells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H13"/>
  <sheetViews>
    <sheetView zoomScale="110" zoomScaleNormal="110" workbookViewId="0">
      <selection activeCell="K14" sqref="K14"/>
    </sheetView>
  </sheetViews>
  <sheetFormatPr baseColWidth="10" defaultColWidth="12.5" defaultRowHeight="15"/>
  <cols>
    <col min="1" max="1" width="16.6640625" customWidth="1"/>
    <col min="2" max="2" width="23.5" customWidth="1"/>
    <col min="3" max="3" width="24.5" customWidth="1"/>
    <col min="6" max="6" width="15.1640625" customWidth="1"/>
    <col min="10" max="10" width="5.5" customWidth="1"/>
    <col min="11" max="11" width="15.83203125" customWidth="1"/>
  </cols>
  <sheetData>
    <row r="2" spans="1:8">
      <c r="A2" s="37"/>
    </row>
    <row r="3" spans="1:8" ht="16" thickBot="1">
      <c r="A3" s="1"/>
      <c r="B3" s="42" t="s">
        <v>209</v>
      </c>
      <c r="C3" s="42" t="s">
        <v>210</v>
      </c>
      <c r="D3" s="42" t="s">
        <v>182</v>
      </c>
    </row>
    <row r="4" spans="1:8">
      <c r="A4" t="s">
        <v>54</v>
      </c>
      <c r="B4">
        <v>739.23400000000004</v>
      </c>
      <c r="C4">
        <v>1192.4770000000001</v>
      </c>
      <c r="D4">
        <f>B4/C4</f>
        <v>0.61991468179260478</v>
      </c>
      <c r="F4" s="2"/>
      <c r="G4" s="3" t="s">
        <v>77</v>
      </c>
      <c r="H4" s="4" t="s">
        <v>97</v>
      </c>
    </row>
    <row r="5" spans="1:8">
      <c r="A5" t="s">
        <v>54</v>
      </c>
      <c r="B5">
        <v>658.82</v>
      </c>
      <c r="C5">
        <v>1051.77</v>
      </c>
      <c r="D5">
        <f t="shared" ref="D5:D7" si="0">B5/C5</f>
        <v>0.62639170160776603</v>
      </c>
      <c r="F5" s="5" t="s">
        <v>54</v>
      </c>
      <c r="G5" s="6">
        <f>AVERAGE(D4:D5,D10:D11)</f>
        <v>0.45188097674577987</v>
      </c>
      <c r="H5" s="7">
        <f>STDEV(D4:D5,D10:D11)/SQRT(4)</f>
        <v>9.9074659262100753E-2</v>
      </c>
    </row>
    <row r="6" spans="1:8">
      <c r="A6" t="s">
        <v>74</v>
      </c>
      <c r="B6">
        <v>5940.0540000000001</v>
      </c>
      <c r="C6">
        <v>3452.7190000000001</v>
      </c>
      <c r="D6">
        <f t="shared" si="0"/>
        <v>1.7203989088020195</v>
      </c>
      <c r="F6" s="5"/>
      <c r="G6" s="6"/>
      <c r="H6" s="7"/>
    </row>
    <row r="7" spans="1:8" ht="16" thickBot="1">
      <c r="A7" t="s">
        <v>74</v>
      </c>
      <c r="B7">
        <v>8388.3169999999991</v>
      </c>
      <c r="C7">
        <v>4571.3050000000003</v>
      </c>
      <c r="D7">
        <f t="shared" si="0"/>
        <v>1.8349939459301006</v>
      </c>
      <c r="F7" s="8" t="s">
        <v>74</v>
      </c>
      <c r="G7" s="9">
        <f>AVERAGE(D6:D7,D12:D13)</f>
        <v>1.6241020644995774</v>
      </c>
      <c r="H7" s="10">
        <f>STDEV(D6:D7,D12:D13)/SQRT(4)</f>
        <v>9.3862158235656842E-2</v>
      </c>
    </row>
    <row r="9" spans="1:8">
      <c r="A9" s="1"/>
    </row>
    <row r="10" spans="1:8">
      <c r="A10" t="s">
        <v>54</v>
      </c>
      <c r="B10">
        <v>1299.4259999999999</v>
      </c>
      <c r="C10">
        <v>4400.326</v>
      </c>
      <c r="D10">
        <f t="shared" ref="D10:D13" si="1">B10/C10</f>
        <v>0.2953022116997695</v>
      </c>
    </row>
    <row r="11" spans="1:8">
      <c r="A11" t="s">
        <v>54</v>
      </c>
      <c r="B11">
        <v>1086.3050000000001</v>
      </c>
      <c r="C11">
        <v>4085.154</v>
      </c>
      <c r="D11">
        <f t="shared" si="1"/>
        <v>0.26591531188297923</v>
      </c>
    </row>
    <row r="12" spans="1:8">
      <c r="A12" t="s">
        <v>74</v>
      </c>
      <c r="B12">
        <v>7308.933</v>
      </c>
      <c r="C12">
        <v>4810.2550000000001</v>
      </c>
      <c r="D12">
        <f t="shared" si="1"/>
        <v>1.519448137364859</v>
      </c>
    </row>
    <row r="13" spans="1:8">
      <c r="A13" t="s">
        <v>74</v>
      </c>
      <c r="B13">
        <v>6858.1750000000002</v>
      </c>
      <c r="C13">
        <v>4824.3760000000002</v>
      </c>
      <c r="D13">
        <f t="shared" si="1"/>
        <v>1.421567265901331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T5"/>
  <sheetViews>
    <sheetView zoomScale="80" zoomScaleNormal="80" workbookViewId="0">
      <selection activeCell="T4" sqref="T4:T5"/>
    </sheetView>
  </sheetViews>
  <sheetFormatPr baseColWidth="10" defaultColWidth="8.83203125" defaultRowHeight="15"/>
  <sheetData>
    <row r="2" spans="2:20">
      <c r="B2" s="1" t="s">
        <v>180</v>
      </c>
    </row>
    <row r="4" spans="2:20">
      <c r="T4" t="s">
        <v>236</v>
      </c>
    </row>
    <row r="5" spans="2:20">
      <c r="T5" t="s">
        <v>237</v>
      </c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C2:L21"/>
  <sheetViews>
    <sheetView zoomScale="110" zoomScaleNormal="110" workbookViewId="0">
      <selection activeCell="D20" sqref="D20"/>
    </sheetView>
  </sheetViews>
  <sheetFormatPr baseColWidth="10" defaultColWidth="8.83203125" defaultRowHeight="15"/>
  <cols>
    <col min="3" max="3" width="23.1640625" customWidth="1"/>
    <col min="5" max="5" width="22.5" customWidth="1"/>
    <col min="6" max="6" width="18.5" customWidth="1"/>
    <col min="10" max="10" width="20.5" customWidth="1"/>
    <col min="11" max="11" width="16.5" customWidth="1"/>
    <col min="16" max="16" width="15.5" customWidth="1"/>
    <col min="17" max="17" width="16.83203125" customWidth="1"/>
    <col min="18" max="18" width="17.1640625" customWidth="1"/>
  </cols>
  <sheetData>
    <row r="2" spans="3:12" ht="16" thickBot="1">
      <c r="C2" s="37" t="s">
        <v>245</v>
      </c>
    </row>
    <row r="3" spans="3:12">
      <c r="C3" s="37"/>
      <c r="E3" s="42" t="s">
        <v>219</v>
      </c>
      <c r="F3" s="42" t="s">
        <v>138</v>
      </c>
      <c r="G3" s="42"/>
      <c r="H3" s="42" t="s">
        <v>206</v>
      </c>
      <c r="J3" s="2"/>
      <c r="K3" s="3" t="s">
        <v>77</v>
      </c>
      <c r="L3" s="4" t="s">
        <v>78</v>
      </c>
    </row>
    <row r="4" spans="3:12">
      <c r="C4" t="s">
        <v>90</v>
      </c>
      <c r="E4">
        <v>2413.598</v>
      </c>
      <c r="F4" t="s">
        <v>183</v>
      </c>
      <c r="H4">
        <f>E4/E5</f>
        <v>0.47227578768626344</v>
      </c>
      <c r="J4" s="5" t="s">
        <v>90</v>
      </c>
      <c r="K4" s="6">
        <f>AVERAGE(H4,H10,H16)</f>
        <v>0.79347443070361789</v>
      </c>
      <c r="L4" s="7">
        <f>STDEV(H4,H10,H16)/SQRT(3)</f>
        <v>0.17952661218442428</v>
      </c>
    </row>
    <row r="5" spans="3:12">
      <c r="E5">
        <v>5110.5690000000004</v>
      </c>
      <c r="F5" t="s">
        <v>184</v>
      </c>
      <c r="J5" s="5" t="s">
        <v>185</v>
      </c>
      <c r="K5" s="6">
        <f>AVERAGE(H6,H12,H18)</f>
        <v>1.7261611408125318E-2</v>
      </c>
      <c r="L5" s="7">
        <f>STDEV(H6,H12,H18)/SQRT(3)</f>
        <v>4.056471138378843E-3</v>
      </c>
    </row>
    <row r="6" spans="3:12" ht="16" thickBot="1">
      <c r="C6" t="s">
        <v>185</v>
      </c>
      <c r="E6">
        <v>366.28399999999999</v>
      </c>
      <c r="F6" t="s">
        <v>183</v>
      </c>
      <c r="H6">
        <f>E6/E7</f>
        <v>1.5046221604664392E-2</v>
      </c>
      <c r="J6" s="8" t="s">
        <v>94</v>
      </c>
      <c r="K6" s="9">
        <f>AVERAGE(H8,H14,H20)</f>
        <v>0.1367245373563101</v>
      </c>
      <c r="L6" s="10">
        <f>STDEV(H8,H14,H20)/SQRT(3)</f>
        <v>1.5258847178975864E-2</v>
      </c>
    </row>
    <row r="7" spans="3:12">
      <c r="E7">
        <v>24343.919000000002</v>
      </c>
      <c r="F7" t="s">
        <v>184</v>
      </c>
    </row>
    <row r="8" spans="3:12">
      <c r="C8" t="s">
        <v>94</v>
      </c>
      <c r="E8">
        <v>487.40600000000001</v>
      </c>
      <c r="F8" t="s">
        <v>183</v>
      </c>
      <c r="H8">
        <f>E8/E9</f>
        <v>0.1516078822686282</v>
      </c>
    </row>
    <row r="9" spans="3:12">
      <c r="E9">
        <v>3214.9119999999998</v>
      </c>
      <c r="F9" t="s">
        <v>184</v>
      </c>
    </row>
    <row r="10" spans="3:12">
      <c r="C10" t="s">
        <v>280</v>
      </c>
      <c r="E10">
        <v>4408.1540000000005</v>
      </c>
      <c r="F10" t="s">
        <v>183</v>
      </c>
      <c r="H10">
        <f t="shared" ref="H10" si="0">E10/E11</f>
        <v>1.0930449263460251</v>
      </c>
    </row>
    <row r="11" spans="3:12">
      <c r="E11">
        <v>4032.9119999999998</v>
      </c>
      <c r="F11" t="s">
        <v>184</v>
      </c>
    </row>
    <row r="12" spans="3:12">
      <c r="C12" t="s">
        <v>281</v>
      </c>
      <c r="E12">
        <v>168.26300000000001</v>
      </c>
      <c r="F12" t="s">
        <v>183</v>
      </c>
      <c r="H12">
        <f t="shared" ref="H12" si="1">E12/E13</f>
        <v>1.1610318937213142E-2</v>
      </c>
    </row>
    <row r="13" spans="3:12">
      <c r="E13">
        <v>14492.539000000001</v>
      </c>
      <c r="F13" t="s">
        <v>184</v>
      </c>
    </row>
    <row r="14" spans="3:12">
      <c r="C14" t="s">
        <v>282</v>
      </c>
      <c r="E14">
        <v>254.506</v>
      </c>
      <c r="F14" t="s">
        <v>183</v>
      </c>
      <c r="H14">
        <f t="shared" ref="H14" si="2">E14/E15</f>
        <v>0.10620989836223607</v>
      </c>
    </row>
    <row r="15" spans="3:12">
      <c r="E15">
        <v>2396.2550000000001</v>
      </c>
      <c r="F15" t="s">
        <v>184</v>
      </c>
    </row>
    <row r="16" spans="3:12">
      <c r="C16" t="s">
        <v>283</v>
      </c>
      <c r="E16">
        <v>4166.2550000000001</v>
      </c>
      <c r="F16" t="s">
        <v>183</v>
      </c>
      <c r="H16">
        <f t="shared" ref="H16" si="3">E16/E17</f>
        <v>0.81510257807856512</v>
      </c>
    </row>
    <row r="17" spans="3:8">
      <c r="E17">
        <v>5111.326</v>
      </c>
      <c r="F17" t="s">
        <v>184</v>
      </c>
    </row>
    <row r="18" spans="3:8">
      <c r="C18" t="s">
        <v>284</v>
      </c>
      <c r="E18">
        <v>545.11300000000006</v>
      </c>
      <c r="F18" t="s">
        <v>183</v>
      </c>
      <c r="H18">
        <f t="shared" ref="H18" si="4">E18/E19</f>
        <v>2.5128293682498422E-2</v>
      </c>
    </row>
    <row r="19" spans="3:8">
      <c r="E19">
        <v>21693.196</v>
      </c>
      <c r="F19" t="s">
        <v>184</v>
      </c>
    </row>
    <row r="20" spans="3:8">
      <c r="C20" t="s">
        <v>285</v>
      </c>
      <c r="E20">
        <v>534.577</v>
      </c>
      <c r="F20" t="s">
        <v>183</v>
      </c>
      <c r="H20">
        <f t="shared" ref="H20" si="5">E20/E21</f>
        <v>0.15235583143806611</v>
      </c>
    </row>
    <row r="21" spans="3:8">
      <c r="E21">
        <v>3508.74</v>
      </c>
      <c r="F21" t="s">
        <v>184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M37"/>
  <sheetViews>
    <sheetView zoomScale="70" zoomScaleNormal="70" workbookViewId="0">
      <selection activeCell="K26" sqref="K26"/>
    </sheetView>
  </sheetViews>
  <sheetFormatPr baseColWidth="10" defaultColWidth="8.83203125" defaultRowHeight="15"/>
  <cols>
    <col min="2" max="2" width="20.33203125" bestFit="1" customWidth="1"/>
    <col min="10" max="10" width="10.5" bestFit="1" customWidth="1"/>
    <col min="11" max="11" width="18.1640625" bestFit="1" customWidth="1"/>
  </cols>
  <sheetData>
    <row r="1" spans="1:13" ht="15" customHeight="1">
      <c r="B1" s="139" t="s">
        <v>170</v>
      </c>
      <c r="C1" s="139"/>
      <c r="D1" s="139"/>
      <c r="E1" s="139"/>
      <c r="F1" s="139"/>
      <c r="G1" s="139"/>
    </row>
    <row r="2" spans="1:13">
      <c r="C2" t="s">
        <v>171</v>
      </c>
      <c r="D2" t="s">
        <v>172</v>
      </c>
      <c r="E2" t="s">
        <v>173</v>
      </c>
      <c r="F2" t="s">
        <v>87</v>
      </c>
      <c r="G2" t="s">
        <v>89</v>
      </c>
    </row>
    <row r="3" spans="1:13" ht="15" customHeight="1">
      <c r="A3" s="135" t="s">
        <v>135</v>
      </c>
      <c r="B3" t="s">
        <v>186</v>
      </c>
      <c r="C3">
        <v>13</v>
      </c>
      <c r="D3">
        <v>104</v>
      </c>
      <c r="E3">
        <f>(C3/D3)*100</f>
        <v>12.5</v>
      </c>
      <c r="F3">
        <f>AVERAGE(E3:E4)</f>
        <v>14.808558558558559</v>
      </c>
      <c r="G3">
        <f>STDEV(E3:E4)/SQRT(2)</f>
        <v>2.3085585585585577</v>
      </c>
    </row>
    <row r="4" spans="1:13" ht="16" thickBot="1">
      <c r="A4" s="135"/>
      <c r="B4" t="s">
        <v>186</v>
      </c>
      <c r="C4">
        <v>19</v>
      </c>
      <c r="D4">
        <v>111</v>
      </c>
      <c r="E4">
        <f>(C4/D4)*100</f>
        <v>17.117117117117118</v>
      </c>
    </row>
    <row r="5" spans="1:13">
      <c r="A5" s="135"/>
      <c r="B5" t="s">
        <v>187</v>
      </c>
      <c r="C5">
        <v>0</v>
      </c>
      <c r="D5">
        <v>171</v>
      </c>
      <c r="E5">
        <f t="shared" ref="E5:E27" si="0">(C5/D5)*100</f>
        <v>0</v>
      </c>
      <c r="F5">
        <f>AVERAGE(E5:E7)</f>
        <v>0</v>
      </c>
      <c r="G5">
        <f>STDEV(E5:E7)/SQRT(3)</f>
        <v>0</v>
      </c>
      <c r="J5" s="72"/>
      <c r="K5" s="73"/>
      <c r="L5" s="73" t="s">
        <v>87</v>
      </c>
      <c r="M5" s="74" t="s">
        <v>88</v>
      </c>
    </row>
    <row r="6" spans="1:13">
      <c r="A6" s="135"/>
      <c r="B6" t="s">
        <v>187</v>
      </c>
      <c r="C6">
        <v>0</v>
      </c>
      <c r="D6">
        <v>163</v>
      </c>
      <c r="E6">
        <f t="shared" si="0"/>
        <v>0</v>
      </c>
      <c r="J6" s="137" t="s">
        <v>135</v>
      </c>
      <c r="K6" s="46" t="s">
        <v>90</v>
      </c>
      <c r="L6" s="46">
        <v>14.808558558558559</v>
      </c>
      <c r="M6" s="77">
        <v>2.30855855855856</v>
      </c>
    </row>
    <row r="7" spans="1:13">
      <c r="A7" s="135"/>
      <c r="B7" t="s">
        <v>187</v>
      </c>
      <c r="C7">
        <v>0</v>
      </c>
      <c r="D7">
        <v>84</v>
      </c>
      <c r="E7">
        <f t="shared" si="0"/>
        <v>0</v>
      </c>
      <c r="J7" s="137"/>
      <c r="K7" s="46" t="s">
        <v>93</v>
      </c>
      <c r="L7" s="46">
        <v>0</v>
      </c>
      <c r="M7" s="77">
        <v>0</v>
      </c>
    </row>
    <row r="8" spans="1:13">
      <c r="A8" s="135"/>
      <c r="B8" t="s">
        <v>94</v>
      </c>
      <c r="C8">
        <v>2</v>
      </c>
      <c r="D8">
        <v>65</v>
      </c>
      <c r="E8">
        <f>(C8/D8)*100</f>
        <v>3.0769230769230771</v>
      </c>
      <c r="F8">
        <f>AVERAGE(E8:E9)</f>
        <v>3.3903133903133904</v>
      </c>
      <c r="G8">
        <f>STDEV(E8:E9)/SQRT(2)</f>
        <v>0.31339031339031304</v>
      </c>
      <c r="J8" s="137"/>
      <c r="K8" s="46" t="s">
        <v>94</v>
      </c>
      <c r="L8" s="46">
        <v>3.3903133903133904</v>
      </c>
      <c r="M8" s="77">
        <v>0.31339031339031304</v>
      </c>
    </row>
    <row r="9" spans="1:13">
      <c r="A9" s="135"/>
      <c r="B9" t="s">
        <v>94</v>
      </c>
      <c r="C9">
        <v>3</v>
      </c>
      <c r="D9">
        <v>81</v>
      </c>
      <c r="E9">
        <f>(C9/D9)*100</f>
        <v>3.7037037037037033</v>
      </c>
      <c r="J9" s="137"/>
      <c r="K9" s="46" t="s">
        <v>188</v>
      </c>
      <c r="L9" s="46">
        <v>2.4521531100478469</v>
      </c>
      <c r="M9" s="77">
        <v>1.2358838707997502</v>
      </c>
    </row>
    <row r="10" spans="1:13">
      <c r="A10" s="135"/>
      <c r="B10" t="s">
        <v>188</v>
      </c>
      <c r="C10">
        <v>0</v>
      </c>
      <c r="D10">
        <v>73</v>
      </c>
      <c r="E10">
        <f t="shared" ref="E10:E12" si="1">(C10/D10)*100</f>
        <v>0</v>
      </c>
      <c r="F10">
        <f>AVERAGE(E10:E12)</f>
        <v>2.4521531100478469</v>
      </c>
      <c r="G10">
        <f>STDEV(E10:E12)/SQRT(3)</f>
        <v>1.2358838707997502</v>
      </c>
      <c r="J10" s="137"/>
      <c r="K10" s="46" t="s">
        <v>134</v>
      </c>
      <c r="L10" s="46">
        <v>0</v>
      </c>
      <c r="M10" s="77">
        <v>0</v>
      </c>
    </row>
    <row r="11" spans="1:13">
      <c r="A11" s="135"/>
      <c r="B11" t="s">
        <v>188</v>
      </c>
      <c r="C11">
        <v>3</v>
      </c>
      <c r="D11">
        <v>88</v>
      </c>
      <c r="E11">
        <f t="shared" si="1"/>
        <v>3.4090909090909087</v>
      </c>
      <c r="J11" s="137" t="s">
        <v>174</v>
      </c>
      <c r="K11" s="46" t="s">
        <v>90</v>
      </c>
      <c r="L11" s="46">
        <v>9.8932402238650496</v>
      </c>
      <c r="M11" s="77">
        <v>4.4638279457177488</v>
      </c>
    </row>
    <row r="12" spans="1:13">
      <c r="A12" s="135"/>
      <c r="B12" t="s">
        <v>188</v>
      </c>
      <c r="C12">
        <v>3</v>
      </c>
      <c r="D12">
        <v>76</v>
      </c>
      <c r="E12">
        <f t="shared" si="1"/>
        <v>3.9473684210526314</v>
      </c>
      <c r="J12" s="137"/>
      <c r="K12" s="46" t="s">
        <v>93</v>
      </c>
      <c r="L12" s="46">
        <v>0</v>
      </c>
      <c r="M12" s="77">
        <v>0</v>
      </c>
    </row>
    <row r="13" spans="1:13">
      <c r="A13" s="135"/>
      <c r="B13" t="s">
        <v>189</v>
      </c>
      <c r="C13">
        <v>0</v>
      </c>
      <c r="D13">
        <v>130</v>
      </c>
      <c r="E13">
        <f t="shared" si="0"/>
        <v>0</v>
      </c>
      <c r="F13">
        <f>AVERAGE(E13:E14)</f>
        <v>0</v>
      </c>
      <c r="G13">
        <f>STDEV(E13:E14)/SQRT(2)</f>
        <v>0</v>
      </c>
      <c r="J13" s="137"/>
      <c r="K13" s="46" t="s">
        <v>94</v>
      </c>
      <c r="L13" s="46">
        <v>3.0092592592592586</v>
      </c>
      <c r="M13" s="77">
        <v>1.1574074074074077</v>
      </c>
    </row>
    <row r="14" spans="1:13">
      <c r="A14" s="135"/>
      <c r="B14" t="s">
        <v>189</v>
      </c>
      <c r="C14">
        <v>0</v>
      </c>
      <c r="D14">
        <v>193</v>
      </c>
      <c r="E14">
        <f t="shared" si="0"/>
        <v>0</v>
      </c>
      <c r="J14" s="137"/>
      <c r="K14" s="46" t="s">
        <v>188</v>
      </c>
      <c r="L14" s="46">
        <v>3.0840046029919446</v>
      </c>
      <c r="M14" s="77">
        <v>0.5523590333716919</v>
      </c>
    </row>
    <row r="15" spans="1:13" ht="16" thickBot="1">
      <c r="A15" s="135" t="s">
        <v>174</v>
      </c>
      <c r="B15" t="s">
        <v>186</v>
      </c>
      <c r="C15">
        <v>6</v>
      </c>
      <c r="D15">
        <v>83</v>
      </c>
      <c r="E15">
        <f t="shared" si="0"/>
        <v>7.2289156626506017</v>
      </c>
      <c r="F15">
        <f>AVERAGE(E15:E17)</f>
        <v>9.8932402238650496</v>
      </c>
      <c r="G15">
        <f>STDEV(E15:E17)/SQRT(3)</f>
        <v>4.4638279457177488</v>
      </c>
      <c r="J15" s="138"/>
      <c r="K15" s="79" t="s">
        <v>134</v>
      </c>
      <c r="L15" s="79">
        <f>F25</f>
        <v>0</v>
      </c>
      <c r="M15" s="80">
        <f>G25</f>
        <v>0</v>
      </c>
    </row>
    <row r="16" spans="1:13">
      <c r="A16" s="135"/>
      <c r="B16" t="s">
        <v>186</v>
      </c>
      <c r="C16">
        <v>2</v>
      </c>
      <c r="D16">
        <v>52</v>
      </c>
      <c r="E16">
        <f t="shared" si="0"/>
        <v>3.8461538461538463</v>
      </c>
    </row>
    <row r="17" spans="1:7">
      <c r="A17" s="135"/>
      <c r="B17" t="s">
        <v>186</v>
      </c>
      <c r="C17">
        <v>16</v>
      </c>
      <c r="D17">
        <v>86</v>
      </c>
      <c r="E17">
        <f t="shared" si="0"/>
        <v>18.604651162790699</v>
      </c>
    </row>
    <row r="18" spans="1:7">
      <c r="A18" s="135"/>
      <c r="B18" t="s">
        <v>187</v>
      </c>
      <c r="C18">
        <v>0</v>
      </c>
      <c r="D18">
        <v>73</v>
      </c>
      <c r="E18">
        <f t="shared" si="0"/>
        <v>0</v>
      </c>
      <c r="F18">
        <f>AVERAGE(E18:E20)</f>
        <v>0</v>
      </c>
      <c r="G18">
        <f>STDEV(E18:E20)/SQRT(3)</f>
        <v>0</v>
      </c>
    </row>
    <row r="19" spans="1:7">
      <c r="A19" s="135"/>
      <c r="B19" t="s">
        <v>187</v>
      </c>
      <c r="C19">
        <v>0</v>
      </c>
      <c r="D19">
        <v>57</v>
      </c>
      <c r="E19">
        <f t="shared" si="0"/>
        <v>0</v>
      </c>
    </row>
    <row r="20" spans="1:7">
      <c r="A20" s="135"/>
      <c r="B20" t="s">
        <v>187</v>
      </c>
      <c r="C20">
        <v>0</v>
      </c>
      <c r="D20">
        <v>46</v>
      </c>
      <c r="E20">
        <f t="shared" si="0"/>
        <v>0</v>
      </c>
    </row>
    <row r="21" spans="1:7">
      <c r="A21" s="135"/>
      <c r="B21" t="s">
        <v>94</v>
      </c>
      <c r="C21">
        <v>1</v>
      </c>
      <c r="D21">
        <v>54</v>
      </c>
      <c r="E21">
        <f t="shared" si="0"/>
        <v>1.8518518518518516</v>
      </c>
      <c r="F21">
        <f>AVERAGE(E21:E22)</f>
        <v>3.0092592592592586</v>
      </c>
      <c r="G21">
        <f>STDEV(E21:E22)/SQRT(2)</f>
        <v>1.1574074074074077</v>
      </c>
    </row>
    <row r="22" spans="1:7">
      <c r="A22" s="135"/>
      <c r="B22" t="s">
        <v>94</v>
      </c>
      <c r="C22">
        <v>3</v>
      </c>
      <c r="D22">
        <v>72</v>
      </c>
      <c r="E22">
        <f t="shared" si="0"/>
        <v>4.1666666666666661</v>
      </c>
    </row>
    <row r="23" spans="1:7">
      <c r="A23" s="135"/>
      <c r="B23" t="s">
        <v>188</v>
      </c>
      <c r="C23">
        <v>2</v>
      </c>
      <c r="D23">
        <v>79</v>
      </c>
      <c r="E23">
        <f t="shared" si="0"/>
        <v>2.5316455696202533</v>
      </c>
      <c r="F23">
        <f>AVERAGE(E23:E24)</f>
        <v>3.0840046029919446</v>
      </c>
      <c r="G23">
        <f>STDEV(E23:E24)/SQRT(2)</f>
        <v>0.5523590333716919</v>
      </c>
    </row>
    <row r="24" spans="1:7">
      <c r="A24" s="135"/>
      <c r="B24" t="s">
        <v>188</v>
      </c>
      <c r="C24">
        <v>2</v>
      </c>
      <c r="D24">
        <v>55</v>
      </c>
      <c r="E24">
        <f t="shared" si="0"/>
        <v>3.6363636363636362</v>
      </c>
    </row>
    <row r="25" spans="1:7">
      <c r="A25" s="135"/>
      <c r="B25" t="s">
        <v>189</v>
      </c>
      <c r="C25">
        <v>0</v>
      </c>
      <c r="D25">
        <v>90</v>
      </c>
      <c r="E25">
        <f t="shared" si="0"/>
        <v>0</v>
      </c>
      <c r="F25">
        <f>AVERAGE(E25:E27)</f>
        <v>0</v>
      </c>
      <c r="G25">
        <f>STDEV(E25:E27)/SQRT(3)</f>
        <v>0</v>
      </c>
    </row>
    <row r="26" spans="1:7">
      <c r="A26" s="135"/>
      <c r="B26" t="s">
        <v>189</v>
      </c>
      <c r="C26">
        <v>0</v>
      </c>
      <c r="D26">
        <v>82</v>
      </c>
      <c r="E26">
        <f t="shared" si="0"/>
        <v>0</v>
      </c>
    </row>
    <row r="27" spans="1:7">
      <c r="A27" s="135"/>
      <c r="B27" t="s">
        <v>189</v>
      </c>
      <c r="C27">
        <v>0</v>
      </c>
      <c r="D27">
        <v>113</v>
      </c>
      <c r="E27">
        <f t="shared" si="0"/>
        <v>0</v>
      </c>
    </row>
    <row r="28" spans="1:7">
      <c r="A28" s="81"/>
    </row>
    <row r="29" spans="1:7">
      <c r="A29" s="81"/>
    </row>
    <row r="30" spans="1:7">
      <c r="A30" s="81"/>
    </row>
    <row r="31" spans="1:7">
      <c r="A31" s="81"/>
    </row>
    <row r="32" spans="1:7">
      <c r="A32" s="81"/>
    </row>
    <row r="35" ht="15" customHeight="1"/>
    <row r="37" ht="15" customHeight="1"/>
  </sheetData>
  <mergeCells count="5">
    <mergeCell ref="B1:G1"/>
    <mergeCell ref="A3:A14"/>
    <mergeCell ref="J6:J10"/>
    <mergeCell ref="J11:J15"/>
    <mergeCell ref="A15:A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14"/>
  <sheetViews>
    <sheetView workbookViewId="0">
      <selection activeCell="D31" sqref="D31"/>
    </sheetView>
  </sheetViews>
  <sheetFormatPr baseColWidth="10" defaultColWidth="8.83203125" defaultRowHeight="15"/>
  <cols>
    <col min="2" max="2" width="22.1640625" customWidth="1"/>
    <col min="3" max="3" width="20" customWidth="1"/>
    <col min="4" max="4" width="16.33203125" customWidth="1"/>
    <col min="5" max="5" width="13.6640625" customWidth="1"/>
    <col min="7" max="7" width="26" customWidth="1"/>
    <col min="8" max="8" width="20.83203125" customWidth="1"/>
    <col min="10" max="10" width="12.83203125" customWidth="1"/>
  </cols>
  <sheetData>
    <row r="2" spans="2:9" ht="16" thickBot="1">
      <c r="C2" s="42" t="s">
        <v>207</v>
      </c>
      <c r="D2" s="42" t="s">
        <v>208</v>
      </c>
      <c r="E2" s="42" t="s">
        <v>206</v>
      </c>
    </row>
    <row r="3" spans="2:9">
      <c r="B3" t="s">
        <v>74</v>
      </c>
      <c r="C3">
        <v>4665.134</v>
      </c>
      <c r="D3" t="s">
        <v>76</v>
      </c>
      <c r="G3" s="2"/>
      <c r="H3" s="3" t="s">
        <v>77</v>
      </c>
      <c r="I3" s="4" t="s">
        <v>78</v>
      </c>
    </row>
    <row r="4" spans="2:9">
      <c r="C4">
        <v>6731.8819999999996</v>
      </c>
      <c r="D4" t="s">
        <v>79</v>
      </c>
      <c r="E4">
        <f>C3/C4</f>
        <v>0.69299105361621016</v>
      </c>
      <c r="G4" s="5" t="s">
        <v>74</v>
      </c>
      <c r="H4" s="6">
        <f>AVERAGE(E4,E8,E12)</f>
        <v>0.78278431954865602</v>
      </c>
      <c r="I4" s="7">
        <f>STDEV(E4,E8,E12)</f>
        <v>0.13175648947742324</v>
      </c>
    </row>
    <row r="5" spans="2:9" ht="16" thickBot="1">
      <c r="B5" t="s">
        <v>80</v>
      </c>
      <c r="C5">
        <v>235.79900000000001</v>
      </c>
      <c r="D5" t="s">
        <v>76</v>
      </c>
      <c r="G5" s="8" t="s">
        <v>80</v>
      </c>
      <c r="H5" s="9">
        <f>AVERAGE(E6,E10,E14)</f>
        <v>4.8730027848829148E-2</v>
      </c>
      <c r="I5" s="10">
        <f>STDEV(E6,E10,E14)</f>
        <v>2.1061604882104238E-2</v>
      </c>
    </row>
    <row r="6" spans="2:9">
      <c r="C6">
        <v>5560.1959999999999</v>
      </c>
      <c r="D6" t="s">
        <v>79</v>
      </c>
      <c r="E6">
        <f t="shared" ref="E6:E14" si="0">C5/C6</f>
        <v>4.2408397114058569E-2</v>
      </c>
    </row>
    <row r="7" spans="2:9">
      <c r="B7" t="s">
        <v>238</v>
      </c>
      <c r="C7">
        <v>4521.2550000000001</v>
      </c>
      <c r="D7" t="s">
        <v>76</v>
      </c>
    </row>
    <row r="8" spans="2:9">
      <c r="C8">
        <v>4840.527</v>
      </c>
      <c r="D8" t="s">
        <v>79</v>
      </c>
      <c r="E8">
        <f t="shared" si="0"/>
        <v>0.93404189254599757</v>
      </c>
    </row>
    <row r="9" spans="2:9">
      <c r="B9" t="s">
        <v>239</v>
      </c>
      <c r="C9">
        <v>390.74900000000002</v>
      </c>
      <c r="D9" t="s">
        <v>76</v>
      </c>
    </row>
    <row r="10" spans="2:9">
      <c r="C10">
        <v>5409.9030000000002</v>
      </c>
      <c r="D10" t="s">
        <v>79</v>
      </c>
      <c r="E10">
        <f t="shared" si="0"/>
        <v>7.2228466942937788E-2</v>
      </c>
    </row>
    <row r="11" spans="2:9">
      <c r="B11" t="s">
        <v>240</v>
      </c>
      <c r="C11">
        <v>4372.8410000000003</v>
      </c>
      <c r="D11" t="s">
        <v>76</v>
      </c>
    </row>
    <row r="12" spans="2:9">
      <c r="C12">
        <v>6062.2759999999998</v>
      </c>
      <c r="D12" t="s">
        <v>79</v>
      </c>
      <c r="E12">
        <f t="shared" si="0"/>
        <v>0.72132001248376032</v>
      </c>
    </row>
    <row r="13" spans="2:9">
      <c r="B13" t="s">
        <v>241</v>
      </c>
      <c r="C13">
        <v>164.26300000000001</v>
      </c>
      <c r="D13" t="s">
        <v>76</v>
      </c>
    </row>
    <row r="14" spans="2:9">
      <c r="C14">
        <v>5205.9030000000002</v>
      </c>
      <c r="D14" t="s">
        <v>79</v>
      </c>
      <c r="E14">
        <f t="shared" si="0"/>
        <v>3.1553219489491066E-2</v>
      </c>
    </row>
  </sheetData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3:O7"/>
  <sheetViews>
    <sheetView workbookViewId="0">
      <selection activeCell="O6" sqref="O6:O7"/>
    </sheetView>
  </sheetViews>
  <sheetFormatPr baseColWidth="10" defaultColWidth="8.83203125" defaultRowHeight="15"/>
  <sheetData>
    <row r="3" spans="2:15">
      <c r="B3" s="1" t="s">
        <v>181</v>
      </c>
    </row>
    <row r="6" spans="2:15">
      <c r="O6" t="s">
        <v>236</v>
      </c>
    </row>
    <row r="7" spans="2:15">
      <c r="O7" t="s">
        <v>237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3:H17"/>
  <sheetViews>
    <sheetView zoomScale="130" zoomScaleNormal="130" workbookViewId="0">
      <selection activeCell="G6" sqref="G6"/>
    </sheetView>
  </sheetViews>
  <sheetFormatPr baseColWidth="10" defaultColWidth="8.83203125" defaultRowHeight="15"/>
  <cols>
    <col min="1" max="1" width="25.83203125" customWidth="1"/>
    <col min="2" max="2" width="18.6640625" customWidth="1"/>
    <col min="3" max="3" width="15.5" customWidth="1"/>
    <col min="4" max="5" width="13" customWidth="1"/>
    <col min="6" max="6" width="17.5" customWidth="1"/>
  </cols>
  <sheetData>
    <row r="3" spans="1:8" ht="16" thickBot="1">
      <c r="A3" s="37"/>
    </row>
    <row r="4" spans="1:8">
      <c r="B4" s="42" t="s">
        <v>219</v>
      </c>
      <c r="C4" s="42" t="s">
        <v>138</v>
      </c>
      <c r="D4" s="42" t="s">
        <v>206</v>
      </c>
      <c r="E4" s="42"/>
      <c r="F4" s="106"/>
      <c r="G4" s="107" t="s">
        <v>77</v>
      </c>
      <c r="H4" s="108" t="s">
        <v>78</v>
      </c>
    </row>
    <row r="5" spans="1:8">
      <c r="A5" t="s">
        <v>249</v>
      </c>
      <c r="B5">
        <v>824.04200000000003</v>
      </c>
      <c r="C5" s="84" t="s">
        <v>183</v>
      </c>
      <c r="D5">
        <f>B5/B6</f>
        <v>0.12908350681961656</v>
      </c>
      <c r="F5" s="5" t="s">
        <v>102</v>
      </c>
      <c r="G5" s="6">
        <f>AVERAGE(D5,D7)</f>
        <v>0.10753941031181624</v>
      </c>
      <c r="H5" s="7">
        <f>STDEV(D5,D7)</f>
        <v>3.0467953470406046E-2</v>
      </c>
    </row>
    <row r="6" spans="1:8">
      <c r="B6">
        <v>6383.79</v>
      </c>
      <c r="C6" s="84" t="s">
        <v>184</v>
      </c>
      <c r="F6" s="5" t="s">
        <v>101</v>
      </c>
      <c r="G6" s="6">
        <f>AVERAGE(D9,D11)</f>
        <v>9.3645357303695706E-3</v>
      </c>
      <c r="H6" s="7">
        <f>STDEV(D9,D11)</f>
        <v>1.6918665125192529E-3</v>
      </c>
    </row>
    <row r="7" spans="1:8" ht="16" thickBot="1">
      <c r="A7" t="s">
        <v>250</v>
      </c>
      <c r="B7">
        <v>810.62699999999995</v>
      </c>
      <c r="C7" s="84" t="s">
        <v>183</v>
      </c>
      <c r="D7">
        <f t="shared" ref="D7" si="0">B7/B8</f>
        <v>8.5995313804015927E-2</v>
      </c>
      <c r="F7" s="8" t="s">
        <v>90</v>
      </c>
      <c r="G7" s="9">
        <f>AVERAGE(D13,D15)</f>
        <v>0.23959821466373621</v>
      </c>
      <c r="H7" s="10">
        <f>STDEV(D13,D15)</f>
        <v>1.8254415457643103E-2</v>
      </c>
    </row>
    <row r="8" spans="1:8">
      <c r="B8">
        <v>9426.4089999999997</v>
      </c>
      <c r="C8" s="84" t="s">
        <v>184</v>
      </c>
    </row>
    <row r="9" spans="1:8">
      <c r="A9" t="s">
        <v>251</v>
      </c>
      <c r="B9">
        <v>92.778000000000006</v>
      </c>
      <c r="C9" s="84" t="s">
        <v>183</v>
      </c>
      <c r="D9">
        <f t="shared" ref="D9" si="1">B9/B10</f>
        <v>1.0560866014234369E-2</v>
      </c>
    </row>
    <row r="10" spans="1:8">
      <c r="B10">
        <v>8785.0750000000007</v>
      </c>
      <c r="C10" s="84" t="s">
        <v>184</v>
      </c>
    </row>
    <row r="11" spans="1:8">
      <c r="A11" t="s">
        <v>253</v>
      </c>
      <c r="B11">
        <v>60.536000000000001</v>
      </c>
      <c r="C11" s="84" t="s">
        <v>183</v>
      </c>
      <c r="D11">
        <f t="shared" ref="D11" si="2">B11/B12</f>
        <v>8.168205446504772E-3</v>
      </c>
    </row>
    <row r="12" spans="1:8">
      <c r="B12">
        <v>7411.1750000000002</v>
      </c>
      <c r="C12" s="84" t="s">
        <v>184</v>
      </c>
    </row>
    <row r="13" spans="1:8">
      <c r="A13" t="s">
        <v>252</v>
      </c>
      <c r="B13">
        <v>753.62699999999995</v>
      </c>
      <c r="C13" s="84" t="s">
        <v>183</v>
      </c>
      <c r="D13">
        <f t="shared" ref="D13" si="3">B13/B14</f>
        <v>0.22669039370704022</v>
      </c>
    </row>
    <row r="14" spans="1:8">
      <c r="B14">
        <v>3324.4769999999999</v>
      </c>
      <c r="C14" s="84" t="s">
        <v>184</v>
      </c>
    </row>
    <row r="15" spans="1:8">
      <c r="A15" t="s">
        <v>254</v>
      </c>
      <c r="B15">
        <v>768.21299999999997</v>
      </c>
      <c r="C15" s="84" t="s">
        <v>183</v>
      </c>
      <c r="D15">
        <f t="shared" ref="D15" si="4">B15/B16</f>
        <v>0.25250603562043217</v>
      </c>
    </row>
    <row r="16" spans="1:8">
      <c r="B16">
        <v>3042.355</v>
      </c>
      <c r="C16" s="84" t="s">
        <v>184</v>
      </c>
    </row>
    <row r="17" spans="2:3">
      <c r="B17" s="84"/>
      <c r="C17" s="84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N23"/>
  <sheetViews>
    <sheetView zoomScale="110" zoomScaleNormal="110" workbookViewId="0">
      <selection activeCell="M4" sqref="M4"/>
    </sheetView>
  </sheetViews>
  <sheetFormatPr baseColWidth="10" defaultColWidth="8.83203125" defaultRowHeight="15"/>
  <cols>
    <col min="1" max="1" width="21" customWidth="1"/>
    <col min="2" max="2" width="13.83203125" customWidth="1"/>
    <col min="3" max="3" width="8.83203125" customWidth="1"/>
    <col min="4" max="4" width="14.33203125" bestFit="1" customWidth="1"/>
    <col min="5" max="5" width="24.5" customWidth="1"/>
    <col min="6" max="6" width="8.83203125" customWidth="1"/>
    <col min="7" max="8" width="17.5" customWidth="1"/>
    <col min="9" max="9" width="8.83203125" customWidth="1"/>
    <col min="11" max="11" width="8" customWidth="1"/>
    <col min="12" max="12" width="16.83203125" customWidth="1"/>
    <col min="14" max="14" width="13.6640625" customWidth="1"/>
    <col min="15" max="15" width="25.83203125" customWidth="1"/>
    <col min="16" max="16" width="10.33203125" bestFit="1" customWidth="1"/>
    <col min="23" max="23" width="23.1640625" customWidth="1"/>
    <col min="257" max="257" width="21" customWidth="1"/>
    <col min="258" max="258" width="13.83203125" customWidth="1"/>
    <col min="259" max="259" width="8.83203125" customWidth="1"/>
    <col min="260" max="260" width="12.33203125" customWidth="1"/>
    <col min="261" max="261" width="24.5" customWidth="1"/>
    <col min="262" max="262" width="8.83203125" customWidth="1"/>
    <col min="263" max="264" width="17.5" customWidth="1"/>
    <col min="265" max="265" width="8.83203125" customWidth="1"/>
    <col min="267" max="267" width="8" customWidth="1"/>
    <col min="270" max="270" width="13.6640625" customWidth="1"/>
    <col min="271" max="271" width="25.83203125" customWidth="1"/>
    <col min="272" max="272" width="10.33203125" bestFit="1" customWidth="1"/>
    <col min="279" max="279" width="23.1640625" customWidth="1"/>
    <col min="513" max="513" width="21" customWidth="1"/>
    <col min="514" max="514" width="13.83203125" customWidth="1"/>
    <col min="515" max="515" width="8.83203125" customWidth="1"/>
    <col min="516" max="516" width="12.33203125" customWidth="1"/>
    <col min="517" max="517" width="24.5" customWidth="1"/>
    <col min="518" max="518" width="8.83203125" customWidth="1"/>
    <col min="519" max="520" width="17.5" customWidth="1"/>
    <col min="521" max="521" width="8.83203125" customWidth="1"/>
    <col min="523" max="523" width="8" customWidth="1"/>
    <col min="526" max="526" width="13.6640625" customWidth="1"/>
    <col min="527" max="527" width="25.83203125" customWidth="1"/>
    <col min="528" max="528" width="10.33203125" bestFit="1" customWidth="1"/>
    <col min="535" max="535" width="23.1640625" customWidth="1"/>
    <col min="769" max="769" width="21" customWidth="1"/>
    <col min="770" max="770" width="13.83203125" customWidth="1"/>
    <col min="771" max="771" width="8.83203125" customWidth="1"/>
    <col min="772" max="772" width="12.33203125" customWidth="1"/>
    <col min="773" max="773" width="24.5" customWidth="1"/>
    <col min="774" max="774" width="8.83203125" customWidth="1"/>
    <col min="775" max="776" width="17.5" customWidth="1"/>
    <col min="777" max="777" width="8.83203125" customWidth="1"/>
    <col min="779" max="779" width="8" customWidth="1"/>
    <col min="782" max="782" width="13.6640625" customWidth="1"/>
    <col min="783" max="783" width="25.83203125" customWidth="1"/>
    <col min="784" max="784" width="10.33203125" bestFit="1" customWidth="1"/>
    <col min="791" max="791" width="23.1640625" customWidth="1"/>
    <col min="1025" max="1025" width="21" customWidth="1"/>
    <col min="1026" max="1026" width="13.83203125" customWidth="1"/>
    <col min="1027" max="1027" width="8.83203125" customWidth="1"/>
    <col min="1028" max="1028" width="12.33203125" customWidth="1"/>
    <col min="1029" max="1029" width="24.5" customWidth="1"/>
    <col min="1030" max="1030" width="8.83203125" customWidth="1"/>
    <col min="1031" max="1032" width="17.5" customWidth="1"/>
    <col min="1033" max="1033" width="8.83203125" customWidth="1"/>
    <col min="1035" max="1035" width="8" customWidth="1"/>
    <col min="1038" max="1038" width="13.6640625" customWidth="1"/>
    <col min="1039" max="1039" width="25.83203125" customWidth="1"/>
    <col min="1040" max="1040" width="10.33203125" bestFit="1" customWidth="1"/>
    <col min="1047" max="1047" width="23.1640625" customWidth="1"/>
    <col min="1281" max="1281" width="21" customWidth="1"/>
    <col min="1282" max="1282" width="13.83203125" customWidth="1"/>
    <col min="1283" max="1283" width="8.83203125" customWidth="1"/>
    <col min="1284" max="1284" width="12.33203125" customWidth="1"/>
    <col min="1285" max="1285" width="24.5" customWidth="1"/>
    <col min="1286" max="1286" width="8.83203125" customWidth="1"/>
    <col min="1287" max="1288" width="17.5" customWidth="1"/>
    <col min="1289" max="1289" width="8.83203125" customWidth="1"/>
    <col min="1291" max="1291" width="8" customWidth="1"/>
    <col min="1294" max="1294" width="13.6640625" customWidth="1"/>
    <col min="1295" max="1295" width="25.83203125" customWidth="1"/>
    <col min="1296" max="1296" width="10.33203125" bestFit="1" customWidth="1"/>
    <col min="1303" max="1303" width="23.1640625" customWidth="1"/>
    <col min="1537" max="1537" width="21" customWidth="1"/>
    <col min="1538" max="1538" width="13.83203125" customWidth="1"/>
    <col min="1539" max="1539" width="8.83203125" customWidth="1"/>
    <col min="1540" max="1540" width="12.33203125" customWidth="1"/>
    <col min="1541" max="1541" width="24.5" customWidth="1"/>
    <col min="1542" max="1542" width="8.83203125" customWidth="1"/>
    <col min="1543" max="1544" width="17.5" customWidth="1"/>
    <col min="1545" max="1545" width="8.83203125" customWidth="1"/>
    <col min="1547" max="1547" width="8" customWidth="1"/>
    <col min="1550" max="1550" width="13.6640625" customWidth="1"/>
    <col min="1551" max="1551" width="25.83203125" customWidth="1"/>
    <col min="1552" max="1552" width="10.33203125" bestFit="1" customWidth="1"/>
    <col min="1559" max="1559" width="23.1640625" customWidth="1"/>
    <col min="1793" max="1793" width="21" customWidth="1"/>
    <col min="1794" max="1794" width="13.83203125" customWidth="1"/>
    <col min="1795" max="1795" width="8.83203125" customWidth="1"/>
    <col min="1796" max="1796" width="12.33203125" customWidth="1"/>
    <col min="1797" max="1797" width="24.5" customWidth="1"/>
    <col min="1798" max="1798" width="8.83203125" customWidth="1"/>
    <col min="1799" max="1800" width="17.5" customWidth="1"/>
    <col min="1801" max="1801" width="8.83203125" customWidth="1"/>
    <col min="1803" max="1803" width="8" customWidth="1"/>
    <col min="1806" max="1806" width="13.6640625" customWidth="1"/>
    <col min="1807" max="1807" width="25.83203125" customWidth="1"/>
    <col min="1808" max="1808" width="10.33203125" bestFit="1" customWidth="1"/>
    <col min="1815" max="1815" width="23.1640625" customWidth="1"/>
    <col min="2049" max="2049" width="21" customWidth="1"/>
    <col min="2050" max="2050" width="13.83203125" customWidth="1"/>
    <col min="2051" max="2051" width="8.83203125" customWidth="1"/>
    <col min="2052" max="2052" width="12.33203125" customWidth="1"/>
    <col min="2053" max="2053" width="24.5" customWidth="1"/>
    <col min="2054" max="2054" width="8.83203125" customWidth="1"/>
    <col min="2055" max="2056" width="17.5" customWidth="1"/>
    <col min="2057" max="2057" width="8.83203125" customWidth="1"/>
    <col min="2059" max="2059" width="8" customWidth="1"/>
    <col min="2062" max="2062" width="13.6640625" customWidth="1"/>
    <col min="2063" max="2063" width="25.83203125" customWidth="1"/>
    <col min="2064" max="2064" width="10.33203125" bestFit="1" customWidth="1"/>
    <col min="2071" max="2071" width="23.1640625" customWidth="1"/>
    <col min="2305" max="2305" width="21" customWidth="1"/>
    <col min="2306" max="2306" width="13.83203125" customWidth="1"/>
    <col min="2307" max="2307" width="8.83203125" customWidth="1"/>
    <col min="2308" max="2308" width="12.33203125" customWidth="1"/>
    <col min="2309" max="2309" width="24.5" customWidth="1"/>
    <col min="2310" max="2310" width="8.83203125" customWidth="1"/>
    <col min="2311" max="2312" width="17.5" customWidth="1"/>
    <col min="2313" max="2313" width="8.83203125" customWidth="1"/>
    <col min="2315" max="2315" width="8" customWidth="1"/>
    <col min="2318" max="2318" width="13.6640625" customWidth="1"/>
    <col min="2319" max="2319" width="25.83203125" customWidth="1"/>
    <col min="2320" max="2320" width="10.33203125" bestFit="1" customWidth="1"/>
    <col min="2327" max="2327" width="23.1640625" customWidth="1"/>
    <col min="2561" max="2561" width="21" customWidth="1"/>
    <col min="2562" max="2562" width="13.83203125" customWidth="1"/>
    <col min="2563" max="2563" width="8.83203125" customWidth="1"/>
    <col min="2564" max="2564" width="12.33203125" customWidth="1"/>
    <col min="2565" max="2565" width="24.5" customWidth="1"/>
    <col min="2566" max="2566" width="8.83203125" customWidth="1"/>
    <col min="2567" max="2568" width="17.5" customWidth="1"/>
    <col min="2569" max="2569" width="8.83203125" customWidth="1"/>
    <col min="2571" max="2571" width="8" customWidth="1"/>
    <col min="2574" max="2574" width="13.6640625" customWidth="1"/>
    <col min="2575" max="2575" width="25.83203125" customWidth="1"/>
    <col min="2576" max="2576" width="10.33203125" bestFit="1" customWidth="1"/>
    <col min="2583" max="2583" width="23.1640625" customWidth="1"/>
    <col min="2817" max="2817" width="21" customWidth="1"/>
    <col min="2818" max="2818" width="13.83203125" customWidth="1"/>
    <col min="2819" max="2819" width="8.83203125" customWidth="1"/>
    <col min="2820" max="2820" width="12.33203125" customWidth="1"/>
    <col min="2821" max="2821" width="24.5" customWidth="1"/>
    <col min="2822" max="2822" width="8.83203125" customWidth="1"/>
    <col min="2823" max="2824" width="17.5" customWidth="1"/>
    <col min="2825" max="2825" width="8.83203125" customWidth="1"/>
    <col min="2827" max="2827" width="8" customWidth="1"/>
    <col min="2830" max="2830" width="13.6640625" customWidth="1"/>
    <col min="2831" max="2831" width="25.83203125" customWidth="1"/>
    <col min="2832" max="2832" width="10.33203125" bestFit="1" customWidth="1"/>
    <col min="2839" max="2839" width="23.1640625" customWidth="1"/>
    <col min="3073" max="3073" width="21" customWidth="1"/>
    <col min="3074" max="3074" width="13.83203125" customWidth="1"/>
    <col min="3075" max="3075" width="8.83203125" customWidth="1"/>
    <col min="3076" max="3076" width="12.33203125" customWidth="1"/>
    <col min="3077" max="3077" width="24.5" customWidth="1"/>
    <col min="3078" max="3078" width="8.83203125" customWidth="1"/>
    <col min="3079" max="3080" width="17.5" customWidth="1"/>
    <col min="3081" max="3081" width="8.83203125" customWidth="1"/>
    <col min="3083" max="3083" width="8" customWidth="1"/>
    <col min="3086" max="3086" width="13.6640625" customWidth="1"/>
    <col min="3087" max="3087" width="25.83203125" customWidth="1"/>
    <col min="3088" max="3088" width="10.33203125" bestFit="1" customWidth="1"/>
    <col min="3095" max="3095" width="23.1640625" customWidth="1"/>
    <col min="3329" max="3329" width="21" customWidth="1"/>
    <col min="3330" max="3330" width="13.83203125" customWidth="1"/>
    <col min="3331" max="3331" width="8.83203125" customWidth="1"/>
    <col min="3332" max="3332" width="12.33203125" customWidth="1"/>
    <col min="3333" max="3333" width="24.5" customWidth="1"/>
    <col min="3334" max="3334" width="8.83203125" customWidth="1"/>
    <col min="3335" max="3336" width="17.5" customWidth="1"/>
    <col min="3337" max="3337" width="8.83203125" customWidth="1"/>
    <col min="3339" max="3339" width="8" customWidth="1"/>
    <col min="3342" max="3342" width="13.6640625" customWidth="1"/>
    <col min="3343" max="3343" width="25.83203125" customWidth="1"/>
    <col min="3344" max="3344" width="10.33203125" bestFit="1" customWidth="1"/>
    <col min="3351" max="3351" width="23.1640625" customWidth="1"/>
    <col min="3585" max="3585" width="21" customWidth="1"/>
    <col min="3586" max="3586" width="13.83203125" customWidth="1"/>
    <col min="3587" max="3587" width="8.83203125" customWidth="1"/>
    <col min="3588" max="3588" width="12.33203125" customWidth="1"/>
    <col min="3589" max="3589" width="24.5" customWidth="1"/>
    <col min="3590" max="3590" width="8.83203125" customWidth="1"/>
    <col min="3591" max="3592" width="17.5" customWidth="1"/>
    <col min="3593" max="3593" width="8.83203125" customWidth="1"/>
    <col min="3595" max="3595" width="8" customWidth="1"/>
    <col min="3598" max="3598" width="13.6640625" customWidth="1"/>
    <col min="3599" max="3599" width="25.83203125" customWidth="1"/>
    <col min="3600" max="3600" width="10.33203125" bestFit="1" customWidth="1"/>
    <col min="3607" max="3607" width="23.1640625" customWidth="1"/>
    <col min="3841" max="3841" width="21" customWidth="1"/>
    <col min="3842" max="3842" width="13.83203125" customWidth="1"/>
    <col min="3843" max="3843" width="8.83203125" customWidth="1"/>
    <col min="3844" max="3844" width="12.33203125" customWidth="1"/>
    <col min="3845" max="3845" width="24.5" customWidth="1"/>
    <col min="3846" max="3846" width="8.83203125" customWidth="1"/>
    <col min="3847" max="3848" width="17.5" customWidth="1"/>
    <col min="3849" max="3849" width="8.83203125" customWidth="1"/>
    <col min="3851" max="3851" width="8" customWidth="1"/>
    <col min="3854" max="3854" width="13.6640625" customWidth="1"/>
    <col min="3855" max="3855" width="25.83203125" customWidth="1"/>
    <col min="3856" max="3856" width="10.33203125" bestFit="1" customWidth="1"/>
    <col min="3863" max="3863" width="23.1640625" customWidth="1"/>
    <col min="4097" max="4097" width="21" customWidth="1"/>
    <col min="4098" max="4098" width="13.83203125" customWidth="1"/>
    <col min="4099" max="4099" width="8.83203125" customWidth="1"/>
    <col min="4100" max="4100" width="12.33203125" customWidth="1"/>
    <col min="4101" max="4101" width="24.5" customWidth="1"/>
    <col min="4102" max="4102" width="8.83203125" customWidth="1"/>
    <col min="4103" max="4104" width="17.5" customWidth="1"/>
    <col min="4105" max="4105" width="8.83203125" customWidth="1"/>
    <col min="4107" max="4107" width="8" customWidth="1"/>
    <col min="4110" max="4110" width="13.6640625" customWidth="1"/>
    <col min="4111" max="4111" width="25.83203125" customWidth="1"/>
    <col min="4112" max="4112" width="10.33203125" bestFit="1" customWidth="1"/>
    <col min="4119" max="4119" width="23.1640625" customWidth="1"/>
    <col min="4353" max="4353" width="21" customWidth="1"/>
    <col min="4354" max="4354" width="13.83203125" customWidth="1"/>
    <col min="4355" max="4355" width="8.83203125" customWidth="1"/>
    <col min="4356" max="4356" width="12.33203125" customWidth="1"/>
    <col min="4357" max="4357" width="24.5" customWidth="1"/>
    <col min="4358" max="4358" width="8.83203125" customWidth="1"/>
    <col min="4359" max="4360" width="17.5" customWidth="1"/>
    <col min="4361" max="4361" width="8.83203125" customWidth="1"/>
    <col min="4363" max="4363" width="8" customWidth="1"/>
    <col min="4366" max="4366" width="13.6640625" customWidth="1"/>
    <col min="4367" max="4367" width="25.83203125" customWidth="1"/>
    <col min="4368" max="4368" width="10.33203125" bestFit="1" customWidth="1"/>
    <col min="4375" max="4375" width="23.1640625" customWidth="1"/>
    <col min="4609" max="4609" width="21" customWidth="1"/>
    <col min="4610" max="4610" width="13.83203125" customWidth="1"/>
    <col min="4611" max="4611" width="8.83203125" customWidth="1"/>
    <col min="4612" max="4612" width="12.33203125" customWidth="1"/>
    <col min="4613" max="4613" width="24.5" customWidth="1"/>
    <col min="4614" max="4614" width="8.83203125" customWidth="1"/>
    <col min="4615" max="4616" width="17.5" customWidth="1"/>
    <col min="4617" max="4617" width="8.83203125" customWidth="1"/>
    <col min="4619" max="4619" width="8" customWidth="1"/>
    <col min="4622" max="4622" width="13.6640625" customWidth="1"/>
    <col min="4623" max="4623" width="25.83203125" customWidth="1"/>
    <col min="4624" max="4624" width="10.33203125" bestFit="1" customWidth="1"/>
    <col min="4631" max="4631" width="23.1640625" customWidth="1"/>
    <col min="4865" max="4865" width="21" customWidth="1"/>
    <col min="4866" max="4866" width="13.83203125" customWidth="1"/>
    <col min="4867" max="4867" width="8.83203125" customWidth="1"/>
    <col min="4868" max="4868" width="12.33203125" customWidth="1"/>
    <col min="4869" max="4869" width="24.5" customWidth="1"/>
    <col min="4870" max="4870" width="8.83203125" customWidth="1"/>
    <col min="4871" max="4872" width="17.5" customWidth="1"/>
    <col min="4873" max="4873" width="8.83203125" customWidth="1"/>
    <col min="4875" max="4875" width="8" customWidth="1"/>
    <col min="4878" max="4878" width="13.6640625" customWidth="1"/>
    <col min="4879" max="4879" width="25.83203125" customWidth="1"/>
    <col min="4880" max="4880" width="10.33203125" bestFit="1" customWidth="1"/>
    <col min="4887" max="4887" width="23.1640625" customWidth="1"/>
    <col min="5121" max="5121" width="21" customWidth="1"/>
    <col min="5122" max="5122" width="13.83203125" customWidth="1"/>
    <col min="5123" max="5123" width="8.83203125" customWidth="1"/>
    <col min="5124" max="5124" width="12.33203125" customWidth="1"/>
    <col min="5125" max="5125" width="24.5" customWidth="1"/>
    <col min="5126" max="5126" width="8.83203125" customWidth="1"/>
    <col min="5127" max="5128" width="17.5" customWidth="1"/>
    <col min="5129" max="5129" width="8.83203125" customWidth="1"/>
    <col min="5131" max="5131" width="8" customWidth="1"/>
    <col min="5134" max="5134" width="13.6640625" customWidth="1"/>
    <col min="5135" max="5135" width="25.83203125" customWidth="1"/>
    <col min="5136" max="5136" width="10.33203125" bestFit="1" customWidth="1"/>
    <col min="5143" max="5143" width="23.1640625" customWidth="1"/>
    <col min="5377" max="5377" width="21" customWidth="1"/>
    <col min="5378" max="5378" width="13.83203125" customWidth="1"/>
    <col min="5379" max="5379" width="8.83203125" customWidth="1"/>
    <col min="5380" max="5380" width="12.33203125" customWidth="1"/>
    <col min="5381" max="5381" width="24.5" customWidth="1"/>
    <col min="5382" max="5382" width="8.83203125" customWidth="1"/>
    <col min="5383" max="5384" width="17.5" customWidth="1"/>
    <col min="5385" max="5385" width="8.83203125" customWidth="1"/>
    <col min="5387" max="5387" width="8" customWidth="1"/>
    <col min="5390" max="5390" width="13.6640625" customWidth="1"/>
    <col min="5391" max="5391" width="25.83203125" customWidth="1"/>
    <col min="5392" max="5392" width="10.33203125" bestFit="1" customWidth="1"/>
    <col min="5399" max="5399" width="23.1640625" customWidth="1"/>
    <col min="5633" max="5633" width="21" customWidth="1"/>
    <col min="5634" max="5634" width="13.83203125" customWidth="1"/>
    <col min="5635" max="5635" width="8.83203125" customWidth="1"/>
    <col min="5636" max="5636" width="12.33203125" customWidth="1"/>
    <col min="5637" max="5637" width="24.5" customWidth="1"/>
    <col min="5638" max="5638" width="8.83203125" customWidth="1"/>
    <col min="5639" max="5640" width="17.5" customWidth="1"/>
    <col min="5641" max="5641" width="8.83203125" customWidth="1"/>
    <col min="5643" max="5643" width="8" customWidth="1"/>
    <col min="5646" max="5646" width="13.6640625" customWidth="1"/>
    <col min="5647" max="5647" width="25.83203125" customWidth="1"/>
    <col min="5648" max="5648" width="10.33203125" bestFit="1" customWidth="1"/>
    <col min="5655" max="5655" width="23.1640625" customWidth="1"/>
    <col min="5889" max="5889" width="21" customWidth="1"/>
    <col min="5890" max="5890" width="13.83203125" customWidth="1"/>
    <col min="5891" max="5891" width="8.83203125" customWidth="1"/>
    <col min="5892" max="5892" width="12.33203125" customWidth="1"/>
    <col min="5893" max="5893" width="24.5" customWidth="1"/>
    <col min="5894" max="5894" width="8.83203125" customWidth="1"/>
    <col min="5895" max="5896" width="17.5" customWidth="1"/>
    <col min="5897" max="5897" width="8.83203125" customWidth="1"/>
    <col min="5899" max="5899" width="8" customWidth="1"/>
    <col min="5902" max="5902" width="13.6640625" customWidth="1"/>
    <col min="5903" max="5903" width="25.83203125" customWidth="1"/>
    <col min="5904" max="5904" width="10.33203125" bestFit="1" customWidth="1"/>
    <col min="5911" max="5911" width="23.1640625" customWidth="1"/>
    <col min="6145" max="6145" width="21" customWidth="1"/>
    <col min="6146" max="6146" width="13.83203125" customWidth="1"/>
    <col min="6147" max="6147" width="8.83203125" customWidth="1"/>
    <col min="6148" max="6148" width="12.33203125" customWidth="1"/>
    <col min="6149" max="6149" width="24.5" customWidth="1"/>
    <col min="6150" max="6150" width="8.83203125" customWidth="1"/>
    <col min="6151" max="6152" width="17.5" customWidth="1"/>
    <col min="6153" max="6153" width="8.83203125" customWidth="1"/>
    <col min="6155" max="6155" width="8" customWidth="1"/>
    <col min="6158" max="6158" width="13.6640625" customWidth="1"/>
    <col min="6159" max="6159" width="25.83203125" customWidth="1"/>
    <col min="6160" max="6160" width="10.33203125" bestFit="1" customWidth="1"/>
    <col min="6167" max="6167" width="23.1640625" customWidth="1"/>
    <col min="6401" max="6401" width="21" customWidth="1"/>
    <col min="6402" max="6402" width="13.83203125" customWidth="1"/>
    <col min="6403" max="6403" width="8.83203125" customWidth="1"/>
    <col min="6404" max="6404" width="12.33203125" customWidth="1"/>
    <col min="6405" max="6405" width="24.5" customWidth="1"/>
    <col min="6406" max="6406" width="8.83203125" customWidth="1"/>
    <col min="6407" max="6408" width="17.5" customWidth="1"/>
    <col min="6409" max="6409" width="8.83203125" customWidth="1"/>
    <col min="6411" max="6411" width="8" customWidth="1"/>
    <col min="6414" max="6414" width="13.6640625" customWidth="1"/>
    <col min="6415" max="6415" width="25.83203125" customWidth="1"/>
    <col min="6416" max="6416" width="10.33203125" bestFit="1" customWidth="1"/>
    <col min="6423" max="6423" width="23.1640625" customWidth="1"/>
    <col min="6657" max="6657" width="21" customWidth="1"/>
    <col min="6658" max="6658" width="13.83203125" customWidth="1"/>
    <col min="6659" max="6659" width="8.83203125" customWidth="1"/>
    <col min="6660" max="6660" width="12.33203125" customWidth="1"/>
    <col min="6661" max="6661" width="24.5" customWidth="1"/>
    <col min="6662" max="6662" width="8.83203125" customWidth="1"/>
    <col min="6663" max="6664" width="17.5" customWidth="1"/>
    <col min="6665" max="6665" width="8.83203125" customWidth="1"/>
    <col min="6667" max="6667" width="8" customWidth="1"/>
    <col min="6670" max="6670" width="13.6640625" customWidth="1"/>
    <col min="6671" max="6671" width="25.83203125" customWidth="1"/>
    <col min="6672" max="6672" width="10.33203125" bestFit="1" customWidth="1"/>
    <col min="6679" max="6679" width="23.1640625" customWidth="1"/>
    <col min="6913" max="6913" width="21" customWidth="1"/>
    <col min="6914" max="6914" width="13.83203125" customWidth="1"/>
    <col min="6915" max="6915" width="8.83203125" customWidth="1"/>
    <col min="6916" max="6916" width="12.33203125" customWidth="1"/>
    <col min="6917" max="6917" width="24.5" customWidth="1"/>
    <col min="6918" max="6918" width="8.83203125" customWidth="1"/>
    <col min="6919" max="6920" width="17.5" customWidth="1"/>
    <col min="6921" max="6921" width="8.83203125" customWidth="1"/>
    <col min="6923" max="6923" width="8" customWidth="1"/>
    <col min="6926" max="6926" width="13.6640625" customWidth="1"/>
    <col min="6927" max="6927" width="25.83203125" customWidth="1"/>
    <col min="6928" max="6928" width="10.33203125" bestFit="1" customWidth="1"/>
    <col min="6935" max="6935" width="23.1640625" customWidth="1"/>
    <col min="7169" max="7169" width="21" customWidth="1"/>
    <col min="7170" max="7170" width="13.83203125" customWidth="1"/>
    <col min="7171" max="7171" width="8.83203125" customWidth="1"/>
    <col min="7172" max="7172" width="12.33203125" customWidth="1"/>
    <col min="7173" max="7173" width="24.5" customWidth="1"/>
    <col min="7174" max="7174" width="8.83203125" customWidth="1"/>
    <col min="7175" max="7176" width="17.5" customWidth="1"/>
    <col min="7177" max="7177" width="8.83203125" customWidth="1"/>
    <col min="7179" max="7179" width="8" customWidth="1"/>
    <col min="7182" max="7182" width="13.6640625" customWidth="1"/>
    <col min="7183" max="7183" width="25.83203125" customWidth="1"/>
    <col min="7184" max="7184" width="10.33203125" bestFit="1" customWidth="1"/>
    <col min="7191" max="7191" width="23.1640625" customWidth="1"/>
    <col min="7425" max="7425" width="21" customWidth="1"/>
    <col min="7426" max="7426" width="13.83203125" customWidth="1"/>
    <col min="7427" max="7427" width="8.83203125" customWidth="1"/>
    <col min="7428" max="7428" width="12.33203125" customWidth="1"/>
    <col min="7429" max="7429" width="24.5" customWidth="1"/>
    <col min="7430" max="7430" width="8.83203125" customWidth="1"/>
    <col min="7431" max="7432" width="17.5" customWidth="1"/>
    <col min="7433" max="7433" width="8.83203125" customWidth="1"/>
    <col min="7435" max="7435" width="8" customWidth="1"/>
    <col min="7438" max="7438" width="13.6640625" customWidth="1"/>
    <col min="7439" max="7439" width="25.83203125" customWidth="1"/>
    <col min="7440" max="7440" width="10.33203125" bestFit="1" customWidth="1"/>
    <col min="7447" max="7447" width="23.1640625" customWidth="1"/>
    <col min="7681" max="7681" width="21" customWidth="1"/>
    <col min="7682" max="7682" width="13.83203125" customWidth="1"/>
    <col min="7683" max="7683" width="8.83203125" customWidth="1"/>
    <col min="7684" max="7684" width="12.33203125" customWidth="1"/>
    <col min="7685" max="7685" width="24.5" customWidth="1"/>
    <col min="7686" max="7686" width="8.83203125" customWidth="1"/>
    <col min="7687" max="7688" width="17.5" customWidth="1"/>
    <col min="7689" max="7689" width="8.83203125" customWidth="1"/>
    <col min="7691" max="7691" width="8" customWidth="1"/>
    <col min="7694" max="7694" width="13.6640625" customWidth="1"/>
    <col min="7695" max="7695" width="25.83203125" customWidth="1"/>
    <col min="7696" max="7696" width="10.33203125" bestFit="1" customWidth="1"/>
    <col min="7703" max="7703" width="23.1640625" customWidth="1"/>
    <col min="7937" max="7937" width="21" customWidth="1"/>
    <col min="7938" max="7938" width="13.83203125" customWidth="1"/>
    <col min="7939" max="7939" width="8.83203125" customWidth="1"/>
    <col min="7940" max="7940" width="12.33203125" customWidth="1"/>
    <col min="7941" max="7941" width="24.5" customWidth="1"/>
    <col min="7942" max="7942" width="8.83203125" customWidth="1"/>
    <col min="7943" max="7944" width="17.5" customWidth="1"/>
    <col min="7945" max="7945" width="8.83203125" customWidth="1"/>
    <col min="7947" max="7947" width="8" customWidth="1"/>
    <col min="7950" max="7950" width="13.6640625" customWidth="1"/>
    <col min="7951" max="7951" width="25.83203125" customWidth="1"/>
    <col min="7952" max="7952" width="10.33203125" bestFit="1" customWidth="1"/>
    <col min="7959" max="7959" width="23.1640625" customWidth="1"/>
    <col min="8193" max="8193" width="21" customWidth="1"/>
    <col min="8194" max="8194" width="13.83203125" customWidth="1"/>
    <col min="8195" max="8195" width="8.83203125" customWidth="1"/>
    <col min="8196" max="8196" width="12.33203125" customWidth="1"/>
    <col min="8197" max="8197" width="24.5" customWidth="1"/>
    <col min="8198" max="8198" width="8.83203125" customWidth="1"/>
    <col min="8199" max="8200" width="17.5" customWidth="1"/>
    <col min="8201" max="8201" width="8.83203125" customWidth="1"/>
    <col min="8203" max="8203" width="8" customWidth="1"/>
    <col min="8206" max="8206" width="13.6640625" customWidth="1"/>
    <col min="8207" max="8207" width="25.83203125" customWidth="1"/>
    <col min="8208" max="8208" width="10.33203125" bestFit="1" customWidth="1"/>
    <col min="8215" max="8215" width="23.1640625" customWidth="1"/>
    <col min="8449" max="8449" width="21" customWidth="1"/>
    <col min="8450" max="8450" width="13.83203125" customWidth="1"/>
    <col min="8451" max="8451" width="8.83203125" customWidth="1"/>
    <col min="8452" max="8452" width="12.33203125" customWidth="1"/>
    <col min="8453" max="8453" width="24.5" customWidth="1"/>
    <col min="8454" max="8454" width="8.83203125" customWidth="1"/>
    <col min="8455" max="8456" width="17.5" customWidth="1"/>
    <col min="8457" max="8457" width="8.83203125" customWidth="1"/>
    <col min="8459" max="8459" width="8" customWidth="1"/>
    <col min="8462" max="8462" width="13.6640625" customWidth="1"/>
    <col min="8463" max="8463" width="25.83203125" customWidth="1"/>
    <col min="8464" max="8464" width="10.33203125" bestFit="1" customWidth="1"/>
    <col min="8471" max="8471" width="23.1640625" customWidth="1"/>
    <col min="8705" max="8705" width="21" customWidth="1"/>
    <col min="8706" max="8706" width="13.83203125" customWidth="1"/>
    <col min="8707" max="8707" width="8.83203125" customWidth="1"/>
    <col min="8708" max="8708" width="12.33203125" customWidth="1"/>
    <col min="8709" max="8709" width="24.5" customWidth="1"/>
    <col min="8710" max="8710" width="8.83203125" customWidth="1"/>
    <col min="8711" max="8712" width="17.5" customWidth="1"/>
    <col min="8713" max="8713" width="8.83203125" customWidth="1"/>
    <col min="8715" max="8715" width="8" customWidth="1"/>
    <col min="8718" max="8718" width="13.6640625" customWidth="1"/>
    <col min="8719" max="8719" width="25.83203125" customWidth="1"/>
    <col min="8720" max="8720" width="10.33203125" bestFit="1" customWidth="1"/>
    <col min="8727" max="8727" width="23.1640625" customWidth="1"/>
    <col min="8961" max="8961" width="21" customWidth="1"/>
    <col min="8962" max="8962" width="13.83203125" customWidth="1"/>
    <col min="8963" max="8963" width="8.83203125" customWidth="1"/>
    <col min="8964" max="8964" width="12.33203125" customWidth="1"/>
    <col min="8965" max="8965" width="24.5" customWidth="1"/>
    <col min="8966" max="8966" width="8.83203125" customWidth="1"/>
    <col min="8967" max="8968" width="17.5" customWidth="1"/>
    <col min="8969" max="8969" width="8.83203125" customWidth="1"/>
    <col min="8971" max="8971" width="8" customWidth="1"/>
    <col min="8974" max="8974" width="13.6640625" customWidth="1"/>
    <col min="8975" max="8975" width="25.83203125" customWidth="1"/>
    <col min="8976" max="8976" width="10.33203125" bestFit="1" customWidth="1"/>
    <col min="8983" max="8983" width="23.1640625" customWidth="1"/>
    <col min="9217" max="9217" width="21" customWidth="1"/>
    <col min="9218" max="9218" width="13.83203125" customWidth="1"/>
    <col min="9219" max="9219" width="8.83203125" customWidth="1"/>
    <col min="9220" max="9220" width="12.33203125" customWidth="1"/>
    <col min="9221" max="9221" width="24.5" customWidth="1"/>
    <col min="9222" max="9222" width="8.83203125" customWidth="1"/>
    <col min="9223" max="9224" width="17.5" customWidth="1"/>
    <col min="9225" max="9225" width="8.83203125" customWidth="1"/>
    <col min="9227" max="9227" width="8" customWidth="1"/>
    <col min="9230" max="9230" width="13.6640625" customWidth="1"/>
    <col min="9231" max="9231" width="25.83203125" customWidth="1"/>
    <col min="9232" max="9232" width="10.33203125" bestFit="1" customWidth="1"/>
    <col min="9239" max="9239" width="23.1640625" customWidth="1"/>
    <col min="9473" max="9473" width="21" customWidth="1"/>
    <col min="9474" max="9474" width="13.83203125" customWidth="1"/>
    <col min="9475" max="9475" width="8.83203125" customWidth="1"/>
    <col min="9476" max="9476" width="12.33203125" customWidth="1"/>
    <col min="9477" max="9477" width="24.5" customWidth="1"/>
    <col min="9478" max="9478" width="8.83203125" customWidth="1"/>
    <col min="9479" max="9480" width="17.5" customWidth="1"/>
    <col min="9481" max="9481" width="8.83203125" customWidth="1"/>
    <col min="9483" max="9483" width="8" customWidth="1"/>
    <col min="9486" max="9486" width="13.6640625" customWidth="1"/>
    <col min="9487" max="9487" width="25.83203125" customWidth="1"/>
    <col min="9488" max="9488" width="10.33203125" bestFit="1" customWidth="1"/>
    <col min="9495" max="9495" width="23.1640625" customWidth="1"/>
    <col min="9729" max="9729" width="21" customWidth="1"/>
    <col min="9730" max="9730" width="13.83203125" customWidth="1"/>
    <col min="9731" max="9731" width="8.83203125" customWidth="1"/>
    <col min="9732" max="9732" width="12.33203125" customWidth="1"/>
    <col min="9733" max="9733" width="24.5" customWidth="1"/>
    <col min="9734" max="9734" width="8.83203125" customWidth="1"/>
    <col min="9735" max="9736" width="17.5" customWidth="1"/>
    <col min="9737" max="9737" width="8.83203125" customWidth="1"/>
    <col min="9739" max="9739" width="8" customWidth="1"/>
    <col min="9742" max="9742" width="13.6640625" customWidth="1"/>
    <col min="9743" max="9743" width="25.83203125" customWidth="1"/>
    <col min="9744" max="9744" width="10.33203125" bestFit="1" customWidth="1"/>
    <col min="9751" max="9751" width="23.1640625" customWidth="1"/>
    <col min="9985" max="9985" width="21" customWidth="1"/>
    <col min="9986" max="9986" width="13.83203125" customWidth="1"/>
    <col min="9987" max="9987" width="8.83203125" customWidth="1"/>
    <col min="9988" max="9988" width="12.33203125" customWidth="1"/>
    <col min="9989" max="9989" width="24.5" customWidth="1"/>
    <col min="9990" max="9990" width="8.83203125" customWidth="1"/>
    <col min="9991" max="9992" width="17.5" customWidth="1"/>
    <col min="9993" max="9993" width="8.83203125" customWidth="1"/>
    <col min="9995" max="9995" width="8" customWidth="1"/>
    <col min="9998" max="9998" width="13.6640625" customWidth="1"/>
    <col min="9999" max="9999" width="25.83203125" customWidth="1"/>
    <col min="10000" max="10000" width="10.33203125" bestFit="1" customWidth="1"/>
    <col min="10007" max="10007" width="23.1640625" customWidth="1"/>
    <col min="10241" max="10241" width="21" customWidth="1"/>
    <col min="10242" max="10242" width="13.83203125" customWidth="1"/>
    <col min="10243" max="10243" width="8.83203125" customWidth="1"/>
    <col min="10244" max="10244" width="12.33203125" customWidth="1"/>
    <col min="10245" max="10245" width="24.5" customWidth="1"/>
    <col min="10246" max="10246" width="8.83203125" customWidth="1"/>
    <col min="10247" max="10248" width="17.5" customWidth="1"/>
    <col min="10249" max="10249" width="8.83203125" customWidth="1"/>
    <col min="10251" max="10251" width="8" customWidth="1"/>
    <col min="10254" max="10254" width="13.6640625" customWidth="1"/>
    <col min="10255" max="10255" width="25.83203125" customWidth="1"/>
    <col min="10256" max="10256" width="10.33203125" bestFit="1" customWidth="1"/>
    <col min="10263" max="10263" width="23.1640625" customWidth="1"/>
    <col min="10497" max="10497" width="21" customWidth="1"/>
    <col min="10498" max="10498" width="13.83203125" customWidth="1"/>
    <col min="10499" max="10499" width="8.83203125" customWidth="1"/>
    <col min="10500" max="10500" width="12.33203125" customWidth="1"/>
    <col min="10501" max="10501" width="24.5" customWidth="1"/>
    <col min="10502" max="10502" width="8.83203125" customWidth="1"/>
    <col min="10503" max="10504" width="17.5" customWidth="1"/>
    <col min="10505" max="10505" width="8.83203125" customWidth="1"/>
    <col min="10507" max="10507" width="8" customWidth="1"/>
    <col min="10510" max="10510" width="13.6640625" customWidth="1"/>
    <col min="10511" max="10511" width="25.83203125" customWidth="1"/>
    <col min="10512" max="10512" width="10.33203125" bestFit="1" customWidth="1"/>
    <col min="10519" max="10519" width="23.1640625" customWidth="1"/>
    <col min="10753" max="10753" width="21" customWidth="1"/>
    <col min="10754" max="10754" width="13.83203125" customWidth="1"/>
    <col min="10755" max="10755" width="8.83203125" customWidth="1"/>
    <col min="10756" max="10756" width="12.33203125" customWidth="1"/>
    <col min="10757" max="10757" width="24.5" customWidth="1"/>
    <col min="10758" max="10758" width="8.83203125" customWidth="1"/>
    <col min="10759" max="10760" width="17.5" customWidth="1"/>
    <col min="10761" max="10761" width="8.83203125" customWidth="1"/>
    <col min="10763" max="10763" width="8" customWidth="1"/>
    <col min="10766" max="10766" width="13.6640625" customWidth="1"/>
    <col min="10767" max="10767" width="25.83203125" customWidth="1"/>
    <col min="10768" max="10768" width="10.33203125" bestFit="1" customWidth="1"/>
    <col min="10775" max="10775" width="23.1640625" customWidth="1"/>
    <col min="11009" max="11009" width="21" customWidth="1"/>
    <col min="11010" max="11010" width="13.83203125" customWidth="1"/>
    <col min="11011" max="11011" width="8.83203125" customWidth="1"/>
    <col min="11012" max="11012" width="12.33203125" customWidth="1"/>
    <col min="11013" max="11013" width="24.5" customWidth="1"/>
    <col min="11014" max="11014" width="8.83203125" customWidth="1"/>
    <col min="11015" max="11016" width="17.5" customWidth="1"/>
    <col min="11017" max="11017" width="8.83203125" customWidth="1"/>
    <col min="11019" max="11019" width="8" customWidth="1"/>
    <col min="11022" max="11022" width="13.6640625" customWidth="1"/>
    <col min="11023" max="11023" width="25.83203125" customWidth="1"/>
    <col min="11024" max="11024" width="10.33203125" bestFit="1" customWidth="1"/>
    <col min="11031" max="11031" width="23.1640625" customWidth="1"/>
    <col min="11265" max="11265" width="21" customWidth="1"/>
    <col min="11266" max="11266" width="13.83203125" customWidth="1"/>
    <col min="11267" max="11267" width="8.83203125" customWidth="1"/>
    <col min="11268" max="11268" width="12.33203125" customWidth="1"/>
    <col min="11269" max="11269" width="24.5" customWidth="1"/>
    <col min="11270" max="11270" width="8.83203125" customWidth="1"/>
    <col min="11271" max="11272" width="17.5" customWidth="1"/>
    <col min="11273" max="11273" width="8.83203125" customWidth="1"/>
    <col min="11275" max="11275" width="8" customWidth="1"/>
    <col min="11278" max="11278" width="13.6640625" customWidth="1"/>
    <col min="11279" max="11279" width="25.83203125" customWidth="1"/>
    <col min="11280" max="11280" width="10.33203125" bestFit="1" customWidth="1"/>
    <col min="11287" max="11287" width="23.1640625" customWidth="1"/>
    <col min="11521" max="11521" width="21" customWidth="1"/>
    <col min="11522" max="11522" width="13.83203125" customWidth="1"/>
    <col min="11523" max="11523" width="8.83203125" customWidth="1"/>
    <col min="11524" max="11524" width="12.33203125" customWidth="1"/>
    <col min="11525" max="11525" width="24.5" customWidth="1"/>
    <col min="11526" max="11526" width="8.83203125" customWidth="1"/>
    <col min="11527" max="11528" width="17.5" customWidth="1"/>
    <col min="11529" max="11529" width="8.83203125" customWidth="1"/>
    <col min="11531" max="11531" width="8" customWidth="1"/>
    <col min="11534" max="11534" width="13.6640625" customWidth="1"/>
    <col min="11535" max="11535" width="25.83203125" customWidth="1"/>
    <col min="11536" max="11536" width="10.33203125" bestFit="1" customWidth="1"/>
    <col min="11543" max="11543" width="23.1640625" customWidth="1"/>
    <col min="11777" max="11777" width="21" customWidth="1"/>
    <col min="11778" max="11778" width="13.83203125" customWidth="1"/>
    <col min="11779" max="11779" width="8.83203125" customWidth="1"/>
    <col min="11780" max="11780" width="12.33203125" customWidth="1"/>
    <col min="11781" max="11781" width="24.5" customWidth="1"/>
    <col min="11782" max="11782" width="8.83203125" customWidth="1"/>
    <col min="11783" max="11784" width="17.5" customWidth="1"/>
    <col min="11785" max="11785" width="8.83203125" customWidth="1"/>
    <col min="11787" max="11787" width="8" customWidth="1"/>
    <col min="11790" max="11790" width="13.6640625" customWidth="1"/>
    <col min="11791" max="11791" width="25.83203125" customWidth="1"/>
    <col min="11792" max="11792" width="10.33203125" bestFit="1" customWidth="1"/>
    <col min="11799" max="11799" width="23.1640625" customWidth="1"/>
    <col min="12033" max="12033" width="21" customWidth="1"/>
    <col min="12034" max="12034" width="13.83203125" customWidth="1"/>
    <col min="12035" max="12035" width="8.83203125" customWidth="1"/>
    <col min="12036" max="12036" width="12.33203125" customWidth="1"/>
    <col min="12037" max="12037" width="24.5" customWidth="1"/>
    <col min="12038" max="12038" width="8.83203125" customWidth="1"/>
    <col min="12039" max="12040" width="17.5" customWidth="1"/>
    <col min="12041" max="12041" width="8.83203125" customWidth="1"/>
    <col min="12043" max="12043" width="8" customWidth="1"/>
    <col min="12046" max="12046" width="13.6640625" customWidth="1"/>
    <col min="12047" max="12047" width="25.83203125" customWidth="1"/>
    <col min="12048" max="12048" width="10.33203125" bestFit="1" customWidth="1"/>
    <col min="12055" max="12055" width="23.1640625" customWidth="1"/>
    <col min="12289" max="12289" width="21" customWidth="1"/>
    <col min="12290" max="12290" width="13.83203125" customWidth="1"/>
    <col min="12291" max="12291" width="8.83203125" customWidth="1"/>
    <col min="12292" max="12292" width="12.33203125" customWidth="1"/>
    <col min="12293" max="12293" width="24.5" customWidth="1"/>
    <col min="12294" max="12294" width="8.83203125" customWidth="1"/>
    <col min="12295" max="12296" width="17.5" customWidth="1"/>
    <col min="12297" max="12297" width="8.83203125" customWidth="1"/>
    <col min="12299" max="12299" width="8" customWidth="1"/>
    <col min="12302" max="12302" width="13.6640625" customWidth="1"/>
    <col min="12303" max="12303" width="25.83203125" customWidth="1"/>
    <col min="12304" max="12304" width="10.33203125" bestFit="1" customWidth="1"/>
    <col min="12311" max="12311" width="23.1640625" customWidth="1"/>
    <col min="12545" max="12545" width="21" customWidth="1"/>
    <col min="12546" max="12546" width="13.83203125" customWidth="1"/>
    <col min="12547" max="12547" width="8.83203125" customWidth="1"/>
    <col min="12548" max="12548" width="12.33203125" customWidth="1"/>
    <col min="12549" max="12549" width="24.5" customWidth="1"/>
    <col min="12550" max="12550" width="8.83203125" customWidth="1"/>
    <col min="12551" max="12552" width="17.5" customWidth="1"/>
    <col min="12553" max="12553" width="8.83203125" customWidth="1"/>
    <col min="12555" max="12555" width="8" customWidth="1"/>
    <col min="12558" max="12558" width="13.6640625" customWidth="1"/>
    <col min="12559" max="12559" width="25.83203125" customWidth="1"/>
    <col min="12560" max="12560" width="10.33203125" bestFit="1" customWidth="1"/>
    <col min="12567" max="12567" width="23.1640625" customWidth="1"/>
    <col min="12801" max="12801" width="21" customWidth="1"/>
    <col min="12802" max="12802" width="13.83203125" customWidth="1"/>
    <col min="12803" max="12803" width="8.83203125" customWidth="1"/>
    <col min="12804" max="12804" width="12.33203125" customWidth="1"/>
    <col min="12805" max="12805" width="24.5" customWidth="1"/>
    <col min="12806" max="12806" width="8.83203125" customWidth="1"/>
    <col min="12807" max="12808" width="17.5" customWidth="1"/>
    <col min="12809" max="12809" width="8.83203125" customWidth="1"/>
    <col min="12811" max="12811" width="8" customWidth="1"/>
    <col min="12814" max="12814" width="13.6640625" customWidth="1"/>
    <col min="12815" max="12815" width="25.83203125" customWidth="1"/>
    <col min="12816" max="12816" width="10.33203125" bestFit="1" customWidth="1"/>
    <col min="12823" max="12823" width="23.1640625" customWidth="1"/>
    <col min="13057" max="13057" width="21" customWidth="1"/>
    <col min="13058" max="13058" width="13.83203125" customWidth="1"/>
    <col min="13059" max="13059" width="8.83203125" customWidth="1"/>
    <col min="13060" max="13060" width="12.33203125" customWidth="1"/>
    <col min="13061" max="13061" width="24.5" customWidth="1"/>
    <col min="13062" max="13062" width="8.83203125" customWidth="1"/>
    <col min="13063" max="13064" width="17.5" customWidth="1"/>
    <col min="13065" max="13065" width="8.83203125" customWidth="1"/>
    <col min="13067" max="13067" width="8" customWidth="1"/>
    <col min="13070" max="13070" width="13.6640625" customWidth="1"/>
    <col min="13071" max="13071" width="25.83203125" customWidth="1"/>
    <col min="13072" max="13072" width="10.33203125" bestFit="1" customWidth="1"/>
    <col min="13079" max="13079" width="23.1640625" customWidth="1"/>
    <col min="13313" max="13313" width="21" customWidth="1"/>
    <col min="13314" max="13314" width="13.83203125" customWidth="1"/>
    <col min="13315" max="13315" width="8.83203125" customWidth="1"/>
    <col min="13316" max="13316" width="12.33203125" customWidth="1"/>
    <col min="13317" max="13317" width="24.5" customWidth="1"/>
    <col min="13318" max="13318" width="8.83203125" customWidth="1"/>
    <col min="13319" max="13320" width="17.5" customWidth="1"/>
    <col min="13321" max="13321" width="8.83203125" customWidth="1"/>
    <col min="13323" max="13323" width="8" customWidth="1"/>
    <col min="13326" max="13326" width="13.6640625" customWidth="1"/>
    <col min="13327" max="13327" width="25.83203125" customWidth="1"/>
    <col min="13328" max="13328" width="10.33203125" bestFit="1" customWidth="1"/>
    <col min="13335" max="13335" width="23.1640625" customWidth="1"/>
    <col min="13569" max="13569" width="21" customWidth="1"/>
    <col min="13570" max="13570" width="13.83203125" customWidth="1"/>
    <col min="13571" max="13571" width="8.83203125" customWidth="1"/>
    <col min="13572" max="13572" width="12.33203125" customWidth="1"/>
    <col min="13573" max="13573" width="24.5" customWidth="1"/>
    <col min="13574" max="13574" width="8.83203125" customWidth="1"/>
    <col min="13575" max="13576" width="17.5" customWidth="1"/>
    <col min="13577" max="13577" width="8.83203125" customWidth="1"/>
    <col min="13579" max="13579" width="8" customWidth="1"/>
    <col min="13582" max="13582" width="13.6640625" customWidth="1"/>
    <col min="13583" max="13583" width="25.83203125" customWidth="1"/>
    <col min="13584" max="13584" width="10.33203125" bestFit="1" customWidth="1"/>
    <col min="13591" max="13591" width="23.1640625" customWidth="1"/>
    <col min="13825" max="13825" width="21" customWidth="1"/>
    <col min="13826" max="13826" width="13.83203125" customWidth="1"/>
    <col min="13827" max="13827" width="8.83203125" customWidth="1"/>
    <col min="13828" max="13828" width="12.33203125" customWidth="1"/>
    <col min="13829" max="13829" width="24.5" customWidth="1"/>
    <col min="13830" max="13830" width="8.83203125" customWidth="1"/>
    <col min="13831" max="13832" width="17.5" customWidth="1"/>
    <col min="13833" max="13833" width="8.83203125" customWidth="1"/>
    <col min="13835" max="13835" width="8" customWidth="1"/>
    <col min="13838" max="13838" width="13.6640625" customWidth="1"/>
    <col min="13839" max="13839" width="25.83203125" customWidth="1"/>
    <col min="13840" max="13840" width="10.33203125" bestFit="1" customWidth="1"/>
    <col min="13847" max="13847" width="23.1640625" customWidth="1"/>
    <col min="14081" max="14081" width="21" customWidth="1"/>
    <col min="14082" max="14082" width="13.83203125" customWidth="1"/>
    <col min="14083" max="14083" width="8.83203125" customWidth="1"/>
    <col min="14084" max="14084" width="12.33203125" customWidth="1"/>
    <col min="14085" max="14085" width="24.5" customWidth="1"/>
    <col min="14086" max="14086" width="8.83203125" customWidth="1"/>
    <col min="14087" max="14088" width="17.5" customWidth="1"/>
    <col min="14089" max="14089" width="8.83203125" customWidth="1"/>
    <col min="14091" max="14091" width="8" customWidth="1"/>
    <col min="14094" max="14094" width="13.6640625" customWidth="1"/>
    <col min="14095" max="14095" width="25.83203125" customWidth="1"/>
    <col min="14096" max="14096" width="10.33203125" bestFit="1" customWidth="1"/>
    <col min="14103" max="14103" width="23.1640625" customWidth="1"/>
    <col min="14337" max="14337" width="21" customWidth="1"/>
    <col min="14338" max="14338" width="13.83203125" customWidth="1"/>
    <col min="14339" max="14339" width="8.83203125" customWidth="1"/>
    <col min="14340" max="14340" width="12.33203125" customWidth="1"/>
    <col min="14341" max="14341" width="24.5" customWidth="1"/>
    <col min="14342" max="14342" width="8.83203125" customWidth="1"/>
    <col min="14343" max="14344" width="17.5" customWidth="1"/>
    <col min="14345" max="14345" width="8.83203125" customWidth="1"/>
    <col min="14347" max="14347" width="8" customWidth="1"/>
    <col min="14350" max="14350" width="13.6640625" customWidth="1"/>
    <col min="14351" max="14351" width="25.83203125" customWidth="1"/>
    <col min="14352" max="14352" width="10.33203125" bestFit="1" customWidth="1"/>
    <col min="14359" max="14359" width="23.1640625" customWidth="1"/>
    <col min="14593" max="14593" width="21" customWidth="1"/>
    <col min="14594" max="14594" width="13.83203125" customWidth="1"/>
    <col min="14595" max="14595" width="8.83203125" customWidth="1"/>
    <col min="14596" max="14596" width="12.33203125" customWidth="1"/>
    <col min="14597" max="14597" width="24.5" customWidth="1"/>
    <col min="14598" max="14598" width="8.83203125" customWidth="1"/>
    <col min="14599" max="14600" width="17.5" customWidth="1"/>
    <col min="14601" max="14601" width="8.83203125" customWidth="1"/>
    <col min="14603" max="14603" width="8" customWidth="1"/>
    <col min="14606" max="14606" width="13.6640625" customWidth="1"/>
    <col min="14607" max="14607" width="25.83203125" customWidth="1"/>
    <col min="14608" max="14608" width="10.33203125" bestFit="1" customWidth="1"/>
    <col min="14615" max="14615" width="23.1640625" customWidth="1"/>
    <col min="14849" max="14849" width="21" customWidth="1"/>
    <col min="14850" max="14850" width="13.83203125" customWidth="1"/>
    <col min="14851" max="14851" width="8.83203125" customWidth="1"/>
    <col min="14852" max="14852" width="12.33203125" customWidth="1"/>
    <col min="14853" max="14853" width="24.5" customWidth="1"/>
    <col min="14854" max="14854" width="8.83203125" customWidth="1"/>
    <col min="14855" max="14856" width="17.5" customWidth="1"/>
    <col min="14857" max="14857" width="8.83203125" customWidth="1"/>
    <col min="14859" max="14859" width="8" customWidth="1"/>
    <col min="14862" max="14862" width="13.6640625" customWidth="1"/>
    <col min="14863" max="14863" width="25.83203125" customWidth="1"/>
    <col min="14864" max="14864" width="10.33203125" bestFit="1" customWidth="1"/>
    <col min="14871" max="14871" width="23.1640625" customWidth="1"/>
    <col min="15105" max="15105" width="21" customWidth="1"/>
    <col min="15106" max="15106" width="13.83203125" customWidth="1"/>
    <col min="15107" max="15107" width="8.83203125" customWidth="1"/>
    <col min="15108" max="15108" width="12.33203125" customWidth="1"/>
    <col min="15109" max="15109" width="24.5" customWidth="1"/>
    <col min="15110" max="15110" width="8.83203125" customWidth="1"/>
    <col min="15111" max="15112" width="17.5" customWidth="1"/>
    <col min="15113" max="15113" width="8.83203125" customWidth="1"/>
    <col min="15115" max="15115" width="8" customWidth="1"/>
    <col min="15118" max="15118" width="13.6640625" customWidth="1"/>
    <col min="15119" max="15119" width="25.83203125" customWidth="1"/>
    <col min="15120" max="15120" width="10.33203125" bestFit="1" customWidth="1"/>
    <col min="15127" max="15127" width="23.1640625" customWidth="1"/>
    <col min="15361" max="15361" width="21" customWidth="1"/>
    <col min="15362" max="15362" width="13.83203125" customWidth="1"/>
    <col min="15363" max="15363" width="8.83203125" customWidth="1"/>
    <col min="15364" max="15364" width="12.33203125" customWidth="1"/>
    <col min="15365" max="15365" width="24.5" customWidth="1"/>
    <col min="15366" max="15366" width="8.83203125" customWidth="1"/>
    <col min="15367" max="15368" width="17.5" customWidth="1"/>
    <col min="15369" max="15369" width="8.83203125" customWidth="1"/>
    <col min="15371" max="15371" width="8" customWidth="1"/>
    <col min="15374" max="15374" width="13.6640625" customWidth="1"/>
    <col min="15375" max="15375" width="25.83203125" customWidth="1"/>
    <col min="15376" max="15376" width="10.33203125" bestFit="1" customWidth="1"/>
    <col min="15383" max="15383" width="23.1640625" customWidth="1"/>
    <col min="15617" max="15617" width="21" customWidth="1"/>
    <col min="15618" max="15618" width="13.83203125" customWidth="1"/>
    <col min="15619" max="15619" width="8.83203125" customWidth="1"/>
    <col min="15620" max="15620" width="12.33203125" customWidth="1"/>
    <col min="15621" max="15621" width="24.5" customWidth="1"/>
    <col min="15622" max="15622" width="8.83203125" customWidth="1"/>
    <col min="15623" max="15624" width="17.5" customWidth="1"/>
    <col min="15625" max="15625" width="8.83203125" customWidth="1"/>
    <col min="15627" max="15627" width="8" customWidth="1"/>
    <col min="15630" max="15630" width="13.6640625" customWidth="1"/>
    <col min="15631" max="15631" width="25.83203125" customWidth="1"/>
    <col min="15632" max="15632" width="10.33203125" bestFit="1" customWidth="1"/>
    <col min="15639" max="15639" width="23.1640625" customWidth="1"/>
    <col min="15873" max="15873" width="21" customWidth="1"/>
    <col min="15874" max="15874" width="13.83203125" customWidth="1"/>
    <col min="15875" max="15875" width="8.83203125" customWidth="1"/>
    <col min="15876" max="15876" width="12.33203125" customWidth="1"/>
    <col min="15877" max="15877" width="24.5" customWidth="1"/>
    <col min="15878" max="15878" width="8.83203125" customWidth="1"/>
    <col min="15879" max="15880" width="17.5" customWidth="1"/>
    <col min="15881" max="15881" width="8.83203125" customWidth="1"/>
    <col min="15883" max="15883" width="8" customWidth="1"/>
    <col min="15886" max="15886" width="13.6640625" customWidth="1"/>
    <col min="15887" max="15887" width="25.83203125" customWidth="1"/>
    <col min="15888" max="15888" width="10.33203125" bestFit="1" customWidth="1"/>
    <col min="15895" max="15895" width="23.1640625" customWidth="1"/>
    <col min="16129" max="16129" width="21" customWidth="1"/>
    <col min="16130" max="16130" width="13.83203125" customWidth="1"/>
    <col min="16131" max="16131" width="8.83203125" customWidth="1"/>
    <col min="16132" max="16132" width="12.33203125" customWidth="1"/>
    <col min="16133" max="16133" width="24.5" customWidth="1"/>
    <col min="16134" max="16134" width="8.83203125" customWidth="1"/>
    <col min="16135" max="16136" width="17.5" customWidth="1"/>
    <col min="16137" max="16137" width="8.83203125" customWidth="1"/>
    <col min="16139" max="16139" width="8" customWidth="1"/>
    <col min="16142" max="16142" width="13.6640625" customWidth="1"/>
    <col min="16143" max="16143" width="25.83203125" customWidth="1"/>
    <col min="16144" max="16144" width="10.33203125" bestFit="1" customWidth="1"/>
    <col min="16151" max="16151" width="23.1640625" customWidth="1"/>
  </cols>
  <sheetData>
    <row r="1" spans="1:14">
      <c r="K1" s="37"/>
    </row>
    <row r="3" spans="1:14" ht="16" thickBot="1">
      <c r="B3" t="s">
        <v>190</v>
      </c>
      <c r="C3" t="s">
        <v>191</v>
      </c>
      <c r="D3" t="s">
        <v>229</v>
      </c>
      <c r="F3" t="s">
        <v>77</v>
      </c>
      <c r="G3" s="85" t="s">
        <v>192</v>
      </c>
      <c r="H3" s="85" t="s">
        <v>192</v>
      </c>
      <c r="M3" t="s">
        <v>129</v>
      </c>
      <c r="N3" t="s">
        <v>89</v>
      </c>
    </row>
    <row r="4" spans="1:14">
      <c r="A4" t="s">
        <v>193</v>
      </c>
      <c r="B4">
        <v>0.38593220139384843</v>
      </c>
      <c r="C4">
        <v>1.0005770284775299</v>
      </c>
      <c r="D4">
        <f>B4/C4</f>
        <v>0.38570963594984764</v>
      </c>
      <c r="E4" t="s">
        <v>193</v>
      </c>
      <c r="F4">
        <f>AVERAGE(D4,D6)</f>
        <v>0.40529163575082316</v>
      </c>
      <c r="G4" s="86">
        <f>F4/$F$8</f>
        <v>0.447211713841276</v>
      </c>
      <c r="H4" s="71">
        <f>D4/F8</f>
        <v>0.42560431087770273</v>
      </c>
      <c r="L4" s="2" t="s">
        <v>193</v>
      </c>
      <c r="M4" s="3">
        <f>AVERAGE(H4,H6,H21,H23)</f>
        <v>0.46054767902397969</v>
      </c>
      <c r="N4" s="4">
        <f>STDEV(H4,H6,H21,H23)/SQRT(4)</f>
        <v>3.4169198737364154E-2</v>
      </c>
    </row>
    <row r="5" spans="1:14" ht="16" thickBot="1">
      <c r="L5" s="8" t="s">
        <v>194</v>
      </c>
      <c r="M5" s="9">
        <f>AVERAGE(H8,H10,H15,H17,H19)</f>
        <v>1</v>
      </c>
      <c r="N5" s="10">
        <f>STDEV(H8,H10,H15,H17,H19)/SQRT(5)</f>
        <v>5.1382667099198989E-2</v>
      </c>
    </row>
    <row r="6" spans="1:14">
      <c r="A6" t="s">
        <v>193</v>
      </c>
      <c r="B6">
        <v>0.43078046217988686</v>
      </c>
      <c r="C6">
        <v>1.0139025492142311</v>
      </c>
      <c r="D6">
        <f>B6/C6</f>
        <v>0.42487363555179869</v>
      </c>
      <c r="H6" s="70">
        <f>D6/F8</f>
        <v>0.46881911680484928</v>
      </c>
    </row>
    <row r="8" spans="1:14">
      <c r="A8" t="s">
        <v>194</v>
      </c>
      <c r="B8">
        <v>1.5207190335329399</v>
      </c>
      <c r="C8">
        <v>1.6440384561713124</v>
      </c>
      <c r="D8">
        <f>B8/C8</f>
        <v>0.92498994036577309</v>
      </c>
      <c r="E8" t="s">
        <v>194</v>
      </c>
      <c r="F8">
        <f>AVERAGE(D8,D10)</f>
        <v>0.90626346136959401</v>
      </c>
      <c r="H8" s="70">
        <f>D8/F8</f>
        <v>1.0206633940287944</v>
      </c>
    </row>
    <row r="10" spans="1:14">
      <c r="A10" t="s">
        <v>194</v>
      </c>
      <c r="B10">
        <v>1.3588026763538474</v>
      </c>
      <c r="C10">
        <v>1.5309814727046001</v>
      </c>
      <c r="D10">
        <f>B10/C10</f>
        <v>0.88753698237341494</v>
      </c>
      <c r="H10" s="70">
        <f>D10/F8</f>
        <v>0.97933660597120553</v>
      </c>
    </row>
    <row r="12" spans="1:14">
      <c r="A12" s="37"/>
    </row>
    <row r="13" spans="1:14">
      <c r="F13" t="s">
        <v>77</v>
      </c>
    </row>
    <row r="14" spans="1:14">
      <c r="B14" t="s">
        <v>190</v>
      </c>
      <c r="C14" t="s">
        <v>191</v>
      </c>
      <c r="D14" t="s">
        <v>229</v>
      </c>
    </row>
    <row r="15" spans="1:14">
      <c r="A15" t="s">
        <v>194</v>
      </c>
      <c r="B15">
        <v>1.3937060754421791</v>
      </c>
      <c r="C15">
        <v>1.4754329043840406</v>
      </c>
      <c r="D15">
        <f>B15/C15</f>
        <v>0.94460823755589163</v>
      </c>
      <c r="E15" t="s">
        <v>194</v>
      </c>
      <c r="F15" s="87">
        <f>AVERAGE(D15,D17,D19)</f>
        <v>1.1196163307858324</v>
      </c>
      <c r="G15" s="86">
        <f>F21/F15</f>
        <v>0.47388364420668344</v>
      </c>
      <c r="H15" s="71">
        <f>D15/$F$15</f>
        <v>0.84368922780261102</v>
      </c>
    </row>
    <row r="16" spans="1:14">
      <c r="F16" s="88"/>
    </row>
    <row r="17" spans="1:8">
      <c r="A17" t="s">
        <v>194</v>
      </c>
      <c r="B17">
        <v>1.6074031317110737</v>
      </c>
      <c r="C17">
        <v>1.2316822603701048</v>
      </c>
      <c r="D17">
        <f>B17/C17</f>
        <v>1.3050469130147817</v>
      </c>
      <c r="F17" s="88"/>
      <c r="H17" s="71">
        <f>D17/$F$15</f>
        <v>1.1656197548483416</v>
      </c>
    </row>
    <row r="18" spans="1:8">
      <c r="F18" s="88"/>
    </row>
    <row r="19" spans="1:8">
      <c r="A19" t="s">
        <v>194</v>
      </c>
      <c r="B19">
        <v>2.0055565673687279</v>
      </c>
      <c r="C19">
        <v>1.8081208998942282</v>
      </c>
      <c r="D19">
        <f>B19/C19</f>
        <v>1.1091938417868237</v>
      </c>
      <c r="F19" s="88"/>
      <c r="H19" s="71">
        <f>D19/$F$15</f>
        <v>0.99069101734904719</v>
      </c>
    </row>
    <row r="20" spans="1:8">
      <c r="F20" s="88"/>
    </row>
    <row r="21" spans="1:8">
      <c r="A21" t="s">
        <v>193</v>
      </c>
      <c r="B21">
        <v>0.62996220544963299</v>
      </c>
      <c r="C21">
        <v>1.0183627428261897</v>
      </c>
      <c r="D21">
        <v>0.61860295841277901</v>
      </c>
      <c r="E21" t="s">
        <v>193</v>
      </c>
      <c r="F21" s="87">
        <f>AVERAGE(D21,D23)</f>
        <v>0.5305678669461058</v>
      </c>
      <c r="H21" s="71">
        <f>D21/$F$15</f>
        <v>0.55251333997477159</v>
      </c>
    </row>
    <row r="23" spans="1:8">
      <c r="A23" t="s">
        <v>193</v>
      </c>
      <c r="B23">
        <v>0.65961747985999986</v>
      </c>
      <c r="C23">
        <v>1.490550568023761</v>
      </c>
      <c r="D23">
        <v>0.44253277547943271</v>
      </c>
      <c r="H23" s="71">
        <f>D23/$F$15</f>
        <v>0.39525394843859535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P40"/>
  <sheetViews>
    <sheetView zoomScale="90" zoomScaleNormal="90" workbookViewId="0">
      <selection activeCell="N15" sqref="N15:N18"/>
    </sheetView>
  </sheetViews>
  <sheetFormatPr baseColWidth="10" defaultColWidth="8.83203125" defaultRowHeight="15"/>
  <cols>
    <col min="2" max="2" width="25.5" customWidth="1"/>
    <col min="3" max="3" width="19.33203125" customWidth="1"/>
    <col min="4" max="4" width="10.83203125" customWidth="1"/>
    <col min="5" max="5" width="11.1640625" customWidth="1"/>
    <col min="7" max="7" width="28.33203125" customWidth="1"/>
    <col min="8" max="8" width="15" customWidth="1"/>
    <col min="10" max="10" width="15" customWidth="1"/>
    <col min="11" max="11" width="14.5" customWidth="1"/>
    <col min="14" max="14" width="11.6640625" customWidth="1"/>
    <col min="17" max="17" width="21.6640625" customWidth="1"/>
  </cols>
  <sheetData>
    <row r="2" spans="2:16">
      <c r="B2" s="37" t="s">
        <v>245</v>
      </c>
      <c r="C2" s="21" t="s">
        <v>1</v>
      </c>
      <c r="D2" s="21"/>
      <c r="E2" s="21"/>
      <c r="F2" s="21"/>
      <c r="G2" s="21" t="s">
        <v>2</v>
      </c>
      <c r="H2" s="21"/>
      <c r="I2" s="21"/>
      <c r="J2" s="21" t="s">
        <v>3</v>
      </c>
      <c r="K2" s="21" t="s">
        <v>4</v>
      </c>
      <c r="L2" s="59"/>
    </row>
    <row r="3" spans="2:16">
      <c r="C3" s="21" t="s">
        <v>5</v>
      </c>
      <c r="D3" s="21" t="s">
        <v>6</v>
      </c>
      <c r="E3" s="21" t="s">
        <v>7</v>
      </c>
      <c r="F3" s="21"/>
      <c r="H3" s="21" t="s">
        <v>5</v>
      </c>
      <c r="J3" s="21" t="s">
        <v>5</v>
      </c>
      <c r="K3" s="21" t="s">
        <v>5</v>
      </c>
      <c r="L3" s="59"/>
    </row>
    <row r="4" spans="2:16" ht="16" thickBot="1">
      <c r="B4" s="1"/>
    </row>
    <row r="5" spans="2:16">
      <c r="B5" t="s">
        <v>134</v>
      </c>
      <c r="C5">
        <v>28.94</v>
      </c>
      <c r="D5">
        <v>34.119999999999997</v>
      </c>
      <c r="E5">
        <v>23.97</v>
      </c>
      <c r="G5">
        <f>SUM(C5:E5)</f>
        <v>87.03</v>
      </c>
      <c r="H5">
        <f>C5/G5*100</f>
        <v>33.252901298402847</v>
      </c>
      <c r="I5">
        <f>AVERAGE(H5:H7)</f>
        <v>33.333733838056276</v>
      </c>
      <c r="N5" s="2"/>
      <c r="O5" s="3" t="s">
        <v>77</v>
      </c>
      <c r="P5" s="4" t="s">
        <v>97</v>
      </c>
    </row>
    <row r="6" spans="2:16">
      <c r="B6" t="s">
        <v>134</v>
      </c>
      <c r="C6">
        <v>29.67</v>
      </c>
      <c r="D6">
        <v>33.630000000000003</v>
      </c>
      <c r="E6">
        <v>24.06</v>
      </c>
      <c r="G6">
        <f t="shared" ref="G6:G13" si="0">SUM(C6:E6)</f>
        <v>87.36</v>
      </c>
      <c r="H6">
        <f t="shared" ref="H6:H13" si="1">C6/G6*100</f>
        <v>33.962912087912088</v>
      </c>
      <c r="N6" s="5" t="s">
        <v>90</v>
      </c>
      <c r="O6" s="6">
        <f>AVERAGE(K12,K20,K27)</f>
        <v>-1.0826885143995943</v>
      </c>
      <c r="P6" s="7">
        <f>STDEV(K12,K27,K20)/SQRT(3)</f>
        <v>0.1062010846186265</v>
      </c>
    </row>
    <row r="7" spans="2:16">
      <c r="B7" t="s">
        <v>134</v>
      </c>
      <c r="C7">
        <v>28.72</v>
      </c>
      <c r="D7">
        <v>33.409999999999997</v>
      </c>
      <c r="E7">
        <v>25.47</v>
      </c>
      <c r="G7">
        <f t="shared" si="0"/>
        <v>87.6</v>
      </c>
      <c r="H7">
        <f t="shared" si="1"/>
        <v>32.785388127853885</v>
      </c>
      <c r="N7" s="5" t="s">
        <v>74</v>
      </c>
      <c r="O7" s="6">
        <f>AVERAGE(K13,K40,K33,K32)</f>
        <v>-2.1806905462727197</v>
      </c>
      <c r="P7" s="7">
        <f>STDEV(K13,K32,K33,K40)/SQRT(4)</f>
        <v>9.2810657247410763E-2</v>
      </c>
    </row>
    <row r="8" spans="2:16">
      <c r="B8" t="s">
        <v>195</v>
      </c>
      <c r="C8">
        <v>6.46</v>
      </c>
      <c r="D8">
        <v>47.34</v>
      </c>
      <c r="E8">
        <v>31.74</v>
      </c>
      <c r="G8">
        <f t="shared" si="0"/>
        <v>85.54</v>
      </c>
      <c r="H8">
        <f t="shared" si="1"/>
        <v>7.5520224456394667</v>
      </c>
      <c r="J8">
        <f t="shared" ref="J8:J13" si="2">H8/$I$5</f>
        <v>0.22655795124329922</v>
      </c>
      <c r="K8">
        <f>LOG(J8,2)</f>
        <v>-2.1420479705424462</v>
      </c>
      <c r="N8" s="5" t="s">
        <v>195</v>
      </c>
      <c r="O8" s="6">
        <f>AVERAGE(K8:K11)</f>
        <v>-2.1614849428500609</v>
      </c>
      <c r="P8" s="7">
        <f>STDEV(K8:K11)/SQRT(4)</f>
        <v>4.1164000163906152E-2</v>
      </c>
    </row>
    <row r="9" spans="2:16" ht="16" thickBot="1">
      <c r="B9" t="s">
        <v>195</v>
      </c>
      <c r="C9">
        <v>6.79</v>
      </c>
      <c r="D9">
        <v>47.71</v>
      </c>
      <c r="E9">
        <v>31.86</v>
      </c>
      <c r="G9">
        <f t="shared" si="0"/>
        <v>86.36</v>
      </c>
      <c r="H9">
        <f t="shared" si="1"/>
        <v>7.8624363131079207</v>
      </c>
      <c r="J9">
        <f t="shared" si="2"/>
        <v>0.23587025537869918</v>
      </c>
      <c r="K9">
        <f t="shared" ref="K9:K11" si="3">LOG(J9,2)</f>
        <v>-2.0839345971378109</v>
      </c>
      <c r="N9" s="8"/>
      <c r="O9" s="9"/>
      <c r="P9" s="10"/>
    </row>
    <row r="10" spans="2:16">
      <c r="B10" t="s">
        <v>195</v>
      </c>
      <c r="C10">
        <v>6.51</v>
      </c>
      <c r="D10">
        <v>47.62</v>
      </c>
      <c r="E10">
        <v>32.07</v>
      </c>
      <c r="G10">
        <f t="shared" si="0"/>
        <v>86.199999999999989</v>
      </c>
      <c r="H10">
        <f>C10/G10*100</f>
        <v>7.552204176334107</v>
      </c>
      <c r="J10">
        <f t="shared" si="2"/>
        <v>0.2265634030986336</v>
      </c>
      <c r="K10">
        <f t="shared" si="3"/>
        <v>-2.1420132541708625</v>
      </c>
    </row>
    <row r="11" spans="2:16">
      <c r="B11" t="s">
        <v>195</v>
      </c>
      <c r="C11">
        <v>5.97</v>
      </c>
      <c r="D11">
        <v>46.55</v>
      </c>
      <c r="E11">
        <v>34.340000000000003</v>
      </c>
      <c r="G11">
        <f t="shared" si="0"/>
        <v>86.86</v>
      </c>
      <c r="H11">
        <f>C11/G11*100</f>
        <v>6.8731291733824547</v>
      </c>
      <c r="J11">
        <f t="shared" si="2"/>
        <v>0.20619139778261439</v>
      </c>
      <c r="K11">
        <f t="shared" si="3"/>
        <v>-2.2779439495491252</v>
      </c>
    </row>
    <row r="12" spans="2:16">
      <c r="B12" t="s">
        <v>90</v>
      </c>
      <c r="C12">
        <v>15.08</v>
      </c>
      <c r="D12">
        <v>46.05</v>
      </c>
      <c r="E12">
        <v>22.1</v>
      </c>
      <c r="G12">
        <f t="shared" si="0"/>
        <v>83.22999999999999</v>
      </c>
      <c r="H12">
        <f t="shared" si="1"/>
        <v>18.118466898954704</v>
      </c>
      <c r="J12">
        <f t="shared" si="2"/>
        <v>0.54354747616870069</v>
      </c>
      <c r="K12">
        <f>LOG(J12,2)</f>
        <v>-0.87952204189463301</v>
      </c>
    </row>
    <row r="13" spans="2:16">
      <c r="B13" t="s">
        <v>74</v>
      </c>
      <c r="C13">
        <v>6.75</v>
      </c>
      <c r="D13">
        <v>46.07</v>
      </c>
      <c r="E13">
        <v>33.18</v>
      </c>
      <c r="G13">
        <f t="shared" si="0"/>
        <v>86</v>
      </c>
      <c r="H13">
        <f t="shared" si="1"/>
        <v>7.8488372093023253</v>
      </c>
      <c r="J13">
        <f t="shared" si="2"/>
        <v>0.23546228716632722</v>
      </c>
      <c r="K13">
        <f>LOG(J13,2)</f>
        <v>-2.0864320858986671</v>
      </c>
    </row>
    <row r="15" spans="2:16">
      <c r="B15" s="1"/>
    </row>
    <row r="16" spans="2:16">
      <c r="B16" t="s">
        <v>134</v>
      </c>
      <c r="C16">
        <v>33.630000000000003</v>
      </c>
      <c r="D16">
        <v>25.14</v>
      </c>
      <c r="E16">
        <v>28.47</v>
      </c>
      <c r="G16">
        <f t="shared" ref="G16:G20" si="4">SUM(C16:E16)</f>
        <v>87.240000000000009</v>
      </c>
      <c r="H16">
        <f>C16/G16*100</f>
        <v>38.548830811554332</v>
      </c>
      <c r="I16">
        <f>AVERAGE(H16:H19)</f>
        <v>38.996530409191799</v>
      </c>
    </row>
    <row r="17" spans="2:11">
      <c r="B17" t="s">
        <v>134</v>
      </c>
      <c r="C17">
        <v>34.06</v>
      </c>
      <c r="D17">
        <v>27.71</v>
      </c>
      <c r="E17">
        <v>24.97</v>
      </c>
      <c r="G17">
        <f t="shared" si="4"/>
        <v>86.740000000000009</v>
      </c>
      <c r="H17">
        <f t="shared" ref="H17:H40" si="5">C17/G17*100</f>
        <v>39.266774267927133</v>
      </c>
    </row>
    <row r="18" spans="2:11">
      <c r="B18" t="s">
        <v>134</v>
      </c>
      <c r="C18">
        <v>33.24</v>
      </c>
      <c r="D18">
        <v>25.66</v>
      </c>
      <c r="E18">
        <v>28.33</v>
      </c>
      <c r="G18">
        <f t="shared" si="4"/>
        <v>87.23</v>
      </c>
      <c r="H18">
        <f t="shared" si="5"/>
        <v>38.106156138943028</v>
      </c>
    </row>
    <row r="19" spans="2:11">
      <c r="B19" t="s">
        <v>134</v>
      </c>
      <c r="C19">
        <v>34.86</v>
      </c>
      <c r="D19">
        <v>26.92</v>
      </c>
      <c r="E19">
        <v>25.23</v>
      </c>
      <c r="G19">
        <f t="shared" si="4"/>
        <v>87.01</v>
      </c>
      <c r="H19">
        <f t="shared" si="5"/>
        <v>40.064360418342716</v>
      </c>
    </row>
    <row r="20" spans="2:11">
      <c r="B20" t="s">
        <v>90</v>
      </c>
      <c r="C20">
        <v>13.9</v>
      </c>
      <c r="D20">
        <v>38.89</v>
      </c>
      <c r="E20">
        <v>31.28</v>
      </c>
      <c r="G20">
        <f t="shared" si="4"/>
        <v>84.07</v>
      </c>
      <c r="H20">
        <f t="shared" si="5"/>
        <v>16.533840846913289</v>
      </c>
      <c r="J20">
        <f>H20/$I$16</f>
        <v>0.42398235621023683</v>
      </c>
      <c r="K20">
        <f>LOG(J20,2)</f>
        <v>-1.2379238658008362</v>
      </c>
    </row>
    <row r="21" spans="2:11">
      <c r="B21" s="66"/>
    </row>
    <row r="22" spans="2:11">
      <c r="B22" s="1"/>
    </row>
    <row r="23" spans="2:11">
      <c r="B23" t="s">
        <v>134</v>
      </c>
      <c r="C23">
        <v>30.24</v>
      </c>
      <c r="D23">
        <v>25.76</v>
      </c>
      <c r="E23">
        <v>33.78</v>
      </c>
      <c r="G23">
        <f t="shared" ref="G23:G27" si="6">SUM(C23:E23)</f>
        <v>89.78</v>
      </c>
      <c r="H23">
        <f t="shared" si="5"/>
        <v>33.68233459567832</v>
      </c>
      <c r="I23">
        <f>AVERAGE(H23:H26)</f>
        <v>33.957697762009047</v>
      </c>
    </row>
    <row r="24" spans="2:11">
      <c r="B24" t="s">
        <v>134</v>
      </c>
      <c r="C24">
        <v>29.6</v>
      </c>
      <c r="D24">
        <v>26.07</v>
      </c>
      <c r="E24">
        <v>33.770000000000003</v>
      </c>
      <c r="G24">
        <f t="shared" si="6"/>
        <v>89.44</v>
      </c>
      <c r="H24">
        <f t="shared" si="5"/>
        <v>33.094812164579608</v>
      </c>
    </row>
    <row r="25" spans="2:11">
      <c r="B25" t="s">
        <v>134</v>
      </c>
      <c r="C25">
        <v>29.89</v>
      </c>
      <c r="D25">
        <v>26.67</v>
      </c>
      <c r="E25">
        <v>32.909999999999997</v>
      </c>
      <c r="G25">
        <f t="shared" si="6"/>
        <v>89.47</v>
      </c>
      <c r="H25">
        <f t="shared" si="5"/>
        <v>33.407846205431987</v>
      </c>
    </row>
    <row r="26" spans="2:11">
      <c r="B26" t="s">
        <v>134</v>
      </c>
      <c r="C26">
        <v>31.6</v>
      </c>
      <c r="D26">
        <v>26.84</v>
      </c>
      <c r="E26">
        <v>30.21</v>
      </c>
      <c r="G26">
        <f t="shared" si="6"/>
        <v>88.65</v>
      </c>
      <c r="H26">
        <f t="shared" si="5"/>
        <v>35.645798082346303</v>
      </c>
    </row>
    <row r="27" spans="2:11">
      <c r="B27" t="s">
        <v>90</v>
      </c>
      <c r="C27">
        <v>15.13</v>
      </c>
      <c r="D27">
        <v>34.47</v>
      </c>
      <c r="E27">
        <v>35.35</v>
      </c>
      <c r="G27">
        <f t="shared" si="6"/>
        <v>84.95</v>
      </c>
      <c r="H27">
        <f t="shared" si="5"/>
        <v>17.81047675103002</v>
      </c>
      <c r="J27">
        <f>H27/$I$16</f>
        <v>0.45671952258685933</v>
      </c>
      <c r="K27">
        <f>LOG(J27,2)</f>
        <v>-1.1306196355033138</v>
      </c>
    </row>
    <row r="29" spans="2:11">
      <c r="B29" s="1"/>
    </row>
    <row r="30" spans="2:11">
      <c r="B30" t="s">
        <v>134</v>
      </c>
      <c r="C30">
        <v>28.63</v>
      </c>
      <c r="D30">
        <v>38.68</v>
      </c>
      <c r="E30">
        <v>19.88</v>
      </c>
      <c r="G30">
        <f t="shared" ref="G30:G33" si="7">SUM(C30:E30)</f>
        <v>87.19</v>
      </c>
      <c r="H30">
        <f t="shared" si="5"/>
        <v>32.836334442023166</v>
      </c>
      <c r="I30">
        <f>AVERAGE(H30:H31)</f>
        <v>32.441906093415142</v>
      </c>
    </row>
    <row r="31" spans="2:11">
      <c r="B31" t="s">
        <v>134</v>
      </c>
      <c r="C31">
        <v>28.08</v>
      </c>
      <c r="D31">
        <v>37.76</v>
      </c>
      <c r="E31">
        <v>21.78</v>
      </c>
      <c r="G31">
        <f t="shared" si="7"/>
        <v>87.62</v>
      </c>
      <c r="H31">
        <f t="shared" si="5"/>
        <v>32.047477744807118</v>
      </c>
    </row>
    <row r="32" spans="2:11">
      <c r="B32" s="113" t="s">
        <v>228</v>
      </c>
      <c r="C32">
        <v>5.86</v>
      </c>
      <c r="D32">
        <v>50.24</v>
      </c>
      <c r="E32">
        <v>29.8</v>
      </c>
      <c r="G32">
        <f t="shared" si="7"/>
        <v>85.9</v>
      </c>
      <c r="H32">
        <f>C32/G32*100</f>
        <v>6.8218859138533174</v>
      </c>
      <c r="J32">
        <f>H32/$I$30</f>
        <v>0.21028005858256218</v>
      </c>
      <c r="K32">
        <f>LOG(J32,2)</f>
        <v>-2.2496160529400728</v>
      </c>
    </row>
    <row r="33" spans="2:11">
      <c r="B33" s="113" t="s">
        <v>228</v>
      </c>
      <c r="C33">
        <v>5.32</v>
      </c>
      <c r="D33">
        <v>47.4</v>
      </c>
      <c r="E33">
        <v>34.119999999999997</v>
      </c>
      <c r="G33">
        <f t="shared" si="7"/>
        <v>86.84</v>
      </c>
      <c r="H33">
        <f t="shared" si="5"/>
        <v>6.1262091202210964</v>
      </c>
      <c r="J33">
        <f>H33/$I$30</f>
        <v>0.18883628793514559</v>
      </c>
      <c r="K33">
        <f>LOG(J33,2)</f>
        <v>-2.4047920664504496</v>
      </c>
    </row>
    <row r="35" spans="2:11">
      <c r="B35" s="1"/>
    </row>
    <row r="36" spans="2:11">
      <c r="B36" t="s">
        <v>134</v>
      </c>
      <c r="C36">
        <v>29.92</v>
      </c>
      <c r="D36">
        <v>32.53</v>
      </c>
      <c r="E36">
        <v>24.5</v>
      </c>
      <c r="G36">
        <f t="shared" ref="G36:G40" si="8">SUM(C36:E36)</f>
        <v>86.95</v>
      </c>
      <c r="H36">
        <f t="shared" si="5"/>
        <v>34.410580793559518</v>
      </c>
      <c r="I36">
        <f>AVERAGE(H36:H39)</f>
        <v>32.063680990394218</v>
      </c>
    </row>
    <row r="37" spans="2:11">
      <c r="B37" t="s">
        <v>134</v>
      </c>
      <c r="C37">
        <v>27</v>
      </c>
      <c r="D37">
        <v>33.19</v>
      </c>
      <c r="E37">
        <v>26.85</v>
      </c>
      <c r="G37">
        <f t="shared" si="8"/>
        <v>87.039999999999992</v>
      </c>
      <c r="H37">
        <f t="shared" si="5"/>
        <v>31.020220588235297</v>
      </c>
    </row>
    <row r="38" spans="2:11">
      <c r="B38" t="s">
        <v>134</v>
      </c>
      <c r="C38">
        <v>28.23</v>
      </c>
      <c r="D38">
        <v>32.869999999999997</v>
      </c>
      <c r="E38">
        <v>26.02</v>
      </c>
      <c r="G38">
        <f t="shared" si="8"/>
        <v>87.11999999999999</v>
      </c>
      <c r="H38">
        <f t="shared" si="5"/>
        <v>32.403581267217632</v>
      </c>
    </row>
    <row r="39" spans="2:11">
      <c r="B39" t="s">
        <v>134</v>
      </c>
      <c r="C39">
        <v>26.56</v>
      </c>
      <c r="D39">
        <v>33.39</v>
      </c>
      <c r="E39">
        <v>27.36</v>
      </c>
      <c r="G39">
        <f t="shared" si="8"/>
        <v>87.31</v>
      </c>
      <c r="H39">
        <f t="shared" si="5"/>
        <v>30.420341312564425</v>
      </c>
    </row>
    <row r="40" spans="2:11">
      <c r="B40" s="113" t="s">
        <v>228</v>
      </c>
      <c r="C40">
        <v>6.91</v>
      </c>
      <c r="D40">
        <v>39.99</v>
      </c>
      <c r="E40">
        <v>38.229999999999997</v>
      </c>
      <c r="G40">
        <f t="shared" si="8"/>
        <v>85.13</v>
      </c>
      <c r="H40">
        <f t="shared" si="5"/>
        <v>8.1169975331845414</v>
      </c>
      <c r="J40">
        <f>H40/$I$36</f>
        <v>0.25315239181727972</v>
      </c>
      <c r="K40">
        <f>LOG(J40,2)</f>
        <v>-1.9819219798016887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X21"/>
  <sheetViews>
    <sheetView zoomScale="90" zoomScaleNormal="90" workbookViewId="0">
      <selection activeCell="G21" sqref="G21"/>
    </sheetView>
  </sheetViews>
  <sheetFormatPr baseColWidth="10" defaultColWidth="8.83203125" defaultRowHeight="15"/>
  <cols>
    <col min="2" max="2" width="15.5" customWidth="1"/>
    <col min="3" max="3" width="14.1640625" customWidth="1"/>
    <col min="4" max="4" width="13.5" customWidth="1"/>
    <col min="5" max="5" width="8.6640625" customWidth="1"/>
    <col min="8" max="8" width="22.5" customWidth="1"/>
    <col min="10" max="10" width="13" customWidth="1"/>
    <col min="12" max="12" width="15" customWidth="1"/>
    <col min="18" max="18" width="18.6640625" customWidth="1"/>
    <col min="20" max="20" width="15.33203125" customWidth="1"/>
    <col min="22" max="22" width="21" customWidth="1"/>
  </cols>
  <sheetData>
    <row r="2" spans="2:24">
      <c r="B2" s="1"/>
      <c r="L2" s="1"/>
    </row>
    <row r="3" spans="2:24">
      <c r="C3" s="42" t="s">
        <v>60</v>
      </c>
      <c r="D3" s="42" t="s">
        <v>230</v>
      </c>
      <c r="E3" s="42" t="s">
        <v>196</v>
      </c>
      <c r="F3" s="42" t="s">
        <v>197</v>
      </c>
      <c r="G3" s="42"/>
      <c r="H3" s="42" t="s">
        <v>276</v>
      </c>
      <c r="I3" s="42" t="s">
        <v>198</v>
      </c>
      <c r="J3" s="132" t="s">
        <v>199</v>
      </c>
      <c r="M3" s="42" t="s">
        <v>60</v>
      </c>
      <c r="N3" s="42" t="s">
        <v>230</v>
      </c>
      <c r="O3" s="42" t="s">
        <v>196</v>
      </c>
      <c r="P3" s="42" t="s">
        <v>197</v>
      </c>
      <c r="Q3" s="42"/>
      <c r="R3" s="42" t="s">
        <v>277</v>
      </c>
      <c r="S3" s="42" t="s">
        <v>198</v>
      </c>
      <c r="T3" s="132" t="s">
        <v>231</v>
      </c>
      <c r="W3" t="s">
        <v>200</v>
      </c>
      <c r="X3" t="s">
        <v>278</v>
      </c>
    </row>
    <row r="4" spans="2:24">
      <c r="B4" t="s">
        <v>201</v>
      </c>
      <c r="C4">
        <v>0.17470537210698975</v>
      </c>
      <c r="D4">
        <v>0.1157712640789941</v>
      </c>
      <c r="E4">
        <v>1.0896599214003833</v>
      </c>
      <c r="F4">
        <f>AVERAGE(E4:E5)</f>
        <v>1.0396710442871147</v>
      </c>
      <c r="H4">
        <f>D4/F4</f>
        <v>0.11135374473988217</v>
      </c>
      <c r="I4">
        <f>STDEV(C4:C5)</f>
        <v>8.3345414859552533E-2</v>
      </c>
      <c r="J4" s="89">
        <f>I4/F4</f>
        <v>8.0165178512498741E-2</v>
      </c>
      <c r="L4" t="s">
        <v>201</v>
      </c>
      <c r="M4">
        <v>1.5158192133033226E-2</v>
      </c>
      <c r="N4">
        <v>2.0722809024448553E-2</v>
      </c>
      <c r="O4">
        <v>1.0836985300141113</v>
      </c>
      <c r="P4">
        <f>AVERAGE(O4:O5)</f>
        <v>1.1074210862666654</v>
      </c>
      <c r="R4">
        <f>N4/P4</f>
        <v>1.8712673328543188E-2</v>
      </c>
      <c r="S4">
        <f>STDEV(M4:M5)</f>
        <v>7.8695566772499538E-3</v>
      </c>
      <c r="T4" s="89">
        <f>S4/P4</f>
        <v>7.1062008614805952E-3</v>
      </c>
      <c r="W4">
        <f>AVERAGE(H4,R4)</f>
        <v>6.5033209034212683E-2</v>
      </c>
      <c r="X4" s="90">
        <f>STDEV(R4,H4)</f>
        <v>6.5507129811344988E-2</v>
      </c>
    </row>
    <row r="5" spans="2:24">
      <c r="C5">
        <v>5.6837156050998441E-2</v>
      </c>
      <c r="E5">
        <v>0.98968216717384605</v>
      </c>
      <c r="J5" s="89"/>
      <c r="M5">
        <v>2.6287425915863877E-2</v>
      </c>
      <c r="O5">
        <v>1.1311436425192196</v>
      </c>
      <c r="T5" s="89"/>
      <c r="X5" s="90"/>
    </row>
    <row r="6" spans="2:24">
      <c r="B6" t="s">
        <v>90</v>
      </c>
      <c r="C6">
        <v>0.12412587271429419</v>
      </c>
      <c r="D6">
        <v>0.20336518622573152</v>
      </c>
      <c r="E6">
        <v>0.79736509316370729</v>
      </c>
      <c r="F6">
        <f>AVERAGE(E6:E7)</f>
        <v>0.72806232239252533</v>
      </c>
      <c r="H6">
        <f t="shared" ref="H6" si="0">D6/F6</f>
        <v>0.27932387100796824</v>
      </c>
      <c r="I6">
        <f t="shared" ref="I6" si="1">STDEV(C6:C7)</f>
        <v>0.11206131184100829</v>
      </c>
      <c r="J6" s="89">
        <f t="shared" ref="J6" si="2">I6/F6</f>
        <v>0.15391719691352451</v>
      </c>
      <c r="L6" t="s">
        <v>90</v>
      </c>
      <c r="M6">
        <v>0.1766934112073138</v>
      </c>
      <c r="N6">
        <v>0.19108502992065696</v>
      </c>
      <c r="O6">
        <v>0.98249246125815803</v>
      </c>
      <c r="P6">
        <f>AVERAGE(O6:O7)</f>
        <v>0.95289810612066272</v>
      </c>
      <c r="R6">
        <f t="shared" ref="R6" si="3">N6/P6</f>
        <v>0.20053039112291027</v>
      </c>
      <c r="S6">
        <f t="shared" ref="S6" si="4">STDEV(M6:M7)</f>
        <v>2.0352822368912345E-2</v>
      </c>
      <c r="T6" s="89">
        <f t="shared" ref="T6" si="5">S6/P6</f>
        <v>2.1358865379395693E-2</v>
      </c>
      <c r="W6">
        <f>AVERAGE(H6,R6)</f>
        <v>0.23992713106543925</v>
      </c>
      <c r="X6" s="90">
        <f>STDEV(R6,H6)</f>
        <v>5.5715403940010316E-2</v>
      </c>
    </row>
    <row r="7" spans="2:24">
      <c r="C7">
        <v>0.28260449973716883</v>
      </c>
      <c r="E7">
        <v>0.65875955162134348</v>
      </c>
      <c r="J7" s="89"/>
      <c r="M7">
        <v>0.20547664863400014</v>
      </c>
      <c r="O7">
        <v>0.92330375098316753</v>
      </c>
      <c r="T7" s="89"/>
      <c r="X7" s="90"/>
    </row>
    <row r="8" spans="2:24">
      <c r="B8" t="s">
        <v>22</v>
      </c>
      <c r="C8">
        <v>0.51507546417116212</v>
      </c>
      <c r="D8">
        <v>0.54368706062584804</v>
      </c>
      <c r="E8">
        <v>0.80440732915129631</v>
      </c>
      <c r="F8">
        <f>AVERAGE(E8:E9)</f>
        <v>0.83344311546735272</v>
      </c>
      <c r="H8">
        <f t="shared" ref="H8" si="6">D8/F8</f>
        <v>0.65233853461129843</v>
      </c>
      <c r="I8">
        <f t="shared" ref="I8" si="7">STDEV(C8:C9)</f>
        <v>4.0462907747362789E-2</v>
      </c>
      <c r="J8" s="89">
        <f t="shared" ref="J8" si="8">I8/F8</f>
        <v>4.8549093509127179E-2</v>
      </c>
      <c r="L8" t="s">
        <v>22</v>
      </c>
      <c r="M8">
        <v>0.57811442934138813</v>
      </c>
      <c r="N8">
        <v>0.57825262054825977</v>
      </c>
      <c r="O8">
        <v>1.0716942785942543</v>
      </c>
      <c r="P8">
        <f>AVERAGE(O8:O9)</f>
        <v>1.0913519968483816</v>
      </c>
      <c r="R8">
        <f t="shared" ref="R8" si="9">N8/P8</f>
        <v>0.52984978468738231</v>
      </c>
      <c r="S8">
        <f t="shared" ref="S8" si="10">STDEV(M8:M9)</f>
        <v>1.9543187895858027E-4</v>
      </c>
      <c r="T8" s="89">
        <f t="shared" ref="T8" si="11">S8/P8</f>
        <v>1.7907318584924994E-4</v>
      </c>
      <c r="W8">
        <f t="shared" ref="W8" si="12">AVERAGE(H8,R8)</f>
        <v>0.59109415964934042</v>
      </c>
      <c r="X8" s="90">
        <f t="shared" ref="X8" si="13">STDEV(R8,H8)</f>
        <v>8.6612625690263317E-2</v>
      </c>
    </row>
    <row r="9" spans="2:24">
      <c r="C9">
        <v>0.57229865708053396</v>
      </c>
      <c r="E9">
        <v>0.86247890178340902</v>
      </c>
      <c r="J9" s="89"/>
      <c r="M9">
        <v>0.57839081175513141</v>
      </c>
      <c r="O9">
        <v>1.1110097151025089</v>
      </c>
      <c r="T9" s="89"/>
      <c r="X9" s="90"/>
    </row>
    <row r="10" spans="2:24">
      <c r="B10" t="s">
        <v>18</v>
      </c>
      <c r="C10">
        <v>0.19458519325838955</v>
      </c>
      <c r="D10">
        <v>0.19068111574758123</v>
      </c>
      <c r="E10">
        <v>0.9427958840844809</v>
      </c>
      <c r="F10">
        <f>AVERAGE(E10:E11)</f>
        <v>0.9348210084025097</v>
      </c>
      <c r="H10">
        <f t="shared" ref="H10" si="14">D10/F10</f>
        <v>0.20397607032113135</v>
      </c>
      <c r="I10">
        <f t="shared" ref="I10" si="15">STDEV(C10:C11)</f>
        <v>5.5211993643409368E-3</v>
      </c>
      <c r="J10" s="89">
        <f t="shared" ref="J10" si="16">I10/F10</f>
        <v>5.9061567024215307E-3</v>
      </c>
      <c r="L10" t="s">
        <v>18</v>
      </c>
      <c r="M10">
        <v>0.16583249869189659</v>
      </c>
      <c r="N10">
        <v>0.14881523863115464</v>
      </c>
      <c r="O10">
        <v>0.96836725504020149</v>
      </c>
      <c r="P10">
        <f>AVERAGE(O10:O11)</f>
        <v>0.8861961715595601</v>
      </c>
      <c r="R10">
        <f t="shared" ref="R10" si="17">N10/P10</f>
        <v>0.16792584238912273</v>
      </c>
      <c r="S10">
        <f t="shared" ref="S10" si="18">STDEV(M10:M11)</f>
        <v>2.4066039972331484E-2</v>
      </c>
      <c r="T10" s="89">
        <f t="shared" ref="T10" si="19">S10/P10</f>
        <v>2.7156560527652918E-2</v>
      </c>
      <c r="W10">
        <f t="shared" ref="W10" si="20">AVERAGE(H10,R10)</f>
        <v>0.18595095635512704</v>
      </c>
      <c r="X10" s="90">
        <f t="shared" ref="X10" si="21">STDEV(R10,H10)</f>
        <v>2.5491360634043989E-2</v>
      </c>
    </row>
    <row r="11" spans="2:24">
      <c r="C11">
        <v>0.18677703823677289</v>
      </c>
      <c r="E11">
        <v>0.92684613272053851</v>
      </c>
      <c r="J11" s="89"/>
      <c r="M11">
        <v>0.13179797857041273</v>
      </c>
      <c r="O11">
        <v>0.8040250880789187</v>
      </c>
      <c r="T11" s="89"/>
      <c r="X11" s="90"/>
    </row>
    <row r="12" spans="2:24">
      <c r="B12" t="s">
        <v>202</v>
      </c>
      <c r="C12">
        <v>1.7998101883307509E-2</v>
      </c>
      <c r="D12">
        <v>1.8535305978132233E-2</v>
      </c>
      <c r="E12">
        <v>1.3524665727614549</v>
      </c>
      <c r="F12">
        <f>AVERAGE(E12:E13)</f>
        <v>1.2158264831795249</v>
      </c>
      <c r="H12">
        <f t="shared" ref="H12" si="22">D12/F12</f>
        <v>1.5245025696150568E-2</v>
      </c>
      <c r="I12">
        <f t="shared" ref="I12" si="23">STDEV(C12:C13)</f>
        <v>7.5972131666348676E-4</v>
      </c>
      <c r="J12" s="89">
        <f t="shared" ref="J12" si="24">I12/F12</f>
        <v>6.2485998386606031E-4</v>
      </c>
      <c r="L12" t="s">
        <v>202</v>
      </c>
      <c r="M12">
        <v>2.2248605284361223E-2</v>
      </c>
      <c r="N12">
        <v>1.9761792871470833E-2</v>
      </c>
      <c r="O12">
        <v>0.93201840128703595</v>
      </c>
      <c r="P12">
        <f>AVERAGE(O12:O13)</f>
        <v>0.92940412547955908</v>
      </c>
      <c r="R12">
        <f t="shared" ref="R12" si="25">N12/P12</f>
        <v>2.1262863301014543E-2</v>
      </c>
      <c r="S12">
        <f t="shared" ref="S12" si="26">STDEV(M12:M13)</f>
        <v>3.5168838413873532E-3</v>
      </c>
      <c r="T12" s="89">
        <f t="shared" ref="T12" si="27">S12/P12</f>
        <v>3.7840200457176709E-3</v>
      </c>
      <c r="W12">
        <f t="shared" ref="W12" si="28">AVERAGE(H12,R12)</f>
        <v>1.8253944498582555E-2</v>
      </c>
      <c r="X12" s="90">
        <f t="shared" ref="X12" si="29">STDEV(R12,H12)</f>
        <v>4.2552537784787282E-3</v>
      </c>
    </row>
    <row r="13" spans="2:24">
      <c r="C13">
        <v>1.9072510072956957E-2</v>
      </c>
      <c r="E13">
        <v>1.0791863935975949</v>
      </c>
      <c r="J13" s="89"/>
      <c r="M13">
        <v>1.727498045858044E-2</v>
      </c>
      <c r="O13">
        <v>0.92678984967208211</v>
      </c>
      <c r="T13" s="89"/>
      <c r="X13" s="90"/>
    </row>
    <row r="14" spans="2:24">
      <c r="B14" t="s">
        <v>43</v>
      </c>
      <c r="C14">
        <v>0.95251955879102068</v>
      </c>
      <c r="D14">
        <v>0.8905400216761179</v>
      </c>
      <c r="E14">
        <v>0.80313616070180616</v>
      </c>
      <c r="F14">
        <f>AVERAGE(E14:E15)</f>
        <v>0.82138563739220927</v>
      </c>
      <c r="H14">
        <f t="shared" ref="H14" si="30">D14/F14</f>
        <v>1.0841923466101315</v>
      </c>
      <c r="I14">
        <f t="shared" ref="I14" si="31">STDEV(C14:C15)</f>
        <v>8.7652301977502206E-2</v>
      </c>
      <c r="J14" s="89">
        <f t="shared" ref="J14" si="32">I14/F14</f>
        <v>0.10671272784338751</v>
      </c>
      <c r="L14" t="s">
        <v>43</v>
      </c>
      <c r="M14">
        <v>0.81181516494530337</v>
      </c>
      <c r="N14">
        <v>0.72013763203492942</v>
      </c>
      <c r="O14">
        <v>0.86337981859098101</v>
      </c>
      <c r="P14">
        <f>AVERAGE(O14:O15)</f>
        <v>0.84746629775212701</v>
      </c>
      <c r="R14">
        <f t="shared" ref="R14" si="33">N14/P14</f>
        <v>0.8497537116756948</v>
      </c>
      <c r="S14">
        <f t="shared" ref="S14" si="34">STDEV(M14:M15)</f>
        <v>0.12965161040675699</v>
      </c>
      <c r="T14" s="89">
        <f t="shared" ref="T14" si="35">S14/P14</f>
        <v>0.15298733501338413</v>
      </c>
      <c r="W14">
        <f t="shared" ref="W14" si="36">AVERAGE(H14,R14)</f>
        <v>0.96697302914291317</v>
      </c>
      <c r="X14" s="90">
        <f t="shared" ref="X14" si="37">STDEV(R14,H14)</f>
        <v>0.16577314853425748</v>
      </c>
    </row>
    <row r="15" spans="2:24">
      <c r="C15">
        <v>0.828560484561215</v>
      </c>
      <c r="E15">
        <v>0.83963511408261227</v>
      </c>
      <c r="J15" s="89"/>
      <c r="M15">
        <v>0.62846009912455547</v>
      </c>
      <c r="O15">
        <v>0.83155277691327312</v>
      </c>
      <c r="T15" s="89"/>
      <c r="X15" s="90"/>
    </row>
    <row r="16" spans="2:24">
      <c r="B16" t="s">
        <v>45</v>
      </c>
      <c r="C16">
        <v>0.39113592646766254</v>
      </c>
      <c r="D16">
        <v>0.40318301958731018</v>
      </c>
      <c r="E16">
        <v>0.78968163102887257</v>
      </c>
      <c r="F16">
        <f>AVERAGE(E16:E17)</f>
        <v>0.71581088675916582</v>
      </c>
      <c r="H16">
        <f t="shared" ref="H16" si="38">D16/F16</f>
        <v>0.56325354509865244</v>
      </c>
      <c r="I16">
        <f t="shared" ref="I16" si="39">STDEV(C16:C17)</f>
        <v>1.7037162476977282E-2</v>
      </c>
      <c r="J16" s="89">
        <f t="shared" ref="J16" si="40">I16/F16</f>
        <v>2.3801206145540821E-2</v>
      </c>
      <c r="L16" t="s">
        <v>45</v>
      </c>
      <c r="M16">
        <v>0.28365960072873653</v>
      </c>
      <c r="N16">
        <v>0.2747178380405505</v>
      </c>
      <c r="O16">
        <v>1.0167035530492265</v>
      </c>
      <c r="P16">
        <f>AVERAGE(O16:O17)</f>
        <v>0.96362558799611264</v>
      </c>
      <c r="R16">
        <f t="shared" ref="R16" si="41">N16/P16</f>
        <v>0.2850877368375348</v>
      </c>
      <c r="S16">
        <f t="shared" ref="S16" si="42">STDEV(M16:M17)</f>
        <v>1.2645562065154346E-2</v>
      </c>
      <c r="T16" s="89">
        <f t="shared" ref="T16" si="43">S16/P16</f>
        <v>1.3122899830266193E-2</v>
      </c>
      <c r="W16">
        <f t="shared" ref="W16" si="44">AVERAGE(H16,R16)</f>
        <v>0.42417064096809365</v>
      </c>
      <c r="X16" s="90">
        <f t="shared" ref="X16" si="45">STDEV(R16,H16)</f>
        <v>0.19669292931567309</v>
      </c>
    </row>
    <row r="17" spans="2:24">
      <c r="C17">
        <v>0.41523011270695781</v>
      </c>
      <c r="E17">
        <v>0.64194014248945908</v>
      </c>
      <c r="J17" s="89"/>
      <c r="M17">
        <v>0.26577607535236453</v>
      </c>
      <c r="O17">
        <v>0.91054762294299874</v>
      </c>
      <c r="T17" s="89"/>
      <c r="X17" s="90"/>
    </row>
    <row r="18" spans="2:24">
      <c r="B18" t="s">
        <v>69</v>
      </c>
      <c r="C18">
        <v>3.7084380283887448E-2</v>
      </c>
      <c r="D18">
        <v>3.5055796567350681E-2</v>
      </c>
      <c r="E18">
        <v>0.86455035622573195</v>
      </c>
      <c r="F18">
        <f>AVERAGE(E18:E19)</f>
        <v>0.81047931797559103</v>
      </c>
      <c r="H18">
        <f t="shared" ref="H18" si="46">D18/F18</f>
        <v>4.3253166107819728E-2</v>
      </c>
      <c r="I18">
        <f t="shared" ref="I18" si="47">STDEV(C18:C19)</f>
        <v>2.8688506043355105E-3</v>
      </c>
      <c r="J18" s="89">
        <f t="shared" ref="J18" si="48">I18/F18</f>
        <v>3.5396962522144344E-3</v>
      </c>
      <c r="L18" t="s">
        <v>69</v>
      </c>
      <c r="M18">
        <v>2.5274783329831303E-2</v>
      </c>
      <c r="N18">
        <v>2.6051619549934311E-2</v>
      </c>
      <c r="O18">
        <v>1.0044969166910847</v>
      </c>
      <c r="P18">
        <f>AVERAGE(O18:O19)</f>
        <v>0.94915110174909367</v>
      </c>
      <c r="R18">
        <f t="shared" ref="R18" si="49">N18/P18</f>
        <v>2.7447283685312528E-2</v>
      </c>
      <c r="S18">
        <f t="shared" ref="S18" si="50">STDEV(M18:M19)</f>
        <v>1.0986123182123251E-3</v>
      </c>
      <c r="T18" s="89">
        <f t="shared" ref="T18" si="51">S18/P18</f>
        <v>1.1574683063505953E-3</v>
      </c>
      <c r="W18">
        <f t="shared" ref="W18" si="52">AVERAGE(H18,R18)</f>
        <v>3.5350224896566126E-2</v>
      </c>
      <c r="X18" s="90">
        <f t="shared" ref="X18" si="53">STDEV(R18,H18)</f>
        <v>1.1176446643592098E-2</v>
      </c>
    </row>
    <row r="19" spans="2:24">
      <c r="C19">
        <v>3.302721285081392E-2</v>
      </c>
      <c r="E19">
        <v>0.75640827972545011</v>
      </c>
      <c r="J19" s="89"/>
      <c r="M19">
        <v>2.682845577003732E-2</v>
      </c>
      <c r="O19">
        <v>0.89380528680710281</v>
      </c>
      <c r="T19" s="89"/>
      <c r="X19" s="90"/>
    </row>
    <row r="20" spans="2:24">
      <c r="B20" t="s">
        <v>64</v>
      </c>
      <c r="C20">
        <v>1.6615721925309582E-2</v>
      </c>
      <c r="D20">
        <v>1.5678465377189376E-2</v>
      </c>
      <c r="E20">
        <v>0.98932435910972016</v>
      </c>
      <c r="F20">
        <f>AVERAGE(E20:E21)</f>
        <v>0.96508083867565164</v>
      </c>
      <c r="H20">
        <f t="shared" ref="H20" si="54">D20/F20</f>
        <v>1.624575346320668E-2</v>
      </c>
      <c r="I20">
        <f t="shared" ref="I20" si="55">STDEV(C20:C21)</f>
        <v>1.3254809217745872E-3</v>
      </c>
      <c r="J20" s="89">
        <f t="shared" ref="J20" si="56">I20/F20</f>
        <v>1.3734403053670618E-3</v>
      </c>
      <c r="L20" t="s">
        <v>64</v>
      </c>
      <c r="M20">
        <v>7.6468354890996725E-3</v>
      </c>
      <c r="N20">
        <v>8.4841736732508607E-3</v>
      </c>
      <c r="O20">
        <v>0.85968945115543527</v>
      </c>
      <c r="P20">
        <f>AVERAGE(O20:O21)</f>
        <v>0.82258004644039628</v>
      </c>
      <c r="R20">
        <f t="shared" ref="R20" si="57">N20/P20</f>
        <v>1.0314100992316763E-2</v>
      </c>
      <c r="S20">
        <f>STDEV(M20:M21)</f>
        <v>1.1841750163194698E-3</v>
      </c>
      <c r="T20" s="89">
        <f t="shared" ref="T20" si="58">S20/P20</f>
        <v>1.4395863617696866E-3</v>
      </c>
      <c r="W20">
        <f t="shared" ref="W20" si="59">AVERAGE(H20,R20)</f>
        <v>1.3279927227761721E-2</v>
      </c>
      <c r="X20" s="90">
        <f t="shared" ref="X20" si="60">STDEV(R20,H20)</f>
        <v>4.1943116858081967E-3</v>
      </c>
    </row>
    <row r="21" spans="2:24">
      <c r="C21">
        <v>1.474120882906917E-2</v>
      </c>
      <c r="E21">
        <v>0.94083731824158312</v>
      </c>
      <c r="M21">
        <v>9.321511857402048E-3</v>
      </c>
      <c r="O21">
        <v>0.78547064172535719</v>
      </c>
      <c r="X21" s="90"/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T36"/>
  <sheetViews>
    <sheetView zoomScale="110" zoomScaleNormal="110" workbookViewId="0">
      <selection activeCell="B34" sqref="B34"/>
    </sheetView>
  </sheetViews>
  <sheetFormatPr baseColWidth="10" defaultColWidth="8.83203125" defaultRowHeight="15"/>
  <cols>
    <col min="2" max="2" width="25" customWidth="1"/>
    <col min="3" max="3" width="17.33203125" customWidth="1"/>
    <col min="7" max="7" width="36" customWidth="1"/>
    <col min="10" max="10" width="17.33203125" customWidth="1"/>
    <col min="11" max="11" width="14.5" customWidth="1"/>
    <col min="17" max="17" width="28.33203125" customWidth="1"/>
  </cols>
  <sheetData>
    <row r="2" spans="1:20">
      <c r="B2" s="37" t="s">
        <v>255</v>
      </c>
    </row>
    <row r="3" spans="1:20">
      <c r="B3" s="37"/>
      <c r="C3" s="44" t="s">
        <v>1</v>
      </c>
      <c r="D3" s="44"/>
      <c r="E3" s="44"/>
      <c r="F3" s="44"/>
      <c r="G3" s="44" t="s">
        <v>2</v>
      </c>
      <c r="H3" s="44"/>
      <c r="I3" s="44"/>
      <c r="J3" s="44" t="s">
        <v>3</v>
      </c>
      <c r="K3" s="44" t="s">
        <v>4</v>
      </c>
      <c r="L3" s="36"/>
      <c r="M3" s="37"/>
    </row>
    <row r="4" spans="1:20">
      <c r="B4" s="37"/>
      <c r="C4" s="44" t="s">
        <v>5</v>
      </c>
      <c r="D4" s="44" t="s">
        <v>6</v>
      </c>
      <c r="E4" s="44" t="s">
        <v>7</v>
      </c>
      <c r="F4" s="44"/>
      <c r="G4" s="42"/>
      <c r="H4" s="44" t="s">
        <v>5</v>
      </c>
      <c r="I4" s="42"/>
      <c r="J4" s="44" t="s">
        <v>5</v>
      </c>
      <c r="K4" s="44" t="s">
        <v>5</v>
      </c>
      <c r="L4" s="36"/>
      <c r="M4" s="37"/>
    </row>
    <row r="5" spans="1:20">
      <c r="B5" s="1"/>
    </row>
    <row r="6" spans="1:20">
      <c r="A6" s="91"/>
      <c r="B6" t="s">
        <v>256</v>
      </c>
      <c r="C6">
        <v>27.56</v>
      </c>
      <c r="D6">
        <v>38.83</v>
      </c>
      <c r="E6">
        <v>24.07</v>
      </c>
      <c r="G6">
        <f>SUM(C6:E6)</f>
        <v>90.460000000000008</v>
      </c>
      <c r="H6">
        <f t="shared" ref="H6:H18" si="0">C6/G6*100</f>
        <v>30.466504532390005</v>
      </c>
      <c r="J6">
        <f>AVERAGE(H6:H8)</f>
        <v>30.537543362321667</v>
      </c>
      <c r="Q6" s="115"/>
      <c r="R6" s="116"/>
      <c r="S6" s="116" t="s">
        <v>96</v>
      </c>
      <c r="T6" s="117" t="s">
        <v>97</v>
      </c>
    </row>
    <row r="7" spans="1:20">
      <c r="A7" s="91"/>
      <c r="B7" t="s">
        <v>256</v>
      </c>
      <c r="C7">
        <v>26.17</v>
      </c>
      <c r="D7">
        <v>38.61</v>
      </c>
      <c r="E7">
        <v>25.71</v>
      </c>
      <c r="G7">
        <f t="shared" ref="G7:G18" si="1">SUM(C7:E7)</f>
        <v>90.490000000000009</v>
      </c>
      <c r="H7">
        <f t="shared" si="0"/>
        <v>28.920322687589788</v>
      </c>
      <c r="Q7" s="118" t="s">
        <v>203</v>
      </c>
      <c r="R7" s="6"/>
      <c r="S7" s="6">
        <f>AVERAGE(K24:K25,K30:K31,K35:K36)</f>
        <v>0.20507354344422482</v>
      </c>
      <c r="T7" s="119">
        <f>STDEV(K24:K25,K30:K31,K35:K36)/SQRT(6)</f>
        <v>3.2391992270877724E-2</v>
      </c>
    </row>
    <row r="8" spans="1:20">
      <c r="A8" s="91"/>
      <c r="B8" t="s">
        <v>256</v>
      </c>
      <c r="C8">
        <v>29</v>
      </c>
      <c r="D8">
        <v>40.450000000000003</v>
      </c>
      <c r="E8">
        <v>20.54</v>
      </c>
      <c r="G8">
        <f t="shared" si="1"/>
        <v>89.990000000000009</v>
      </c>
      <c r="H8">
        <f t="shared" si="0"/>
        <v>32.225802866985212</v>
      </c>
      <c r="Q8" s="118" t="s">
        <v>204</v>
      </c>
      <c r="R8" s="6"/>
      <c r="S8" s="6">
        <f>AVERAGE(K14:K18)</f>
        <v>0.13553895801982208</v>
      </c>
      <c r="T8" s="119">
        <f>STDEV(K14:K18)/SQRT(5)</f>
        <v>2.3360516744516752E-2</v>
      </c>
    </row>
    <row r="9" spans="1:20">
      <c r="A9" s="91"/>
      <c r="B9" t="s">
        <v>205</v>
      </c>
      <c r="C9">
        <v>28.96</v>
      </c>
      <c r="D9">
        <v>33.72</v>
      </c>
      <c r="E9">
        <v>28.07</v>
      </c>
      <c r="G9">
        <f t="shared" si="1"/>
        <v>90.75</v>
      </c>
      <c r="H9">
        <f t="shared" si="0"/>
        <v>31.911845730027551</v>
      </c>
      <c r="J9">
        <f t="shared" ref="J9:J18" si="2">H9/$J$6</f>
        <v>1.0450036976255774</v>
      </c>
      <c r="K9">
        <f>LOG(J9,2)</f>
        <v>6.3508047125914777E-2</v>
      </c>
      <c r="Q9" s="120" t="s">
        <v>205</v>
      </c>
      <c r="R9" s="121"/>
      <c r="S9" s="121">
        <f>AVERAGE(K9:K13)</f>
        <v>-6.4908782120740305E-2</v>
      </c>
      <c r="T9" s="122">
        <f>STDEV(K9:K13)/SQRT(5)</f>
        <v>6.4220464635443023E-2</v>
      </c>
    </row>
    <row r="10" spans="1:20">
      <c r="A10" s="91"/>
      <c r="B10" t="s">
        <v>205</v>
      </c>
      <c r="C10">
        <v>29.19</v>
      </c>
      <c r="D10">
        <v>34.18</v>
      </c>
      <c r="E10">
        <v>26.62</v>
      </c>
      <c r="G10">
        <f t="shared" si="1"/>
        <v>89.990000000000009</v>
      </c>
      <c r="H10">
        <f t="shared" si="0"/>
        <v>32.43693743749305</v>
      </c>
      <c r="J10">
        <f t="shared" si="2"/>
        <v>1.0621986533964263</v>
      </c>
      <c r="K10">
        <f t="shared" ref="K10:K18" si="3">LOG(J10,2)</f>
        <v>8.7053605566225142E-2</v>
      </c>
    </row>
    <row r="11" spans="1:20">
      <c r="A11" s="91"/>
      <c r="B11" t="s">
        <v>205</v>
      </c>
      <c r="C11">
        <v>26.55</v>
      </c>
      <c r="D11">
        <v>30.52</v>
      </c>
      <c r="E11">
        <v>34.340000000000003</v>
      </c>
      <c r="G11">
        <f t="shared" si="1"/>
        <v>91.41</v>
      </c>
      <c r="H11">
        <f t="shared" si="0"/>
        <v>29.044962257958652</v>
      </c>
      <c r="J11">
        <f t="shared" si="2"/>
        <v>0.95112307867552248</v>
      </c>
      <c r="K11">
        <f t="shared" si="3"/>
        <v>-7.2296051902940986E-2</v>
      </c>
    </row>
    <row r="12" spans="1:20">
      <c r="A12" s="91"/>
      <c r="B12" t="s">
        <v>205</v>
      </c>
      <c r="C12">
        <v>25.07</v>
      </c>
      <c r="D12">
        <v>30.26</v>
      </c>
      <c r="E12">
        <v>35.67</v>
      </c>
      <c r="G12">
        <f t="shared" si="1"/>
        <v>91</v>
      </c>
      <c r="H12">
        <f t="shared" si="0"/>
        <v>27.549450549450547</v>
      </c>
      <c r="J12">
        <f t="shared" si="2"/>
        <v>0.90215019009820097</v>
      </c>
      <c r="K12">
        <f t="shared" si="3"/>
        <v>-0.14856046132629716</v>
      </c>
    </row>
    <row r="13" spans="1:20">
      <c r="A13" s="91"/>
      <c r="B13" t="s">
        <v>205</v>
      </c>
      <c r="C13">
        <v>23.55</v>
      </c>
      <c r="D13">
        <v>28.28</v>
      </c>
      <c r="E13">
        <v>40.15</v>
      </c>
      <c r="G13">
        <f t="shared" si="1"/>
        <v>91.97999999999999</v>
      </c>
      <c r="H13">
        <f t="shared" si="0"/>
        <v>25.603392041748208</v>
      </c>
      <c r="J13">
        <f t="shared" si="2"/>
        <v>0.83842343629182059</v>
      </c>
      <c r="K13">
        <f t="shared" si="3"/>
        <v>-0.25424905006660331</v>
      </c>
    </row>
    <row r="14" spans="1:20">
      <c r="A14" s="91"/>
      <c r="B14" t="s">
        <v>204</v>
      </c>
      <c r="C14">
        <v>30.22</v>
      </c>
      <c r="D14">
        <v>30.23</v>
      </c>
      <c r="E14">
        <v>31.13</v>
      </c>
      <c r="G14">
        <f t="shared" si="1"/>
        <v>91.58</v>
      </c>
      <c r="H14">
        <f t="shared" si="0"/>
        <v>32.998471281939288</v>
      </c>
      <c r="J14">
        <f t="shared" si="2"/>
        <v>1.0805869643939336</v>
      </c>
      <c r="K14">
        <f>LOG(J14,2)</f>
        <v>0.11181518330446667</v>
      </c>
    </row>
    <row r="15" spans="1:20">
      <c r="A15" s="91"/>
      <c r="B15" t="s">
        <v>204</v>
      </c>
      <c r="C15">
        <v>31.83</v>
      </c>
      <c r="D15">
        <v>31.71</v>
      </c>
      <c r="E15">
        <v>27.45</v>
      </c>
      <c r="G15">
        <f t="shared" si="1"/>
        <v>90.99</v>
      </c>
      <c r="H15">
        <f t="shared" si="0"/>
        <v>34.981866139136173</v>
      </c>
      <c r="J15">
        <f t="shared" si="2"/>
        <v>1.1455363558254681</v>
      </c>
      <c r="K15">
        <f t="shared" si="3"/>
        <v>0.19602324610377891</v>
      </c>
    </row>
    <row r="16" spans="1:20">
      <c r="A16" s="91"/>
      <c r="B16" t="s">
        <v>204</v>
      </c>
      <c r="C16">
        <v>29.94</v>
      </c>
      <c r="D16">
        <v>30.42</v>
      </c>
      <c r="E16">
        <v>30.74</v>
      </c>
      <c r="G16">
        <f t="shared" si="1"/>
        <v>91.1</v>
      </c>
      <c r="H16">
        <f t="shared" si="0"/>
        <v>32.864983534577391</v>
      </c>
      <c r="J16">
        <f t="shared" si="2"/>
        <v>1.0762156976624191</v>
      </c>
      <c r="K16">
        <f t="shared" si="3"/>
        <v>0.10596725518218836</v>
      </c>
    </row>
    <row r="17" spans="1:11">
      <c r="A17" s="91"/>
      <c r="B17" t="s">
        <v>204</v>
      </c>
      <c r="C17">
        <v>29.4</v>
      </c>
      <c r="D17">
        <v>31.18</v>
      </c>
      <c r="E17">
        <v>30.62</v>
      </c>
      <c r="G17">
        <f t="shared" si="1"/>
        <v>91.2</v>
      </c>
      <c r="H17">
        <f t="shared" si="0"/>
        <v>32.23684210526315</v>
      </c>
      <c r="J17">
        <f t="shared" si="2"/>
        <v>1.0556462162911946</v>
      </c>
      <c r="K17">
        <f t="shared" si="3"/>
        <v>7.8126418484807184E-2</v>
      </c>
    </row>
    <row r="18" spans="1:11">
      <c r="A18" s="91"/>
      <c r="B18" t="s">
        <v>204</v>
      </c>
      <c r="C18">
        <v>31.66</v>
      </c>
      <c r="D18">
        <v>31.77</v>
      </c>
      <c r="E18">
        <v>27.72</v>
      </c>
      <c r="G18">
        <f t="shared" si="1"/>
        <v>91.15</v>
      </c>
      <c r="H18">
        <f t="shared" si="0"/>
        <v>34.733955019199122</v>
      </c>
      <c r="J18">
        <f t="shared" si="2"/>
        <v>1.1374181153699201</v>
      </c>
      <c r="K18">
        <f t="shared" si="3"/>
        <v>0.18576268702386928</v>
      </c>
    </row>
    <row r="19" spans="1:11">
      <c r="A19" s="92"/>
    </row>
    <row r="21" spans="1:11">
      <c r="B21" s="1"/>
    </row>
    <row r="22" spans="1:11">
      <c r="B22" t="s">
        <v>256</v>
      </c>
      <c r="C22">
        <v>32.68</v>
      </c>
      <c r="D22">
        <v>30.18</v>
      </c>
      <c r="E22">
        <v>19.07</v>
      </c>
      <c r="G22">
        <f>SUM(C22:E22)</f>
        <v>81.93</v>
      </c>
      <c r="H22">
        <f>C22/G22*100</f>
        <v>39.887709019895027</v>
      </c>
      <c r="J22">
        <f>AVERAGE(H22:H23)</f>
        <v>41.084631208976639</v>
      </c>
    </row>
    <row r="23" spans="1:11">
      <c r="B23" t="s">
        <v>256</v>
      </c>
      <c r="C23">
        <v>34.840000000000003</v>
      </c>
      <c r="D23">
        <v>30.63</v>
      </c>
      <c r="E23">
        <v>16.93</v>
      </c>
      <c r="G23">
        <f t="shared" ref="G23:G36" si="4">SUM(C23:E23)</f>
        <v>82.4</v>
      </c>
      <c r="H23">
        <f>C23/G23*100</f>
        <v>42.28155339805825</v>
      </c>
    </row>
    <row r="24" spans="1:11">
      <c r="B24" t="s">
        <v>203</v>
      </c>
      <c r="C24">
        <v>36.54</v>
      </c>
      <c r="D24">
        <v>25.9</v>
      </c>
      <c r="E24">
        <v>19.98</v>
      </c>
      <c r="G24">
        <f t="shared" si="4"/>
        <v>82.42</v>
      </c>
      <c r="H24">
        <f>C24/G24*100</f>
        <v>44.333899538946859</v>
      </c>
      <c r="J24">
        <f>H24/$J$22</f>
        <v>1.0790871971916418</v>
      </c>
      <c r="K24">
        <f>LOG(J24,2)</f>
        <v>0.10981144858231678</v>
      </c>
    </row>
    <row r="25" spans="1:11">
      <c r="B25" t="s">
        <v>203</v>
      </c>
      <c r="C25">
        <v>38.75</v>
      </c>
      <c r="D25">
        <v>25.52</v>
      </c>
      <c r="E25">
        <v>18.13</v>
      </c>
      <c r="G25">
        <f t="shared" si="4"/>
        <v>82.399999999999991</v>
      </c>
      <c r="H25">
        <f>C25/G25*100</f>
        <v>47.02669902912622</v>
      </c>
      <c r="J25">
        <f>H25/$J$22</f>
        <v>1.144629941788337</v>
      </c>
      <c r="K25">
        <f t="shared" ref="K25" si="5">LOG(J25,2)</f>
        <v>0.1948812512137095</v>
      </c>
    </row>
    <row r="27" spans="1:11">
      <c r="B27" s="1"/>
    </row>
    <row r="28" spans="1:11">
      <c r="B28" t="s">
        <v>256</v>
      </c>
      <c r="C28">
        <v>32.840000000000003</v>
      </c>
      <c r="D28">
        <v>32.25</v>
      </c>
      <c r="E28">
        <v>19.22</v>
      </c>
      <c r="G28">
        <f t="shared" si="4"/>
        <v>84.31</v>
      </c>
      <c r="H28">
        <f>C28/G28*100</f>
        <v>38.951488554145421</v>
      </c>
      <c r="J28">
        <f>AVERAGE(H28:H29)</f>
        <v>39.212429610088321</v>
      </c>
    </row>
    <row r="29" spans="1:11">
      <c r="B29" t="s">
        <v>256</v>
      </c>
      <c r="C29">
        <v>33.130000000000003</v>
      </c>
      <c r="D29">
        <v>33.22</v>
      </c>
      <c r="E29">
        <v>17.579999999999998</v>
      </c>
      <c r="G29">
        <f t="shared" si="4"/>
        <v>83.929999999999993</v>
      </c>
      <c r="H29">
        <f>C29/G29*100</f>
        <v>39.473370666031222</v>
      </c>
    </row>
    <row r="30" spans="1:11">
      <c r="B30" t="s">
        <v>203</v>
      </c>
      <c r="C30">
        <v>39.78</v>
      </c>
      <c r="D30">
        <v>28.45</v>
      </c>
      <c r="E30">
        <v>14.2</v>
      </c>
      <c r="G30">
        <f t="shared" si="4"/>
        <v>82.43</v>
      </c>
      <c r="H30">
        <f>C30/G30*100</f>
        <v>48.259128957903677</v>
      </c>
      <c r="J30">
        <f>H30/$J$28</f>
        <v>1.2307099926674239</v>
      </c>
      <c r="K30">
        <f>LOG(J30,2)</f>
        <v>0.29949084189377528</v>
      </c>
    </row>
    <row r="31" spans="1:11">
      <c r="B31" t="s">
        <v>203</v>
      </c>
      <c r="C31">
        <v>39.67</v>
      </c>
      <c r="D31">
        <v>27.62</v>
      </c>
      <c r="E31">
        <v>15.4</v>
      </c>
      <c r="G31">
        <f t="shared" si="4"/>
        <v>82.690000000000012</v>
      </c>
      <c r="H31">
        <f>C31/G31*100</f>
        <v>47.974362075220697</v>
      </c>
      <c r="J31">
        <f>H31/$J$28</f>
        <v>1.2234478340734634</v>
      </c>
      <c r="K31">
        <f t="shared" ref="K31" si="6">LOG(J31,2)</f>
        <v>0.29095258843980371</v>
      </c>
    </row>
    <row r="33" spans="2:11">
      <c r="B33" s="1"/>
    </row>
    <row r="34" spans="2:11">
      <c r="B34" t="s">
        <v>256</v>
      </c>
      <c r="C34">
        <v>35.130000000000003</v>
      </c>
      <c r="D34">
        <v>31.03</v>
      </c>
      <c r="E34">
        <v>17.989999999999998</v>
      </c>
      <c r="G34">
        <f t="shared" si="4"/>
        <v>84.149999999999991</v>
      </c>
      <c r="H34">
        <f>C34/G34*100</f>
        <v>41.746880570409992</v>
      </c>
      <c r="J34">
        <f>AVERAGE(H34)</f>
        <v>41.746880570409992</v>
      </c>
    </row>
    <row r="35" spans="2:11">
      <c r="B35" t="s">
        <v>203</v>
      </c>
      <c r="C35">
        <v>37.950000000000003</v>
      </c>
      <c r="D35">
        <v>27.05</v>
      </c>
      <c r="E35">
        <v>18.21</v>
      </c>
      <c r="G35">
        <f t="shared" si="4"/>
        <v>83.210000000000008</v>
      </c>
      <c r="H35">
        <f t="shared" ref="H35:H36" si="7">C35/G35*100</f>
        <v>45.607499098666025</v>
      </c>
      <c r="J35">
        <f>H35/$J$34</f>
        <v>1.0924768144471235</v>
      </c>
      <c r="K35">
        <f>LOG(J35,2)</f>
        <v>0.12760266184294217</v>
      </c>
    </row>
    <row r="36" spans="2:11">
      <c r="B36" t="s">
        <v>203</v>
      </c>
      <c r="C36">
        <v>40.159999999999997</v>
      </c>
      <c r="D36">
        <v>26.72</v>
      </c>
      <c r="E36">
        <v>16.420000000000002</v>
      </c>
      <c r="G36">
        <f t="shared" si="4"/>
        <v>83.3</v>
      </c>
      <c r="H36">
        <f t="shared" si="7"/>
        <v>48.211284513805516</v>
      </c>
      <c r="J36">
        <f>H36/$J$34</f>
        <v>1.1548475923247177</v>
      </c>
      <c r="K36">
        <f t="shared" ref="K36" si="8">LOG(J36,2)</f>
        <v>0.2077024686928016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4:W33"/>
  <sheetViews>
    <sheetView zoomScale="60" zoomScaleNormal="60" workbookViewId="0">
      <selection activeCell="W43" sqref="W43"/>
    </sheetView>
  </sheetViews>
  <sheetFormatPr baseColWidth="10" defaultColWidth="8.83203125" defaultRowHeight="15"/>
  <cols>
    <col min="1" max="1" width="36.6640625" customWidth="1"/>
    <col min="3" max="3" width="8.5" customWidth="1"/>
    <col min="4" max="4" width="6.83203125" customWidth="1"/>
    <col min="5" max="5" width="8.6640625" customWidth="1"/>
    <col min="7" max="7" width="11.83203125" customWidth="1"/>
    <col min="8" max="9" width="16.5" customWidth="1"/>
    <col min="10" max="10" width="17.83203125" customWidth="1"/>
    <col min="11" max="11" width="6.6640625" customWidth="1"/>
    <col min="12" max="12" width="17.83203125" customWidth="1"/>
    <col min="13" max="13" width="9" customWidth="1"/>
    <col min="14" max="14" width="6" customWidth="1"/>
    <col min="15" max="15" width="6.5" customWidth="1"/>
    <col min="16" max="16" width="6" customWidth="1"/>
    <col min="22" max="22" width="34.83203125" customWidth="1"/>
    <col min="23" max="23" width="35.83203125" customWidth="1"/>
  </cols>
  <sheetData>
    <row r="4" spans="1:23">
      <c r="A4" s="42"/>
      <c r="B4" s="42" t="s">
        <v>105</v>
      </c>
      <c r="C4" s="42" t="s">
        <v>106</v>
      </c>
      <c r="D4" s="42" t="s">
        <v>107</v>
      </c>
      <c r="E4" s="42" t="s">
        <v>108</v>
      </c>
      <c r="F4" s="42"/>
      <c r="G4" s="42" t="s">
        <v>111</v>
      </c>
      <c r="H4" s="42" t="s">
        <v>112</v>
      </c>
      <c r="I4" s="42" t="s">
        <v>113</v>
      </c>
      <c r="J4" s="42" t="s">
        <v>114</v>
      </c>
      <c r="K4" s="42"/>
      <c r="L4" s="42"/>
      <c r="M4" s="42" t="s">
        <v>116</v>
      </c>
      <c r="R4" t="s">
        <v>96</v>
      </c>
      <c r="S4" t="s">
        <v>97</v>
      </c>
    </row>
    <row r="6" spans="1:23" ht="16">
      <c r="A6" s="43" t="s">
        <v>223</v>
      </c>
      <c r="B6">
        <v>0</v>
      </c>
      <c r="C6">
        <v>0</v>
      </c>
      <c r="D6">
        <v>0</v>
      </c>
      <c r="E6">
        <v>0</v>
      </c>
      <c r="G6">
        <v>47</v>
      </c>
      <c r="H6">
        <v>37</v>
      </c>
      <c r="I6">
        <v>42</v>
      </c>
      <c r="J6">
        <v>39</v>
      </c>
      <c r="L6" s="133" t="s">
        <v>90</v>
      </c>
      <c r="M6" s="43">
        <f>(B6/G6)*100</f>
        <v>0</v>
      </c>
      <c r="N6" s="43">
        <f t="shared" ref="N6:P21" si="0">(C6/H6)*100</f>
        <v>0</v>
      </c>
      <c r="O6" s="43">
        <f t="shared" si="0"/>
        <v>0</v>
      </c>
      <c r="P6" s="43">
        <f t="shared" si="0"/>
        <v>0</v>
      </c>
      <c r="R6" s="112">
        <f>AVERAGE(M6:P9)</f>
        <v>0</v>
      </c>
      <c r="S6">
        <f>STDEV(M6:P9)/SQRT(16)</f>
        <v>0</v>
      </c>
      <c r="V6" s="93" t="s">
        <v>221</v>
      </c>
      <c r="W6" s="93" t="s">
        <v>222</v>
      </c>
    </row>
    <row r="7" spans="1:23">
      <c r="A7" s="43" t="s">
        <v>223</v>
      </c>
      <c r="B7">
        <v>0</v>
      </c>
      <c r="C7">
        <v>0</v>
      </c>
      <c r="D7">
        <v>0</v>
      </c>
      <c r="E7">
        <v>0</v>
      </c>
      <c r="G7">
        <v>36</v>
      </c>
      <c r="H7">
        <v>47</v>
      </c>
      <c r="I7">
        <v>47</v>
      </c>
      <c r="J7">
        <v>46</v>
      </c>
      <c r="L7" s="133"/>
      <c r="M7" s="43">
        <f t="shared" ref="M7:P33" si="1">(B7/G7)*100</f>
        <v>0</v>
      </c>
      <c r="N7" s="43">
        <f t="shared" si="0"/>
        <v>0</v>
      </c>
      <c r="O7" s="43">
        <f t="shared" si="0"/>
        <v>0</v>
      </c>
      <c r="P7" s="43">
        <f t="shared" si="0"/>
        <v>0</v>
      </c>
      <c r="R7" s="53"/>
      <c r="V7" s="94">
        <f>R6</f>
        <v>0</v>
      </c>
      <c r="W7" s="94">
        <f>R10</f>
        <v>2.8406075555379227</v>
      </c>
    </row>
    <row r="8" spans="1:23">
      <c r="A8" s="43" t="s">
        <v>223</v>
      </c>
      <c r="B8">
        <v>0</v>
      </c>
      <c r="C8">
        <v>0</v>
      </c>
      <c r="D8">
        <v>0</v>
      </c>
      <c r="E8">
        <v>0</v>
      </c>
      <c r="G8">
        <v>50</v>
      </c>
      <c r="H8">
        <v>58</v>
      </c>
      <c r="I8">
        <v>59</v>
      </c>
      <c r="J8">
        <v>46</v>
      </c>
      <c r="L8" s="133"/>
      <c r="M8" s="43">
        <f t="shared" si="1"/>
        <v>0</v>
      </c>
      <c r="N8" s="43">
        <f t="shared" si="0"/>
        <v>0</v>
      </c>
      <c r="O8" s="43">
        <f t="shared" si="0"/>
        <v>0</v>
      </c>
      <c r="P8" s="43">
        <f t="shared" si="0"/>
        <v>0</v>
      </c>
      <c r="R8" s="53"/>
      <c r="V8" s="46">
        <f>S6</f>
        <v>0</v>
      </c>
      <c r="W8" s="46">
        <f>S10</f>
        <v>0.6460820766337555</v>
      </c>
    </row>
    <row r="9" spans="1:23">
      <c r="A9" s="43" t="s">
        <v>223</v>
      </c>
      <c r="B9">
        <v>0</v>
      </c>
      <c r="C9">
        <v>0</v>
      </c>
      <c r="D9">
        <v>0</v>
      </c>
      <c r="E9">
        <v>0</v>
      </c>
      <c r="G9">
        <v>51</v>
      </c>
      <c r="H9">
        <v>35</v>
      </c>
      <c r="I9">
        <v>58</v>
      </c>
      <c r="J9">
        <v>43</v>
      </c>
      <c r="L9" s="133"/>
      <c r="M9" s="43">
        <f t="shared" si="1"/>
        <v>0</v>
      </c>
      <c r="N9" s="43">
        <f t="shared" si="0"/>
        <v>0</v>
      </c>
      <c r="O9" s="43">
        <f t="shared" si="0"/>
        <v>0</v>
      </c>
      <c r="P9" s="43">
        <f t="shared" si="0"/>
        <v>0</v>
      </c>
      <c r="R9" s="53"/>
    </row>
    <row r="10" spans="1:23">
      <c r="A10" s="1" t="s">
        <v>224</v>
      </c>
      <c r="B10">
        <v>0</v>
      </c>
      <c r="C10">
        <v>1</v>
      </c>
      <c r="D10">
        <v>1</v>
      </c>
      <c r="E10">
        <v>3</v>
      </c>
      <c r="G10">
        <v>39</v>
      </c>
      <c r="H10">
        <v>55</v>
      </c>
      <c r="I10">
        <v>73</v>
      </c>
      <c r="J10">
        <v>56</v>
      </c>
      <c r="L10" s="133" t="s">
        <v>101</v>
      </c>
      <c r="M10" s="1">
        <f t="shared" si="1"/>
        <v>0</v>
      </c>
      <c r="N10" s="1">
        <f t="shared" si="0"/>
        <v>1.8181818181818181</v>
      </c>
      <c r="O10" s="1">
        <f t="shared" si="0"/>
        <v>1.3698630136986301</v>
      </c>
      <c r="P10" s="1">
        <f t="shared" si="0"/>
        <v>5.3571428571428568</v>
      </c>
      <c r="R10" s="111">
        <f>AVERAGE(M10:P13)</f>
        <v>2.8406075555379227</v>
      </c>
      <c r="S10">
        <f>STDEV(M10:P13)/SQRT(16)</f>
        <v>0.6460820766337555</v>
      </c>
    </row>
    <row r="11" spans="1:23">
      <c r="A11" s="1" t="s">
        <v>224</v>
      </c>
      <c r="B11">
        <v>3</v>
      </c>
      <c r="C11">
        <v>1</v>
      </c>
      <c r="D11">
        <v>4</v>
      </c>
      <c r="E11">
        <v>1</v>
      </c>
      <c r="G11">
        <v>62</v>
      </c>
      <c r="H11">
        <v>76</v>
      </c>
      <c r="I11">
        <v>70</v>
      </c>
      <c r="J11">
        <v>54</v>
      </c>
      <c r="L11" s="133"/>
      <c r="M11" s="1">
        <f t="shared" si="1"/>
        <v>4.838709677419355</v>
      </c>
      <c r="N11" s="1">
        <f t="shared" si="0"/>
        <v>1.3157894736842104</v>
      </c>
      <c r="O11" s="1">
        <f t="shared" si="0"/>
        <v>5.7142857142857144</v>
      </c>
      <c r="P11" s="1">
        <f t="shared" si="0"/>
        <v>1.8518518518518516</v>
      </c>
      <c r="R11" s="53"/>
    </row>
    <row r="12" spans="1:23">
      <c r="A12" s="1" t="s">
        <v>224</v>
      </c>
      <c r="B12">
        <v>1</v>
      </c>
      <c r="C12">
        <v>3</v>
      </c>
      <c r="D12">
        <v>2</v>
      </c>
      <c r="E12">
        <v>2</v>
      </c>
      <c r="G12">
        <v>58</v>
      </c>
      <c r="H12">
        <v>40</v>
      </c>
      <c r="I12">
        <v>50</v>
      </c>
      <c r="J12">
        <v>28</v>
      </c>
      <c r="L12" s="133"/>
      <c r="M12" s="1">
        <f t="shared" si="1"/>
        <v>1.7241379310344827</v>
      </c>
      <c r="N12" s="1">
        <f t="shared" si="0"/>
        <v>7.5</v>
      </c>
      <c r="O12" s="1">
        <f t="shared" si="0"/>
        <v>4</v>
      </c>
      <c r="P12" s="1">
        <f t="shared" si="0"/>
        <v>7.1428571428571423</v>
      </c>
      <c r="R12" s="53"/>
    </row>
    <row r="13" spans="1:23">
      <c r="A13" s="1" t="s">
        <v>224</v>
      </c>
      <c r="B13">
        <v>2</v>
      </c>
      <c r="C13">
        <v>0</v>
      </c>
      <c r="D13">
        <v>0</v>
      </c>
      <c r="E13">
        <v>0</v>
      </c>
      <c r="G13">
        <v>71</v>
      </c>
      <c r="H13">
        <v>38</v>
      </c>
      <c r="I13">
        <v>30</v>
      </c>
      <c r="J13">
        <v>33</v>
      </c>
      <c r="L13" s="133"/>
      <c r="M13" s="1">
        <f t="shared" si="1"/>
        <v>2.8169014084507045</v>
      </c>
      <c r="N13" s="1">
        <f t="shared" si="0"/>
        <v>0</v>
      </c>
      <c r="O13" s="1">
        <f t="shared" si="0"/>
        <v>0</v>
      </c>
      <c r="P13" s="1">
        <f t="shared" si="0"/>
        <v>0</v>
      </c>
      <c r="R13" s="53"/>
    </row>
    <row r="14" spans="1:23">
      <c r="A14" s="37"/>
      <c r="R14" s="53"/>
    </row>
    <row r="15" spans="1:23">
      <c r="A15" s="37"/>
      <c r="R15" s="53"/>
    </row>
    <row r="16" spans="1:23" ht="16">
      <c r="A16" s="43" t="s">
        <v>223</v>
      </c>
      <c r="B16">
        <v>1</v>
      </c>
      <c r="C16">
        <v>1</v>
      </c>
      <c r="D16">
        <v>1</v>
      </c>
      <c r="E16">
        <v>1</v>
      </c>
      <c r="G16">
        <v>43</v>
      </c>
      <c r="H16">
        <v>32</v>
      </c>
      <c r="I16">
        <v>47</v>
      </c>
      <c r="J16">
        <v>20</v>
      </c>
      <c r="L16" s="133" t="s">
        <v>90</v>
      </c>
      <c r="M16" s="43">
        <f t="shared" si="1"/>
        <v>2.3255813953488373</v>
      </c>
      <c r="N16" s="43">
        <f t="shared" si="0"/>
        <v>3.125</v>
      </c>
      <c r="O16" s="43">
        <f t="shared" si="0"/>
        <v>2.1276595744680851</v>
      </c>
      <c r="P16" s="43">
        <f t="shared" si="0"/>
        <v>5</v>
      </c>
      <c r="R16" s="112">
        <f>AVERAGE(M16:P19)</f>
        <v>2.2735178544183769</v>
      </c>
      <c r="S16">
        <f>STDEV(M16:P19)/SQRT(16)</f>
        <v>0.57642607798849432</v>
      </c>
      <c r="V16" s="93" t="s">
        <v>221</v>
      </c>
      <c r="W16" s="93" t="s">
        <v>222</v>
      </c>
    </row>
    <row r="17" spans="1:23">
      <c r="A17" s="43" t="s">
        <v>223</v>
      </c>
      <c r="B17">
        <v>2</v>
      </c>
      <c r="C17">
        <v>1</v>
      </c>
      <c r="D17">
        <v>0</v>
      </c>
      <c r="E17">
        <v>0</v>
      </c>
      <c r="G17">
        <v>31</v>
      </c>
      <c r="H17">
        <v>54</v>
      </c>
      <c r="I17">
        <v>31</v>
      </c>
      <c r="J17">
        <v>57</v>
      </c>
      <c r="L17" s="133"/>
      <c r="M17" s="43">
        <f t="shared" si="1"/>
        <v>6.4516129032258061</v>
      </c>
      <c r="N17" s="43">
        <f t="shared" si="0"/>
        <v>1.8518518518518516</v>
      </c>
      <c r="O17" s="43">
        <f t="shared" si="0"/>
        <v>0</v>
      </c>
      <c r="P17" s="43">
        <f t="shared" si="0"/>
        <v>0</v>
      </c>
      <c r="R17" s="53"/>
      <c r="V17" s="94">
        <f>R16</f>
        <v>2.2735178544183769</v>
      </c>
      <c r="W17" s="94">
        <f>R20</f>
        <v>1.2442102100386963</v>
      </c>
    </row>
    <row r="18" spans="1:23">
      <c r="A18" s="43" t="s">
        <v>223</v>
      </c>
      <c r="B18">
        <v>0</v>
      </c>
      <c r="C18">
        <v>2</v>
      </c>
      <c r="D18">
        <v>1</v>
      </c>
      <c r="E18">
        <v>2</v>
      </c>
      <c r="G18">
        <v>52</v>
      </c>
      <c r="H18">
        <v>48</v>
      </c>
      <c r="I18">
        <v>45</v>
      </c>
      <c r="J18">
        <v>30</v>
      </c>
      <c r="L18" s="133"/>
      <c r="M18" s="43">
        <f t="shared" si="1"/>
        <v>0</v>
      </c>
      <c r="N18" s="43">
        <f t="shared" si="0"/>
        <v>4.1666666666666661</v>
      </c>
      <c r="O18" s="43">
        <f t="shared" si="0"/>
        <v>2.2222222222222223</v>
      </c>
      <c r="P18" s="43">
        <f t="shared" si="0"/>
        <v>6.666666666666667</v>
      </c>
      <c r="R18" s="53"/>
      <c r="V18" s="46">
        <f>S16</f>
        <v>0.57642607798849432</v>
      </c>
      <c r="W18" s="46">
        <f>S20</f>
        <v>0.40508378431937081</v>
      </c>
    </row>
    <row r="19" spans="1:23">
      <c r="A19" s="43" t="s">
        <v>223</v>
      </c>
      <c r="B19">
        <v>1</v>
      </c>
      <c r="C19">
        <v>0</v>
      </c>
      <c r="D19">
        <v>0</v>
      </c>
      <c r="E19">
        <v>0</v>
      </c>
      <c r="G19">
        <v>41</v>
      </c>
      <c r="H19">
        <v>46</v>
      </c>
      <c r="I19">
        <v>33</v>
      </c>
      <c r="J19">
        <v>49</v>
      </c>
      <c r="L19" s="133"/>
      <c r="M19" s="43">
        <f t="shared" si="1"/>
        <v>2.4390243902439024</v>
      </c>
      <c r="N19" s="43">
        <f t="shared" si="0"/>
        <v>0</v>
      </c>
      <c r="O19" s="43">
        <f t="shared" si="0"/>
        <v>0</v>
      </c>
      <c r="P19" s="43">
        <f t="shared" si="0"/>
        <v>0</v>
      </c>
      <c r="R19" s="53"/>
    </row>
    <row r="20" spans="1:23">
      <c r="A20" s="1" t="s">
        <v>224</v>
      </c>
      <c r="B20">
        <v>1</v>
      </c>
      <c r="C20">
        <v>0</v>
      </c>
      <c r="D20">
        <v>1</v>
      </c>
      <c r="E20">
        <v>0</v>
      </c>
      <c r="G20">
        <v>53</v>
      </c>
      <c r="H20">
        <v>47</v>
      </c>
      <c r="I20">
        <v>44</v>
      </c>
      <c r="J20">
        <v>18</v>
      </c>
      <c r="L20" s="133" t="s">
        <v>101</v>
      </c>
      <c r="M20" s="1">
        <f t="shared" si="1"/>
        <v>1.8867924528301887</v>
      </c>
      <c r="N20" s="1">
        <f t="shared" si="0"/>
        <v>0</v>
      </c>
      <c r="O20" s="1">
        <f t="shared" si="0"/>
        <v>2.2727272727272729</v>
      </c>
      <c r="P20" s="1">
        <f t="shared" si="0"/>
        <v>0</v>
      </c>
      <c r="R20" s="111">
        <f>AVERAGE(M20:P23)</f>
        <v>1.2442102100386963</v>
      </c>
      <c r="S20">
        <f>STDEV(M20:P23)/SQRT(16)</f>
        <v>0.40508378431937081</v>
      </c>
    </row>
    <row r="21" spans="1:23">
      <c r="A21" s="1" t="s">
        <v>224</v>
      </c>
      <c r="B21">
        <v>0</v>
      </c>
      <c r="C21">
        <v>1</v>
      </c>
      <c r="D21">
        <v>1</v>
      </c>
      <c r="E21">
        <v>0</v>
      </c>
      <c r="G21">
        <v>57</v>
      </c>
      <c r="H21">
        <v>44</v>
      </c>
      <c r="I21">
        <v>38</v>
      </c>
      <c r="J21">
        <v>31</v>
      </c>
      <c r="L21" s="133"/>
      <c r="M21" s="1">
        <f t="shared" si="1"/>
        <v>0</v>
      </c>
      <c r="N21" s="1">
        <f t="shared" si="0"/>
        <v>2.2727272727272729</v>
      </c>
      <c r="O21" s="1">
        <f t="shared" si="0"/>
        <v>2.6315789473684208</v>
      </c>
      <c r="P21" s="1">
        <f t="shared" si="0"/>
        <v>0</v>
      </c>
      <c r="R21" s="53"/>
    </row>
    <row r="22" spans="1:23">
      <c r="A22" s="1" t="s">
        <v>224</v>
      </c>
      <c r="B22">
        <v>2</v>
      </c>
      <c r="C22">
        <v>0</v>
      </c>
      <c r="D22">
        <v>0</v>
      </c>
      <c r="E22">
        <v>1</v>
      </c>
      <c r="G22">
        <v>42</v>
      </c>
      <c r="H22">
        <v>67</v>
      </c>
      <c r="I22">
        <v>34</v>
      </c>
      <c r="J22">
        <v>50</v>
      </c>
      <c r="L22" s="133"/>
      <c r="M22" s="1">
        <f t="shared" si="1"/>
        <v>4.7619047619047619</v>
      </c>
      <c r="N22" s="1">
        <f t="shared" si="1"/>
        <v>0</v>
      </c>
      <c r="O22" s="1">
        <f t="shared" si="1"/>
        <v>0</v>
      </c>
      <c r="P22" s="1">
        <f t="shared" si="1"/>
        <v>2</v>
      </c>
      <c r="R22" s="53"/>
    </row>
    <row r="23" spans="1:23">
      <c r="A23" s="1" t="s">
        <v>224</v>
      </c>
      <c r="B23">
        <v>2</v>
      </c>
      <c r="C23">
        <v>0</v>
      </c>
      <c r="D23">
        <v>0</v>
      </c>
      <c r="E23">
        <v>0</v>
      </c>
      <c r="G23">
        <v>49</v>
      </c>
      <c r="H23">
        <v>50</v>
      </c>
      <c r="I23">
        <v>21</v>
      </c>
      <c r="J23">
        <v>44</v>
      </c>
      <c r="L23" s="133"/>
      <c r="M23" s="1">
        <f t="shared" si="1"/>
        <v>4.0816326530612246</v>
      </c>
      <c r="N23" s="1">
        <f t="shared" si="1"/>
        <v>0</v>
      </c>
      <c r="O23" s="1">
        <f t="shared" si="1"/>
        <v>0</v>
      </c>
      <c r="P23" s="1">
        <f t="shared" si="1"/>
        <v>0</v>
      </c>
      <c r="R23" s="53"/>
    </row>
    <row r="24" spans="1:23">
      <c r="A24" s="37"/>
      <c r="R24" s="53"/>
    </row>
    <row r="25" spans="1:23">
      <c r="A25" s="37"/>
      <c r="R25" s="53"/>
    </row>
    <row r="26" spans="1:23" ht="16">
      <c r="A26" s="43" t="s">
        <v>223</v>
      </c>
      <c r="B26">
        <v>1</v>
      </c>
      <c r="C26">
        <v>0</v>
      </c>
      <c r="D26">
        <v>0</v>
      </c>
      <c r="E26">
        <v>3</v>
      </c>
      <c r="G26">
        <v>107</v>
      </c>
      <c r="H26">
        <v>67</v>
      </c>
      <c r="I26">
        <v>87</v>
      </c>
      <c r="J26">
        <v>69</v>
      </c>
      <c r="L26" s="133" t="s">
        <v>90</v>
      </c>
      <c r="M26" s="43">
        <f t="shared" si="1"/>
        <v>0.93457943925233633</v>
      </c>
      <c r="N26" s="43">
        <f t="shared" si="1"/>
        <v>0</v>
      </c>
      <c r="O26" s="43">
        <f t="shared" si="1"/>
        <v>0</v>
      </c>
      <c r="P26" s="43">
        <f t="shared" si="1"/>
        <v>4.3478260869565215</v>
      </c>
      <c r="R26" s="112">
        <f>AVERAGE(M26:P29)</f>
        <v>1.6908623820227147</v>
      </c>
      <c r="S26">
        <f>STDEV(M26:P29)/SQRT(16)</f>
        <v>0.6744551698246134</v>
      </c>
      <c r="V26" s="93" t="s">
        <v>221</v>
      </c>
      <c r="W26" s="93" t="s">
        <v>222</v>
      </c>
    </row>
    <row r="27" spans="1:23">
      <c r="A27" s="43" t="s">
        <v>223</v>
      </c>
      <c r="B27">
        <v>0</v>
      </c>
      <c r="C27">
        <v>0</v>
      </c>
      <c r="D27">
        <v>0</v>
      </c>
      <c r="E27">
        <v>0</v>
      </c>
      <c r="G27">
        <v>81</v>
      </c>
      <c r="H27">
        <v>75</v>
      </c>
      <c r="I27">
        <v>56</v>
      </c>
      <c r="J27">
        <v>72</v>
      </c>
      <c r="L27" s="133"/>
      <c r="M27" s="43">
        <f t="shared" si="1"/>
        <v>0</v>
      </c>
      <c r="N27" s="43">
        <f t="shared" si="1"/>
        <v>0</v>
      </c>
      <c r="O27" s="43">
        <f t="shared" si="1"/>
        <v>0</v>
      </c>
      <c r="P27" s="43">
        <f t="shared" si="1"/>
        <v>0</v>
      </c>
      <c r="R27" s="53"/>
      <c r="V27" s="94">
        <f>R26</f>
        <v>1.6908623820227147</v>
      </c>
      <c r="W27" s="94">
        <f>R30</f>
        <v>2.9612961089424648</v>
      </c>
    </row>
    <row r="28" spans="1:23">
      <c r="A28" s="43" t="s">
        <v>223</v>
      </c>
      <c r="B28">
        <v>1</v>
      </c>
      <c r="C28">
        <v>0</v>
      </c>
      <c r="D28">
        <v>2</v>
      </c>
      <c r="E28">
        <v>0</v>
      </c>
      <c r="G28">
        <v>79</v>
      </c>
      <c r="H28">
        <v>72</v>
      </c>
      <c r="I28">
        <v>52</v>
      </c>
      <c r="J28">
        <v>88</v>
      </c>
      <c r="L28" s="133"/>
      <c r="M28" s="43">
        <f t="shared" si="1"/>
        <v>1.2658227848101267</v>
      </c>
      <c r="N28" s="43">
        <f t="shared" si="1"/>
        <v>0</v>
      </c>
      <c r="O28" s="43">
        <f t="shared" si="1"/>
        <v>3.8461538461538463</v>
      </c>
      <c r="P28" s="43">
        <f t="shared" si="1"/>
        <v>0</v>
      </c>
      <c r="R28" s="53"/>
      <c r="V28" s="46">
        <f>S26</f>
        <v>0.6744551698246134</v>
      </c>
      <c r="W28" s="46">
        <f>S30</f>
        <v>0.43811782815728489</v>
      </c>
    </row>
    <row r="29" spans="1:23">
      <c r="A29" s="43" t="s">
        <v>223</v>
      </c>
      <c r="B29">
        <v>0</v>
      </c>
      <c r="C29">
        <v>5</v>
      </c>
      <c r="D29">
        <v>1</v>
      </c>
      <c r="E29">
        <v>3</v>
      </c>
      <c r="G29">
        <v>48</v>
      </c>
      <c r="H29">
        <v>70</v>
      </c>
      <c r="I29">
        <v>71</v>
      </c>
      <c r="J29">
        <v>37</v>
      </c>
      <c r="L29" s="133"/>
      <c r="M29" s="43">
        <f t="shared" si="1"/>
        <v>0</v>
      </c>
      <c r="N29" s="43">
        <f t="shared" si="1"/>
        <v>7.1428571428571423</v>
      </c>
      <c r="O29" s="43">
        <f t="shared" si="1"/>
        <v>1.4084507042253522</v>
      </c>
      <c r="P29" s="43">
        <f t="shared" si="1"/>
        <v>8.1081081081081088</v>
      </c>
      <c r="R29" s="53"/>
    </row>
    <row r="30" spans="1:23">
      <c r="A30" s="1" t="s">
        <v>224</v>
      </c>
      <c r="B30">
        <v>2</v>
      </c>
      <c r="C30">
        <v>2</v>
      </c>
      <c r="D30">
        <v>5</v>
      </c>
      <c r="E30">
        <v>4</v>
      </c>
      <c r="G30">
        <v>92</v>
      </c>
      <c r="H30">
        <v>94</v>
      </c>
      <c r="I30">
        <v>83</v>
      </c>
      <c r="J30">
        <v>84</v>
      </c>
      <c r="L30" s="133" t="s">
        <v>101</v>
      </c>
      <c r="M30" s="1">
        <f t="shared" si="1"/>
        <v>2.1739130434782608</v>
      </c>
      <c r="N30" s="1">
        <f t="shared" si="1"/>
        <v>2.1276595744680851</v>
      </c>
      <c r="O30" s="1">
        <f t="shared" si="1"/>
        <v>6.024096385542169</v>
      </c>
      <c r="P30" s="1">
        <f t="shared" si="1"/>
        <v>4.7619047619047619</v>
      </c>
      <c r="R30" s="111">
        <f>AVERAGE(M30:P33)</f>
        <v>2.9612961089424648</v>
      </c>
      <c r="S30">
        <f>STDEV(M30:P33)/SQRT(16)</f>
        <v>0.43811782815728489</v>
      </c>
    </row>
    <row r="31" spans="1:23">
      <c r="A31" s="1" t="s">
        <v>224</v>
      </c>
      <c r="B31">
        <v>2</v>
      </c>
      <c r="C31">
        <v>3</v>
      </c>
      <c r="D31">
        <v>1</v>
      </c>
      <c r="E31">
        <v>0</v>
      </c>
      <c r="G31">
        <v>73</v>
      </c>
      <c r="H31">
        <v>62</v>
      </c>
      <c r="I31">
        <v>59</v>
      </c>
      <c r="J31">
        <v>37</v>
      </c>
      <c r="L31" s="133"/>
      <c r="M31" s="1">
        <f t="shared" si="1"/>
        <v>2.7397260273972601</v>
      </c>
      <c r="N31" s="1">
        <f t="shared" si="1"/>
        <v>4.838709677419355</v>
      </c>
      <c r="O31" s="1">
        <f t="shared" si="1"/>
        <v>1.6949152542372881</v>
      </c>
      <c r="P31" s="1">
        <f t="shared" si="1"/>
        <v>0</v>
      </c>
    </row>
    <row r="32" spans="1:23">
      <c r="A32" s="1" t="s">
        <v>224</v>
      </c>
      <c r="B32">
        <v>2</v>
      </c>
      <c r="C32">
        <v>3</v>
      </c>
      <c r="D32">
        <v>2</v>
      </c>
      <c r="E32">
        <v>3</v>
      </c>
      <c r="G32">
        <v>71</v>
      </c>
      <c r="H32">
        <v>83</v>
      </c>
      <c r="I32">
        <v>68</v>
      </c>
      <c r="J32">
        <v>74</v>
      </c>
      <c r="L32" s="133"/>
      <c r="M32" s="1">
        <f t="shared" si="1"/>
        <v>2.8169014084507045</v>
      </c>
      <c r="N32" s="1">
        <f t="shared" si="1"/>
        <v>3.6144578313253009</v>
      </c>
      <c r="O32" s="1">
        <f t="shared" si="1"/>
        <v>2.9411764705882351</v>
      </c>
      <c r="P32" s="1">
        <f t="shared" si="1"/>
        <v>4.0540540540540544</v>
      </c>
    </row>
    <row r="33" spans="1:16">
      <c r="A33" s="1" t="s">
        <v>224</v>
      </c>
      <c r="B33">
        <v>5</v>
      </c>
      <c r="C33">
        <v>3</v>
      </c>
      <c r="D33">
        <v>0</v>
      </c>
      <c r="E33">
        <v>1</v>
      </c>
      <c r="G33">
        <v>95</v>
      </c>
      <c r="H33">
        <v>102</v>
      </c>
      <c r="I33">
        <v>59</v>
      </c>
      <c r="J33">
        <v>72</v>
      </c>
      <c r="L33" s="133"/>
      <c r="M33" s="1">
        <f t="shared" si="1"/>
        <v>5.2631578947368416</v>
      </c>
      <c r="N33" s="1">
        <f t="shared" si="1"/>
        <v>2.9411764705882351</v>
      </c>
      <c r="O33" s="1">
        <f t="shared" si="1"/>
        <v>0</v>
      </c>
      <c r="P33" s="1">
        <f t="shared" si="1"/>
        <v>1.3888888888888888</v>
      </c>
    </row>
  </sheetData>
  <mergeCells count="6">
    <mergeCell ref="L30:L33"/>
    <mergeCell ref="L6:L9"/>
    <mergeCell ref="L10:L13"/>
    <mergeCell ref="L16:L19"/>
    <mergeCell ref="L20:L23"/>
    <mergeCell ref="L26:L29"/>
  </mergeCells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4:AB45"/>
  <sheetViews>
    <sheetView zoomScale="60" zoomScaleNormal="60" workbookViewId="0">
      <selection activeCell="AB6" sqref="AB6"/>
    </sheetView>
  </sheetViews>
  <sheetFormatPr baseColWidth="10" defaultColWidth="8.83203125" defaultRowHeight="15"/>
  <cols>
    <col min="1" max="1" width="44.33203125" customWidth="1"/>
    <col min="4" max="4" width="8.5" customWidth="1"/>
    <col min="5" max="5" width="6.83203125" customWidth="1"/>
    <col min="6" max="6" width="8.6640625" customWidth="1"/>
    <col min="8" max="8" width="10.33203125" customWidth="1"/>
    <col min="9" max="9" width="18.6640625" customWidth="1"/>
    <col min="10" max="10" width="15.6640625" customWidth="1"/>
    <col min="11" max="11" width="21.5" customWidth="1"/>
    <col min="12" max="12" width="16.6640625" customWidth="1"/>
    <col min="13" max="13" width="11.83203125" customWidth="1"/>
    <col min="14" max="15" width="16.5" customWidth="1"/>
    <col min="16" max="16" width="17.83203125" customWidth="1"/>
    <col min="27" max="27" width="34.83203125" customWidth="1"/>
    <col min="28" max="28" width="35.83203125" customWidth="1"/>
  </cols>
  <sheetData>
    <row r="4" spans="1:28">
      <c r="A4" s="42"/>
      <c r="B4" s="42" t="s">
        <v>105</v>
      </c>
      <c r="C4" s="42" t="s">
        <v>106</v>
      </c>
      <c r="D4" s="42" t="s">
        <v>107</v>
      </c>
      <c r="E4" s="42" t="s">
        <v>108</v>
      </c>
      <c r="F4" s="42" t="s">
        <v>109</v>
      </c>
      <c r="G4" s="42" t="s">
        <v>110</v>
      </c>
      <c r="I4" s="42" t="s">
        <v>111</v>
      </c>
      <c r="J4" s="42" t="s">
        <v>112</v>
      </c>
      <c r="K4" s="42" t="s">
        <v>113</v>
      </c>
      <c r="L4" s="42" t="s">
        <v>114</v>
      </c>
      <c r="M4" s="42" t="s">
        <v>115</v>
      </c>
      <c r="N4" s="42" t="s">
        <v>115</v>
      </c>
      <c r="Q4" s="42" t="s">
        <v>116</v>
      </c>
      <c r="X4" t="s">
        <v>96</v>
      </c>
      <c r="Y4" t="s">
        <v>97</v>
      </c>
    </row>
    <row r="5" spans="1:28" ht="16">
      <c r="A5" s="43" t="s">
        <v>126</v>
      </c>
      <c r="B5">
        <v>4</v>
      </c>
      <c r="C5">
        <v>11</v>
      </c>
      <c r="D5">
        <v>10</v>
      </c>
      <c r="E5">
        <v>3</v>
      </c>
      <c r="F5">
        <v>12</v>
      </c>
      <c r="G5">
        <v>15</v>
      </c>
      <c r="I5">
        <v>28</v>
      </c>
      <c r="J5">
        <v>58</v>
      </c>
      <c r="K5">
        <v>62</v>
      </c>
      <c r="L5">
        <v>20</v>
      </c>
      <c r="M5">
        <v>48</v>
      </c>
      <c r="N5">
        <v>67</v>
      </c>
      <c r="P5" s="133" t="s">
        <v>90</v>
      </c>
      <c r="Q5" s="43">
        <f>(B5/I5)*100</f>
        <v>14.285714285714285</v>
      </c>
      <c r="R5" s="43">
        <f t="shared" ref="R5:V8" si="0">(C5/J5)*100</f>
        <v>18.96551724137931</v>
      </c>
      <c r="S5" s="43">
        <f t="shared" si="0"/>
        <v>16.129032258064516</v>
      </c>
      <c r="T5" s="43">
        <f t="shared" si="0"/>
        <v>15</v>
      </c>
      <c r="U5" s="43">
        <f t="shared" si="0"/>
        <v>25</v>
      </c>
      <c r="V5" s="43">
        <f t="shared" si="0"/>
        <v>22.388059701492537</v>
      </c>
      <c r="X5" s="43">
        <f>AVERAGE(Q5:V6)</f>
        <v>21.083217978346781</v>
      </c>
      <c r="Y5">
        <f>STDEV(Q5:V6)/SQRT(12)</f>
        <v>1.2111032280124694</v>
      </c>
      <c r="AA5" s="93" t="s">
        <v>122</v>
      </c>
      <c r="AB5" s="93" t="s">
        <v>123</v>
      </c>
    </row>
    <row r="6" spans="1:28">
      <c r="A6" s="43" t="s">
        <v>126</v>
      </c>
      <c r="B6">
        <v>18</v>
      </c>
      <c r="C6">
        <v>29</v>
      </c>
      <c r="D6">
        <v>30</v>
      </c>
      <c r="E6">
        <v>25</v>
      </c>
      <c r="F6">
        <v>21</v>
      </c>
      <c r="G6">
        <v>17</v>
      </c>
      <c r="I6">
        <v>78</v>
      </c>
      <c r="J6">
        <v>148</v>
      </c>
      <c r="K6">
        <v>112</v>
      </c>
      <c r="L6">
        <v>101</v>
      </c>
      <c r="M6">
        <v>91</v>
      </c>
      <c r="N6">
        <v>71</v>
      </c>
      <c r="P6" s="133"/>
      <c r="Q6" s="43">
        <f t="shared" ref="Q6:Q8" si="1">(B6/I6)*100</f>
        <v>23.076923076923077</v>
      </c>
      <c r="R6" s="43">
        <f t="shared" si="0"/>
        <v>19.594594594594593</v>
      </c>
      <c r="S6" s="43">
        <f t="shared" si="0"/>
        <v>26.785714285714285</v>
      </c>
      <c r="T6" s="43">
        <f t="shared" si="0"/>
        <v>24.752475247524753</v>
      </c>
      <c r="U6" s="43">
        <f t="shared" si="0"/>
        <v>23.076923076923077</v>
      </c>
      <c r="V6" s="43">
        <f t="shared" si="0"/>
        <v>23.943661971830984</v>
      </c>
      <c r="AA6" s="94">
        <f>X5</f>
        <v>21.083217978346781</v>
      </c>
      <c r="AB6" s="94">
        <f>X7</f>
        <v>33.941017333275738</v>
      </c>
    </row>
    <row r="7" spans="1:28">
      <c r="A7" s="1" t="s">
        <v>127</v>
      </c>
      <c r="B7">
        <v>20</v>
      </c>
      <c r="C7">
        <v>25</v>
      </c>
      <c r="D7">
        <v>45</v>
      </c>
      <c r="E7">
        <v>29</v>
      </c>
      <c r="F7">
        <v>39</v>
      </c>
      <c r="G7">
        <v>52</v>
      </c>
      <c r="I7">
        <v>60</v>
      </c>
      <c r="J7">
        <v>88</v>
      </c>
      <c r="K7">
        <v>118</v>
      </c>
      <c r="L7">
        <v>104</v>
      </c>
      <c r="M7">
        <v>127</v>
      </c>
      <c r="N7">
        <v>151</v>
      </c>
      <c r="P7" s="133" t="s">
        <v>101</v>
      </c>
      <c r="Q7" s="1">
        <f t="shared" si="1"/>
        <v>33.333333333333329</v>
      </c>
      <c r="R7" s="1">
        <f t="shared" si="0"/>
        <v>28.40909090909091</v>
      </c>
      <c r="S7" s="1">
        <f t="shared" si="0"/>
        <v>38.135593220338983</v>
      </c>
      <c r="T7" s="1">
        <f t="shared" si="0"/>
        <v>27.884615384615387</v>
      </c>
      <c r="U7" s="1">
        <f t="shared" si="0"/>
        <v>30.708661417322837</v>
      </c>
      <c r="V7" s="1">
        <f t="shared" si="0"/>
        <v>34.437086092715234</v>
      </c>
      <c r="X7" s="1">
        <f>AVERAGE(Q7:V8)</f>
        <v>33.941017333275738</v>
      </c>
      <c r="Y7">
        <f>STDEV(Q7:V8)/SQRT(12)</f>
        <v>1.4549193358153254</v>
      </c>
      <c r="AA7" s="46">
        <f>Y5</f>
        <v>1.2111032280124694</v>
      </c>
      <c r="AB7" s="46">
        <f>Y7</f>
        <v>1.4549193358153254</v>
      </c>
    </row>
    <row r="8" spans="1:28">
      <c r="A8" s="1" t="s">
        <v>127</v>
      </c>
      <c r="B8">
        <v>22</v>
      </c>
      <c r="C8">
        <v>21</v>
      </c>
      <c r="D8">
        <v>22</v>
      </c>
      <c r="E8">
        <v>27</v>
      </c>
      <c r="F8">
        <v>38</v>
      </c>
      <c r="G8">
        <v>20</v>
      </c>
      <c r="I8">
        <v>50</v>
      </c>
      <c r="J8">
        <v>60</v>
      </c>
      <c r="K8">
        <v>70</v>
      </c>
      <c r="L8">
        <v>65</v>
      </c>
      <c r="M8">
        <v>126</v>
      </c>
      <c r="N8">
        <v>62</v>
      </c>
      <c r="P8" s="133"/>
      <c r="Q8" s="1">
        <f t="shared" si="1"/>
        <v>44</v>
      </c>
      <c r="R8" s="1">
        <f t="shared" si="0"/>
        <v>35</v>
      </c>
      <c r="S8" s="1">
        <f t="shared" si="0"/>
        <v>31.428571428571427</v>
      </c>
      <c r="T8" s="1">
        <f t="shared" si="0"/>
        <v>41.53846153846154</v>
      </c>
      <c r="U8" s="1">
        <f t="shared" si="0"/>
        <v>30.158730158730158</v>
      </c>
      <c r="V8" s="1">
        <f t="shared" si="0"/>
        <v>32.258064516129032</v>
      </c>
    </row>
    <row r="9" spans="1:28">
      <c r="A9" s="42"/>
    </row>
    <row r="14" spans="1:28">
      <c r="B14" s="42" t="s">
        <v>105</v>
      </c>
      <c r="C14" s="42" t="s">
        <v>106</v>
      </c>
      <c r="D14" s="42" t="s">
        <v>107</v>
      </c>
      <c r="E14" s="42" t="s">
        <v>108</v>
      </c>
      <c r="F14" s="42" t="s">
        <v>109</v>
      </c>
      <c r="G14" s="42" t="s">
        <v>110</v>
      </c>
      <c r="I14" s="42" t="s">
        <v>111</v>
      </c>
      <c r="J14" s="42" t="s">
        <v>112</v>
      </c>
      <c r="K14" s="42" t="s">
        <v>113</v>
      </c>
      <c r="L14" s="42" t="s">
        <v>114</v>
      </c>
      <c r="M14" s="42" t="s">
        <v>115</v>
      </c>
      <c r="N14" s="42" t="s">
        <v>115</v>
      </c>
      <c r="O14" s="42"/>
      <c r="Q14" s="42" t="s">
        <v>116</v>
      </c>
      <c r="X14" t="s">
        <v>96</v>
      </c>
      <c r="Y14" t="s">
        <v>97</v>
      </c>
    </row>
    <row r="15" spans="1:28" ht="16">
      <c r="A15" s="43" t="s">
        <v>126</v>
      </c>
      <c r="B15">
        <v>2</v>
      </c>
      <c r="C15">
        <v>6</v>
      </c>
      <c r="D15">
        <v>6</v>
      </c>
      <c r="E15">
        <v>5</v>
      </c>
      <c r="F15">
        <v>10</v>
      </c>
      <c r="G15">
        <v>5</v>
      </c>
      <c r="I15">
        <v>9</v>
      </c>
      <c r="J15">
        <v>54</v>
      </c>
      <c r="K15">
        <v>39</v>
      </c>
      <c r="L15">
        <v>37</v>
      </c>
      <c r="M15">
        <v>62</v>
      </c>
      <c r="N15">
        <v>33</v>
      </c>
      <c r="P15" s="133" t="s">
        <v>90</v>
      </c>
      <c r="Q15" s="52">
        <f>(B15/I15)*100</f>
        <v>22.222222222222221</v>
      </c>
      <c r="R15" s="52">
        <f t="shared" ref="R15:V20" si="2">(C15/J15)*100</f>
        <v>11.111111111111111</v>
      </c>
      <c r="S15" s="52">
        <f t="shared" si="2"/>
        <v>15.384615384615385</v>
      </c>
      <c r="T15" s="52">
        <f t="shared" si="2"/>
        <v>13.513513513513514</v>
      </c>
      <c r="U15" s="52">
        <f t="shared" si="2"/>
        <v>16.129032258064516</v>
      </c>
      <c r="V15" s="52">
        <f t="shared" si="2"/>
        <v>15.151515151515152</v>
      </c>
      <c r="X15" s="95">
        <f>AVERAGE(Q15:V17)</f>
        <v>17.133819178770082</v>
      </c>
      <c r="Y15">
        <f>STDEV(Q15:V17)/SQRT(18)</f>
        <v>1.3199231205456161</v>
      </c>
      <c r="AA15" s="93" t="s">
        <v>122</v>
      </c>
      <c r="AB15" s="93" t="s">
        <v>123</v>
      </c>
    </row>
    <row r="16" spans="1:28">
      <c r="A16" s="43" t="s">
        <v>126</v>
      </c>
      <c r="B16">
        <v>12</v>
      </c>
      <c r="C16">
        <v>14</v>
      </c>
      <c r="D16">
        <v>7</v>
      </c>
      <c r="E16">
        <v>20</v>
      </c>
      <c r="F16">
        <v>24</v>
      </c>
      <c r="G16">
        <v>25</v>
      </c>
      <c r="I16">
        <v>100</v>
      </c>
      <c r="J16">
        <v>77</v>
      </c>
      <c r="K16">
        <v>56</v>
      </c>
      <c r="L16">
        <v>146</v>
      </c>
      <c r="M16">
        <v>150</v>
      </c>
      <c r="N16">
        <v>108</v>
      </c>
      <c r="P16" s="133"/>
      <c r="Q16" s="52">
        <f t="shared" ref="Q16:Q20" si="3">(B16/I16)*100</f>
        <v>12</v>
      </c>
      <c r="R16" s="52">
        <f t="shared" si="2"/>
        <v>18.181818181818183</v>
      </c>
      <c r="S16" s="52">
        <f t="shared" si="2"/>
        <v>12.5</v>
      </c>
      <c r="T16" s="52">
        <f t="shared" si="2"/>
        <v>13.698630136986301</v>
      </c>
      <c r="U16" s="52">
        <f t="shared" si="2"/>
        <v>16</v>
      </c>
      <c r="V16" s="52">
        <f t="shared" si="2"/>
        <v>23.148148148148149</v>
      </c>
      <c r="X16" s="37"/>
      <c r="AA16" s="94">
        <f>X15</f>
        <v>17.133819178770082</v>
      </c>
      <c r="AB16" s="94">
        <f>X18</f>
        <v>22.124326216306308</v>
      </c>
    </row>
    <row r="17" spans="1:28">
      <c r="A17" s="43" t="s">
        <v>126</v>
      </c>
      <c r="B17">
        <v>25</v>
      </c>
      <c r="C17">
        <v>7</v>
      </c>
      <c r="D17">
        <v>13</v>
      </c>
      <c r="E17">
        <v>20</v>
      </c>
      <c r="F17">
        <v>16</v>
      </c>
      <c r="G17">
        <v>11</v>
      </c>
      <c r="I17">
        <v>105</v>
      </c>
      <c r="J17">
        <v>73</v>
      </c>
      <c r="K17">
        <v>72</v>
      </c>
      <c r="L17">
        <v>61</v>
      </c>
      <c r="M17">
        <v>99</v>
      </c>
      <c r="N17">
        <v>58</v>
      </c>
      <c r="P17" s="133"/>
      <c r="Q17" s="52">
        <f t="shared" si="3"/>
        <v>23.809523809523807</v>
      </c>
      <c r="R17" s="52">
        <f t="shared" si="2"/>
        <v>9.5890410958904102</v>
      </c>
      <c r="S17" s="52">
        <f t="shared" si="2"/>
        <v>18.055555555555554</v>
      </c>
      <c r="T17" s="52">
        <f t="shared" si="2"/>
        <v>32.786885245901637</v>
      </c>
      <c r="U17" s="52">
        <f t="shared" si="2"/>
        <v>16.161616161616163</v>
      </c>
      <c r="V17" s="52">
        <f t="shared" si="2"/>
        <v>18.96551724137931</v>
      </c>
      <c r="X17" s="37"/>
      <c r="AA17" s="46">
        <f>Y15</f>
        <v>1.3199231205456161</v>
      </c>
      <c r="AB17" s="46">
        <f>Y18</f>
        <v>1.647055390084643</v>
      </c>
    </row>
    <row r="18" spans="1:28">
      <c r="A18" s="1" t="s">
        <v>127</v>
      </c>
      <c r="B18">
        <v>7</v>
      </c>
      <c r="C18">
        <v>12</v>
      </c>
      <c r="D18">
        <v>6</v>
      </c>
      <c r="E18">
        <v>10</v>
      </c>
      <c r="F18">
        <v>7</v>
      </c>
      <c r="G18">
        <v>12</v>
      </c>
      <c r="I18">
        <v>24</v>
      </c>
      <c r="J18">
        <v>44</v>
      </c>
      <c r="K18">
        <v>34</v>
      </c>
      <c r="L18">
        <v>51</v>
      </c>
      <c r="M18">
        <v>54</v>
      </c>
      <c r="N18">
        <v>56</v>
      </c>
      <c r="P18" s="133" t="s">
        <v>101</v>
      </c>
      <c r="Q18" s="54">
        <f t="shared" si="3"/>
        <v>29.166666666666668</v>
      </c>
      <c r="R18" s="54">
        <f t="shared" si="2"/>
        <v>27.27272727272727</v>
      </c>
      <c r="S18" s="54">
        <f t="shared" si="2"/>
        <v>17.647058823529413</v>
      </c>
      <c r="T18" s="54">
        <f t="shared" si="2"/>
        <v>19.607843137254903</v>
      </c>
      <c r="U18" s="54">
        <f t="shared" si="2"/>
        <v>12.962962962962962</v>
      </c>
      <c r="V18" s="54">
        <f t="shared" si="2"/>
        <v>21.428571428571427</v>
      </c>
      <c r="X18" s="96">
        <f>AVERAGE(Q18:V20)</f>
        <v>22.124326216306308</v>
      </c>
      <c r="Y18">
        <f>STDEV(Q18:V20)/SQRT(18)</f>
        <v>1.647055390084643</v>
      </c>
    </row>
    <row r="19" spans="1:28">
      <c r="A19" s="1" t="s">
        <v>127</v>
      </c>
      <c r="B19">
        <v>25</v>
      </c>
      <c r="C19">
        <v>18</v>
      </c>
      <c r="D19">
        <v>5</v>
      </c>
      <c r="E19">
        <v>7</v>
      </c>
      <c r="F19">
        <v>22</v>
      </c>
      <c r="G19">
        <v>11</v>
      </c>
      <c r="I19">
        <v>95</v>
      </c>
      <c r="J19">
        <v>53</v>
      </c>
      <c r="K19">
        <v>32</v>
      </c>
      <c r="L19">
        <v>52</v>
      </c>
      <c r="M19">
        <v>90</v>
      </c>
      <c r="N19">
        <v>86</v>
      </c>
      <c r="P19" s="133"/>
      <c r="Q19" s="54">
        <f t="shared" si="3"/>
        <v>26.315789473684209</v>
      </c>
      <c r="R19" s="54">
        <f t="shared" si="2"/>
        <v>33.962264150943398</v>
      </c>
      <c r="S19" s="54">
        <f t="shared" si="2"/>
        <v>15.625</v>
      </c>
      <c r="T19" s="54">
        <f t="shared" si="2"/>
        <v>13.461538461538462</v>
      </c>
      <c r="U19" s="54">
        <f t="shared" si="2"/>
        <v>24.444444444444443</v>
      </c>
      <c r="V19" s="54">
        <f t="shared" si="2"/>
        <v>12.790697674418606</v>
      </c>
      <c r="X19" s="37"/>
    </row>
    <row r="20" spans="1:28">
      <c r="A20" s="1" t="s">
        <v>127</v>
      </c>
      <c r="B20">
        <v>15</v>
      </c>
      <c r="C20">
        <v>14</v>
      </c>
      <c r="D20">
        <v>9</v>
      </c>
      <c r="E20">
        <v>26</v>
      </c>
      <c r="F20">
        <v>13</v>
      </c>
      <c r="G20">
        <v>15</v>
      </c>
      <c r="I20">
        <v>52</v>
      </c>
      <c r="J20">
        <v>69</v>
      </c>
      <c r="K20">
        <v>35</v>
      </c>
      <c r="L20">
        <v>75</v>
      </c>
      <c r="M20">
        <v>70</v>
      </c>
      <c r="N20">
        <v>97</v>
      </c>
      <c r="P20" s="133"/>
      <c r="Q20" s="54">
        <f t="shared" si="3"/>
        <v>28.846153846153843</v>
      </c>
      <c r="R20" s="54">
        <f t="shared" si="2"/>
        <v>20.289855072463769</v>
      </c>
      <c r="S20" s="54">
        <f t="shared" si="2"/>
        <v>25.714285714285712</v>
      </c>
      <c r="T20" s="54">
        <f t="shared" si="2"/>
        <v>34.666666666666671</v>
      </c>
      <c r="U20" s="54">
        <f t="shared" si="2"/>
        <v>18.571428571428573</v>
      </c>
      <c r="V20" s="54">
        <f t="shared" si="2"/>
        <v>15.463917525773196</v>
      </c>
      <c r="X20" s="37"/>
    </row>
    <row r="21" spans="1:28">
      <c r="P21" s="51"/>
    </row>
    <row r="22" spans="1:28">
      <c r="P22" s="51"/>
    </row>
    <row r="23" spans="1:28">
      <c r="P23" s="51"/>
    </row>
    <row r="24" spans="1:28">
      <c r="P24" s="51"/>
    </row>
    <row r="25" spans="1:28">
      <c r="A25" s="42"/>
      <c r="B25" s="42" t="s">
        <v>105</v>
      </c>
      <c r="C25" s="42" t="s">
        <v>106</v>
      </c>
      <c r="D25" s="42" t="s">
        <v>107</v>
      </c>
      <c r="E25" s="42" t="s">
        <v>108</v>
      </c>
      <c r="F25" s="42"/>
      <c r="G25" s="42"/>
      <c r="H25" s="42"/>
      <c r="I25" s="42" t="s">
        <v>111</v>
      </c>
      <c r="J25" s="42" t="s">
        <v>112</v>
      </c>
      <c r="K25" s="42" t="s">
        <v>113</v>
      </c>
      <c r="L25" s="42" t="s">
        <v>114</v>
      </c>
      <c r="Q25" s="42" t="s">
        <v>116</v>
      </c>
      <c r="X25" t="s">
        <v>96</v>
      </c>
      <c r="Y25" t="s">
        <v>97</v>
      </c>
    </row>
    <row r="26" spans="1:28" ht="16">
      <c r="A26" s="43" t="s">
        <v>126</v>
      </c>
      <c r="B26">
        <v>28</v>
      </c>
      <c r="C26">
        <v>26</v>
      </c>
      <c r="D26">
        <v>10</v>
      </c>
      <c r="E26">
        <v>13</v>
      </c>
      <c r="I26">
        <f>70</f>
        <v>70</v>
      </c>
      <c r="J26">
        <f>72</f>
        <v>72</v>
      </c>
      <c r="K26">
        <f>45</f>
        <v>45</v>
      </c>
      <c r="L26">
        <f>38</f>
        <v>38</v>
      </c>
      <c r="P26" s="133" t="s">
        <v>90</v>
      </c>
      <c r="Q26" s="43">
        <f>(B26/I26)*100</f>
        <v>40</v>
      </c>
      <c r="R26" s="43">
        <f t="shared" ref="R26:T41" si="4">(C26/J26)*100</f>
        <v>36.111111111111107</v>
      </c>
      <c r="S26" s="43">
        <f t="shared" si="4"/>
        <v>22.222222222222221</v>
      </c>
      <c r="T26" s="43">
        <f t="shared" si="4"/>
        <v>34.210526315789473</v>
      </c>
      <c r="X26" s="43">
        <f>AVERAGE(Q26:T35)</f>
        <v>23.547056642826409</v>
      </c>
      <c r="Y26">
        <f>STDEV(Q26:T35)/SQRT(37)</f>
        <v>1.2121052312985783</v>
      </c>
      <c r="AA26" s="93" t="s">
        <v>122</v>
      </c>
      <c r="AB26" s="93" t="s">
        <v>123</v>
      </c>
    </row>
    <row r="27" spans="1:28">
      <c r="A27" s="43" t="s">
        <v>126</v>
      </c>
      <c r="B27">
        <v>13</v>
      </c>
      <c r="C27">
        <v>13</v>
      </c>
      <c r="D27">
        <v>19</v>
      </c>
      <c r="E27">
        <v>9</v>
      </c>
      <c r="I27">
        <f>56</f>
        <v>56</v>
      </c>
      <c r="J27">
        <f>46</f>
        <v>46</v>
      </c>
      <c r="K27">
        <f>76</f>
        <v>76</v>
      </c>
      <c r="L27">
        <f>50</f>
        <v>50</v>
      </c>
      <c r="P27" s="133"/>
      <c r="Q27" s="43">
        <f t="shared" ref="Q27:T45" si="5">(B27/I27)*100</f>
        <v>23.214285714285715</v>
      </c>
      <c r="R27" s="43">
        <f t="shared" si="4"/>
        <v>28.260869565217391</v>
      </c>
      <c r="S27" s="43">
        <f t="shared" si="4"/>
        <v>25</v>
      </c>
      <c r="T27" s="43">
        <f t="shared" si="4"/>
        <v>18</v>
      </c>
      <c r="AA27" s="94">
        <f>X26</f>
        <v>23.547056642826409</v>
      </c>
      <c r="AB27" s="94">
        <f>X36</f>
        <v>28.748157429324667</v>
      </c>
    </row>
    <row r="28" spans="1:28">
      <c r="A28" s="43" t="s">
        <v>126</v>
      </c>
      <c r="B28">
        <v>17</v>
      </c>
      <c r="C28">
        <v>17</v>
      </c>
      <c r="D28">
        <v>21</v>
      </c>
      <c r="E28">
        <v>15</v>
      </c>
      <c r="I28">
        <v>89</v>
      </c>
      <c r="J28">
        <v>78</v>
      </c>
      <c r="K28">
        <f>68</f>
        <v>68</v>
      </c>
      <c r="L28">
        <v>59</v>
      </c>
      <c r="P28" s="133"/>
      <c r="Q28" s="43">
        <f t="shared" si="5"/>
        <v>19.101123595505616</v>
      </c>
      <c r="R28" s="43">
        <f t="shared" si="4"/>
        <v>21.794871794871796</v>
      </c>
      <c r="S28" s="43">
        <f t="shared" si="4"/>
        <v>30.882352941176471</v>
      </c>
      <c r="T28" s="43">
        <f t="shared" si="4"/>
        <v>25.423728813559322</v>
      </c>
      <c r="AA28" s="46">
        <f>Y26</f>
        <v>1.2121052312985783</v>
      </c>
      <c r="AB28" s="46">
        <f>Y36</f>
        <v>1.3688609738034714</v>
      </c>
    </row>
    <row r="29" spans="1:28">
      <c r="A29" s="43" t="s">
        <v>126</v>
      </c>
      <c r="B29">
        <v>10</v>
      </c>
      <c r="C29">
        <v>13</v>
      </c>
      <c r="D29">
        <v>15</v>
      </c>
      <c r="E29">
        <v>8</v>
      </c>
      <c r="I29">
        <v>61</v>
      </c>
      <c r="J29">
        <v>80</v>
      </c>
      <c r="K29">
        <v>62</v>
      </c>
      <c r="L29">
        <v>52</v>
      </c>
      <c r="P29" s="133"/>
      <c r="Q29" s="43">
        <f t="shared" si="5"/>
        <v>16.393442622950818</v>
      </c>
      <c r="R29" s="43">
        <f t="shared" si="4"/>
        <v>16.25</v>
      </c>
      <c r="S29" s="43">
        <f t="shared" si="4"/>
        <v>24.193548387096776</v>
      </c>
      <c r="T29" s="43">
        <f t="shared" si="4"/>
        <v>15.384615384615385</v>
      </c>
    </row>
    <row r="30" spans="1:28">
      <c r="A30" s="43" t="s">
        <v>126</v>
      </c>
      <c r="B30">
        <v>12</v>
      </c>
      <c r="C30">
        <v>15</v>
      </c>
      <c r="D30">
        <v>13</v>
      </c>
      <c r="I30">
        <v>69</v>
      </c>
      <c r="J30">
        <v>55</v>
      </c>
      <c r="K30">
        <v>64</v>
      </c>
      <c r="P30" s="133"/>
      <c r="Q30" s="43">
        <f t="shared" si="5"/>
        <v>17.391304347826086</v>
      </c>
      <c r="R30" s="43">
        <f t="shared" si="4"/>
        <v>27.27272727272727</v>
      </c>
      <c r="S30" s="43">
        <f t="shared" si="4"/>
        <v>20.3125</v>
      </c>
      <c r="T30" s="43"/>
    </row>
    <row r="31" spans="1:28">
      <c r="A31" s="43" t="s">
        <v>126</v>
      </c>
      <c r="B31">
        <v>14</v>
      </c>
      <c r="C31">
        <v>13</v>
      </c>
      <c r="D31">
        <v>7</v>
      </c>
      <c r="E31">
        <v>12</v>
      </c>
      <c r="I31">
        <v>46</v>
      </c>
      <c r="J31">
        <v>57</v>
      </c>
      <c r="K31">
        <v>43</v>
      </c>
      <c r="L31">
        <v>75</v>
      </c>
      <c r="P31" s="133"/>
      <c r="Q31" s="43">
        <f t="shared" si="5"/>
        <v>30.434782608695656</v>
      </c>
      <c r="R31" s="43">
        <f t="shared" si="4"/>
        <v>22.807017543859647</v>
      </c>
      <c r="S31" s="43">
        <f t="shared" si="4"/>
        <v>16.279069767441861</v>
      </c>
      <c r="T31" s="43">
        <f t="shared" si="4"/>
        <v>16</v>
      </c>
    </row>
    <row r="32" spans="1:28">
      <c r="A32" s="43" t="s">
        <v>126</v>
      </c>
      <c r="B32">
        <v>33</v>
      </c>
      <c r="C32">
        <v>18</v>
      </c>
      <c r="D32">
        <v>19</v>
      </c>
      <c r="E32">
        <v>8</v>
      </c>
      <c r="I32">
        <f>91</f>
        <v>91</v>
      </c>
      <c r="J32">
        <f>65</f>
        <v>65</v>
      </c>
      <c r="K32">
        <v>79</v>
      </c>
      <c r="L32">
        <v>55</v>
      </c>
      <c r="P32" s="133"/>
      <c r="Q32" s="43">
        <f t="shared" si="5"/>
        <v>36.263736263736263</v>
      </c>
      <c r="R32" s="43">
        <f t="shared" si="4"/>
        <v>27.692307692307693</v>
      </c>
      <c r="S32" s="43">
        <f t="shared" si="4"/>
        <v>24.050632911392405</v>
      </c>
      <c r="T32" s="43">
        <f t="shared" si="4"/>
        <v>14.545454545454545</v>
      </c>
    </row>
    <row r="33" spans="1:25">
      <c r="A33" s="43" t="s">
        <v>126</v>
      </c>
      <c r="B33">
        <v>13</v>
      </c>
      <c r="C33">
        <v>6</v>
      </c>
      <c r="D33">
        <v>14</v>
      </c>
      <c r="I33">
        <v>43</v>
      </c>
      <c r="J33">
        <v>46</v>
      </c>
      <c r="K33">
        <v>40</v>
      </c>
      <c r="P33" s="133"/>
      <c r="Q33" s="43">
        <f t="shared" si="5"/>
        <v>30.232558139534881</v>
      </c>
      <c r="R33" s="43">
        <f t="shared" si="4"/>
        <v>13.043478260869565</v>
      </c>
      <c r="S33" s="43">
        <f t="shared" si="4"/>
        <v>35</v>
      </c>
      <c r="T33" s="43"/>
    </row>
    <row r="34" spans="1:25">
      <c r="A34" s="43" t="s">
        <v>126</v>
      </c>
      <c r="B34">
        <v>22</v>
      </c>
      <c r="C34">
        <v>28</v>
      </c>
      <c r="D34">
        <v>12</v>
      </c>
      <c r="E34">
        <v>17</v>
      </c>
      <c r="I34">
        <v>73</v>
      </c>
      <c r="J34">
        <v>102</v>
      </c>
      <c r="K34">
        <v>69</v>
      </c>
      <c r="L34">
        <v>80</v>
      </c>
      <c r="P34" s="133"/>
      <c r="Q34" s="43">
        <f t="shared" si="5"/>
        <v>30.136986301369863</v>
      </c>
      <c r="R34" s="43">
        <f t="shared" si="4"/>
        <v>27.450980392156865</v>
      </c>
      <c r="S34" s="43">
        <f t="shared" si="4"/>
        <v>17.391304347826086</v>
      </c>
      <c r="T34" s="43">
        <f t="shared" si="4"/>
        <v>21.25</v>
      </c>
    </row>
    <row r="35" spans="1:25">
      <c r="A35" s="43" t="s">
        <v>126</v>
      </c>
      <c r="B35">
        <v>3</v>
      </c>
      <c r="C35">
        <v>8</v>
      </c>
      <c r="D35">
        <v>10</v>
      </c>
      <c r="I35">
        <v>31</v>
      </c>
      <c r="J35">
        <v>42</v>
      </c>
      <c r="K35">
        <v>54</v>
      </c>
      <c r="P35" s="133"/>
      <c r="Q35" s="43">
        <f t="shared" si="5"/>
        <v>9.67741935483871</v>
      </c>
      <c r="R35" s="43">
        <f t="shared" si="4"/>
        <v>19.047619047619047</v>
      </c>
      <c r="S35" s="43">
        <f t="shared" si="4"/>
        <v>18.518518518518519</v>
      </c>
      <c r="T35" s="43"/>
    </row>
    <row r="36" spans="1:25">
      <c r="A36" s="1" t="s">
        <v>127</v>
      </c>
      <c r="B36">
        <v>18</v>
      </c>
      <c r="C36">
        <v>14</v>
      </c>
      <c r="D36">
        <v>20</v>
      </c>
      <c r="E36">
        <v>23</v>
      </c>
      <c r="I36">
        <v>65</v>
      </c>
      <c r="J36">
        <v>65</v>
      </c>
      <c r="K36">
        <v>71</v>
      </c>
      <c r="L36">
        <v>99</v>
      </c>
      <c r="P36" s="133" t="s">
        <v>101</v>
      </c>
      <c r="Q36" s="1">
        <f t="shared" si="5"/>
        <v>27.692307692307693</v>
      </c>
      <c r="R36" s="1">
        <f t="shared" si="4"/>
        <v>21.53846153846154</v>
      </c>
      <c r="S36" s="1">
        <f t="shared" si="4"/>
        <v>28.169014084507044</v>
      </c>
      <c r="T36" s="1">
        <f t="shared" si="4"/>
        <v>23.232323232323232</v>
      </c>
      <c r="X36" s="1">
        <f>AVERAGE(Q36:T45)</f>
        <v>28.748157429324667</v>
      </c>
      <c r="Y36">
        <f>STDEV(Q36:T45)/SQRT(37)</f>
        <v>1.3688609738034714</v>
      </c>
    </row>
    <row r="37" spans="1:25">
      <c r="A37" s="1" t="s">
        <v>127</v>
      </c>
      <c r="B37">
        <v>13</v>
      </c>
      <c r="C37">
        <v>17</v>
      </c>
      <c r="D37">
        <v>26</v>
      </c>
      <c r="E37">
        <v>10</v>
      </c>
      <c r="I37">
        <v>54</v>
      </c>
      <c r="J37">
        <v>64</v>
      </c>
      <c r="K37">
        <v>83</v>
      </c>
      <c r="L37">
        <v>38</v>
      </c>
      <c r="P37" s="133"/>
      <c r="Q37" s="1">
        <f t="shared" si="5"/>
        <v>24.074074074074073</v>
      </c>
      <c r="R37" s="1">
        <f t="shared" si="4"/>
        <v>26.5625</v>
      </c>
      <c r="S37" s="1">
        <f t="shared" si="4"/>
        <v>31.325301204819279</v>
      </c>
      <c r="T37" s="1">
        <f t="shared" si="4"/>
        <v>26.315789473684209</v>
      </c>
    </row>
    <row r="38" spans="1:25">
      <c r="A38" s="1" t="s">
        <v>127</v>
      </c>
      <c r="B38">
        <v>26</v>
      </c>
      <c r="C38">
        <v>23</v>
      </c>
      <c r="D38">
        <v>20</v>
      </c>
      <c r="E38">
        <v>14</v>
      </c>
      <c r="I38">
        <v>78</v>
      </c>
      <c r="J38">
        <v>87</v>
      </c>
      <c r="K38">
        <v>42</v>
      </c>
      <c r="L38">
        <v>38</v>
      </c>
      <c r="P38" s="133"/>
      <c r="Q38" s="1">
        <f t="shared" si="5"/>
        <v>33.333333333333329</v>
      </c>
      <c r="R38" s="1">
        <f t="shared" si="4"/>
        <v>26.436781609195403</v>
      </c>
      <c r="S38" s="1">
        <f t="shared" si="4"/>
        <v>47.619047619047613</v>
      </c>
      <c r="T38" s="1">
        <f t="shared" si="4"/>
        <v>36.84210526315789</v>
      </c>
    </row>
    <row r="39" spans="1:25">
      <c r="A39" s="1" t="s">
        <v>127</v>
      </c>
      <c r="B39">
        <v>20</v>
      </c>
      <c r="C39">
        <v>12</v>
      </c>
      <c r="D39">
        <v>16</v>
      </c>
      <c r="E39">
        <v>10</v>
      </c>
      <c r="I39">
        <v>68</v>
      </c>
      <c r="J39">
        <v>77</v>
      </c>
      <c r="K39">
        <v>76</v>
      </c>
      <c r="L39">
        <v>40</v>
      </c>
      <c r="P39" s="133"/>
      <c r="Q39" s="1">
        <f t="shared" si="5"/>
        <v>29.411764705882355</v>
      </c>
      <c r="R39" s="1">
        <f t="shared" si="4"/>
        <v>15.584415584415584</v>
      </c>
      <c r="S39" s="1">
        <f t="shared" si="4"/>
        <v>21.052631578947366</v>
      </c>
      <c r="T39" s="1">
        <f t="shared" si="4"/>
        <v>25</v>
      </c>
    </row>
    <row r="40" spans="1:25">
      <c r="A40" s="1" t="s">
        <v>127</v>
      </c>
      <c r="B40">
        <v>25</v>
      </c>
      <c r="C40">
        <v>20</v>
      </c>
      <c r="D40">
        <v>8</v>
      </c>
      <c r="I40">
        <v>66</v>
      </c>
      <c r="J40">
        <v>51</v>
      </c>
      <c r="K40">
        <v>40</v>
      </c>
      <c r="P40" s="133"/>
      <c r="Q40" s="1">
        <f t="shared" si="5"/>
        <v>37.878787878787875</v>
      </c>
      <c r="R40" s="1">
        <f t="shared" si="4"/>
        <v>39.215686274509807</v>
      </c>
      <c r="S40" s="1">
        <f t="shared" si="4"/>
        <v>20</v>
      </c>
      <c r="T40" s="1"/>
    </row>
    <row r="41" spans="1:25">
      <c r="A41" s="1" t="s">
        <v>127</v>
      </c>
      <c r="B41">
        <v>21</v>
      </c>
      <c r="C41">
        <v>13</v>
      </c>
      <c r="D41">
        <v>17</v>
      </c>
      <c r="E41">
        <v>17</v>
      </c>
      <c r="I41">
        <f>40</f>
        <v>40</v>
      </c>
      <c r="J41">
        <v>45</v>
      </c>
      <c r="K41">
        <v>47</v>
      </c>
      <c r="L41">
        <v>49</v>
      </c>
      <c r="P41" s="133"/>
      <c r="Q41" s="1">
        <f t="shared" si="5"/>
        <v>52.5</v>
      </c>
      <c r="R41" s="1">
        <f t="shared" si="4"/>
        <v>28.888888888888886</v>
      </c>
      <c r="S41" s="1">
        <f t="shared" si="4"/>
        <v>36.170212765957451</v>
      </c>
      <c r="T41" s="1">
        <f t="shared" si="4"/>
        <v>34.693877551020407</v>
      </c>
    </row>
    <row r="42" spans="1:25">
      <c r="A42" s="1" t="s">
        <v>127</v>
      </c>
      <c r="B42">
        <v>15</v>
      </c>
      <c r="C42">
        <v>13</v>
      </c>
      <c r="D42">
        <v>21</v>
      </c>
      <c r="E42">
        <v>22</v>
      </c>
      <c r="I42">
        <v>76</v>
      </c>
      <c r="J42">
        <v>53</v>
      </c>
      <c r="K42">
        <v>71</v>
      </c>
      <c r="L42">
        <v>69</v>
      </c>
      <c r="P42" s="133"/>
      <c r="Q42" s="1">
        <f t="shared" si="5"/>
        <v>19.736842105263158</v>
      </c>
      <c r="R42" s="1">
        <f t="shared" si="5"/>
        <v>24.528301886792452</v>
      </c>
      <c r="S42" s="1">
        <f t="shared" si="5"/>
        <v>29.577464788732392</v>
      </c>
      <c r="T42" s="1">
        <f t="shared" si="5"/>
        <v>31.884057971014489</v>
      </c>
    </row>
    <row r="43" spans="1:25">
      <c r="A43" s="1" t="s">
        <v>127</v>
      </c>
      <c r="B43">
        <v>23</v>
      </c>
      <c r="C43">
        <v>30</v>
      </c>
      <c r="D43">
        <v>22</v>
      </c>
      <c r="E43">
        <v>22</v>
      </c>
      <c r="I43">
        <v>78</v>
      </c>
      <c r="J43">
        <v>112</v>
      </c>
      <c r="K43">
        <v>65</v>
      </c>
      <c r="L43">
        <v>76</v>
      </c>
      <c r="P43" s="133"/>
      <c r="Q43" s="1">
        <f t="shared" si="5"/>
        <v>29.487179487179489</v>
      </c>
      <c r="R43" s="1">
        <f t="shared" si="5"/>
        <v>26.785714285714285</v>
      </c>
      <c r="S43" s="1">
        <f t="shared" si="5"/>
        <v>33.846153846153847</v>
      </c>
      <c r="T43" s="1">
        <f t="shared" si="5"/>
        <v>28.947368421052634</v>
      </c>
    </row>
    <row r="44" spans="1:25">
      <c r="A44" s="1" t="s">
        <v>127</v>
      </c>
      <c r="B44">
        <v>12</v>
      </c>
      <c r="C44">
        <v>13</v>
      </c>
      <c r="D44">
        <v>9</v>
      </c>
      <c r="I44">
        <v>41</v>
      </c>
      <c r="J44">
        <v>34</v>
      </c>
      <c r="K44">
        <v>33</v>
      </c>
      <c r="P44" s="133"/>
      <c r="Q44" s="1">
        <f t="shared" si="5"/>
        <v>29.268292682926827</v>
      </c>
      <c r="R44" s="1">
        <f t="shared" si="5"/>
        <v>38.235294117647058</v>
      </c>
      <c r="S44" s="1">
        <f t="shared" si="5"/>
        <v>27.27272727272727</v>
      </c>
      <c r="T44" s="1"/>
    </row>
    <row r="45" spans="1:25">
      <c r="A45" s="1" t="s">
        <v>127</v>
      </c>
      <c r="B45">
        <v>9</v>
      </c>
      <c r="C45">
        <v>11</v>
      </c>
      <c r="D45">
        <v>4</v>
      </c>
      <c r="I45">
        <v>51</v>
      </c>
      <c r="J45">
        <v>47</v>
      </c>
      <c r="K45">
        <v>42</v>
      </c>
      <c r="P45" s="133"/>
      <c r="Q45" s="1">
        <f t="shared" si="5"/>
        <v>17.647058823529413</v>
      </c>
      <c r="R45" s="1">
        <f t="shared" si="5"/>
        <v>23.404255319148938</v>
      </c>
      <c r="S45" s="1">
        <f t="shared" si="5"/>
        <v>9.5238095238095237</v>
      </c>
      <c r="T45" s="1"/>
    </row>
  </sheetData>
  <mergeCells count="6">
    <mergeCell ref="P36:P45"/>
    <mergeCell ref="P5:P6"/>
    <mergeCell ref="P7:P8"/>
    <mergeCell ref="P15:P17"/>
    <mergeCell ref="P18:P20"/>
    <mergeCell ref="P26:P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36"/>
  <sheetViews>
    <sheetView topLeftCell="A267" workbookViewId="0">
      <selection activeCell="N19" sqref="N19"/>
    </sheetView>
  </sheetViews>
  <sheetFormatPr baseColWidth="10" defaultColWidth="8.83203125" defaultRowHeight="15"/>
  <sheetData>
    <row r="1" spans="1:9">
      <c r="A1" t="s">
        <v>0</v>
      </c>
      <c r="B1" t="s">
        <v>1</v>
      </c>
      <c r="E1" t="s">
        <v>2</v>
      </c>
      <c r="H1" t="s">
        <v>3</v>
      </c>
      <c r="I1" t="s">
        <v>4</v>
      </c>
    </row>
    <row r="2" spans="1:9">
      <c r="B2" t="s">
        <v>5</v>
      </c>
      <c r="C2" t="s">
        <v>6</v>
      </c>
      <c r="D2" t="s">
        <v>7</v>
      </c>
      <c r="E2" t="s">
        <v>5</v>
      </c>
      <c r="F2" t="s">
        <v>6</v>
      </c>
      <c r="G2" t="s">
        <v>7</v>
      </c>
      <c r="H2" t="s">
        <v>5</v>
      </c>
      <c r="I2" t="s">
        <v>5</v>
      </c>
    </row>
    <row r="3" spans="1:9">
      <c r="A3" t="s">
        <v>8</v>
      </c>
      <c r="B3">
        <v>26.85</v>
      </c>
      <c r="C3">
        <v>34.86</v>
      </c>
      <c r="D3">
        <v>25.78</v>
      </c>
      <c r="E3">
        <v>30.689222000000001</v>
      </c>
      <c r="F3">
        <v>39.844554000000002</v>
      </c>
      <c r="G3">
        <v>29.466225000000001</v>
      </c>
      <c r="H3">
        <v>0.98330200000000001</v>
      </c>
      <c r="I3">
        <v>-2.4294E-2</v>
      </c>
    </row>
    <row r="4" spans="1:9">
      <c r="A4" t="s">
        <v>9</v>
      </c>
      <c r="B4">
        <v>28.12</v>
      </c>
      <c r="C4">
        <v>34.46</v>
      </c>
      <c r="D4">
        <v>24.27</v>
      </c>
      <c r="E4">
        <v>32.377662999999998</v>
      </c>
      <c r="F4">
        <v>39.677605</v>
      </c>
      <c r="G4">
        <v>27.944731999999998</v>
      </c>
      <c r="H4">
        <v>1.0374000000000001</v>
      </c>
      <c r="I4">
        <v>5.2972999999999999E-2</v>
      </c>
    </row>
    <row r="5" spans="1:9">
      <c r="A5" t="s">
        <v>10</v>
      </c>
      <c r="B5">
        <v>22.01</v>
      </c>
      <c r="C5">
        <v>36.79</v>
      </c>
      <c r="D5">
        <v>27.71</v>
      </c>
      <c r="E5">
        <v>25.442145</v>
      </c>
      <c r="F5">
        <v>42.526876000000001</v>
      </c>
      <c r="G5">
        <v>32.030979000000002</v>
      </c>
      <c r="H5">
        <v>0.81518199999999996</v>
      </c>
      <c r="I5">
        <v>-0.29480600000000001</v>
      </c>
    </row>
    <row r="6" spans="1:9">
      <c r="A6" t="s">
        <v>11</v>
      </c>
      <c r="B6">
        <v>29.39</v>
      </c>
      <c r="C6">
        <v>29.17</v>
      </c>
      <c r="D6">
        <v>28.96</v>
      </c>
      <c r="E6">
        <v>33.580896000000003</v>
      </c>
      <c r="F6">
        <v>33.329524999999997</v>
      </c>
      <c r="G6">
        <v>33.089579999999998</v>
      </c>
      <c r="H6">
        <v>1.0759529999999999</v>
      </c>
      <c r="I6">
        <v>0.105615</v>
      </c>
    </row>
    <row r="7" spans="1:9">
      <c r="A7" t="s">
        <v>12</v>
      </c>
      <c r="B7">
        <v>28.22</v>
      </c>
      <c r="C7">
        <v>33</v>
      </c>
      <c r="D7">
        <v>26.46</v>
      </c>
      <c r="E7">
        <v>32.185218999999996</v>
      </c>
      <c r="F7">
        <v>37.636861000000003</v>
      </c>
      <c r="G7">
        <v>30.17792</v>
      </c>
      <c r="H7">
        <v>1.031234</v>
      </c>
      <c r="I7">
        <v>4.4372000000000002E-2</v>
      </c>
    </row>
    <row r="8" spans="1:9">
      <c r="A8" t="s">
        <v>13</v>
      </c>
      <c r="B8">
        <v>30.59</v>
      </c>
      <c r="C8">
        <v>29.54</v>
      </c>
      <c r="D8">
        <v>27.47</v>
      </c>
      <c r="E8">
        <v>34.920090999999999</v>
      </c>
      <c r="F8">
        <v>33.721460999999998</v>
      </c>
      <c r="G8">
        <v>31.358447000000002</v>
      </c>
      <c r="H8">
        <v>1.1188610000000001</v>
      </c>
      <c r="I8">
        <v>0.16203100000000001</v>
      </c>
    </row>
    <row r="9" spans="1:9">
      <c r="A9" t="s">
        <v>14</v>
      </c>
      <c r="B9">
        <v>30.01</v>
      </c>
      <c r="C9">
        <v>32.93</v>
      </c>
      <c r="D9">
        <v>24.54</v>
      </c>
      <c r="E9">
        <v>34.304983999999997</v>
      </c>
      <c r="F9">
        <v>37.642890000000001</v>
      </c>
      <c r="G9">
        <v>28.052126000000001</v>
      </c>
      <c r="H9">
        <v>1.099153</v>
      </c>
      <c r="I9">
        <v>0.13639200000000001</v>
      </c>
    </row>
    <row r="10" spans="1:9">
      <c r="A10" t="s">
        <v>15</v>
      </c>
      <c r="B10">
        <v>31.46</v>
      </c>
      <c r="C10">
        <v>25.61</v>
      </c>
      <c r="D10">
        <v>30.59</v>
      </c>
      <c r="E10">
        <v>35.888660999999999</v>
      </c>
      <c r="F10">
        <v>29.215149</v>
      </c>
      <c r="G10">
        <v>34.896189999999997</v>
      </c>
      <c r="H10">
        <v>1.1498949999999999</v>
      </c>
      <c r="I10">
        <v>0.20150199999999999</v>
      </c>
    </row>
    <row r="11" spans="1:9">
      <c r="A11" t="s">
        <v>16</v>
      </c>
      <c r="B11">
        <v>30.75</v>
      </c>
      <c r="C11">
        <v>30.04</v>
      </c>
      <c r="D11">
        <v>26.02</v>
      </c>
      <c r="E11">
        <v>35.422186000000004</v>
      </c>
      <c r="F11">
        <v>34.604308000000003</v>
      </c>
      <c r="G11">
        <v>29.973504999999999</v>
      </c>
      <c r="H11">
        <v>1.134949</v>
      </c>
      <c r="I11">
        <v>0.18262700000000001</v>
      </c>
    </row>
    <row r="12" spans="1:9">
      <c r="A12" t="s">
        <v>17</v>
      </c>
      <c r="B12">
        <v>27.42</v>
      </c>
      <c r="C12">
        <v>29.26</v>
      </c>
      <c r="D12">
        <v>30.36</v>
      </c>
      <c r="E12">
        <v>31.502756999999999</v>
      </c>
      <c r="F12">
        <v>33.616728000000002</v>
      </c>
      <c r="G12">
        <v>34.880515000000003</v>
      </c>
      <c r="H12">
        <v>1.009368</v>
      </c>
      <c r="I12">
        <v>1.3452E-2</v>
      </c>
    </row>
    <row r="13" spans="1:9">
      <c r="A13" t="s">
        <v>18</v>
      </c>
      <c r="B13">
        <v>27.68</v>
      </c>
      <c r="C13">
        <v>24.39</v>
      </c>
      <c r="D13">
        <v>36.57</v>
      </c>
      <c r="E13">
        <v>31.227436999999998</v>
      </c>
      <c r="F13">
        <v>27.515794</v>
      </c>
      <c r="G13">
        <v>41.256768999999998</v>
      </c>
      <c r="H13">
        <v>1.0005459999999999</v>
      </c>
      <c r="I13">
        <v>7.8799999999999996E-4</v>
      </c>
    </row>
    <row r="14" spans="1:9">
      <c r="A14" t="s">
        <v>19</v>
      </c>
      <c r="B14">
        <v>25.34</v>
      </c>
      <c r="C14">
        <v>25</v>
      </c>
      <c r="D14">
        <v>39.049999999999997</v>
      </c>
      <c r="E14">
        <v>28.34769</v>
      </c>
      <c r="F14">
        <v>27.967334000000001</v>
      </c>
      <c r="G14">
        <v>43.684975999999999</v>
      </c>
      <c r="H14">
        <v>0.90827800000000003</v>
      </c>
      <c r="I14">
        <v>-0.138795</v>
      </c>
    </row>
    <row r="15" spans="1:9">
      <c r="A15" t="s">
        <v>32</v>
      </c>
      <c r="B15">
        <v>28.08</v>
      </c>
      <c r="C15">
        <v>32.69</v>
      </c>
      <c r="D15">
        <v>26.92</v>
      </c>
      <c r="E15">
        <v>32.021895000000001</v>
      </c>
      <c r="F15">
        <v>37.279051000000003</v>
      </c>
      <c r="G15">
        <v>30.699052999999999</v>
      </c>
      <c r="H15">
        <v>1.0260009999999999</v>
      </c>
      <c r="I15">
        <v>3.7033000000000003E-2</v>
      </c>
    </row>
    <row r="17" spans="1:9">
      <c r="A17" t="s">
        <v>8</v>
      </c>
      <c r="B17">
        <v>26</v>
      </c>
      <c r="C17">
        <v>29.19</v>
      </c>
      <c r="D17">
        <v>34.65</v>
      </c>
      <c r="E17">
        <v>28.940338000000001</v>
      </c>
      <c r="F17">
        <v>32.491095000000001</v>
      </c>
      <c r="G17">
        <v>38.568565999999997</v>
      </c>
      <c r="H17">
        <v>1.0694429999999999</v>
      </c>
      <c r="I17">
        <v>9.6859000000000001E-2</v>
      </c>
    </row>
    <row r="18" spans="1:9">
      <c r="A18" t="s">
        <v>9</v>
      </c>
      <c r="B18">
        <v>24.3</v>
      </c>
      <c r="C18">
        <v>28.53</v>
      </c>
      <c r="D18">
        <v>37.18</v>
      </c>
      <c r="E18">
        <v>26.997</v>
      </c>
      <c r="F18">
        <v>31.696477999999999</v>
      </c>
      <c r="G18">
        <v>41.306520999999996</v>
      </c>
      <c r="H18">
        <v>0.99763000000000002</v>
      </c>
      <c r="I18">
        <v>-3.424E-3</v>
      </c>
    </row>
    <row r="19" spans="1:9">
      <c r="A19" t="s">
        <v>10</v>
      </c>
      <c r="B19">
        <v>12.63</v>
      </c>
      <c r="C19">
        <v>28.42</v>
      </c>
      <c r="D19">
        <v>49.62</v>
      </c>
      <c r="E19">
        <v>13.929634999999999</v>
      </c>
      <c r="F19">
        <v>31.344436000000002</v>
      </c>
      <c r="G19">
        <v>54.725929000000001</v>
      </c>
      <c r="H19">
        <v>0.51474699999999995</v>
      </c>
      <c r="I19">
        <v>-0.95806500000000006</v>
      </c>
    </row>
    <row r="20" spans="1:9">
      <c r="A20" t="s">
        <v>11</v>
      </c>
      <c r="B20">
        <v>23.81</v>
      </c>
      <c r="C20">
        <v>26.2</v>
      </c>
      <c r="D20">
        <v>40.89</v>
      </c>
      <c r="E20">
        <v>26.193619000000002</v>
      </c>
      <c r="F20">
        <v>28.822882</v>
      </c>
      <c r="G20">
        <v>44.983497999999997</v>
      </c>
      <c r="H20">
        <v>0.96794199999999997</v>
      </c>
      <c r="I20">
        <v>-4.7007E-2</v>
      </c>
    </row>
    <row r="21" spans="1:9">
      <c r="A21" t="s">
        <v>12</v>
      </c>
      <c r="B21">
        <v>19.55</v>
      </c>
      <c r="C21">
        <v>26.93</v>
      </c>
      <c r="D21">
        <v>44.42</v>
      </c>
      <c r="E21">
        <v>21.507151</v>
      </c>
      <c r="F21">
        <v>29.625962999999999</v>
      </c>
      <c r="G21">
        <v>48.866886999999998</v>
      </c>
      <c r="H21">
        <v>0.79476100000000005</v>
      </c>
      <c r="I21">
        <v>-0.33140599999999998</v>
      </c>
    </row>
    <row r="22" spans="1:9">
      <c r="A22" t="s">
        <v>13</v>
      </c>
      <c r="B22">
        <v>20.55</v>
      </c>
      <c r="C22">
        <v>26.82</v>
      </c>
      <c r="D22">
        <v>43.52</v>
      </c>
      <c r="E22">
        <v>22.609748</v>
      </c>
      <c r="F22">
        <v>29.508196999999999</v>
      </c>
      <c r="G22">
        <v>47.882055000000001</v>
      </c>
      <c r="H22">
        <v>0.83550599999999997</v>
      </c>
      <c r="I22">
        <v>-0.25927800000000001</v>
      </c>
    </row>
    <row r="23" spans="1:9">
      <c r="A23" t="s">
        <v>14</v>
      </c>
      <c r="B23">
        <v>28.1</v>
      </c>
      <c r="C23">
        <v>27.68</v>
      </c>
      <c r="D23">
        <v>34.17</v>
      </c>
      <c r="E23">
        <v>31.239578000000002</v>
      </c>
      <c r="F23">
        <v>30.772651</v>
      </c>
      <c r="G23">
        <v>37.987771000000002</v>
      </c>
      <c r="H23">
        <v>1.154407</v>
      </c>
      <c r="I23">
        <v>0.207152</v>
      </c>
    </row>
    <row r="24" spans="1:9">
      <c r="A24" t="s">
        <v>15</v>
      </c>
      <c r="B24">
        <v>24.19</v>
      </c>
      <c r="C24">
        <v>23.92</v>
      </c>
      <c r="D24">
        <v>43.1</v>
      </c>
      <c r="E24">
        <v>26.521215000000002</v>
      </c>
      <c r="F24">
        <v>26.225194999999999</v>
      </c>
      <c r="G24">
        <v>47.253591</v>
      </c>
      <c r="H24">
        <v>0.98004800000000003</v>
      </c>
      <c r="I24">
        <v>-2.9076000000000001E-2</v>
      </c>
    </row>
    <row r="25" spans="1:9">
      <c r="A25" t="s">
        <v>16</v>
      </c>
      <c r="B25">
        <v>19.29</v>
      </c>
      <c r="C25">
        <v>26.28</v>
      </c>
      <c r="D25">
        <v>45.8</v>
      </c>
      <c r="E25">
        <v>21.111961999999998</v>
      </c>
      <c r="F25">
        <v>28.762176</v>
      </c>
      <c r="G25">
        <v>50.125861999999998</v>
      </c>
      <c r="H25">
        <v>0.78015800000000002</v>
      </c>
      <c r="I25">
        <v>-0.35816199999999998</v>
      </c>
    </row>
    <row r="26" spans="1:9">
      <c r="A26" t="s">
        <v>17</v>
      </c>
      <c r="B26">
        <v>23.97</v>
      </c>
      <c r="C26">
        <v>27.95</v>
      </c>
      <c r="D26">
        <v>38.07</v>
      </c>
      <c r="E26">
        <v>26.636292999999998</v>
      </c>
      <c r="F26">
        <v>31.059007000000001</v>
      </c>
      <c r="G26">
        <v>42.304701000000001</v>
      </c>
      <c r="H26">
        <v>0.98429999999999995</v>
      </c>
      <c r="I26">
        <v>-2.283E-2</v>
      </c>
    </row>
    <row r="27" spans="1:9">
      <c r="A27" t="s">
        <v>18</v>
      </c>
      <c r="B27">
        <v>22.2</v>
      </c>
      <c r="C27">
        <v>25.88</v>
      </c>
      <c r="D27">
        <v>42.93</v>
      </c>
      <c r="E27">
        <v>24.392924000000001</v>
      </c>
      <c r="F27">
        <v>28.436436</v>
      </c>
      <c r="G27">
        <v>47.170641000000003</v>
      </c>
      <c r="H27">
        <v>0.90139999999999998</v>
      </c>
      <c r="I27">
        <v>-0.14976</v>
      </c>
    </row>
    <row r="28" spans="1:9">
      <c r="A28" t="s">
        <v>19</v>
      </c>
      <c r="B28">
        <v>17.420000000000002</v>
      </c>
      <c r="C28">
        <v>26.28</v>
      </c>
      <c r="D28">
        <v>47.36</v>
      </c>
      <c r="E28">
        <v>19.130244000000001</v>
      </c>
      <c r="F28">
        <v>28.860092000000002</v>
      </c>
      <c r="G28">
        <v>52.009664000000001</v>
      </c>
      <c r="H28">
        <v>0.70692699999999997</v>
      </c>
      <c r="I28">
        <v>-0.50036800000000003</v>
      </c>
    </row>
    <row r="29" spans="1:9">
      <c r="A29" t="s">
        <v>32</v>
      </c>
      <c r="B29">
        <v>26.65</v>
      </c>
      <c r="C29">
        <v>23.65</v>
      </c>
      <c r="D29">
        <v>40.56</v>
      </c>
      <c r="E29">
        <v>29.330839000000001</v>
      </c>
      <c r="F29">
        <v>26.029056000000001</v>
      </c>
      <c r="G29">
        <v>44.640106000000003</v>
      </c>
      <c r="H29">
        <v>1.0838730000000001</v>
      </c>
      <c r="I29">
        <v>0.11619500000000001</v>
      </c>
    </row>
    <row r="31" spans="1:9">
      <c r="A31" t="s">
        <v>8</v>
      </c>
      <c r="B31">
        <v>37.590000000000003</v>
      </c>
      <c r="C31">
        <v>31.77</v>
      </c>
      <c r="D31">
        <v>17.7</v>
      </c>
      <c r="E31">
        <v>43.177118999999998</v>
      </c>
      <c r="F31">
        <v>36.492074000000002</v>
      </c>
      <c r="G31">
        <v>20.330805999999999</v>
      </c>
      <c r="H31">
        <v>0.99067400000000005</v>
      </c>
      <c r="I31">
        <v>-1.3517E-2</v>
      </c>
    </row>
    <row r="32" spans="1:9">
      <c r="A32" t="s">
        <v>9</v>
      </c>
      <c r="B32">
        <v>39.76</v>
      </c>
      <c r="C32">
        <v>30.8</v>
      </c>
      <c r="D32">
        <v>16.87</v>
      </c>
      <c r="E32">
        <v>45.476381000000003</v>
      </c>
      <c r="F32">
        <v>35.228183000000001</v>
      </c>
      <c r="G32">
        <v>19.295435999999999</v>
      </c>
      <c r="H32">
        <v>1.0434300000000001</v>
      </c>
      <c r="I32">
        <v>6.1332999999999999E-2</v>
      </c>
    </row>
    <row r="33" spans="1:9">
      <c r="A33" t="s">
        <v>10</v>
      </c>
      <c r="B33">
        <v>26.42</v>
      </c>
      <c r="C33">
        <v>35.770000000000003</v>
      </c>
      <c r="D33">
        <v>23.66</v>
      </c>
      <c r="E33">
        <v>30.774607</v>
      </c>
      <c r="F33">
        <v>41.665695999999997</v>
      </c>
      <c r="G33">
        <v>27.559697</v>
      </c>
      <c r="H33">
        <v>0.70610600000000001</v>
      </c>
      <c r="I33">
        <v>-0.50204400000000005</v>
      </c>
    </row>
    <row r="34" spans="1:9">
      <c r="A34" t="s">
        <v>11</v>
      </c>
      <c r="B34">
        <v>40.58</v>
      </c>
      <c r="C34">
        <v>27.53</v>
      </c>
      <c r="D34">
        <v>19.91</v>
      </c>
      <c r="E34">
        <v>46.103158000000001</v>
      </c>
      <c r="F34">
        <v>31.276983000000001</v>
      </c>
      <c r="G34">
        <v>22.619859000000002</v>
      </c>
      <c r="H34">
        <v>1.0578110000000001</v>
      </c>
      <c r="I34">
        <v>8.1081E-2</v>
      </c>
    </row>
    <row r="35" spans="1:9">
      <c r="A35" t="s">
        <v>12</v>
      </c>
      <c r="B35">
        <v>39.67</v>
      </c>
      <c r="C35">
        <v>30.31</v>
      </c>
      <c r="D35">
        <v>17.48</v>
      </c>
      <c r="E35">
        <v>45.357877999999999</v>
      </c>
      <c r="F35">
        <v>34.655842999999997</v>
      </c>
      <c r="G35">
        <v>19.986279</v>
      </c>
      <c r="H35">
        <v>1.0407109999999999</v>
      </c>
      <c r="I35">
        <v>5.7569000000000002E-2</v>
      </c>
    </row>
    <row r="36" spans="1:9">
      <c r="A36" t="s">
        <v>13</v>
      </c>
      <c r="B36">
        <v>42.03</v>
      </c>
      <c r="C36">
        <v>29.17</v>
      </c>
      <c r="D36">
        <v>16.48</v>
      </c>
      <c r="E36">
        <v>47.935675000000003</v>
      </c>
      <c r="F36">
        <v>33.268704</v>
      </c>
      <c r="G36">
        <v>18.79562</v>
      </c>
      <c r="H36">
        <v>1.0998570000000001</v>
      </c>
      <c r="I36">
        <v>0.13731599999999999</v>
      </c>
    </row>
    <row r="37" spans="1:9">
      <c r="A37" t="s">
        <v>14</v>
      </c>
      <c r="B37">
        <v>38.03</v>
      </c>
      <c r="C37">
        <v>31.65</v>
      </c>
      <c r="D37">
        <v>17.510000000000002</v>
      </c>
      <c r="E37">
        <v>43.617387000000001</v>
      </c>
      <c r="F37">
        <v>36.300033999999997</v>
      </c>
      <c r="G37">
        <v>20.082578000000002</v>
      </c>
      <c r="H37">
        <v>1.0007760000000001</v>
      </c>
      <c r="I37">
        <v>1.119E-3</v>
      </c>
    </row>
    <row r="38" spans="1:9">
      <c r="A38" t="s">
        <v>15</v>
      </c>
      <c r="B38">
        <v>42.59</v>
      </c>
      <c r="C38">
        <v>26.72</v>
      </c>
      <c r="D38">
        <v>18.16</v>
      </c>
      <c r="E38">
        <v>48.690980000000003</v>
      </c>
      <c r="F38">
        <v>30.547616000000001</v>
      </c>
      <c r="G38">
        <v>20.761403999999999</v>
      </c>
      <c r="H38">
        <v>1.1171869999999999</v>
      </c>
      <c r="I38">
        <v>0.15987000000000001</v>
      </c>
    </row>
    <row r="39" spans="1:9">
      <c r="A39" t="s">
        <v>16</v>
      </c>
      <c r="B39">
        <v>37.58</v>
      </c>
      <c r="C39">
        <v>31.9</v>
      </c>
      <c r="D39">
        <v>17.579999999999998</v>
      </c>
      <c r="E39">
        <v>43.165633</v>
      </c>
      <c r="F39">
        <v>36.641396999999998</v>
      </c>
      <c r="G39">
        <v>20.192969999999999</v>
      </c>
      <c r="H39">
        <v>0.99041100000000004</v>
      </c>
      <c r="I39">
        <v>-1.3901E-2</v>
      </c>
    </row>
    <row r="40" spans="1:9">
      <c r="A40" t="s">
        <v>17</v>
      </c>
      <c r="B40">
        <v>33.69</v>
      </c>
      <c r="C40">
        <v>32.11</v>
      </c>
      <c r="D40">
        <v>21.52</v>
      </c>
      <c r="E40">
        <v>38.582225999999999</v>
      </c>
      <c r="F40">
        <v>36.772790000000001</v>
      </c>
      <c r="G40">
        <v>24.644984000000001</v>
      </c>
      <c r="H40">
        <v>0.88524700000000001</v>
      </c>
      <c r="I40">
        <v>-0.175848</v>
      </c>
    </row>
    <row r="41" spans="1:9">
      <c r="A41" t="s">
        <v>18</v>
      </c>
      <c r="B41">
        <v>35.630000000000003</v>
      </c>
      <c r="C41">
        <v>32.71</v>
      </c>
      <c r="D41">
        <v>18.91</v>
      </c>
      <c r="E41">
        <v>40.836675999999997</v>
      </c>
      <c r="F41">
        <v>37.489970999999997</v>
      </c>
      <c r="G41">
        <v>21.673352000000001</v>
      </c>
      <c r="H41">
        <v>0.93697399999999997</v>
      </c>
      <c r="I41">
        <v>-9.3919000000000002E-2</v>
      </c>
    </row>
    <row r="42" spans="1:9">
      <c r="A42" t="s">
        <v>19</v>
      </c>
      <c r="B42">
        <v>36.770000000000003</v>
      </c>
      <c r="C42">
        <v>30.64</v>
      </c>
      <c r="D42">
        <v>19.829999999999998</v>
      </c>
      <c r="E42">
        <v>42.148097</v>
      </c>
      <c r="F42">
        <v>35.121504000000002</v>
      </c>
      <c r="G42">
        <v>22.730398999999998</v>
      </c>
      <c r="H42">
        <v>0.96706400000000003</v>
      </c>
      <c r="I42">
        <v>-4.8316999999999999E-2</v>
      </c>
    </row>
    <row r="43" spans="1:9">
      <c r="A43" t="s">
        <v>32</v>
      </c>
      <c r="B43">
        <v>37.97</v>
      </c>
      <c r="C43">
        <v>30.4</v>
      </c>
      <c r="D43">
        <v>18.75</v>
      </c>
      <c r="E43">
        <v>43.583562999999998</v>
      </c>
      <c r="F43">
        <v>34.894399</v>
      </c>
      <c r="G43">
        <v>21.522038999999999</v>
      </c>
      <c r="H43">
        <v>1</v>
      </c>
      <c r="I43">
        <v>0</v>
      </c>
    </row>
    <row r="45" spans="1:9">
      <c r="A45" t="s">
        <v>8</v>
      </c>
      <c r="B45">
        <v>32.44</v>
      </c>
      <c r="C45">
        <v>30.16</v>
      </c>
      <c r="D45">
        <v>24.79</v>
      </c>
      <c r="E45">
        <v>37.120952000000003</v>
      </c>
      <c r="F45">
        <v>34.511958</v>
      </c>
      <c r="G45">
        <v>28.367090000000001</v>
      </c>
      <c r="H45">
        <v>0.92972100000000002</v>
      </c>
      <c r="I45">
        <v>-0.105131</v>
      </c>
    </row>
    <row r="46" spans="1:9">
      <c r="A46" t="s">
        <v>9</v>
      </c>
      <c r="B46">
        <v>33.270000000000003</v>
      </c>
      <c r="C46">
        <v>28.96</v>
      </c>
      <c r="D46">
        <v>25.23</v>
      </c>
      <c r="E46">
        <v>38.040247000000001</v>
      </c>
      <c r="F46">
        <v>33.112279999999998</v>
      </c>
      <c r="G46">
        <v>28.847473000000001</v>
      </c>
      <c r="H46">
        <v>0.95274499999999995</v>
      </c>
      <c r="I46">
        <v>-6.9837999999999997E-2</v>
      </c>
    </row>
    <row r="47" spans="1:9">
      <c r="A47" t="s">
        <v>10</v>
      </c>
      <c r="B47">
        <v>22.36</v>
      </c>
      <c r="C47">
        <v>34.79</v>
      </c>
      <c r="D47">
        <v>27.91</v>
      </c>
      <c r="E47">
        <v>26.287327000000001</v>
      </c>
      <c r="F47">
        <v>40.900540999999997</v>
      </c>
      <c r="G47">
        <v>32.812133000000003</v>
      </c>
      <c r="H47">
        <v>0.658385</v>
      </c>
      <c r="I47">
        <v>-0.60299700000000001</v>
      </c>
    </row>
    <row r="48" spans="1:9">
      <c r="A48" t="s">
        <v>11</v>
      </c>
      <c r="B48">
        <v>34.11</v>
      </c>
      <c r="C48">
        <v>25.44</v>
      </c>
      <c r="D48">
        <v>28.17</v>
      </c>
      <c r="E48">
        <v>38.885089000000001</v>
      </c>
      <c r="F48">
        <v>29.001367999999999</v>
      </c>
      <c r="G48">
        <v>32.113543</v>
      </c>
      <c r="H48">
        <v>0.97390500000000002</v>
      </c>
      <c r="I48">
        <v>-3.8147E-2</v>
      </c>
    </row>
    <row r="49" spans="1:9">
      <c r="A49" t="s">
        <v>12</v>
      </c>
      <c r="B49">
        <v>31.16</v>
      </c>
      <c r="C49">
        <v>29.72</v>
      </c>
      <c r="D49">
        <v>26.35</v>
      </c>
      <c r="E49">
        <v>35.721654999999998</v>
      </c>
      <c r="F49">
        <v>34.070847000000001</v>
      </c>
      <c r="G49">
        <v>30.207497</v>
      </c>
      <c r="H49">
        <v>0.89467399999999997</v>
      </c>
      <c r="I49">
        <v>-0.16056500000000001</v>
      </c>
    </row>
    <row r="50" spans="1:9">
      <c r="A50" t="s">
        <v>13</v>
      </c>
      <c r="B50">
        <v>36.36</v>
      </c>
      <c r="C50">
        <v>25.66</v>
      </c>
      <c r="D50">
        <v>25.92</v>
      </c>
      <c r="E50">
        <v>41.346373</v>
      </c>
      <c r="F50">
        <v>29.178985999999998</v>
      </c>
      <c r="G50">
        <v>29.474641999999999</v>
      </c>
      <c r="H50">
        <v>1.0355490000000001</v>
      </c>
      <c r="I50">
        <v>5.0396000000000003E-2</v>
      </c>
    </row>
    <row r="51" spans="1:9">
      <c r="A51" t="s">
        <v>14</v>
      </c>
      <c r="B51">
        <v>33.86</v>
      </c>
      <c r="C51">
        <v>26.88</v>
      </c>
      <c r="D51">
        <v>27</v>
      </c>
      <c r="E51">
        <v>38.591292000000003</v>
      </c>
      <c r="F51">
        <v>30.63597</v>
      </c>
      <c r="G51">
        <v>30.772738</v>
      </c>
      <c r="H51">
        <v>0.96654600000000002</v>
      </c>
      <c r="I51">
        <v>-4.9089000000000001E-2</v>
      </c>
    </row>
    <row r="52" spans="1:9">
      <c r="A52" t="s">
        <v>15</v>
      </c>
      <c r="B52">
        <v>35.35</v>
      </c>
      <c r="C52">
        <v>25.13</v>
      </c>
      <c r="D52">
        <v>27.74</v>
      </c>
      <c r="E52">
        <v>40.070278999999999</v>
      </c>
      <c r="F52">
        <v>28.485603999999999</v>
      </c>
      <c r="G52">
        <v>31.444116999999999</v>
      </c>
      <c r="H52">
        <v>1.0035890000000001</v>
      </c>
      <c r="I52">
        <v>5.1679999999999999E-3</v>
      </c>
    </row>
    <row r="53" spans="1:9">
      <c r="A53" t="s">
        <v>16</v>
      </c>
      <c r="B53">
        <v>31.41</v>
      </c>
      <c r="C53">
        <v>28.56</v>
      </c>
      <c r="D53">
        <v>27.79</v>
      </c>
      <c r="E53">
        <v>35.790793000000001</v>
      </c>
      <c r="F53">
        <v>32.543300000000002</v>
      </c>
      <c r="G53">
        <v>31.665907000000001</v>
      </c>
      <c r="H53">
        <v>0.89640600000000004</v>
      </c>
      <c r="I53">
        <v>-0.157776</v>
      </c>
    </row>
    <row r="54" spans="1:9">
      <c r="A54" t="s">
        <v>17</v>
      </c>
      <c r="B54">
        <v>30.89</v>
      </c>
      <c r="C54">
        <v>30.52</v>
      </c>
      <c r="D54">
        <v>25.71</v>
      </c>
      <c r="E54">
        <v>35.456840999999997</v>
      </c>
      <c r="F54">
        <v>35.032139999999998</v>
      </c>
      <c r="G54">
        <v>29.511019000000001</v>
      </c>
      <c r="H54">
        <v>0.888042</v>
      </c>
      <c r="I54">
        <v>-0.17130000000000001</v>
      </c>
    </row>
    <row r="55" spans="1:9">
      <c r="A55" t="s">
        <v>18</v>
      </c>
      <c r="B55">
        <v>31.55</v>
      </c>
      <c r="C55">
        <v>28.84</v>
      </c>
      <c r="D55">
        <v>27.01</v>
      </c>
      <c r="E55">
        <v>36.098398000000003</v>
      </c>
      <c r="F55">
        <v>32.997712</v>
      </c>
      <c r="G55">
        <v>30.903890000000001</v>
      </c>
      <c r="H55">
        <v>0.90410999999999997</v>
      </c>
      <c r="I55">
        <v>-0.14543</v>
      </c>
    </row>
    <row r="56" spans="1:9">
      <c r="A56" t="s">
        <v>19</v>
      </c>
      <c r="B56">
        <v>29.79</v>
      </c>
      <c r="C56">
        <v>29.63</v>
      </c>
      <c r="D56">
        <v>27.74</v>
      </c>
      <c r="E56">
        <v>34.178522000000001</v>
      </c>
      <c r="F56">
        <v>33.994951999999998</v>
      </c>
      <c r="G56">
        <v>31.826526000000001</v>
      </c>
      <c r="H56">
        <v>0.85602599999999995</v>
      </c>
      <c r="I56">
        <v>-0.224274</v>
      </c>
    </row>
    <row r="57" spans="1:9">
      <c r="A57" t="s">
        <v>32</v>
      </c>
      <c r="B57">
        <v>35</v>
      </c>
      <c r="C57">
        <v>26.57</v>
      </c>
      <c r="D57">
        <v>26.09</v>
      </c>
      <c r="E57">
        <v>39.926991000000001</v>
      </c>
      <c r="F57">
        <v>30.310289999999998</v>
      </c>
      <c r="G57">
        <v>29.762720000000002</v>
      </c>
      <c r="H57">
        <v>1</v>
      </c>
      <c r="I57">
        <v>0</v>
      </c>
    </row>
    <row r="59" spans="1:9">
      <c r="A59" t="s">
        <v>0</v>
      </c>
      <c r="B59" t="s">
        <v>1</v>
      </c>
      <c r="E59" t="s">
        <v>2</v>
      </c>
      <c r="H59" t="s">
        <v>3</v>
      </c>
      <c r="I59" t="s">
        <v>4</v>
      </c>
    </row>
    <row r="60" spans="1:9">
      <c r="B60" t="s">
        <v>5</v>
      </c>
      <c r="C60" t="s">
        <v>6</v>
      </c>
      <c r="D60" t="s">
        <v>7</v>
      </c>
      <c r="E60" t="s">
        <v>5</v>
      </c>
      <c r="F60" t="s">
        <v>6</v>
      </c>
      <c r="G60" t="s">
        <v>7</v>
      </c>
      <c r="H60" t="s">
        <v>5</v>
      </c>
      <c r="I60" t="s">
        <v>5</v>
      </c>
    </row>
    <row r="61" spans="1:9">
      <c r="A61" t="s">
        <v>20</v>
      </c>
      <c r="B61">
        <v>32.33</v>
      </c>
      <c r="C61">
        <v>23.58</v>
      </c>
      <c r="D61">
        <v>33.32</v>
      </c>
      <c r="E61">
        <v>36.232208999999997</v>
      </c>
      <c r="F61">
        <v>26.426089999999999</v>
      </c>
      <c r="G61">
        <v>37.341701</v>
      </c>
      <c r="H61">
        <v>1.176067</v>
      </c>
      <c r="I61">
        <v>0.23397100000000001</v>
      </c>
    </row>
    <row r="62" spans="1:9">
      <c r="A62" t="s">
        <v>21</v>
      </c>
      <c r="B62">
        <v>40.119999999999997</v>
      </c>
      <c r="C62">
        <v>22.39</v>
      </c>
      <c r="D62">
        <v>25.71</v>
      </c>
      <c r="E62">
        <v>45.477215999999999</v>
      </c>
      <c r="F62">
        <v>25.379732000000001</v>
      </c>
      <c r="G62">
        <v>29.143051</v>
      </c>
      <c r="H62">
        <v>1.476153</v>
      </c>
      <c r="I62">
        <v>0.56184199999999995</v>
      </c>
    </row>
    <row r="63" spans="1:9">
      <c r="A63" t="s">
        <v>22</v>
      </c>
      <c r="B63">
        <v>35.979999999999997</v>
      </c>
      <c r="C63">
        <v>20.39</v>
      </c>
      <c r="D63">
        <v>31.17</v>
      </c>
      <c r="E63">
        <v>41.101210999999999</v>
      </c>
      <c r="F63">
        <v>23.292209</v>
      </c>
      <c r="G63">
        <v>35.606580000000001</v>
      </c>
      <c r="H63">
        <v>1.334111</v>
      </c>
      <c r="I63">
        <v>0.415879</v>
      </c>
    </row>
    <row r="64" spans="1:9">
      <c r="A64" t="s">
        <v>23</v>
      </c>
      <c r="B64">
        <v>32.1</v>
      </c>
      <c r="C64">
        <v>24.09</v>
      </c>
      <c r="D64">
        <v>33.1</v>
      </c>
      <c r="E64">
        <v>35.950274</v>
      </c>
      <c r="F64">
        <v>26.979505</v>
      </c>
      <c r="G64">
        <v>37.070220999999997</v>
      </c>
      <c r="H64">
        <v>1.1669160000000001</v>
      </c>
      <c r="I64">
        <v>0.22270100000000001</v>
      </c>
    </row>
    <row r="65" spans="1:9">
      <c r="A65" t="s">
        <v>24</v>
      </c>
      <c r="B65">
        <v>31.11</v>
      </c>
      <c r="C65">
        <v>25.43</v>
      </c>
      <c r="D65">
        <v>32.369999999999997</v>
      </c>
      <c r="E65">
        <v>34.99044</v>
      </c>
      <c r="F65">
        <v>28.601956999999999</v>
      </c>
      <c r="G65">
        <v>36.407603000000002</v>
      </c>
      <c r="H65">
        <v>1.1357600000000001</v>
      </c>
      <c r="I65">
        <v>0.18365899999999999</v>
      </c>
    </row>
    <row r="66" spans="1:9">
      <c r="A66" t="s">
        <v>25</v>
      </c>
      <c r="B66">
        <v>29.85</v>
      </c>
      <c r="C66">
        <v>23.9</v>
      </c>
      <c r="D66">
        <v>35.44</v>
      </c>
      <c r="E66">
        <v>33.467877999999999</v>
      </c>
      <c r="F66">
        <v>26.796726</v>
      </c>
      <c r="G66">
        <v>39.735396000000001</v>
      </c>
      <c r="H66">
        <v>1.0863389999999999</v>
      </c>
      <c r="I66">
        <v>0.119475</v>
      </c>
    </row>
    <row r="67" spans="1:9">
      <c r="A67" t="s">
        <v>26</v>
      </c>
      <c r="B67">
        <v>23.01</v>
      </c>
      <c r="C67">
        <v>31.29</v>
      </c>
      <c r="D67">
        <v>33.79</v>
      </c>
      <c r="E67">
        <v>26.121013000000001</v>
      </c>
      <c r="F67">
        <v>35.520490000000002</v>
      </c>
      <c r="G67">
        <v>38.358497</v>
      </c>
      <c r="H67">
        <v>0.84786600000000001</v>
      </c>
      <c r="I67">
        <v>-0.238091</v>
      </c>
    </row>
    <row r="68" spans="1:9">
      <c r="A68" t="s">
        <v>27</v>
      </c>
      <c r="B68">
        <v>30.58</v>
      </c>
      <c r="C68">
        <v>27.4</v>
      </c>
      <c r="D68">
        <v>31.25</v>
      </c>
      <c r="E68">
        <v>34.270985000000003</v>
      </c>
      <c r="F68">
        <v>30.707160999999999</v>
      </c>
      <c r="G68">
        <v>35.021853999999998</v>
      </c>
      <c r="H68">
        <v>1.1124080000000001</v>
      </c>
      <c r="I68">
        <v>0.15368599999999999</v>
      </c>
    </row>
    <row r="69" spans="1:9">
      <c r="A69" t="s">
        <v>28</v>
      </c>
      <c r="B69">
        <v>33.619999999999997</v>
      </c>
      <c r="C69">
        <v>23.49</v>
      </c>
      <c r="D69">
        <v>32.43</v>
      </c>
      <c r="E69">
        <v>37.547465000000003</v>
      </c>
      <c r="F69">
        <v>26.234085</v>
      </c>
      <c r="G69">
        <v>36.218449999999997</v>
      </c>
      <c r="H69">
        <v>1.2187589999999999</v>
      </c>
      <c r="I69">
        <v>0.28541299999999997</v>
      </c>
    </row>
    <row r="70" spans="1:9">
      <c r="A70" t="s">
        <v>29</v>
      </c>
      <c r="B70">
        <v>29.64</v>
      </c>
      <c r="C70">
        <v>23.57</v>
      </c>
      <c r="D70">
        <v>36.08</v>
      </c>
      <c r="E70">
        <v>33.195207000000003</v>
      </c>
      <c r="F70">
        <v>26.397133</v>
      </c>
      <c r="G70">
        <v>40.40766</v>
      </c>
      <c r="H70">
        <v>1.0774889999999999</v>
      </c>
      <c r="I70">
        <v>0.107673</v>
      </c>
    </row>
    <row r="71" spans="1:9">
      <c r="A71" t="s">
        <v>30</v>
      </c>
      <c r="B71">
        <v>31.23</v>
      </c>
      <c r="C71">
        <v>25.31</v>
      </c>
      <c r="D71">
        <v>32.25</v>
      </c>
      <c r="E71">
        <v>35.172879999999999</v>
      </c>
      <c r="F71">
        <v>28.505462000000001</v>
      </c>
      <c r="G71">
        <v>36.321657999999999</v>
      </c>
      <c r="H71">
        <v>1.1416820000000001</v>
      </c>
      <c r="I71">
        <v>0.191161</v>
      </c>
    </row>
    <row r="72" spans="1:9">
      <c r="A72" t="s">
        <v>31</v>
      </c>
      <c r="B72">
        <v>31.59</v>
      </c>
      <c r="C72">
        <v>26.86</v>
      </c>
      <c r="D72">
        <v>29.92</v>
      </c>
      <c r="E72">
        <v>35.747425999999997</v>
      </c>
      <c r="F72">
        <v>30.394929999999999</v>
      </c>
      <c r="G72">
        <v>33.857644000000001</v>
      </c>
      <c r="H72">
        <v>1.1603319999999999</v>
      </c>
      <c r="I72">
        <v>0.21453700000000001</v>
      </c>
    </row>
    <row r="73" spans="1:9">
      <c r="A73" t="s">
        <v>32</v>
      </c>
      <c r="B73">
        <v>26.84</v>
      </c>
      <c r="C73">
        <v>22.74</v>
      </c>
      <c r="D73">
        <v>40.17</v>
      </c>
      <c r="E73">
        <v>29.905291999999999</v>
      </c>
      <c r="F73">
        <v>25.337046999999998</v>
      </c>
      <c r="G73">
        <v>44.757660000000001</v>
      </c>
      <c r="H73">
        <v>0.97070100000000004</v>
      </c>
      <c r="I73">
        <v>-4.2901000000000002E-2</v>
      </c>
    </row>
    <row r="75" spans="1:9">
      <c r="A75" t="s">
        <v>20</v>
      </c>
      <c r="B75">
        <v>40.65</v>
      </c>
      <c r="C75">
        <v>24.79</v>
      </c>
      <c r="D75">
        <v>22.88</v>
      </c>
      <c r="E75">
        <v>46.025815000000001</v>
      </c>
      <c r="F75">
        <v>28.068387999999999</v>
      </c>
      <c r="G75">
        <v>25.905797</v>
      </c>
      <c r="H75">
        <v>1.042222</v>
      </c>
      <c r="I75">
        <v>5.9663000000000001E-2</v>
      </c>
    </row>
    <row r="76" spans="1:9">
      <c r="A76" t="s">
        <v>21</v>
      </c>
      <c r="B76">
        <v>43.24</v>
      </c>
      <c r="C76">
        <v>21.68</v>
      </c>
      <c r="D76">
        <v>23.16</v>
      </c>
      <c r="E76">
        <v>49.091735</v>
      </c>
      <c r="F76">
        <v>24.613987000000002</v>
      </c>
      <c r="G76">
        <v>26.294277999999998</v>
      </c>
      <c r="H76">
        <v>1.1116470000000001</v>
      </c>
      <c r="I76">
        <v>0.152699</v>
      </c>
    </row>
    <row r="77" spans="1:9">
      <c r="A77" t="s">
        <v>22</v>
      </c>
      <c r="B77">
        <v>39.53</v>
      </c>
      <c r="C77">
        <v>22.38</v>
      </c>
      <c r="D77">
        <v>25</v>
      </c>
      <c r="E77">
        <v>45.483834000000002</v>
      </c>
      <c r="F77">
        <v>25.750776999999999</v>
      </c>
      <c r="G77">
        <v>28.765388999999999</v>
      </c>
      <c r="H77">
        <v>1.029949</v>
      </c>
      <c r="I77">
        <v>4.2573E-2</v>
      </c>
    </row>
    <row r="78" spans="1:9">
      <c r="A78" t="s">
        <v>23</v>
      </c>
      <c r="B78">
        <v>38.81</v>
      </c>
      <c r="C78">
        <v>24.35</v>
      </c>
      <c r="D78">
        <v>25.88</v>
      </c>
      <c r="E78">
        <v>43.587152000000003</v>
      </c>
      <c r="F78">
        <v>27.347259999999999</v>
      </c>
      <c r="G78">
        <v>29.065588000000002</v>
      </c>
      <c r="H78">
        <v>0.98699999999999999</v>
      </c>
      <c r="I78">
        <v>-1.8877999999999999E-2</v>
      </c>
    </row>
    <row r="79" spans="1:9">
      <c r="A79" t="s">
        <v>24</v>
      </c>
      <c r="B79">
        <v>36.22</v>
      </c>
      <c r="C79">
        <v>23.47</v>
      </c>
      <c r="D79">
        <v>29.06</v>
      </c>
      <c r="E79">
        <v>40.811267999999998</v>
      </c>
      <c r="F79">
        <v>26.445070000000001</v>
      </c>
      <c r="G79">
        <v>32.743662</v>
      </c>
      <c r="H79">
        <v>0.92414200000000002</v>
      </c>
      <c r="I79">
        <v>-0.113813</v>
      </c>
    </row>
    <row r="80" spans="1:9">
      <c r="A80" t="s">
        <v>25</v>
      </c>
      <c r="B80">
        <v>37.15</v>
      </c>
      <c r="C80">
        <v>23.15</v>
      </c>
      <c r="D80">
        <v>29.4</v>
      </c>
      <c r="E80">
        <v>41.415830999999997</v>
      </c>
      <c r="F80">
        <v>25.808250000000001</v>
      </c>
      <c r="G80">
        <v>32.775919999999999</v>
      </c>
      <c r="H80">
        <v>0.937832</v>
      </c>
      <c r="I80">
        <v>-9.2598E-2</v>
      </c>
    </row>
    <row r="81" spans="1:9">
      <c r="A81" t="s">
        <v>26</v>
      </c>
      <c r="B81">
        <v>32.19</v>
      </c>
      <c r="C81">
        <v>26.14</v>
      </c>
      <c r="D81">
        <v>29.13</v>
      </c>
      <c r="E81">
        <v>36.805396999999999</v>
      </c>
      <c r="F81">
        <v>29.887948999999999</v>
      </c>
      <c r="G81">
        <v>33.306654000000002</v>
      </c>
      <c r="H81">
        <v>0.83343199999999995</v>
      </c>
      <c r="I81">
        <v>-0.26286300000000001</v>
      </c>
    </row>
    <row r="82" spans="1:9">
      <c r="A82" t="s">
        <v>27</v>
      </c>
      <c r="B82">
        <v>37.03</v>
      </c>
      <c r="C82">
        <v>23.52</v>
      </c>
      <c r="D82">
        <v>28.16</v>
      </c>
      <c r="E82">
        <v>41.742756999999997</v>
      </c>
      <c r="F82">
        <v>26.513358</v>
      </c>
      <c r="G82">
        <v>31.743884999999999</v>
      </c>
      <c r="H82">
        <v>0.94523500000000005</v>
      </c>
      <c r="I82">
        <v>-8.1254999999999994E-2</v>
      </c>
    </row>
    <row r="83" spans="1:9">
      <c r="A83" t="s">
        <v>28</v>
      </c>
      <c r="B83">
        <v>39.82</v>
      </c>
      <c r="C83">
        <v>22.55</v>
      </c>
      <c r="D83">
        <v>26.53</v>
      </c>
      <c r="E83">
        <v>44.791901000000003</v>
      </c>
      <c r="F83">
        <v>25.365579</v>
      </c>
      <c r="G83">
        <v>29.84252</v>
      </c>
      <c r="H83">
        <v>1.014281</v>
      </c>
      <c r="I83">
        <v>2.0456999999999999E-2</v>
      </c>
    </row>
    <row r="84" spans="1:9">
      <c r="A84" t="s">
        <v>29</v>
      </c>
      <c r="B84">
        <v>37.42</v>
      </c>
      <c r="C84">
        <v>23.59</v>
      </c>
      <c r="D84">
        <v>28.03</v>
      </c>
      <c r="E84">
        <v>42.026055999999997</v>
      </c>
      <c r="F84">
        <v>26.493711000000001</v>
      </c>
      <c r="G84">
        <v>31.480233999999999</v>
      </c>
      <c r="H84">
        <v>0.95165</v>
      </c>
      <c r="I84">
        <v>-7.1497000000000005E-2</v>
      </c>
    </row>
    <row r="85" spans="1:9">
      <c r="A85" t="s">
        <v>30</v>
      </c>
      <c r="B85">
        <v>39.49</v>
      </c>
      <c r="C85">
        <v>24.15</v>
      </c>
      <c r="D85">
        <v>25.33</v>
      </c>
      <c r="E85">
        <v>44.385748</v>
      </c>
      <c r="F85">
        <v>27.143981</v>
      </c>
      <c r="G85">
        <v>28.470271</v>
      </c>
      <c r="H85">
        <v>1.0050840000000001</v>
      </c>
      <c r="I85">
        <v>7.3159999999999996E-3</v>
      </c>
    </row>
    <row r="86" spans="1:9">
      <c r="A86" t="s">
        <v>31</v>
      </c>
      <c r="B86">
        <v>38.43</v>
      </c>
      <c r="C86">
        <v>25.8</v>
      </c>
      <c r="D86">
        <v>24.35</v>
      </c>
      <c r="E86">
        <v>43.384511000000003</v>
      </c>
      <c r="F86">
        <v>29.126214000000001</v>
      </c>
      <c r="G86">
        <v>27.489274999999999</v>
      </c>
      <c r="H86">
        <v>0.98241100000000003</v>
      </c>
      <c r="I86">
        <v>-2.5600999999999999E-2</v>
      </c>
    </row>
    <row r="87" spans="1:9">
      <c r="A87" t="s">
        <v>32</v>
      </c>
      <c r="B87">
        <v>38.01</v>
      </c>
      <c r="C87">
        <v>24.55</v>
      </c>
      <c r="D87">
        <v>26.69</v>
      </c>
      <c r="E87">
        <v>42.588234999999997</v>
      </c>
      <c r="F87">
        <v>27.507003000000001</v>
      </c>
      <c r="G87">
        <v>29.904762000000002</v>
      </c>
      <c r="H87">
        <v>0.96438000000000001</v>
      </c>
      <c r="I87">
        <v>-5.2325999999999998E-2</v>
      </c>
    </row>
    <row r="89" spans="1:9">
      <c r="A89" t="s">
        <v>20</v>
      </c>
      <c r="B89">
        <v>37.6</v>
      </c>
      <c r="C89">
        <v>34.799999999999997</v>
      </c>
      <c r="D89">
        <v>14.14</v>
      </c>
      <c r="E89">
        <v>43.448115999999999</v>
      </c>
      <c r="F89">
        <v>40.212617999999999</v>
      </c>
      <c r="G89">
        <v>16.339265000000001</v>
      </c>
      <c r="H89">
        <v>1.1376040000000001</v>
      </c>
      <c r="I89">
        <v>0.185998</v>
      </c>
    </row>
    <row r="90" spans="1:9">
      <c r="A90" t="s">
        <v>21</v>
      </c>
      <c r="B90">
        <v>38.42</v>
      </c>
      <c r="C90">
        <v>29.41</v>
      </c>
      <c r="D90">
        <v>19.7</v>
      </c>
      <c r="E90">
        <v>43.893521999999997</v>
      </c>
      <c r="F90">
        <v>33.599908999999997</v>
      </c>
      <c r="G90">
        <v>22.506568999999999</v>
      </c>
      <c r="H90">
        <v>1.1492659999999999</v>
      </c>
      <c r="I90">
        <v>0.200712</v>
      </c>
    </row>
    <row r="91" spans="1:9">
      <c r="A91" t="s">
        <v>22</v>
      </c>
      <c r="B91">
        <v>36.26</v>
      </c>
      <c r="C91">
        <v>31.14</v>
      </c>
      <c r="D91">
        <v>18.71</v>
      </c>
      <c r="E91">
        <v>42.108930000000001</v>
      </c>
      <c r="F91">
        <v>36.163046999999999</v>
      </c>
      <c r="G91">
        <v>21.728021999999999</v>
      </c>
      <c r="H91">
        <v>1.1025400000000001</v>
      </c>
      <c r="I91">
        <v>0.14083000000000001</v>
      </c>
    </row>
    <row r="92" spans="1:9">
      <c r="A92" t="s">
        <v>23</v>
      </c>
      <c r="B92">
        <v>38.25</v>
      </c>
      <c r="C92">
        <v>33.01</v>
      </c>
      <c r="D92">
        <v>15.66</v>
      </c>
      <c r="E92">
        <v>44.005983000000001</v>
      </c>
      <c r="F92">
        <v>37.977451000000002</v>
      </c>
      <c r="G92">
        <v>18.016566999999998</v>
      </c>
      <c r="H92">
        <v>1.15221</v>
      </c>
      <c r="I92">
        <v>0.204404</v>
      </c>
    </row>
    <row r="93" spans="1:9">
      <c r="A93" t="s">
        <v>24</v>
      </c>
      <c r="B93">
        <v>34.86</v>
      </c>
      <c r="C93">
        <v>36.869999999999997</v>
      </c>
      <c r="D93">
        <v>14.66</v>
      </c>
      <c r="E93">
        <v>40.351892999999997</v>
      </c>
      <c r="F93">
        <v>42.678550999999999</v>
      </c>
      <c r="G93">
        <v>16.969556999999998</v>
      </c>
      <c r="H93">
        <v>1.056535</v>
      </c>
      <c r="I93">
        <v>7.9340999999999995E-2</v>
      </c>
    </row>
    <row r="94" spans="1:9">
      <c r="A94" t="s">
        <v>25</v>
      </c>
      <c r="B94">
        <v>35.82</v>
      </c>
      <c r="C94">
        <v>31.94</v>
      </c>
      <c r="D94">
        <v>19.95</v>
      </c>
      <c r="E94">
        <v>40.839129</v>
      </c>
      <c r="F94">
        <v>36.415460000000003</v>
      </c>
      <c r="G94">
        <v>22.745411000000001</v>
      </c>
      <c r="H94">
        <v>1.0692919999999999</v>
      </c>
      <c r="I94">
        <v>9.6656000000000006E-2</v>
      </c>
    </row>
    <row r="95" spans="1:9">
      <c r="A95" t="s">
        <v>26</v>
      </c>
      <c r="B95">
        <v>31.95</v>
      </c>
      <c r="C95">
        <v>37.78</v>
      </c>
      <c r="D95">
        <v>16.420000000000002</v>
      </c>
      <c r="E95">
        <v>37.086477000000002</v>
      </c>
      <c r="F95">
        <v>43.853743000000001</v>
      </c>
      <c r="G95">
        <v>19.059778999999999</v>
      </c>
      <c r="H95">
        <v>0.97103700000000004</v>
      </c>
      <c r="I95">
        <v>-4.2403000000000003E-2</v>
      </c>
    </row>
    <row r="96" spans="1:9">
      <c r="A96" t="s">
        <v>27</v>
      </c>
      <c r="B96">
        <v>35.39</v>
      </c>
      <c r="C96">
        <v>35.32</v>
      </c>
      <c r="D96">
        <v>15.84</v>
      </c>
      <c r="E96">
        <v>40.889659000000002</v>
      </c>
      <c r="F96">
        <v>40.808781000000003</v>
      </c>
      <c r="G96">
        <v>18.301559999999998</v>
      </c>
      <c r="H96">
        <v>1.0706150000000001</v>
      </c>
      <c r="I96">
        <v>9.844E-2</v>
      </c>
    </row>
    <row r="97" spans="1:9">
      <c r="A97" t="s">
        <v>28</v>
      </c>
      <c r="B97">
        <v>40.729999999999997</v>
      </c>
      <c r="C97">
        <v>30.26</v>
      </c>
      <c r="D97">
        <v>16.05</v>
      </c>
      <c r="E97">
        <v>46.794576999999997</v>
      </c>
      <c r="F97">
        <v>34.765625</v>
      </c>
      <c r="G97">
        <v>18.439798</v>
      </c>
      <c r="H97">
        <v>1.2252240000000001</v>
      </c>
      <c r="I97">
        <v>0.29304599999999997</v>
      </c>
    </row>
    <row r="98" spans="1:9">
      <c r="A98" t="s">
        <v>29</v>
      </c>
      <c r="B98">
        <v>35.61</v>
      </c>
      <c r="C98">
        <v>32.15</v>
      </c>
      <c r="D98">
        <v>19.95</v>
      </c>
      <c r="E98">
        <v>40.599704000000003</v>
      </c>
      <c r="F98">
        <v>36.654885</v>
      </c>
      <c r="G98">
        <v>22.745411000000001</v>
      </c>
      <c r="H98">
        <v>1.0630230000000001</v>
      </c>
      <c r="I98">
        <v>8.8173000000000001E-2</v>
      </c>
    </row>
    <row r="99" spans="1:9">
      <c r="A99" t="s">
        <v>30</v>
      </c>
      <c r="B99">
        <v>33.979999999999997</v>
      </c>
      <c r="C99">
        <v>34.06</v>
      </c>
      <c r="D99">
        <v>18.34</v>
      </c>
      <c r="E99">
        <v>39.337809999999998</v>
      </c>
      <c r="F99">
        <v>39.430424000000002</v>
      </c>
      <c r="G99">
        <v>21.231767000000001</v>
      </c>
      <c r="H99">
        <v>1.0299830000000001</v>
      </c>
      <c r="I99">
        <v>4.2620999999999999E-2</v>
      </c>
    </row>
    <row r="100" spans="1:9">
      <c r="A100" t="s">
        <v>31</v>
      </c>
      <c r="B100">
        <v>36.15</v>
      </c>
      <c r="C100">
        <v>35.479999999999997</v>
      </c>
      <c r="D100">
        <v>14.84</v>
      </c>
      <c r="E100">
        <v>41.806407</v>
      </c>
      <c r="F100">
        <v>41.031571999999997</v>
      </c>
      <c r="G100">
        <v>17.162022</v>
      </c>
      <c r="H100">
        <v>1.094619</v>
      </c>
      <c r="I100">
        <v>0.13042799999999999</v>
      </c>
    </row>
    <row r="101" spans="1:9">
      <c r="A101" t="s">
        <v>32</v>
      </c>
      <c r="B101">
        <v>34.57</v>
      </c>
      <c r="C101">
        <v>33.799999999999997</v>
      </c>
      <c r="D101">
        <v>19.440000000000001</v>
      </c>
      <c r="E101">
        <v>39.369092000000002</v>
      </c>
      <c r="F101">
        <v>38.492198999999999</v>
      </c>
      <c r="G101">
        <v>22.138708999999999</v>
      </c>
      <c r="H101">
        <v>1.030802</v>
      </c>
      <c r="I101">
        <v>4.3768000000000001E-2</v>
      </c>
    </row>
    <row r="103" spans="1:9">
      <c r="A103" t="s">
        <v>20</v>
      </c>
      <c r="B103">
        <v>34.229999999999997</v>
      </c>
      <c r="C103">
        <v>35.49</v>
      </c>
      <c r="D103">
        <v>16.88</v>
      </c>
      <c r="E103">
        <v>39.526558999999999</v>
      </c>
      <c r="F103">
        <v>40.981524</v>
      </c>
      <c r="G103">
        <v>19.491917000000001</v>
      </c>
      <c r="H103">
        <v>1.0527869999999999</v>
      </c>
      <c r="I103">
        <v>7.4214000000000002E-2</v>
      </c>
    </row>
    <row r="104" spans="1:9">
      <c r="A104" t="s">
        <v>21</v>
      </c>
      <c r="B104">
        <v>39.99</v>
      </c>
      <c r="C104">
        <v>32.94</v>
      </c>
      <c r="D104">
        <v>12.99</v>
      </c>
      <c r="E104">
        <v>46.543295999999998</v>
      </c>
      <c r="F104">
        <v>38.337989</v>
      </c>
      <c r="G104">
        <v>15.118715</v>
      </c>
      <c r="H104">
        <v>1.2396780000000001</v>
      </c>
      <c r="I104">
        <v>0.30996499999999999</v>
      </c>
    </row>
    <row r="105" spans="1:9">
      <c r="A105" t="s">
        <v>22</v>
      </c>
      <c r="B105">
        <v>32.479999999999997</v>
      </c>
      <c r="C105">
        <v>32.69</v>
      </c>
      <c r="D105">
        <v>20.010000000000002</v>
      </c>
      <c r="E105">
        <v>38.131017</v>
      </c>
      <c r="F105">
        <v>38.377552999999999</v>
      </c>
      <c r="G105">
        <v>23.491430000000001</v>
      </c>
      <c r="H105">
        <v>1.015617</v>
      </c>
      <c r="I105">
        <v>2.2356999999999998E-2</v>
      </c>
    </row>
    <row r="106" spans="1:9">
      <c r="A106" t="s">
        <v>23</v>
      </c>
      <c r="B106">
        <v>36.659999999999997</v>
      </c>
      <c r="C106">
        <v>34.58</v>
      </c>
      <c r="D106">
        <v>15.7</v>
      </c>
      <c r="E106">
        <v>42.167012</v>
      </c>
      <c r="F106">
        <v>39.774557000000001</v>
      </c>
      <c r="G106">
        <v>18.058430999999999</v>
      </c>
      <c r="H106">
        <v>1.123116</v>
      </c>
      <c r="I106">
        <v>0.16750599999999999</v>
      </c>
    </row>
    <row r="107" spans="1:9">
      <c r="A107" t="s">
        <v>24</v>
      </c>
      <c r="B107">
        <v>36.29</v>
      </c>
      <c r="C107">
        <v>35.58</v>
      </c>
      <c r="D107">
        <v>15.14</v>
      </c>
      <c r="E107">
        <v>41.707850000000001</v>
      </c>
      <c r="F107">
        <v>40.891852</v>
      </c>
      <c r="G107">
        <v>17.400299</v>
      </c>
      <c r="H107">
        <v>1.110886</v>
      </c>
      <c r="I107">
        <v>0.15171100000000001</v>
      </c>
    </row>
    <row r="108" spans="1:9">
      <c r="A108" t="s">
        <v>25</v>
      </c>
      <c r="B108">
        <v>35.770000000000003</v>
      </c>
      <c r="C108">
        <v>33.47</v>
      </c>
      <c r="D108">
        <v>18.27</v>
      </c>
      <c r="E108">
        <v>40.875329000000001</v>
      </c>
      <c r="F108">
        <v>38.247056999999998</v>
      </c>
      <c r="G108">
        <v>20.877614000000001</v>
      </c>
      <c r="H108">
        <v>1.0887119999999999</v>
      </c>
      <c r="I108">
        <v>0.12262199999999999</v>
      </c>
    </row>
    <row r="109" spans="1:9">
      <c r="A109" t="s">
        <v>26</v>
      </c>
      <c r="B109">
        <v>32.880000000000003</v>
      </c>
      <c r="C109">
        <v>39.090000000000003</v>
      </c>
      <c r="D109">
        <v>14.33</v>
      </c>
      <c r="E109">
        <v>38.099651999999999</v>
      </c>
      <c r="F109">
        <v>45.295481000000002</v>
      </c>
      <c r="G109">
        <v>16.604866999999999</v>
      </c>
      <c r="H109">
        <v>1.0147820000000001</v>
      </c>
      <c r="I109">
        <v>2.1169E-2</v>
      </c>
    </row>
    <row r="110" spans="1:9">
      <c r="A110" t="s">
        <v>27</v>
      </c>
      <c r="B110">
        <v>33.619999999999997</v>
      </c>
      <c r="C110">
        <v>34.76</v>
      </c>
      <c r="D110">
        <v>19.100000000000001</v>
      </c>
      <c r="E110">
        <v>38.431641999999997</v>
      </c>
      <c r="F110">
        <v>39.734797</v>
      </c>
      <c r="G110">
        <v>21.833562000000001</v>
      </c>
      <c r="H110">
        <v>1.0236240000000001</v>
      </c>
      <c r="I110">
        <v>3.3686000000000001E-2</v>
      </c>
    </row>
    <row r="111" spans="1:9">
      <c r="A111" t="s">
        <v>28</v>
      </c>
      <c r="B111">
        <v>37.049999999999997</v>
      </c>
      <c r="C111">
        <v>32.590000000000003</v>
      </c>
      <c r="D111">
        <v>17.329999999999998</v>
      </c>
      <c r="E111">
        <v>42.600897000000003</v>
      </c>
      <c r="F111">
        <v>37.472692000000002</v>
      </c>
      <c r="G111">
        <v>19.926411000000002</v>
      </c>
      <c r="H111">
        <v>1.1346719999999999</v>
      </c>
      <c r="I111">
        <v>0.18227499999999999</v>
      </c>
    </row>
    <row r="112" spans="1:9">
      <c r="A112" t="s">
        <v>29</v>
      </c>
      <c r="B112">
        <v>35.74</v>
      </c>
      <c r="C112">
        <v>35.090000000000003</v>
      </c>
      <c r="D112">
        <v>16.079999999999998</v>
      </c>
      <c r="E112">
        <v>41.123001000000002</v>
      </c>
      <c r="F112">
        <v>40.375101000000001</v>
      </c>
      <c r="G112">
        <v>18.501899000000002</v>
      </c>
      <c r="H112">
        <v>1.0953079999999999</v>
      </c>
      <c r="I112">
        <v>0.13133700000000001</v>
      </c>
    </row>
    <row r="113" spans="1:9">
      <c r="A113" t="s">
        <v>30</v>
      </c>
      <c r="B113">
        <v>36.409999999999997</v>
      </c>
      <c r="C113">
        <v>32.56</v>
      </c>
      <c r="D113">
        <v>18.149999999999999</v>
      </c>
      <c r="E113">
        <v>41.792929000000001</v>
      </c>
      <c r="F113">
        <v>37.373736999999998</v>
      </c>
      <c r="G113">
        <v>20.833333</v>
      </c>
      <c r="H113">
        <v>1.1131519999999999</v>
      </c>
      <c r="I113">
        <v>0.15465000000000001</v>
      </c>
    </row>
    <row r="114" spans="1:9">
      <c r="A114" t="s">
        <v>31</v>
      </c>
      <c r="B114">
        <v>34.58</v>
      </c>
      <c r="C114">
        <v>35.909999999999997</v>
      </c>
      <c r="D114">
        <v>16.21</v>
      </c>
      <c r="E114">
        <v>39.884659999999997</v>
      </c>
      <c r="F114">
        <v>41.418685000000004</v>
      </c>
      <c r="G114">
        <v>18.696655</v>
      </c>
      <c r="H114">
        <v>1.062325</v>
      </c>
      <c r="I114">
        <v>8.7225999999999998E-2</v>
      </c>
    </row>
    <row r="115" spans="1:9">
      <c r="A115" t="s">
        <v>32</v>
      </c>
      <c r="B115">
        <v>32.64</v>
      </c>
      <c r="C115">
        <v>36.880000000000003</v>
      </c>
      <c r="D115">
        <v>17.34</v>
      </c>
      <c r="E115">
        <v>37.577711000000001</v>
      </c>
      <c r="F115">
        <v>42.459130000000002</v>
      </c>
      <c r="G115">
        <v>19.963159000000001</v>
      </c>
      <c r="H115">
        <v>1.00088</v>
      </c>
      <c r="I115">
        <v>1.2689999999999999E-3</v>
      </c>
    </row>
    <row r="117" spans="1:9">
      <c r="A117" t="s">
        <v>0</v>
      </c>
      <c r="B117" t="s">
        <v>1</v>
      </c>
      <c r="E117" t="s">
        <v>2</v>
      </c>
      <c r="H117" t="s">
        <v>3</v>
      </c>
      <c r="I117" t="s">
        <v>4</v>
      </c>
    </row>
    <row r="118" spans="1:9">
      <c r="B118" t="s">
        <v>5</v>
      </c>
      <c r="C118" t="s">
        <v>6</v>
      </c>
      <c r="D118" t="s">
        <v>7</v>
      </c>
      <c r="E118" t="s">
        <v>5</v>
      </c>
      <c r="F118" t="s">
        <v>6</v>
      </c>
      <c r="G118" t="s">
        <v>7</v>
      </c>
      <c r="H118" t="s">
        <v>5</v>
      </c>
      <c r="I118" t="s">
        <v>5</v>
      </c>
    </row>
    <row r="119" spans="1:9">
      <c r="A119" t="s">
        <v>33</v>
      </c>
      <c r="B119">
        <v>23.49</v>
      </c>
      <c r="C119">
        <v>25.59</v>
      </c>
      <c r="D119">
        <v>40.06</v>
      </c>
      <c r="E119">
        <v>26.351806</v>
      </c>
      <c r="F119">
        <v>28.707650999999998</v>
      </c>
      <c r="G119">
        <v>44.940542999999998</v>
      </c>
      <c r="H119">
        <v>1.1245689999999999</v>
      </c>
      <c r="I119">
        <v>0.16937199999999999</v>
      </c>
    </row>
    <row r="120" spans="1:9">
      <c r="A120" t="s">
        <v>34</v>
      </c>
      <c r="B120">
        <v>16.14</v>
      </c>
      <c r="C120">
        <v>36.4</v>
      </c>
      <c r="D120">
        <v>35.869999999999997</v>
      </c>
      <c r="E120">
        <v>18.255852999999998</v>
      </c>
      <c r="F120">
        <v>41.171813</v>
      </c>
      <c r="G120">
        <v>40.572333</v>
      </c>
      <c r="H120">
        <v>0.77907199999999999</v>
      </c>
      <c r="I120">
        <v>-0.36017100000000002</v>
      </c>
    </row>
    <row r="121" spans="1:9">
      <c r="A121" t="s">
        <v>35</v>
      </c>
      <c r="B121">
        <v>23.16</v>
      </c>
      <c r="C121">
        <v>27.97</v>
      </c>
      <c r="D121">
        <v>37.14</v>
      </c>
      <c r="E121">
        <v>26.237680000000001</v>
      </c>
      <c r="F121">
        <v>31.686869999999999</v>
      </c>
      <c r="G121">
        <v>42.075449999999996</v>
      </c>
      <c r="H121">
        <v>1.1196980000000001</v>
      </c>
      <c r="I121">
        <v>0.16311</v>
      </c>
    </row>
    <row r="122" spans="1:9">
      <c r="A122" t="s">
        <v>36</v>
      </c>
      <c r="B122">
        <v>23.07</v>
      </c>
      <c r="C122">
        <v>25.82</v>
      </c>
      <c r="D122">
        <v>39.96</v>
      </c>
      <c r="E122">
        <v>25.965109999999999</v>
      </c>
      <c r="F122">
        <v>29.060213999999998</v>
      </c>
      <c r="G122">
        <v>44.974676000000002</v>
      </c>
      <c r="H122">
        <v>1.108066</v>
      </c>
      <c r="I122">
        <v>0.14804400000000001</v>
      </c>
    </row>
    <row r="123" spans="1:9">
      <c r="A123" t="s">
        <v>37</v>
      </c>
      <c r="B123">
        <v>22.86</v>
      </c>
      <c r="C123">
        <v>27.58</v>
      </c>
      <c r="D123">
        <v>37.9</v>
      </c>
      <c r="E123">
        <v>25.877292000000001</v>
      </c>
      <c r="F123">
        <v>31.220285000000001</v>
      </c>
      <c r="G123">
        <v>42.902422000000001</v>
      </c>
      <c r="H123">
        <v>1.1043190000000001</v>
      </c>
      <c r="I123">
        <v>0.14315600000000001</v>
      </c>
    </row>
    <row r="124" spans="1:9">
      <c r="A124" t="s">
        <v>38</v>
      </c>
      <c r="B124">
        <v>23.22</v>
      </c>
      <c r="C124">
        <v>25.87</v>
      </c>
      <c r="D124">
        <v>38.840000000000003</v>
      </c>
      <c r="E124">
        <v>26.407368999999999</v>
      </c>
      <c r="F124">
        <v>29.421130000000002</v>
      </c>
      <c r="G124">
        <v>44.171500000000002</v>
      </c>
      <c r="H124">
        <v>1.1269400000000001</v>
      </c>
      <c r="I124">
        <v>0.17241000000000001</v>
      </c>
    </row>
    <row r="125" spans="1:9">
      <c r="A125" t="s">
        <v>39</v>
      </c>
      <c r="B125">
        <v>21.86</v>
      </c>
      <c r="C125">
        <v>27.22</v>
      </c>
      <c r="D125">
        <v>39.47</v>
      </c>
      <c r="E125">
        <v>24.686617999999999</v>
      </c>
      <c r="F125">
        <v>30.739695000000001</v>
      </c>
      <c r="G125">
        <v>44.573687</v>
      </c>
      <c r="H125">
        <v>1.0535060000000001</v>
      </c>
      <c r="I125">
        <v>7.5199000000000002E-2</v>
      </c>
    </row>
    <row r="126" spans="1:9">
      <c r="A126" t="s">
        <v>40</v>
      </c>
      <c r="B126">
        <v>13.39</v>
      </c>
      <c r="C126">
        <v>31.09</v>
      </c>
      <c r="D126">
        <v>44.39</v>
      </c>
      <c r="E126">
        <v>15.066952000000001</v>
      </c>
      <c r="F126">
        <v>34.983683999999997</v>
      </c>
      <c r="G126">
        <v>49.949364000000003</v>
      </c>
      <c r="H126">
        <v>0.64298500000000003</v>
      </c>
      <c r="I126">
        <v>-0.63714300000000001</v>
      </c>
    </row>
    <row r="127" spans="1:9">
      <c r="A127" t="s">
        <v>41</v>
      </c>
      <c r="B127">
        <v>22.15</v>
      </c>
      <c r="C127">
        <v>26.79</v>
      </c>
      <c r="D127">
        <v>39.94</v>
      </c>
      <c r="E127">
        <v>24.921241999999999</v>
      </c>
      <c r="F127">
        <v>30.141763999999998</v>
      </c>
      <c r="G127">
        <v>44.936993999999999</v>
      </c>
      <c r="H127">
        <v>1.0635190000000001</v>
      </c>
      <c r="I127">
        <v>8.8845999999999994E-2</v>
      </c>
    </row>
    <row r="128" spans="1:9">
      <c r="A128" t="s">
        <v>42</v>
      </c>
      <c r="B128">
        <v>0.6</v>
      </c>
      <c r="C128">
        <v>27.49</v>
      </c>
      <c r="D128">
        <v>66.77</v>
      </c>
      <c r="E128">
        <v>0.63251100000000005</v>
      </c>
      <c r="F128">
        <v>28.979548999999999</v>
      </c>
      <c r="G128">
        <v>70.38794</v>
      </c>
      <c r="H128">
        <v>2.6993E-2</v>
      </c>
      <c r="I128">
        <v>-5.2112959999999999</v>
      </c>
    </row>
    <row r="129" spans="1:9">
      <c r="A129" t="s">
        <v>48</v>
      </c>
      <c r="B129">
        <v>24.73</v>
      </c>
      <c r="C129">
        <v>24.66</v>
      </c>
      <c r="D129">
        <v>38.76</v>
      </c>
      <c r="E129">
        <v>28.054452999999999</v>
      </c>
      <c r="F129">
        <v>27.975042999999999</v>
      </c>
      <c r="G129">
        <v>43.970505000000003</v>
      </c>
      <c r="H129">
        <v>1.1972290000000001</v>
      </c>
      <c r="I129">
        <v>0.25969999999999999</v>
      </c>
    </row>
    <row r="130" spans="1:9">
      <c r="A130" t="s">
        <v>81</v>
      </c>
      <c r="B130">
        <v>24.16</v>
      </c>
      <c r="C130">
        <v>24.15</v>
      </c>
      <c r="D130">
        <v>40.08</v>
      </c>
      <c r="E130">
        <v>27.333409</v>
      </c>
      <c r="F130">
        <v>27.322095000000001</v>
      </c>
      <c r="G130">
        <v>45.344495999999999</v>
      </c>
      <c r="H130">
        <v>1.1664589999999999</v>
      </c>
      <c r="I130">
        <v>0.222135</v>
      </c>
    </row>
    <row r="131" spans="1:9">
      <c r="A131" t="s">
        <v>32</v>
      </c>
      <c r="B131">
        <v>19.72</v>
      </c>
      <c r="C131">
        <v>28.2</v>
      </c>
      <c r="D131">
        <v>40.83</v>
      </c>
      <c r="E131">
        <v>22.219718</v>
      </c>
      <c r="F131">
        <v>31.774647999999999</v>
      </c>
      <c r="G131">
        <v>46.005634000000001</v>
      </c>
      <c r="H131">
        <v>0.94823100000000005</v>
      </c>
      <c r="I131">
        <v>-7.6689999999999994E-2</v>
      </c>
    </row>
    <row r="133" spans="1:9">
      <c r="A133" t="s">
        <v>33</v>
      </c>
      <c r="B133">
        <v>27.52</v>
      </c>
      <c r="C133">
        <v>29.92</v>
      </c>
      <c r="D133">
        <v>31.02</v>
      </c>
      <c r="E133">
        <v>31.110105999999998</v>
      </c>
      <c r="F133">
        <v>33.823197</v>
      </c>
      <c r="G133">
        <v>35.066696999999998</v>
      </c>
      <c r="H133">
        <v>1.2405440000000001</v>
      </c>
      <c r="I133">
        <v>0.310973</v>
      </c>
    </row>
    <row r="134" spans="1:9">
      <c r="A134" t="s">
        <v>34</v>
      </c>
      <c r="B134">
        <v>19.649999999999999</v>
      </c>
      <c r="C134">
        <v>39.81</v>
      </c>
      <c r="D134">
        <v>27.81</v>
      </c>
      <c r="E134">
        <v>22.516328999999999</v>
      </c>
      <c r="F134">
        <v>45.617050999999996</v>
      </c>
      <c r="G134">
        <v>31.866620999999999</v>
      </c>
      <c r="H134">
        <v>0.89785899999999996</v>
      </c>
      <c r="I134">
        <v>-0.15543899999999999</v>
      </c>
    </row>
    <row r="135" spans="1:9">
      <c r="A135" t="s">
        <v>35</v>
      </c>
      <c r="B135">
        <v>27.97</v>
      </c>
      <c r="C135">
        <v>33.24</v>
      </c>
      <c r="D135">
        <v>26.11</v>
      </c>
      <c r="E135">
        <v>32.031607999999999</v>
      </c>
      <c r="F135">
        <v>38.066879999999998</v>
      </c>
      <c r="G135">
        <v>29.901512</v>
      </c>
      <c r="H135">
        <v>1.27729</v>
      </c>
      <c r="I135">
        <v>0.35308600000000001</v>
      </c>
    </row>
    <row r="136" spans="1:9">
      <c r="A136" t="s">
        <v>36</v>
      </c>
      <c r="B136">
        <v>27.65</v>
      </c>
      <c r="C136">
        <v>30.95</v>
      </c>
      <c r="D136">
        <v>29.85</v>
      </c>
      <c r="E136">
        <v>31.260598999999999</v>
      </c>
      <c r="F136">
        <v>34.991520999999999</v>
      </c>
      <c r="G136">
        <v>33.747880000000002</v>
      </c>
      <c r="H136">
        <v>1.246545</v>
      </c>
      <c r="I136">
        <v>0.31793500000000002</v>
      </c>
    </row>
    <row r="137" spans="1:9">
      <c r="A137" t="s">
        <v>37</v>
      </c>
      <c r="B137">
        <v>25.55</v>
      </c>
      <c r="C137">
        <v>32.590000000000003</v>
      </c>
      <c r="D137">
        <v>30.48</v>
      </c>
      <c r="E137">
        <v>28.830964000000002</v>
      </c>
      <c r="F137">
        <v>36.774994</v>
      </c>
      <c r="G137">
        <v>34.394041999999999</v>
      </c>
      <c r="H137">
        <v>1.149661</v>
      </c>
      <c r="I137">
        <v>0.201208</v>
      </c>
    </row>
    <row r="138" spans="1:9">
      <c r="A138" t="s">
        <v>38</v>
      </c>
      <c r="B138">
        <v>25.09</v>
      </c>
      <c r="C138">
        <v>30</v>
      </c>
      <c r="D138">
        <v>33.65</v>
      </c>
      <c r="E138">
        <v>28.273607999999999</v>
      </c>
      <c r="F138">
        <v>33.806626000000001</v>
      </c>
      <c r="G138">
        <v>37.919766000000003</v>
      </c>
      <c r="H138">
        <v>1.1274360000000001</v>
      </c>
      <c r="I138">
        <v>0.173045</v>
      </c>
    </row>
    <row r="139" spans="1:9">
      <c r="A139" t="s">
        <v>39</v>
      </c>
      <c r="B139">
        <v>25.23</v>
      </c>
      <c r="C139">
        <v>31.45</v>
      </c>
      <c r="D139">
        <v>31.92</v>
      </c>
      <c r="E139">
        <v>28.476298</v>
      </c>
      <c r="F139">
        <v>35.496614000000001</v>
      </c>
      <c r="G139">
        <v>36.027087999999999</v>
      </c>
      <c r="H139">
        <v>1.135518</v>
      </c>
      <c r="I139">
        <v>0.18335099999999999</v>
      </c>
    </row>
    <row r="140" spans="1:9">
      <c r="A140" t="s">
        <v>40</v>
      </c>
      <c r="B140">
        <v>18.100000000000001</v>
      </c>
      <c r="C140">
        <v>36.549999999999997</v>
      </c>
      <c r="D140">
        <v>33.61</v>
      </c>
      <c r="E140">
        <v>20.507591000000001</v>
      </c>
      <c r="F140">
        <v>41.411738</v>
      </c>
      <c r="G140">
        <v>38.080671000000002</v>
      </c>
      <c r="H140">
        <v>0.81775900000000001</v>
      </c>
      <c r="I140">
        <v>-0.29025299999999998</v>
      </c>
    </row>
    <row r="141" spans="1:9">
      <c r="A141" t="s">
        <v>41</v>
      </c>
      <c r="B141">
        <v>23.18</v>
      </c>
      <c r="C141">
        <v>29.76</v>
      </c>
      <c r="D141">
        <v>36.020000000000003</v>
      </c>
      <c r="E141">
        <v>26.056654999999999</v>
      </c>
      <c r="F141">
        <v>33.453237000000001</v>
      </c>
      <c r="G141">
        <v>40.490107999999999</v>
      </c>
      <c r="H141">
        <v>1.0390330000000001</v>
      </c>
      <c r="I141">
        <v>5.5240999999999998E-2</v>
      </c>
    </row>
    <row r="142" spans="1:9">
      <c r="A142" t="s">
        <v>42</v>
      </c>
      <c r="B142">
        <v>1.52</v>
      </c>
      <c r="C142">
        <v>31.62</v>
      </c>
      <c r="D142">
        <v>58.25</v>
      </c>
      <c r="E142">
        <v>1.6632020000000001</v>
      </c>
      <c r="F142">
        <v>34.598970999999999</v>
      </c>
      <c r="G142">
        <v>63.737827000000003</v>
      </c>
      <c r="H142">
        <v>6.6322000000000006E-2</v>
      </c>
      <c r="I142">
        <v>-3.9143759999999999</v>
      </c>
    </row>
    <row r="143" spans="1:9">
      <c r="A143" t="s">
        <v>48</v>
      </c>
      <c r="B143">
        <v>26.93</v>
      </c>
      <c r="C143">
        <v>28.93</v>
      </c>
      <c r="D143">
        <v>33.090000000000003</v>
      </c>
      <c r="E143">
        <v>30.275435999999999</v>
      </c>
      <c r="F143">
        <v>32.523890000000002</v>
      </c>
      <c r="G143">
        <v>37.200674999999997</v>
      </c>
      <c r="H143">
        <v>1.2072609999999999</v>
      </c>
      <c r="I143">
        <v>0.27173700000000001</v>
      </c>
    </row>
    <row r="144" spans="1:9">
      <c r="A144" t="s">
        <v>81</v>
      </c>
      <c r="B144">
        <v>27.02</v>
      </c>
      <c r="C144">
        <v>30.73</v>
      </c>
      <c r="D144">
        <v>30.67</v>
      </c>
      <c r="E144">
        <v>30.558696999999999</v>
      </c>
      <c r="F144">
        <v>34.754579999999997</v>
      </c>
      <c r="G144">
        <v>34.686722000000003</v>
      </c>
      <c r="H144">
        <v>1.218556</v>
      </c>
      <c r="I144">
        <v>0.28517199999999998</v>
      </c>
    </row>
    <row r="145" spans="1:9">
      <c r="A145" t="s">
        <v>32</v>
      </c>
      <c r="B145">
        <v>22.48</v>
      </c>
      <c r="C145">
        <v>30.96</v>
      </c>
      <c r="D145">
        <v>35.380000000000003</v>
      </c>
      <c r="E145">
        <v>25.309615000000001</v>
      </c>
      <c r="F145">
        <v>34.857013999999999</v>
      </c>
      <c r="G145">
        <v>39.833371</v>
      </c>
      <c r="H145">
        <v>1.009244</v>
      </c>
      <c r="I145">
        <v>1.3275E-2</v>
      </c>
    </row>
    <row r="147" spans="1:9">
      <c r="A147" t="s">
        <v>33</v>
      </c>
      <c r="B147">
        <v>36.44</v>
      </c>
      <c r="C147">
        <v>22.5</v>
      </c>
      <c r="D147">
        <v>29.82</v>
      </c>
      <c r="E147">
        <v>41.054529000000002</v>
      </c>
      <c r="F147">
        <v>25.349256</v>
      </c>
      <c r="G147">
        <v>33.596215000000001</v>
      </c>
      <c r="H147">
        <v>1.184415</v>
      </c>
      <c r="I147">
        <v>0.244174</v>
      </c>
    </row>
    <row r="148" spans="1:9">
      <c r="A148" t="s">
        <v>34</v>
      </c>
      <c r="B148">
        <v>31.46</v>
      </c>
      <c r="C148">
        <v>27.28</v>
      </c>
      <c r="D148">
        <v>29.88</v>
      </c>
      <c r="E148">
        <v>35.499887000000001</v>
      </c>
      <c r="F148">
        <v>30.783118999999999</v>
      </c>
      <c r="G148">
        <v>33.716994</v>
      </c>
      <c r="H148">
        <v>1.0241640000000001</v>
      </c>
      <c r="I148">
        <v>3.4446999999999998E-2</v>
      </c>
    </row>
    <row r="149" spans="1:9">
      <c r="A149" t="s">
        <v>35</v>
      </c>
      <c r="B149">
        <v>35.729999999999997</v>
      </c>
      <c r="C149">
        <v>23.52</v>
      </c>
      <c r="D149">
        <v>29.79</v>
      </c>
      <c r="E149">
        <v>40.128031999999997</v>
      </c>
      <c r="F149">
        <v>26.415094</v>
      </c>
      <c r="G149">
        <v>33.456873000000002</v>
      </c>
      <c r="H149">
        <v>1.1576850000000001</v>
      </c>
      <c r="I149">
        <v>0.21124299999999999</v>
      </c>
    </row>
    <row r="150" spans="1:9">
      <c r="A150" t="s">
        <v>36</v>
      </c>
      <c r="B150">
        <v>35.35</v>
      </c>
      <c r="C150">
        <v>22.62</v>
      </c>
      <c r="D150">
        <v>31.18</v>
      </c>
      <c r="E150">
        <v>39.652270999999999</v>
      </c>
      <c r="F150">
        <v>25.372966999999999</v>
      </c>
      <c r="G150">
        <v>34.974761999999998</v>
      </c>
      <c r="H150">
        <v>1.1439600000000001</v>
      </c>
      <c r="I150">
        <v>0.19403599999999999</v>
      </c>
    </row>
    <row r="151" spans="1:9">
      <c r="A151" t="s">
        <v>37</v>
      </c>
      <c r="B151">
        <v>33.229999999999997</v>
      </c>
      <c r="C151">
        <v>24.19</v>
      </c>
      <c r="D151">
        <v>30.95</v>
      </c>
      <c r="E151">
        <v>37.603259000000001</v>
      </c>
      <c r="F151">
        <v>27.373543000000002</v>
      </c>
      <c r="G151">
        <v>35.023198000000001</v>
      </c>
      <c r="H151">
        <v>1.084846</v>
      </c>
      <c r="I151">
        <v>0.11749</v>
      </c>
    </row>
    <row r="152" spans="1:9">
      <c r="A152" t="s">
        <v>38</v>
      </c>
      <c r="B152">
        <v>33.69</v>
      </c>
      <c r="C152">
        <v>21.17</v>
      </c>
      <c r="D152">
        <v>34.14</v>
      </c>
      <c r="E152">
        <v>37.853932999999998</v>
      </c>
      <c r="F152">
        <v>23.786517</v>
      </c>
      <c r="G152">
        <v>38.359551000000003</v>
      </c>
      <c r="H152">
        <v>1.0920780000000001</v>
      </c>
      <c r="I152">
        <v>0.12707599999999999</v>
      </c>
    </row>
    <row r="153" spans="1:9">
      <c r="A153" t="s">
        <v>39</v>
      </c>
      <c r="B153">
        <v>36.44</v>
      </c>
      <c r="C153">
        <v>26.69</v>
      </c>
      <c r="D153">
        <v>25.57</v>
      </c>
      <c r="E153">
        <v>41.082299999999996</v>
      </c>
      <c r="F153">
        <v>30.090191999999998</v>
      </c>
      <c r="G153">
        <v>28.827508000000002</v>
      </c>
      <c r="H153">
        <v>1.185216</v>
      </c>
      <c r="I153">
        <v>0.24515000000000001</v>
      </c>
    </row>
    <row r="154" spans="1:9">
      <c r="A154" t="s">
        <v>40</v>
      </c>
      <c r="B154">
        <v>24.51</v>
      </c>
      <c r="C154">
        <v>20.16</v>
      </c>
      <c r="D154">
        <v>45.15</v>
      </c>
      <c r="E154">
        <v>27.287908999999999</v>
      </c>
      <c r="F154">
        <v>22.444890000000001</v>
      </c>
      <c r="G154">
        <v>50.267201</v>
      </c>
      <c r="H154">
        <v>0.78725000000000001</v>
      </c>
      <c r="I154">
        <v>-0.345105</v>
      </c>
    </row>
    <row r="155" spans="1:9">
      <c r="A155" t="s">
        <v>41</v>
      </c>
      <c r="B155">
        <v>24.77</v>
      </c>
      <c r="C155">
        <v>18.93</v>
      </c>
      <c r="D155">
        <v>47.1</v>
      </c>
      <c r="E155">
        <v>27.279736</v>
      </c>
      <c r="F155">
        <v>20.848018</v>
      </c>
      <c r="G155">
        <v>51.872247000000002</v>
      </c>
      <c r="H155">
        <v>0.78701500000000002</v>
      </c>
      <c r="I155">
        <v>-0.34553800000000001</v>
      </c>
    </row>
    <row r="156" spans="1:9">
      <c r="A156" t="s">
        <v>42</v>
      </c>
      <c r="B156">
        <v>6.07</v>
      </c>
      <c r="C156">
        <v>30.7</v>
      </c>
      <c r="D156">
        <v>52.07</v>
      </c>
      <c r="E156">
        <v>6.8325079999999998</v>
      </c>
      <c r="F156">
        <v>34.556505999999999</v>
      </c>
      <c r="G156">
        <v>58.610985999999997</v>
      </c>
      <c r="H156">
        <v>0.19711600000000001</v>
      </c>
      <c r="I156">
        <v>-2.3428800000000001</v>
      </c>
    </row>
    <row r="157" spans="1:9">
      <c r="A157" t="s">
        <v>48</v>
      </c>
      <c r="B157">
        <v>41.01</v>
      </c>
      <c r="C157">
        <v>22.69</v>
      </c>
      <c r="D157">
        <v>24.53</v>
      </c>
      <c r="E157">
        <v>46.480789000000001</v>
      </c>
      <c r="F157">
        <v>25.716875999999999</v>
      </c>
      <c r="G157">
        <v>27.802334999999999</v>
      </c>
      <c r="H157">
        <v>1.3409610000000001</v>
      </c>
      <c r="I157">
        <v>0.423267</v>
      </c>
    </row>
    <row r="158" spans="1:9">
      <c r="A158" t="s">
        <v>81</v>
      </c>
      <c r="B158">
        <v>36.450000000000003</v>
      </c>
      <c r="C158">
        <v>22.47</v>
      </c>
      <c r="D158">
        <v>30.75</v>
      </c>
      <c r="E158">
        <v>40.649047000000003</v>
      </c>
      <c r="F158">
        <v>25.058547999999998</v>
      </c>
      <c r="G158">
        <v>34.292405000000002</v>
      </c>
      <c r="H158">
        <v>1.1727160000000001</v>
      </c>
      <c r="I158">
        <v>0.229854</v>
      </c>
    </row>
    <row r="159" spans="1:9">
      <c r="A159" t="s">
        <v>32</v>
      </c>
      <c r="B159">
        <v>32.85</v>
      </c>
      <c r="C159">
        <v>25.7</v>
      </c>
      <c r="D159">
        <v>29.73</v>
      </c>
      <c r="E159">
        <v>37.211145999999999</v>
      </c>
      <c r="F159">
        <v>29.111916999999998</v>
      </c>
      <c r="G159">
        <v>33.676937000000002</v>
      </c>
      <c r="H159">
        <v>1.073534</v>
      </c>
      <c r="I159">
        <v>0.102368</v>
      </c>
    </row>
    <row r="161" spans="1:9">
      <c r="A161" t="s">
        <v>33</v>
      </c>
      <c r="B161">
        <v>26.34</v>
      </c>
      <c r="C161">
        <v>25.81</v>
      </c>
      <c r="D161">
        <v>37.58</v>
      </c>
      <c r="E161">
        <v>29.354731000000001</v>
      </c>
      <c r="F161">
        <v>28.76407</v>
      </c>
      <c r="G161">
        <v>41.881199000000002</v>
      </c>
      <c r="H161">
        <v>0.88678599999999996</v>
      </c>
      <c r="I161">
        <v>-0.173341</v>
      </c>
    </row>
    <row r="162" spans="1:9">
      <c r="A162" t="s">
        <v>34</v>
      </c>
      <c r="B162">
        <v>19</v>
      </c>
      <c r="C162">
        <v>33.33</v>
      </c>
      <c r="D162">
        <v>35.71</v>
      </c>
      <c r="E162">
        <v>21.581099999999999</v>
      </c>
      <c r="F162">
        <v>37.857792000000003</v>
      </c>
      <c r="G162">
        <v>40.561109000000002</v>
      </c>
      <c r="H162">
        <v>0.65195000000000003</v>
      </c>
      <c r="I162">
        <v>-0.61716599999999999</v>
      </c>
    </row>
    <row r="163" spans="1:9">
      <c r="A163" t="s">
        <v>35</v>
      </c>
      <c r="B163">
        <v>24.17</v>
      </c>
      <c r="C163">
        <v>27.84</v>
      </c>
      <c r="D163">
        <v>36.92</v>
      </c>
      <c r="E163">
        <v>27.17868</v>
      </c>
      <c r="F163">
        <v>31.305520999999999</v>
      </c>
      <c r="G163">
        <v>41.515799000000001</v>
      </c>
      <c r="H163">
        <v>0.82104900000000003</v>
      </c>
      <c r="I163">
        <v>-0.28445900000000002</v>
      </c>
    </row>
    <row r="164" spans="1:9">
      <c r="A164" t="s">
        <v>36</v>
      </c>
      <c r="B164">
        <v>24.44</v>
      </c>
      <c r="C164">
        <v>26.22</v>
      </c>
      <c r="D164">
        <v>38.950000000000003</v>
      </c>
      <c r="E164">
        <v>27.273741999999999</v>
      </c>
      <c r="F164">
        <v>29.260127000000001</v>
      </c>
      <c r="G164">
        <v>43.466130999999997</v>
      </c>
      <c r="H164">
        <v>0.82392100000000001</v>
      </c>
      <c r="I164">
        <v>-0.279422</v>
      </c>
    </row>
    <row r="165" spans="1:9">
      <c r="A165" t="s">
        <v>37</v>
      </c>
      <c r="B165">
        <v>24.81</v>
      </c>
      <c r="C165">
        <v>29.19</v>
      </c>
      <c r="D165">
        <v>34.68</v>
      </c>
      <c r="E165">
        <v>27.976996</v>
      </c>
      <c r="F165">
        <v>32.916103</v>
      </c>
      <c r="G165">
        <v>39.106901000000001</v>
      </c>
      <c r="H165">
        <v>0.84516599999999997</v>
      </c>
      <c r="I165">
        <v>-0.24269299999999999</v>
      </c>
    </row>
    <row r="166" spans="1:9">
      <c r="A166" t="s">
        <v>38</v>
      </c>
      <c r="B166">
        <v>31.19</v>
      </c>
      <c r="C166">
        <v>27.34</v>
      </c>
      <c r="D166">
        <v>29.32</v>
      </c>
      <c r="E166">
        <v>35.503698999999997</v>
      </c>
      <c r="F166">
        <v>31.121229</v>
      </c>
      <c r="G166">
        <v>33.375070999999998</v>
      </c>
      <c r="H166">
        <v>1.072543</v>
      </c>
      <c r="I166">
        <v>0.101035</v>
      </c>
    </row>
    <row r="167" spans="1:9">
      <c r="A167" t="s">
        <v>39</v>
      </c>
      <c r="B167">
        <v>30.46</v>
      </c>
      <c r="C167">
        <v>28.29</v>
      </c>
      <c r="D167">
        <v>29.52</v>
      </c>
      <c r="E167">
        <v>34.507759999999998</v>
      </c>
      <c r="F167">
        <v>32.049393999999999</v>
      </c>
      <c r="G167">
        <v>33.442846000000003</v>
      </c>
      <c r="H167">
        <v>1.042456</v>
      </c>
      <c r="I167">
        <v>5.9986999999999999E-2</v>
      </c>
    </row>
    <row r="168" spans="1:9">
      <c r="A168" t="s">
        <v>40</v>
      </c>
      <c r="B168">
        <v>20.34</v>
      </c>
      <c r="C168">
        <v>31.74</v>
      </c>
      <c r="D168">
        <v>35.54</v>
      </c>
      <c r="E168">
        <v>23.213878000000001</v>
      </c>
      <c r="F168">
        <v>36.224606000000001</v>
      </c>
      <c r="G168">
        <v>40.561515999999997</v>
      </c>
      <c r="H168">
        <v>0.70127499999999998</v>
      </c>
      <c r="I168">
        <v>-0.51194700000000004</v>
      </c>
    </row>
    <row r="169" spans="1:9">
      <c r="A169" t="s">
        <v>41</v>
      </c>
      <c r="B169">
        <v>29.35</v>
      </c>
      <c r="C169">
        <v>29.88</v>
      </c>
      <c r="D169">
        <v>29.01</v>
      </c>
      <c r="E169">
        <v>33.261558999999998</v>
      </c>
      <c r="F169">
        <v>33.862194000000002</v>
      </c>
      <c r="G169">
        <v>32.876246999999999</v>
      </c>
      <c r="H169">
        <v>1.0048090000000001</v>
      </c>
      <c r="I169">
        <v>6.9210000000000001E-3</v>
      </c>
    </row>
    <row r="170" spans="1:9">
      <c r="A170" t="s">
        <v>42</v>
      </c>
      <c r="B170">
        <v>2.7</v>
      </c>
      <c r="C170">
        <v>30.53</v>
      </c>
      <c r="D170">
        <v>55.78</v>
      </c>
      <c r="E170">
        <v>3.0333670000000001</v>
      </c>
      <c r="F170">
        <v>34.299517000000002</v>
      </c>
      <c r="G170">
        <v>62.667116</v>
      </c>
      <c r="H170">
        <v>9.1635999999999995E-2</v>
      </c>
      <c r="I170">
        <v>-3.4479419999999998</v>
      </c>
    </row>
    <row r="171" spans="1:9">
      <c r="A171" t="s">
        <v>48</v>
      </c>
      <c r="B171">
        <v>31.71</v>
      </c>
      <c r="C171">
        <v>25.99</v>
      </c>
      <c r="D171">
        <v>31.09</v>
      </c>
      <c r="E171">
        <v>35.713481000000002</v>
      </c>
      <c r="F171">
        <v>29.271314</v>
      </c>
      <c r="G171">
        <v>35.015203999999997</v>
      </c>
      <c r="H171">
        <v>1.0788800000000001</v>
      </c>
      <c r="I171">
        <v>0.10953400000000001</v>
      </c>
    </row>
    <row r="172" spans="1:9">
      <c r="A172" t="s">
        <v>81</v>
      </c>
      <c r="B172">
        <v>28.23</v>
      </c>
      <c r="C172">
        <v>26.99</v>
      </c>
      <c r="D172">
        <v>33.700000000000003</v>
      </c>
      <c r="E172">
        <v>31.747637999999998</v>
      </c>
      <c r="F172">
        <v>30.353126</v>
      </c>
      <c r="G172">
        <v>37.899234999999997</v>
      </c>
      <c r="H172">
        <v>0.95907500000000001</v>
      </c>
      <c r="I172">
        <v>-6.0284999999999998E-2</v>
      </c>
    </row>
    <row r="173" spans="1:9">
      <c r="A173" t="s">
        <v>32</v>
      </c>
      <c r="B173">
        <v>28.54</v>
      </c>
      <c r="C173">
        <v>27.4</v>
      </c>
      <c r="D173">
        <v>32.21</v>
      </c>
      <c r="E173">
        <v>32.376631000000003</v>
      </c>
      <c r="F173">
        <v>31.083380999999999</v>
      </c>
      <c r="G173">
        <v>36.539988999999998</v>
      </c>
      <c r="H173">
        <v>0.97807599999999995</v>
      </c>
      <c r="I173">
        <v>-3.1981000000000002E-2</v>
      </c>
    </row>
    <row r="175" spans="1:9">
      <c r="A175" t="s">
        <v>0</v>
      </c>
      <c r="B175" t="s">
        <v>1</v>
      </c>
      <c r="E175" t="s">
        <v>2</v>
      </c>
      <c r="H175" t="s">
        <v>3</v>
      </c>
      <c r="I175" t="s">
        <v>4</v>
      </c>
    </row>
    <row r="176" spans="1:9">
      <c r="B176" t="s">
        <v>5</v>
      </c>
      <c r="C176" t="s">
        <v>6</v>
      </c>
      <c r="D176" t="s">
        <v>7</v>
      </c>
      <c r="E176" t="s">
        <v>5</v>
      </c>
      <c r="F176" t="s">
        <v>6</v>
      </c>
      <c r="G176" t="s">
        <v>7</v>
      </c>
      <c r="H176" t="s">
        <v>5</v>
      </c>
      <c r="I176" t="s">
        <v>5</v>
      </c>
    </row>
    <row r="177" spans="1:9">
      <c r="A177" t="s">
        <v>74</v>
      </c>
      <c r="B177">
        <v>4.75</v>
      </c>
      <c r="C177">
        <v>41.24</v>
      </c>
      <c r="D177">
        <v>41.52</v>
      </c>
      <c r="E177">
        <v>5.4279510000000002</v>
      </c>
      <c r="F177">
        <v>47.126043000000003</v>
      </c>
      <c r="G177">
        <v>47.446005999999997</v>
      </c>
      <c r="H177">
        <v>0.15116099999999999</v>
      </c>
      <c r="I177">
        <v>-2.725838</v>
      </c>
    </row>
    <row r="178" spans="1:9">
      <c r="A178" t="s">
        <v>43</v>
      </c>
      <c r="B178">
        <v>7.75</v>
      </c>
      <c r="C178">
        <v>47.52</v>
      </c>
      <c r="D178">
        <v>33.409999999999997</v>
      </c>
      <c r="E178">
        <v>8.7392869999999991</v>
      </c>
      <c r="F178">
        <v>53.585926999999998</v>
      </c>
      <c r="G178">
        <v>37.674785999999997</v>
      </c>
      <c r="H178">
        <v>0.24337800000000001</v>
      </c>
      <c r="I178">
        <v>-2.0387300000000002</v>
      </c>
    </row>
    <row r="179" spans="1:9">
      <c r="A179" t="s">
        <v>44</v>
      </c>
      <c r="B179">
        <v>27.68</v>
      </c>
      <c r="C179">
        <v>31.99</v>
      </c>
      <c r="D179">
        <v>28.19</v>
      </c>
      <c r="E179">
        <v>31.504667000000001</v>
      </c>
      <c r="F179">
        <v>36.410198000000001</v>
      </c>
      <c r="G179">
        <v>32.085135000000001</v>
      </c>
      <c r="H179">
        <v>0.87736400000000003</v>
      </c>
      <c r="I179">
        <v>-0.188752</v>
      </c>
    </row>
    <row r="180" spans="1:9">
      <c r="A180" t="s">
        <v>45</v>
      </c>
      <c r="B180">
        <v>23.03</v>
      </c>
      <c r="C180">
        <v>36.130000000000003</v>
      </c>
      <c r="D180">
        <v>27.6</v>
      </c>
      <c r="E180">
        <v>26.544491000000001</v>
      </c>
      <c r="F180">
        <v>41.643614999999997</v>
      </c>
      <c r="G180">
        <v>31.811895</v>
      </c>
      <c r="H180">
        <v>0.73923000000000005</v>
      </c>
      <c r="I180">
        <v>-0.43590499999999999</v>
      </c>
    </row>
    <row r="181" spans="1:9">
      <c r="A181" t="s">
        <v>46</v>
      </c>
      <c r="B181">
        <v>25.14</v>
      </c>
      <c r="C181">
        <v>35.979999999999997</v>
      </c>
      <c r="D181">
        <v>25.14</v>
      </c>
      <c r="E181">
        <v>29.144447</v>
      </c>
      <c r="F181">
        <v>41.711106000000001</v>
      </c>
      <c r="G181">
        <v>29.144447</v>
      </c>
      <c r="H181">
        <v>0.811635</v>
      </c>
      <c r="I181">
        <v>-0.30109599999999997</v>
      </c>
    </row>
    <row r="182" spans="1:9">
      <c r="A182" t="s">
        <v>47</v>
      </c>
      <c r="B182">
        <v>29.02</v>
      </c>
      <c r="C182">
        <v>33.15</v>
      </c>
      <c r="D182">
        <v>24.55</v>
      </c>
      <c r="E182">
        <v>33.464022</v>
      </c>
      <c r="F182">
        <v>38.226475999999998</v>
      </c>
      <c r="G182">
        <v>28.309501999999998</v>
      </c>
      <c r="H182">
        <v>0.93193000000000004</v>
      </c>
      <c r="I182">
        <v>-0.101706</v>
      </c>
    </row>
    <row r="183" spans="1:9">
      <c r="A183" t="s">
        <v>49</v>
      </c>
      <c r="B183">
        <v>27.75</v>
      </c>
      <c r="C183">
        <v>34.119999999999997</v>
      </c>
      <c r="D183">
        <v>24.51</v>
      </c>
      <c r="E183">
        <v>32.125492000000001</v>
      </c>
      <c r="F183">
        <v>39.499884000000002</v>
      </c>
      <c r="G183">
        <v>28.374624000000001</v>
      </c>
      <c r="H183">
        <v>0.89465399999999995</v>
      </c>
      <c r="I183">
        <v>-0.16059899999999999</v>
      </c>
    </row>
    <row r="184" spans="1:9">
      <c r="A184" t="s">
        <v>50</v>
      </c>
      <c r="B184">
        <v>28.34</v>
      </c>
      <c r="C184">
        <v>33.53</v>
      </c>
      <c r="D184">
        <v>24.68</v>
      </c>
      <c r="E184">
        <v>32.744078999999999</v>
      </c>
      <c r="F184">
        <v>38.740611999999999</v>
      </c>
      <c r="G184">
        <v>28.515308999999998</v>
      </c>
      <c r="H184">
        <v>0.91188100000000005</v>
      </c>
      <c r="I184">
        <v>-0.13308300000000001</v>
      </c>
    </row>
    <row r="185" spans="1:9">
      <c r="A185" t="s">
        <v>51</v>
      </c>
      <c r="B185">
        <v>26.23</v>
      </c>
      <c r="C185">
        <v>36.549999999999997</v>
      </c>
      <c r="D185">
        <v>23.09</v>
      </c>
      <c r="E185">
        <v>30.546174000000001</v>
      </c>
      <c r="F185">
        <v>42.564340999999999</v>
      </c>
      <c r="G185">
        <v>26.889483999999999</v>
      </c>
      <c r="H185">
        <v>0.85067199999999998</v>
      </c>
      <c r="I185">
        <v>-0.23332600000000001</v>
      </c>
    </row>
    <row r="186" spans="1:9">
      <c r="A186" t="s">
        <v>32</v>
      </c>
      <c r="B186">
        <v>30.36</v>
      </c>
      <c r="C186">
        <v>35.090000000000003</v>
      </c>
      <c r="D186">
        <v>19.79</v>
      </c>
      <c r="E186">
        <v>35.617080999999999</v>
      </c>
      <c r="F186">
        <v>41.166119000000002</v>
      </c>
      <c r="G186">
        <v>23.216799999999999</v>
      </c>
      <c r="H186">
        <v>0.99189000000000005</v>
      </c>
      <c r="I186">
        <v>-1.1748E-2</v>
      </c>
    </row>
    <row r="188" spans="1:9">
      <c r="A188" t="s">
        <v>74</v>
      </c>
      <c r="B188">
        <v>6.91</v>
      </c>
      <c r="C188">
        <v>39.99</v>
      </c>
      <c r="D188">
        <v>38.229999999999997</v>
      </c>
      <c r="E188">
        <v>8.1169980000000006</v>
      </c>
      <c r="F188">
        <v>46.975214000000001</v>
      </c>
      <c r="G188">
        <v>44.907787999999996</v>
      </c>
      <c r="H188">
        <v>0.25315199999999999</v>
      </c>
      <c r="I188">
        <v>-1.981922</v>
      </c>
    </row>
    <row r="189" spans="1:9">
      <c r="A189" t="s">
        <v>43</v>
      </c>
      <c r="B189">
        <v>9.93</v>
      </c>
      <c r="C189">
        <v>47.03</v>
      </c>
      <c r="D189">
        <v>29.26</v>
      </c>
      <c r="E189">
        <v>11.517049</v>
      </c>
      <c r="F189">
        <v>54.546509</v>
      </c>
      <c r="G189">
        <v>33.936442</v>
      </c>
      <c r="H189">
        <v>0.35919299999999998</v>
      </c>
      <c r="I189">
        <v>-1.477169</v>
      </c>
    </row>
    <row r="190" spans="1:9">
      <c r="A190" t="s">
        <v>44</v>
      </c>
      <c r="B190">
        <v>33.86</v>
      </c>
      <c r="C190">
        <v>28.73</v>
      </c>
      <c r="D190">
        <v>24.45</v>
      </c>
      <c r="E190">
        <v>38.901654000000001</v>
      </c>
      <c r="F190">
        <v>33.007812000000001</v>
      </c>
      <c r="G190">
        <v>28.090533000000001</v>
      </c>
      <c r="H190">
        <v>1.2132620000000001</v>
      </c>
      <c r="I190">
        <v>0.278891</v>
      </c>
    </row>
    <row r="191" spans="1:9">
      <c r="A191" t="s">
        <v>45</v>
      </c>
      <c r="B191">
        <v>25.15</v>
      </c>
      <c r="C191">
        <v>32.840000000000003</v>
      </c>
      <c r="D191">
        <v>28.36</v>
      </c>
      <c r="E191">
        <v>29.125651000000001</v>
      </c>
      <c r="F191">
        <v>38.031267999999997</v>
      </c>
      <c r="G191">
        <v>32.84308</v>
      </c>
      <c r="H191">
        <v>0.90836899999999998</v>
      </c>
      <c r="I191">
        <v>-0.13865</v>
      </c>
    </row>
    <row r="192" spans="1:9">
      <c r="A192" t="s">
        <v>46</v>
      </c>
      <c r="B192">
        <v>24.56</v>
      </c>
      <c r="C192">
        <v>33.83</v>
      </c>
      <c r="D192">
        <v>28.08</v>
      </c>
      <c r="E192">
        <v>28.402913999999999</v>
      </c>
      <c r="F192">
        <v>39.123395000000002</v>
      </c>
      <c r="G192">
        <v>32.473689999999998</v>
      </c>
      <c r="H192">
        <v>0.88582799999999995</v>
      </c>
      <c r="I192">
        <v>-0.174901</v>
      </c>
    </row>
    <row r="193" spans="1:9">
      <c r="A193" t="s">
        <v>47</v>
      </c>
      <c r="B193">
        <v>31.51</v>
      </c>
      <c r="C193">
        <v>30.03</v>
      </c>
      <c r="D193">
        <v>25.79</v>
      </c>
      <c r="E193">
        <v>36.081530000000001</v>
      </c>
      <c r="F193">
        <v>34.386809</v>
      </c>
      <c r="G193">
        <v>29.531662000000001</v>
      </c>
      <c r="H193">
        <v>1.125308</v>
      </c>
      <c r="I193">
        <v>0.17032</v>
      </c>
    </row>
    <row r="194" spans="1:9">
      <c r="A194" t="s">
        <v>49</v>
      </c>
      <c r="B194">
        <v>28.55</v>
      </c>
      <c r="C194">
        <v>31.6</v>
      </c>
      <c r="D194">
        <v>25.99</v>
      </c>
      <c r="E194">
        <v>33.143720000000002</v>
      </c>
      <c r="F194">
        <v>36.684466999999998</v>
      </c>
      <c r="G194">
        <v>30.171813</v>
      </c>
      <c r="H194">
        <v>1.033684</v>
      </c>
      <c r="I194">
        <v>4.7794999999999997E-2</v>
      </c>
    </row>
    <row r="195" spans="1:9">
      <c r="A195" t="s">
        <v>50</v>
      </c>
      <c r="B195">
        <v>32.020000000000003</v>
      </c>
      <c r="C195">
        <v>31.18</v>
      </c>
      <c r="D195">
        <v>22.87</v>
      </c>
      <c r="E195">
        <v>37.202277000000002</v>
      </c>
      <c r="F195">
        <v>36.226326999999998</v>
      </c>
      <c r="G195">
        <v>26.571394999999999</v>
      </c>
      <c r="H195">
        <v>1.1602619999999999</v>
      </c>
      <c r="I195">
        <v>0.214451</v>
      </c>
    </row>
    <row r="196" spans="1:9">
      <c r="A196" t="s">
        <v>51</v>
      </c>
      <c r="B196">
        <v>27.94</v>
      </c>
      <c r="C196">
        <v>30.87</v>
      </c>
      <c r="D196">
        <v>28.12</v>
      </c>
      <c r="E196">
        <v>32.140802999999998</v>
      </c>
      <c r="F196">
        <v>35.511330999999998</v>
      </c>
      <c r="G196">
        <v>32.347866000000003</v>
      </c>
      <c r="H196">
        <v>1.002405</v>
      </c>
      <c r="I196">
        <v>3.4659999999999999E-3</v>
      </c>
    </row>
    <row r="197" spans="1:9">
      <c r="A197" t="s">
        <v>32</v>
      </c>
      <c r="B197">
        <v>29.92</v>
      </c>
      <c r="C197">
        <v>32.53</v>
      </c>
      <c r="D197">
        <v>24.5</v>
      </c>
      <c r="E197">
        <v>34.410581000000001</v>
      </c>
      <c r="F197">
        <v>37.412306000000001</v>
      </c>
      <c r="G197">
        <v>28.177112999999999</v>
      </c>
      <c r="H197">
        <v>1.0731949999999999</v>
      </c>
      <c r="I197">
        <v>0.101912</v>
      </c>
    </row>
    <row r="199" spans="1:9">
      <c r="A199" t="s">
        <v>74</v>
      </c>
      <c r="B199">
        <v>3.1</v>
      </c>
      <c r="C199">
        <v>31.2</v>
      </c>
      <c r="D199">
        <v>53.93</v>
      </c>
      <c r="E199">
        <v>3.513544</v>
      </c>
      <c r="F199">
        <v>35.362121999999999</v>
      </c>
      <c r="G199">
        <v>61.124333999999998</v>
      </c>
      <c r="H199">
        <v>0.19140799999999999</v>
      </c>
      <c r="I199">
        <v>-2.3852739999999999</v>
      </c>
    </row>
    <row r="200" spans="1:9">
      <c r="A200" t="s">
        <v>43</v>
      </c>
      <c r="B200">
        <v>8.7200000000000006</v>
      </c>
      <c r="C200">
        <v>44.02</v>
      </c>
      <c r="D200">
        <v>35.17</v>
      </c>
      <c r="E200">
        <v>9.9192359999999997</v>
      </c>
      <c r="F200">
        <v>50.073939000000003</v>
      </c>
      <c r="G200">
        <v>40.006824999999999</v>
      </c>
      <c r="H200">
        <v>0.54037299999999999</v>
      </c>
      <c r="I200">
        <v>-0.88797300000000001</v>
      </c>
    </row>
    <row r="201" spans="1:9">
      <c r="A201" t="s">
        <v>44</v>
      </c>
      <c r="B201">
        <v>19.45</v>
      </c>
      <c r="C201">
        <v>26.95</v>
      </c>
      <c r="D201">
        <v>44.99</v>
      </c>
      <c r="E201">
        <v>21.282416000000001</v>
      </c>
      <c r="F201">
        <v>29.489003</v>
      </c>
      <c r="G201">
        <v>49.228580999999998</v>
      </c>
      <c r="H201">
        <v>1.159408</v>
      </c>
      <c r="I201">
        <v>0.213389</v>
      </c>
    </row>
    <row r="202" spans="1:9">
      <c r="A202" t="s">
        <v>45</v>
      </c>
      <c r="B202">
        <v>16.149999999999999</v>
      </c>
      <c r="C202">
        <v>32.22</v>
      </c>
      <c r="D202">
        <v>41.4</v>
      </c>
      <c r="E202">
        <v>17.99042</v>
      </c>
      <c r="F202">
        <v>35.891722999999999</v>
      </c>
      <c r="G202">
        <v>46.117857000000001</v>
      </c>
      <c r="H202">
        <v>0.98006899999999997</v>
      </c>
      <c r="I202">
        <v>-2.9044E-2</v>
      </c>
    </row>
    <row r="203" spans="1:9">
      <c r="A203" t="s">
        <v>46</v>
      </c>
      <c r="B203">
        <v>17.88</v>
      </c>
      <c r="C203">
        <v>30.91</v>
      </c>
      <c r="D203">
        <v>41.13</v>
      </c>
      <c r="E203">
        <v>19.884342</v>
      </c>
      <c r="F203">
        <v>34.375</v>
      </c>
      <c r="G203">
        <v>45.740658000000003</v>
      </c>
      <c r="H203">
        <v>1.083245</v>
      </c>
      <c r="I203">
        <v>0.115359</v>
      </c>
    </row>
    <row r="204" spans="1:9">
      <c r="A204" t="s">
        <v>47</v>
      </c>
      <c r="B204">
        <v>17.79</v>
      </c>
      <c r="C204">
        <v>26.67</v>
      </c>
      <c r="D204">
        <v>46.89</v>
      </c>
      <c r="E204">
        <v>19.474547999999999</v>
      </c>
      <c r="F204">
        <v>29.195402000000001</v>
      </c>
      <c r="G204">
        <v>51.330049000000002</v>
      </c>
      <c r="H204">
        <v>1.0609200000000001</v>
      </c>
      <c r="I204">
        <v>8.5317000000000004E-2</v>
      </c>
    </row>
    <row r="205" spans="1:9">
      <c r="A205" t="s">
        <v>49</v>
      </c>
      <c r="B205">
        <v>15.44</v>
      </c>
      <c r="C205">
        <v>25.83</v>
      </c>
      <c r="D205">
        <v>49.95</v>
      </c>
      <c r="E205">
        <v>16.926113000000001</v>
      </c>
      <c r="F205">
        <v>28.316158999999999</v>
      </c>
      <c r="G205">
        <v>54.757728999999998</v>
      </c>
      <c r="H205">
        <v>0.92208900000000005</v>
      </c>
      <c r="I205">
        <v>-0.117023</v>
      </c>
    </row>
    <row r="206" spans="1:9">
      <c r="A206" t="s">
        <v>50</v>
      </c>
      <c r="B206">
        <v>24.08</v>
      </c>
      <c r="C206">
        <v>30.47</v>
      </c>
      <c r="D206">
        <v>34.26</v>
      </c>
      <c r="E206">
        <v>27.114063999999999</v>
      </c>
      <c r="F206">
        <v>34.309199</v>
      </c>
      <c r="G206">
        <v>38.576737000000001</v>
      </c>
      <c r="H206">
        <v>1.477101</v>
      </c>
      <c r="I206">
        <v>0.56276800000000005</v>
      </c>
    </row>
    <row r="207" spans="1:9">
      <c r="A207" t="s">
        <v>51</v>
      </c>
      <c r="B207">
        <v>18.93</v>
      </c>
      <c r="C207">
        <v>30.23</v>
      </c>
      <c r="D207">
        <v>39.96</v>
      </c>
      <c r="E207">
        <v>21.241022999999998</v>
      </c>
      <c r="F207">
        <v>33.920557000000002</v>
      </c>
      <c r="G207">
        <v>44.838419999999999</v>
      </c>
      <c r="H207">
        <v>1.1571530000000001</v>
      </c>
      <c r="I207">
        <v>0.21057999999999999</v>
      </c>
    </row>
    <row r="208" spans="1:9">
      <c r="A208" t="s">
        <v>32</v>
      </c>
      <c r="B208">
        <v>17.649999999999999</v>
      </c>
      <c r="C208">
        <v>30.11</v>
      </c>
      <c r="D208">
        <v>43.05</v>
      </c>
      <c r="E208">
        <v>19.436184999999998</v>
      </c>
      <c r="F208">
        <v>33.157141000000003</v>
      </c>
      <c r="G208">
        <v>47.406672999999998</v>
      </c>
      <c r="H208">
        <v>1.0588310000000001</v>
      </c>
      <c r="I208">
        <v>8.2472000000000004E-2</v>
      </c>
    </row>
    <row r="210" spans="1:9">
      <c r="A210" t="s">
        <v>43</v>
      </c>
      <c r="B210">
        <v>12.55</v>
      </c>
      <c r="C210">
        <v>42.03</v>
      </c>
      <c r="D210">
        <v>30.91</v>
      </c>
      <c r="E210">
        <v>14.68008</v>
      </c>
      <c r="F210">
        <v>49.163645000000002</v>
      </c>
      <c r="G210">
        <v>36.156275999999998</v>
      </c>
      <c r="H210">
        <v>0.33370899999999998</v>
      </c>
      <c r="I210">
        <v>-1.5833390000000001</v>
      </c>
    </row>
    <row r="211" spans="1:9">
      <c r="A211" t="s">
        <v>44</v>
      </c>
      <c r="B211">
        <v>42.59</v>
      </c>
      <c r="C211">
        <v>25.38</v>
      </c>
      <c r="D211">
        <v>19.14</v>
      </c>
      <c r="E211">
        <v>48.892204999999997</v>
      </c>
      <c r="F211">
        <v>29.135576</v>
      </c>
      <c r="G211">
        <v>21.972218999999999</v>
      </c>
      <c r="H211">
        <v>1.111421</v>
      </c>
      <c r="I211">
        <v>0.15240600000000001</v>
      </c>
    </row>
    <row r="212" spans="1:9">
      <c r="A212" t="s">
        <v>45</v>
      </c>
      <c r="B212">
        <v>36.29</v>
      </c>
      <c r="C212">
        <v>32.18</v>
      </c>
      <c r="D212">
        <v>17.2</v>
      </c>
      <c r="E212">
        <v>42.360219000000001</v>
      </c>
      <c r="F212">
        <v>37.562741000000003</v>
      </c>
      <c r="G212">
        <v>20.07704</v>
      </c>
      <c r="H212">
        <v>0.96293600000000001</v>
      </c>
      <c r="I212">
        <v>-5.4489000000000003E-2</v>
      </c>
    </row>
    <row r="213" spans="1:9">
      <c r="A213" t="s">
        <v>46</v>
      </c>
      <c r="B213">
        <v>32.14</v>
      </c>
      <c r="C213">
        <v>30.94</v>
      </c>
      <c r="D213">
        <v>23.25</v>
      </c>
      <c r="E213">
        <v>37.229236999999998</v>
      </c>
      <c r="F213">
        <v>35.839221999999999</v>
      </c>
      <c r="G213">
        <v>26.931542</v>
      </c>
      <c r="H213">
        <v>0.84629799999999999</v>
      </c>
      <c r="I213">
        <v>-0.240763</v>
      </c>
    </row>
    <row r="214" spans="1:9">
      <c r="A214" t="s">
        <v>47</v>
      </c>
      <c r="B214">
        <v>42.3</v>
      </c>
      <c r="C214">
        <v>26.08</v>
      </c>
      <c r="D214">
        <v>18.5</v>
      </c>
      <c r="E214">
        <v>48.687845000000003</v>
      </c>
      <c r="F214">
        <v>30.018415999999998</v>
      </c>
      <c r="G214">
        <v>21.293738000000001</v>
      </c>
      <c r="H214">
        <v>1.106776</v>
      </c>
      <c r="I214">
        <v>0.14636299999999999</v>
      </c>
    </row>
    <row r="215" spans="1:9">
      <c r="A215" t="s">
        <v>49</v>
      </c>
      <c r="B215">
        <v>37.61</v>
      </c>
      <c r="C215">
        <v>25.76</v>
      </c>
      <c r="D215">
        <v>23.89</v>
      </c>
      <c r="E215">
        <v>43.101076999999997</v>
      </c>
      <c r="F215">
        <v>29.520972</v>
      </c>
      <c r="G215">
        <v>27.377950999999999</v>
      </c>
      <c r="H215">
        <v>0.97977700000000001</v>
      </c>
      <c r="I215">
        <v>-2.9475000000000001E-2</v>
      </c>
    </row>
    <row r="216" spans="1:9">
      <c r="A216" t="s">
        <v>50</v>
      </c>
      <c r="B216">
        <v>43.54</v>
      </c>
      <c r="C216">
        <v>26.03</v>
      </c>
      <c r="D216">
        <v>16.899999999999999</v>
      </c>
      <c r="E216">
        <v>50.352722999999997</v>
      </c>
      <c r="F216">
        <v>30.102926</v>
      </c>
      <c r="G216">
        <v>19.544350999999999</v>
      </c>
      <c r="H216">
        <v>1.144622</v>
      </c>
      <c r="I216">
        <v>0.19487099999999999</v>
      </c>
    </row>
    <row r="217" spans="1:9">
      <c r="A217" t="s">
        <v>51</v>
      </c>
      <c r="B217">
        <v>38.51</v>
      </c>
      <c r="C217">
        <v>27.95</v>
      </c>
      <c r="D217">
        <v>19.14</v>
      </c>
      <c r="E217">
        <v>44.988318</v>
      </c>
      <c r="F217">
        <v>32.651868999999998</v>
      </c>
      <c r="G217">
        <v>22.359812999999999</v>
      </c>
      <c r="H217">
        <v>1.022678</v>
      </c>
      <c r="I217">
        <v>3.2351999999999999E-2</v>
      </c>
    </row>
    <row r="218" spans="1:9">
      <c r="A218" t="s">
        <v>32</v>
      </c>
      <c r="B218">
        <v>39.57</v>
      </c>
      <c r="C218">
        <v>26.93</v>
      </c>
      <c r="D218">
        <v>20.32</v>
      </c>
      <c r="E218">
        <v>45.577055999999999</v>
      </c>
      <c r="F218">
        <v>31.018198999999999</v>
      </c>
      <c r="G218">
        <v>23.404744999999998</v>
      </c>
      <c r="H218">
        <v>1.0360609999999999</v>
      </c>
      <c r="I218">
        <v>5.1109000000000002E-2</v>
      </c>
    </row>
    <row r="220" spans="1:9">
      <c r="A220" t="s">
        <v>0</v>
      </c>
      <c r="B220" t="s">
        <v>1</v>
      </c>
      <c r="E220" t="s">
        <v>2</v>
      </c>
      <c r="H220" t="s">
        <v>3</v>
      </c>
      <c r="I220" t="s">
        <v>4</v>
      </c>
    </row>
    <row r="221" spans="1:9">
      <c r="B221" t="s">
        <v>5</v>
      </c>
      <c r="C221" t="s">
        <v>6</v>
      </c>
      <c r="D221" t="s">
        <v>7</v>
      </c>
      <c r="E221" t="s">
        <v>5</v>
      </c>
      <c r="F221" t="s">
        <v>6</v>
      </c>
      <c r="G221" t="s">
        <v>7</v>
      </c>
      <c r="H221" t="s">
        <v>5</v>
      </c>
      <c r="I221" t="s">
        <v>5</v>
      </c>
    </row>
    <row r="222" spans="1:9">
      <c r="A222" t="s">
        <v>52</v>
      </c>
      <c r="B222">
        <v>24.68</v>
      </c>
      <c r="C222">
        <v>30.6</v>
      </c>
      <c r="D222">
        <v>32.99</v>
      </c>
      <c r="E222">
        <v>27.959669000000002</v>
      </c>
      <c r="F222">
        <v>34.666364999999999</v>
      </c>
      <c r="G222">
        <v>37.373966000000003</v>
      </c>
      <c r="H222">
        <v>0.716978</v>
      </c>
      <c r="I222">
        <v>-0.47999799999999998</v>
      </c>
    </row>
    <row r="223" spans="1:9">
      <c r="A223" t="s">
        <v>53</v>
      </c>
      <c r="B223">
        <v>30.81</v>
      </c>
      <c r="C223">
        <v>29.07</v>
      </c>
      <c r="D223">
        <v>27.6</v>
      </c>
      <c r="E223">
        <v>35.219479</v>
      </c>
      <c r="F223">
        <v>33.230452999999997</v>
      </c>
      <c r="G223">
        <v>31.550069000000001</v>
      </c>
      <c r="H223">
        <v>0.90314399999999995</v>
      </c>
      <c r="I223">
        <v>-0.14697199999999999</v>
      </c>
    </row>
    <row r="224" spans="1:9">
      <c r="A224" t="s">
        <v>54</v>
      </c>
      <c r="B224">
        <v>27.13</v>
      </c>
      <c r="C224">
        <v>27.75</v>
      </c>
      <c r="D224">
        <v>31.25</v>
      </c>
      <c r="E224">
        <v>31.498896999999999</v>
      </c>
      <c r="F224">
        <v>32.218738999999999</v>
      </c>
      <c r="G224">
        <v>36.282364000000001</v>
      </c>
      <c r="H224">
        <v>0.80773600000000001</v>
      </c>
      <c r="I224">
        <v>-0.30804399999999998</v>
      </c>
    </row>
    <row r="225" spans="1:9">
      <c r="A225" t="s">
        <v>55</v>
      </c>
      <c r="B225">
        <v>13.9</v>
      </c>
      <c r="C225">
        <v>38.89</v>
      </c>
      <c r="D225">
        <v>31.28</v>
      </c>
      <c r="E225">
        <v>16.533840999999999</v>
      </c>
      <c r="F225">
        <v>46.259070000000001</v>
      </c>
      <c r="G225">
        <v>37.207089000000003</v>
      </c>
      <c r="H225">
        <v>0.42398200000000003</v>
      </c>
      <c r="I225">
        <v>-1.237924</v>
      </c>
    </row>
    <row r="226" spans="1:9">
      <c r="A226" t="s">
        <v>58</v>
      </c>
      <c r="B226">
        <v>31.98</v>
      </c>
      <c r="C226">
        <v>27.17</v>
      </c>
      <c r="D226">
        <v>28.09</v>
      </c>
      <c r="E226">
        <v>36.657496999999999</v>
      </c>
      <c r="F226">
        <v>31.143971000000001</v>
      </c>
      <c r="G226">
        <v>32.198532999999998</v>
      </c>
      <c r="H226">
        <v>0.94001900000000005</v>
      </c>
      <c r="I226">
        <v>-8.9237999999999998E-2</v>
      </c>
    </row>
    <row r="227" spans="1:9">
      <c r="A227" t="s">
        <v>59</v>
      </c>
      <c r="B227">
        <v>22.43</v>
      </c>
      <c r="C227">
        <v>33.729999999999997</v>
      </c>
      <c r="D227">
        <v>27.99</v>
      </c>
      <c r="E227">
        <v>26.654782999999998</v>
      </c>
      <c r="F227">
        <v>40.083185</v>
      </c>
      <c r="G227">
        <v>33.262031999999998</v>
      </c>
      <c r="H227">
        <v>0.68351700000000004</v>
      </c>
      <c r="I227">
        <v>-0.54895099999999997</v>
      </c>
    </row>
    <row r="228" spans="1:9">
      <c r="A228" t="s">
        <v>61</v>
      </c>
      <c r="B228">
        <v>30.94</v>
      </c>
      <c r="C228">
        <v>28.1</v>
      </c>
      <c r="D228">
        <v>28.79</v>
      </c>
      <c r="E228">
        <v>35.227142999999998</v>
      </c>
      <c r="F228">
        <v>31.993624000000001</v>
      </c>
      <c r="G228">
        <v>32.779232999999998</v>
      </c>
      <c r="H228">
        <v>0.90334000000000003</v>
      </c>
      <c r="I228">
        <v>-0.14665800000000001</v>
      </c>
    </row>
    <row r="229" spans="1:9">
      <c r="A229" t="s">
        <v>82</v>
      </c>
      <c r="B229">
        <v>30.98</v>
      </c>
      <c r="C229">
        <v>26.96</v>
      </c>
      <c r="D229">
        <v>30.3</v>
      </c>
      <c r="E229">
        <v>35.108794000000003</v>
      </c>
      <c r="F229">
        <v>30.553037</v>
      </c>
      <c r="G229">
        <v>34.338169000000001</v>
      </c>
      <c r="H229">
        <v>0.90030600000000005</v>
      </c>
      <c r="I229">
        <v>-0.15151300000000001</v>
      </c>
    </row>
    <row r="230" spans="1:9">
      <c r="A230" t="s">
        <v>68</v>
      </c>
      <c r="B230">
        <v>23.56</v>
      </c>
      <c r="C230">
        <v>26.25</v>
      </c>
      <c r="D230">
        <v>38.26</v>
      </c>
      <c r="E230">
        <v>26.751448</v>
      </c>
      <c r="F230">
        <v>29.805835999999999</v>
      </c>
      <c r="G230">
        <v>43.442715999999997</v>
      </c>
      <c r="H230">
        <v>0.68599600000000005</v>
      </c>
      <c r="I230">
        <v>-0.54372900000000002</v>
      </c>
    </row>
    <row r="231" spans="1:9">
      <c r="A231" t="s">
        <v>69</v>
      </c>
      <c r="B231">
        <v>26.74</v>
      </c>
      <c r="C231">
        <v>28.66</v>
      </c>
      <c r="D231">
        <v>32.46</v>
      </c>
      <c r="E231">
        <v>30.434782999999999</v>
      </c>
      <c r="F231">
        <v>32.620077000000002</v>
      </c>
      <c r="G231">
        <v>36.945140000000002</v>
      </c>
      <c r="H231">
        <v>0.78044800000000003</v>
      </c>
      <c r="I231">
        <v>-0.35762500000000003</v>
      </c>
    </row>
    <row r="232" spans="1:9">
      <c r="A232" t="s">
        <v>70</v>
      </c>
      <c r="B232">
        <v>26.8</v>
      </c>
      <c r="C232">
        <v>30.24</v>
      </c>
      <c r="D232">
        <v>30.44</v>
      </c>
      <c r="E232">
        <v>30.635573999999998</v>
      </c>
      <c r="F232">
        <v>34.567900999999999</v>
      </c>
      <c r="G232">
        <v>34.796525000000003</v>
      </c>
      <c r="H232">
        <v>0.78559699999999999</v>
      </c>
      <c r="I232">
        <v>-0.348138</v>
      </c>
    </row>
    <row r="233" spans="1:9">
      <c r="A233" t="s">
        <v>56</v>
      </c>
      <c r="B233">
        <v>29.37</v>
      </c>
      <c r="C233">
        <v>28.14</v>
      </c>
      <c r="D233">
        <v>28.25</v>
      </c>
      <c r="E233">
        <v>34.246735000000001</v>
      </c>
      <c r="F233">
        <v>32.8125</v>
      </c>
      <c r="G233">
        <v>32.940764999999999</v>
      </c>
      <c r="H233">
        <v>0.87819999999999998</v>
      </c>
      <c r="I233">
        <v>-0.18737899999999999</v>
      </c>
    </row>
    <row r="234" spans="1:9">
      <c r="A234" t="s">
        <v>32</v>
      </c>
      <c r="B234">
        <v>33.630000000000003</v>
      </c>
      <c r="C234">
        <v>25.14</v>
      </c>
      <c r="D234">
        <v>28.47</v>
      </c>
      <c r="E234">
        <v>38.548831</v>
      </c>
      <c r="F234">
        <v>28.817056000000001</v>
      </c>
      <c r="G234">
        <v>32.634112999999999</v>
      </c>
      <c r="H234">
        <v>0.98851999999999995</v>
      </c>
      <c r="I234">
        <v>-1.6659E-2</v>
      </c>
    </row>
    <row r="236" spans="1:9">
      <c r="A236" t="s">
        <v>52</v>
      </c>
      <c r="B236">
        <v>30.15</v>
      </c>
      <c r="C236">
        <v>26.08</v>
      </c>
      <c r="D236">
        <v>31.1</v>
      </c>
      <c r="E236">
        <v>34.524217999999998</v>
      </c>
      <c r="F236">
        <v>29.863734999999998</v>
      </c>
      <c r="G236">
        <v>35.612045999999999</v>
      </c>
      <c r="H236">
        <v>1.016683</v>
      </c>
      <c r="I236">
        <v>2.3869999999999999E-2</v>
      </c>
    </row>
    <row r="237" spans="1:9">
      <c r="A237" t="s">
        <v>53</v>
      </c>
      <c r="B237">
        <v>30.32</v>
      </c>
      <c r="C237">
        <v>24.24</v>
      </c>
      <c r="D237">
        <v>34.01</v>
      </c>
      <c r="E237">
        <v>34.232810000000001</v>
      </c>
      <c r="F237">
        <v>27.368182999999998</v>
      </c>
      <c r="G237">
        <v>38.399006</v>
      </c>
      <c r="H237">
        <v>1.0081020000000001</v>
      </c>
      <c r="I237">
        <v>1.1641E-2</v>
      </c>
    </row>
    <row r="238" spans="1:9">
      <c r="A238" t="s">
        <v>54</v>
      </c>
      <c r="B238">
        <v>27.48</v>
      </c>
      <c r="C238">
        <v>22.85</v>
      </c>
      <c r="D238">
        <v>36.659999999999997</v>
      </c>
      <c r="E238">
        <v>31.589838</v>
      </c>
      <c r="F238">
        <v>26.267386999999999</v>
      </c>
      <c r="G238">
        <v>42.142775</v>
      </c>
      <c r="H238">
        <v>0.93027000000000004</v>
      </c>
      <c r="I238">
        <v>-0.104278</v>
      </c>
    </row>
    <row r="239" spans="1:9">
      <c r="A239" t="s">
        <v>55</v>
      </c>
      <c r="B239">
        <v>15.13</v>
      </c>
      <c r="C239">
        <v>34.47</v>
      </c>
      <c r="D239">
        <v>35.35</v>
      </c>
      <c r="E239">
        <v>17.810476999999999</v>
      </c>
      <c r="F239">
        <v>40.576810000000002</v>
      </c>
      <c r="G239">
        <v>41.612712999999999</v>
      </c>
      <c r="H239">
        <v>0.52449000000000001</v>
      </c>
      <c r="I239">
        <v>-0.93101299999999998</v>
      </c>
    </row>
    <row r="240" spans="1:9">
      <c r="A240" t="s">
        <v>58</v>
      </c>
      <c r="B240">
        <v>33.39</v>
      </c>
      <c r="C240">
        <v>23.03</v>
      </c>
      <c r="D240">
        <v>31.69</v>
      </c>
      <c r="E240">
        <v>37.895811999999999</v>
      </c>
      <c r="F240">
        <v>26.137782000000001</v>
      </c>
      <c r="G240">
        <v>35.966405999999999</v>
      </c>
      <c r="H240">
        <v>1.115971</v>
      </c>
      <c r="I240">
        <v>0.1583</v>
      </c>
    </row>
    <row r="241" spans="1:9">
      <c r="A241" t="s">
        <v>59</v>
      </c>
      <c r="B241">
        <v>20.61</v>
      </c>
      <c r="C241">
        <v>33.04</v>
      </c>
      <c r="D241">
        <v>31.39</v>
      </c>
      <c r="E241">
        <v>24.235654</v>
      </c>
      <c r="F241">
        <v>38.852305000000001</v>
      </c>
      <c r="G241">
        <v>36.912041000000002</v>
      </c>
      <c r="H241">
        <v>0.71370100000000003</v>
      </c>
      <c r="I241">
        <v>-0.48660799999999998</v>
      </c>
    </row>
    <row r="242" spans="1:9">
      <c r="A242" t="s">
        <v>61</v>
      </c>
      <c r="B242">
        <v>31.13</v>
      </c>
      <c r="C242">
        <v>22.83</v>
      </c>
      <c r="D242">
        <v>35.21</v>
      </c>
      <c r="E242">
        <v>34.910843999999997</v>
      </c>
      <c r="F242">
        <v>25.602781</v>
      </c>
      <c r="G242">
        <v>39.486373999999998</v>
      </c>
      <c r="H242">
        <v>1.0280689999999999</v>
      </c>
      <c r="I242">
        <v>3.9937E-2</v>
      </c>
    </row>
    <row r="243" spans="1:9">
      <c r="A243" t="s">
        <v>82</v>
      </c>
      <c r="B243">
        <v>32.74</v>
      </c>
      <c r="C243">
        <v>23.38</v>
      </c>
      <c r="D243">
        <v>33</v>
      </c>
      <c r="E243">
        <v>36.736984</v>
      </c>
      <c r="F243">
        <v>26.234290999999999</v>
      </c>
      <c r="G243">
        <v>37.028725000000001</v>
      </c>
      <c r="H243">
        <v>1.0818460000000001</v>
      </c>
      <c r="I243">
        <v>0.113495</v>
      </c>
    </row>
    <row r="244" spans="1:9">
      <c r="A244" t="s">
        <v>68</v>
      </c>
      <c r="B244">
        <v>37.159999999999997</v>
      </c>
      <c r="C244">
        <v>23.03</v>
      </c>
      <c r="D244">
        <v>27.92</v>
      </c>
      <c r="E244">
        <v>42.174554999999998</v>
      </c>
      <c r="F244">
        <v>26.137782000000001</v>
      </c>
      <c r="G244">
        <v>31.687663000000001</v>
      </c>
      <c r="H244">
        <v>1.241973</v>
      </c>
      <c r="I244">
        <v>0.31263400000000002</v>
      </c>
    </row>
    <row r="245" spans="1:9">
      <c r="A245" t="s">
        <v>69</v>
      </c>
      <c r="B245">
        <v>29.87</v>
      </c>
      <c r="C245">
        <v>25.4</v>
      </c>
      <c r="D245">
        <v>33.08</v>
      </c>
      <c r="E245">
        <v>33.808714999999999</v>
      </c>
      <c r="F245">
        <v>28.749293000000002</v>
      </c>
      <c r="G245">
        <v>37.441991999999999</v>
      </c>
      <c r="H245">
        <v>0.99561299999999997</v>
      </c>
      <c r="I245">
        <v>-6.3429999999999997E-3</v>
      </c>
    </row>
    <row r="246" spans="1:9">
      <c r="A246" t="s">
        <v>70</v>
      </c>
      <c r="B246">
        <v>30.23</v>
      </c>
      <c r="C246">
        <v>26.28</v>
      </c>
      <c r="D246">
        <v>30.91</v>
      </c>
      <c r="E246">
        <v>34.580188</v>
      </c>
      <c r="F246">
        <v>30.061771</v>
      </c>
      <c r="G246">
        <v>35.358041999999998</v>
      </c>
      <c r="H246">
        <v>1.0183310000000001</v>
      </c>
      <c r="I246">
        <v>2.6207000000000001E-2</v>
      </c>
    </row>
    <row r="247" spans="1:9">
      <c r="A247" t="s">
        <v>56</v>
      </c>
      <c r="B247">
        <v>31.4</v>
      </c>
      <c r="C247">
        <v>24.88</v>
      </c>
      <c r="D247">
        <v>30.06</v>
      </c>
      <c r="E247">
        <v>36.367848000000002</v>
      </c>
      <c r="F247">
        <v>28.816307999999999</v>
      </c>
      <c r="G247">
        <v>34.815843999999998</v>
      </c>
      <c r="H247">
        <v>1.070975</v>
      </c>
      <c r="I247">
        <v>9.8924999999999999E-2</v>
      </c>
    </row>
    <row r="248" spans="1:9">
      <c r="A248" t="s">
        <v>32</v>
      </c>
      <c r="B248">
        <v>30.24</v>
      </c>
      <c r="C248">
        <v>25.76</v>
      </c>
      <c r="D248">
        <v>33.78</v>
      </c>
      <c r="E248">
        <v>33.682335000000002</v>
      </c>
      <c r="F248">
        <v>28.692359</v>
      </c>
      <c r="G248">
        <v>37.625306000000002</v>
      </c>
      <c r="H248">
        <v>0.99189099999999997</v>
      </c>
      <c r="I248">
        <v>-1.1747E-2</v>
      </c>
    </row>
    <row r="250" spans="1:9">
      <c r="A250" t="s">
        <v>52</v>
      </c>
      <c r="B250">
        <v>23.97</v>
      </c>
      <c r="C250">
        <v>36.51</v>
      </c>
      <c r="D250">
        <v>26.07</v>
      </c>
      <c r="E250">
        <v>27.694973999999998</v>
      </c>
      <c r="F250">
        <v>42.183709</v>
      </c>
      <c r="G250">
        <v>30.121317000000001</v>
      </c>
      <c r="H250">
        <v>0.89244199999999996</v>
      </c>
      <c r="I250">
        <v>-0.16417000000000001</v>
      </c>
    </row>
    <row r="251" spans="1:9">
      <c r="A251" t="s">
        <v>53</v>
      </c>
      <c r="B251">
        <v>28.37</v>
      </c>
      <c r="C251">
        <v>36.69</v>
      </c>
      <c r="D251">
        <v>20.440000000000001</v>
      </c>
      <c r="E251">
        <v>33.181286999999998</v>
      </c>
      <c r="F251">
        <v>42.912281</v>
      </c>
      <c r="G251">
        <v>23.906433</v>
      </c>
      <c r="H251">
        <v>1.069232</v>
      </c>
      <c r="I251">
        <v>9.6574999999999994E-2</v>
      </c>
    </row>
    <row r="252" spans="1:9">
      <c r="A252" t="s">
        <v>54</v>
      </c>
      <c r="B252">
        <v>23.02</v>
      </c>
      <c r="C252">
        <v>36.57</v>
      </c>
      <c r="D252">
        <v>25.23</v>
      </c>
      <c r="E252">
        <v>27.139825999999999</v>
      </c>
      <c r="F252">
        <v>43.114831000000002</v>
      </c>
      <c r="G252">
        <v>29.745342999999998</v>
      </c>
      <c r="H252">
        <v>0.87455300000000002</v>
      </c>
      <c r="I252">
        <v>-0.193383</v>
      </c>
    </row>
    <row r="253" spans="1:9">
      <c r="A253" t="s">
        <v>55</v>
      </c>
      <c r="B253">
        <v>18.09</v>
      </c>
      <c r="C253">
        <v>41.15</v>
      </c>
      <c r="D253">
        <v>24.78</v>
      </c>
      <c r="E253">
        <v>21.530588000000002</v>
      </c>
      <c r="F253">
        <v>48.976433999999998</v>
      </c>
      <c r="G253">
        <v>29.492978000000001</v>
      </c>
      <c r="H253">
        <v>0.693801</v>
      </c>
      <c r="I253">
        <v>-0.52740699999999996</v>
      </c>
    </row>
    <row r="254" spans="1:9">
      <c r="A254" t="s">
        <v>58</v>
      </c>
      <c r="B254">
        <v>27.56</v>
      </c>
      <c r="C254">
        <v>34.11</v>
      </c>
      <c r="D254">
        <v>24.42</v>
      </c>
      <c r="E254">
        <v>32.013010000000001</v>
      </c>
      <c r="F254">
        <v>39.621327000000001</v>
      </c>
      <c r="G254">
        <v>28.365663999999999</v>
      </c>
      <c r="H254">
        <v>1.0315859999999999</v>
      </c>
      <c r="I254">
        <v>4.4864000000000001E-2</v>
      </c>
    </row>
    <row r="255" spans="1:9">
      <c r="A255" t="s">
        <v>59</v>
      </c>
      <c r="B255">
        <v>16.93</v>
      </c>
      <c r="C255">
        <v>44.85</v>
      </c>
      <c r="D255">
        <v>22.2</v>
      </c>
      <c r="E255">
        <v>20.159562000000001</v>
      </c>
      <c r="F255">
        <v>53.405572999999997</v>
      </c>
      <c r="G255">
        <v>26.434864999999999</v>
      </c>
      <c r="H255">
        <v>0.649621</v>
      </c>
      <c r="I255">
        <v>-0.62233000000000005</v>
      </c>
    </row>
    <row r="256" spans="1:9">
      <c r="A256" t="s">
        <v>61</v>
      </c>
      <c r="B256">
        <v>27.69</v>
      </c>
      <c r="C256">
        <v>34.03</v>
      </c>
      <c r="D256">
        <v>24.73</v>
      </c>
      <c r="E256">
        <v>32.030074999999997</v>
      </c>
      <c r="F256">
        <v>39.363793999999999</v>
      </c>
      <c r="G256">
        <v>28.606131000000001</v>
      </c>
      <c r="H256">
        <v>1.0321359999999999</v>
      </c>
      <c r="I256">
        <v>4.5633E-2</v>
      </c>
    </row>
    <row r="257" spans="1:9">
      <c r="A257" t="s">
        <v>82</v>
      </c>
      <c r="B257">
        <v>35.159999999999997</v>
      </c>
      <c r="C257">
        <v>32.619999999999997</v>
      </c>
      <c r="D257">
        <v>18.04</v>
      </c>
      <c r="E257">
        <v>40.969470999999999</v>
      </c>
      <c r="F257">
        <v>38.009788</v>
      </c>
      <c r="G257">
        <v>21.020741000000001</v>
      </c>
      <c r="H257">
        <v>1.320198</v>
      </c>
      <c r="I257">
        <v>0.40075499999999997</v>
      </c>
    </row>
    <row r="258" spans="1:9">
      <c r="A258" t="s">
        <v>68</v>
      </c>
      <c r="B258">
        <v>27.83</v>
      </c>
      <c r="C258">
        <v>33</v>
      </c>
      <c r="D258">
        <v>26.1</v>
      </c>
      <c r="E258">
        <v>32.014263999999997</v>
      </c>
      <c r="F258">
        <v>37.961578000000003</v>
      </c>
      <c r="G258">
        <v>30.024156999999999</v>
      </c>
      <c r="H258">
        <v>1.0316259999999999</v>
      </c>
      <c r="I258">
        <v>4.4920000000000002E-2</v>
      </c>
    </row>
    <row r="259" spans="1:9">
      <c r="A259" t="s">
        <v>69</v>
      </c>
      <c r="B259">
        <v>26.49</v>
      </c>
      <c r="C259">
        <v>34.78</v>
      </c>
      <c r="D259">
        <v>24.81</v>
      </c>
      <c r="E259">
        <v>30.773699000000001</v>
      </c>
      <c r="F259">
        <v>40.404274999999998</v>
      </c>
      <c r="G259">
        <v>28.822026000000001</v>
      </c>
      <c r="H259">
        <v>0.99165000000000003</v>
      </c>
      <c r="I259">
        <v>-1.2097E-2</v>
      </c>
    </row>
    <row r="260" spans="1:9">
      <c r="A260" t="s">
        <v>70</v>
      </c>
      <c r="B260">
        <v>24.92</v>
      </c>
      <c r="C260">
        <v>40.32</v>
      </c>
      <c r="D260">
        <v>19.68</v>
      </c>
      <c r="E260">
        <v>29.345265999999999</v>
      </c>
      <c r="F260">
        <v>47.479981000000002</v>
      </c>
      <c r="G260">
        <v>23.174752999999999</v>
      </c>
      <c r="H260">
        <v>0.94562100000000004</v>
      </c>
      <c r="I260">
        <v>-8.0667000000000003E-2</v>
      </c>
    </row>
    <row r="261" spans="1:9">
      <c r="A261" t="s">
        <v>56</v>
      </c>
      <c r="B261">
        <v>22.65</v>
      </c>
      <c r="C261">
        <v>34.869999999999997</v>
      </c>
      <c r="D261">
        <v>27.84</v>
      </c>
      <c r="E261">
        <v>26.534676999999999</v>
      </c>
      <c r="F261">
        <v>40.850515000000001</v>
      </c>
      <c r="G261">
        <v>32.614807999999996</v>
      </c>
      <c r="H261">
        <v>0.85505200000000003</v>
      </c>
      <c r="I261">
        <v>-0.225915</v>
      </c>
    </row>
    <row r="262" spans="1:9">
      <c r="A262" t="s">
        <v>32</v>
      </c>
      <c r="B262">
        <v>27.19</v>
      </c>
      <c r="C262">
        <v>37.340000000000003</v>
      </c>
      <c r="D262">
        <v>21.36</v>
      </c>
      <c r="E262">
        <v>31.656770000000002</v>
      </c>
      <c r="F262">
        <v>43.474210999999997</v>
      </c>
      <c r="G262">
        <v>24.869019000000002</v>
      </c>
      <c r="H262">
        <v>1.020106</v>
      </c>
      <c r="I262">
        <v>2.8719999999999999E-2</v>
      </c>
    </row>
    <row r="264" spans="1:9">
      <c r="A264" t="s">
        <v>52</v>
      </c>
      <c r="B264">
        <v>25.35</v>
      </c>
      <c r="C264">
        <v>39.18</v>
      </c>
      <c r="D264">
        <v>21.9</v>
      </c>
      <c r="E264">
        <v>29.330093999999999</v>
      </c>
      <c r="F264">
        <v>45.331482000000001</v>
      </c>
      <c r="G264">
        <v>25.338424</v>
      </c>
      <c r="H264">
        <v>0.94978099999999999</v>
      </c>
      <c r="I264">
        <v>-7.4332999999999996E-2</v>
      </c>
    </row>
    <row r="265" spans="1:9">
      <c r="A265" t="s">
        <v>53</v>
      </c>
      <c r="B265">
        <v>28.09</v>
      </c>
      <c r="C265">
        <v>36.32</v>
      </c>
      <c r="D265">
        <v>21.53</v>
      </c>
      <c r="E265">
        <v>32.685594999999999</v>
      </c>
      <c r="F265">
        <v>42.262042999999998</v>
      </c>
      <c r="G265">
        <v>25.052361999999999</v>
      </c>
      <c r="H265">
        <v>1.058441</v>
      </c>
      <c r="I265">
        <v>8.1939999999999999E-2</v>
      </c>
    </row>
    <row r="266" spans="1:9">
      <c r="A266" t="s">
        <v>54</v>
      </c>
      <c r="B266">
        <v>22</v>
      </c>
      <c r="C266">
        <v>36.979999999999997</v>
      </c>
      <c r="D266">
        <v>26.25</v>
      </c>
      <c r="E266">
        <v>25.812507</v>
      </c>
      <c r="F266">
        <v>43.388477999999999</v>
      </c>
      <c r="G266">
        <v>30.799014</v>
      </c>
      <c r="H266">
        <v>0.83587299999999998</v>
      </c>
      <c r="I266">
        <v>-0.25864399999999999</v>
      </c>
    </row>
    <row r="267" spans="1:9">
      <c r="A267" t="s">
        <v>55</v>
      </c>
      <c r="B267">
        <v>17.32</v>
      </c>
      <c r="C267">
        <v>42.99</v>
      </c>
      <c r="D267">
        <v>23.88</v>
      </c>
      <c r="E267">
        <v>20.572514999999999</v>
      </c>
      <c r="F267">
        <v>51.063071999999998</v>
      </c>
      <c r="G267">
        <v>28.364414</v>
      </c>
      <c r="H267">
        <v>0.66618900000000003</v>
      </c>
      <c r="I267">
        <v>-0.58599699999999999</v>
      </c>
    </row>
    <row r="268" spans="1:9">
      <c r="A268" t="s">
        <v>58</v>
      </c>
      <c r="B268">
        <v>27.43</v>
      </c>
      <c r="C268">
        <v>36.58</v>
      </c>
      <c r="D268">
        <v>22.02</v>
      </c>
      <c r="E268">
        <v>31.884226000000002</v>
      </c>
      <c r="F268">
        <v>42.520051000000002</v>
      </c>
      <c r="G268">
        <v>25.595721999999999</v>
      </c>
      <c r="H268">
        <v>1.0324899999999999</v>
      </c>
      <c r="I268">
        <v>4.6128000000000002E-2</v>
      </c>
    </row>
    <row r="269" spans="1:9">
      <c r="A269" t="s">
        <v>59</v>
      </c>
      <c r="B269">
        <v>18.690000000000001</v>
      </c>
      <c r="C269">
        <v>45.47</v>
      </c>
      <c r="D269">
        <v>19.14</v>
      </c>
      <c r="E269">
        <v>22.436975</v>
      </c>
      <c r="F269">
        <v>54.585833999999998</v>
      </c>
      <c r="G269">
        <v>22.977191000000001</v>
      </c>
      <c r="H269">
        <v>0.72656500000000002</v>
      </c>
      <c r="I269">
        <v>-0.460837</v>
      </c>
    </row>
    <row r="270" spans="1:9">
      <c r="A270" t="s">
        <v>61</v>
      </c>
      <c r="B270">
        <v>26.48</v>
      </c>
      <c r="C270">
        <v>36.950000000000003</v>
      </c>
      <c r="D270">
        <v>23.51</v>
      </c>
      <c r="E270">
        <v>30.457787</v>
      </c>
      <c r="F270">
        <v>42.500574999999998</v>
      </c>
      <c r="G270">
        <v>27.041637999999999</v>
      </c>
      <c r="H270">
        <v>0.98629900000000004</v>
      </c>
      <c r="I270">
        <v>-1.9904000000000002E-2</v>
      </c>
    </row>
    <row r="271" spans="1:9">
      <c r="A271" t="s">
        <v>82</v>
      </c>
      <c r="B271">
        <v>33.880000000000003</v>
      </c>
      <c r="C271">
        <v>32.61</v>
      </c>
      <c r="D271">
        <v>19.63</v>
      </c>
      <c r="E271">
        <v>39.340454999999999</v>
      </c>
      <c r="F271">
        <v>37.865769</v>
      </c>
      <c r="G271">
        <v>22.793776000000001</v>
      </c>
      <c r="H271">
        <v>1.273941</v>
      </c>
      <c r="I271">
        <v>0.34929900000000003</v>
      </c>
    </row>
    <row r="272" spans="1:9">
      <c r="A272" t="s">
        <v>68</v>
      </c>
      <c r="B272">
        <v>28.53</v>
      </c>
      <c r="C272">
        <v>37.299999999999997</v>
      </c>
      <c r="D272">
        <v>20.7</v>
      </c>
      <c r="E272">
        <v>32.971223999999999</v>
      </c>
      <c r="F272">
        <v>43.106437</v>
      </c>
      <c r="G272">
        <v>23.922339000000001</v>
      </c>
      <c r="H272">
        <v>1.06769</v>
      </c>
      <c r="I272">
        <v>9.4492999999999994E-2</v>
      </c>
    </row>
    <row r="273" spans="1:9">
      <c r="A273" t="s">
        <v>69</v>
      </c>
      <c r="B273">
        <v>28.02</v>
      </c>
      <c r="C273">
        <v>37.93</v>
      </c>
      <c r="D273">
        <v>19.600000000000001</v>
      </c>
      <c r="E273">
        <v>32.752775999999997</v>
      </c>
      <c r="F273">
        <v>44.336644999999997</v>
      </c>
      <c r="G273">
        <v>22.910578999999998</v>
      </c>
      <c r="H273">
        <v>1.060616</v>
      </c>
      <c r="I273">
        <v>8.4902000000000005E-2</v>
      </c>
    </row>
    <row r="274" spans="1:9">
      <c r="A274" t="s">
        <v>70</v>
      </c>
      <c r="B274">
        <v>24.93</v>
      </c>
      <c r="C274">
        <v>40.049999999999997</v>
      </c>
      <c r="D274">
        <v>20.22</v>
      </c>
      <c r="E274">
        <v>29.260563000000001</v>
      </c>
      <c r="F274">
        <v>47.007041999999998</v>
      </c>
      <c r="G274">
        <v>23.732393999999999</v>
      </c>
      <c r="H274">
        <v>0.94752999999999998</v>
      </c>
      <c r="I274">
        <v>-7.7757000000000007E-2</v>
      </c>
    </row>
    <row r="275" spans="1:9">
      <c r="A275" t="s">
        <v>56</v>
      </c>
      <c r="B275">
        <v>23.84</v>
      </c>
      <c r="C275">
        <v>38.46</v>
      </c>
      <c r="D275">
        <v>21.7</v>
      </c>
      <c r="E275">
        <v>28.380952000000001</v>
      </c>
      <c r="F275">
        <v>45.785713999999999</v>
      </c>
      <c r="G275">
        <v>25.833333</v>
      </c>
      <c r="H275">
        <v>0.91904600000000003</v>
      </c>
      <c r="I275">
        <v>-0.121792</v>
      </c>
    </row>
    <row r="276" spans="1:9">
      <c r="A276" t="s">
        <v>32</v>
      </c>
      <c r="B276">
        <v>27.74</v>
      </c>
      <c r="C276">
        <v>37.69</v>
      </c>
      <c r="D276">
        <v>20.46</v>
      </c>
      <c r="E276">
        <v>32.297123999999997</v>
      </c>
      <c r="F276">
        <v>43.881709000000001</v>
      </c>
      <c r="G276">
        <v>23.821166999999999</v>
      </c>
      <c r="H276">
        <v>1.0458609999999999</v>
      </c>
      <c r="I276">
        <v>6.4690999999999999E-2</v>
      </c>
    </row>
    <row r="278" spans="1:9">
      <c r="A278" t="s">
        <v>0</v>
      </c>
      <c r="B278" t="s">
        <v>1</v>
      </c>
      <c r="E278" t="s">
        <v>2</v>
      </c>
      <c r="H278" t="s">
        <v>3</v>
      </c>
      <c r="I278" t="s">
        <v>4</v>
      </c>
    </row>
    <row r="279" spans="1:9">
      <c r="B279" t="s">
        <v>5</v>
      </c>
      <c r="C279" t="s">
        <v>6</v>
      </c>
      <c r="D279" t="s">
        <v>7</v>
      </c>
      <c r="E279" t="s">
        <v>5</v>
      </c>
      <c r="F279" t="s">
        <v>6</v>
      </c>
      <c r="G279" t="s">
        <v>7</v>
      </c>
      <c r="H279" t="s">
        <v>5</v>
      </c>
      <c r="I279" t="s">
        <v>5</v>
      </c>
    </row>
    <row r="280" spans="1:9">
      <c r="A280" t="s">
        <v>57</v>
      </c>
      <c r="B280">
        <v>29.71</v>
      </c>
      <c r="C280">
        <v>19.38</v>
      </c>
      <c r="D280">
        <v>38.4</v>
      </c>
      <c r="E280">
        <v>33.958167000000003</v>
      </c>
      <c r="F280">
        <v>22.151102999999999</v>
      </c>
      <c r="G280">
        <v>43.890729999999998</v>
      </c>
      <c r="H280">
        <v>0.95676300000000003</v>
      </c>
      <c r="I280">
        <v>-6.3766000000000003E-2</v>
      </c>
    </row>
    <row r="281" spans="1:9">
      <c r="A281" t="s">
        <v>60</v>
      </c>
      <c r="B281">
        <v>24.97</v>
      </c>
      <c r="C281">
        <v>27.57</v>
      </c>
      <c r="D281">
        <v>34.9</v>
      </c>
      <c r="E281">
        <v>28.556725</v>
      </c>
      <c r="F281">
        <v>31.530192</v>
      </c>
      <c r="G281">
        <v>39.913083</v>
      </c>
      <c r="H281">
        <v>0.80457900000000004</v>
      </c>
      <c r="I281">
        <v>-0.31369399999999997</v>
      </c>
    </row>
    <row r="282" spans="1:9">
      <c r="A282" t="s">
        <v>62</v>
      </c>
      <c r="B282">
        <v>32.42</v>
      </c>
      <c r="C282">
        <v>22.81</v>
      </c>
      <c r="D282">
        <v>32.4</v>
      </c>
      <c r="E282">
        <v>36.996462000000001</v>
      </c>
      <c r="F282">
        <v>26.029897999999999</v>
      </c>
      <c r="G282">
        <v>36.973638999999999</v>
      </c>
      <c r="H282">
        <v>1.042367</v>
      </c>
      <c r="I282">
        <v>5.9863E-2</v>
      </c>
    </row>
    <row r="283" spans="1:9">
      <c r="A283" t="s">
        <v>63</v>
      </c>
      <c r="B283">
        <v>29.98</v>
      </c>
      <c r="C283">
        <v>23.09</v>
      </c>
      <c r="D283">
        <v>34.44</v>
      </c>
      <c r="E283">
        <v>34.258941999999998</v>
      </c>
      <c r="F283">
        <v>26.385556000000001</v>
      </c>
      <c r="G283">
        <v>39.355502000000001</v>
      </c>
      <c r="H283">
        <v>0.96523800000000004</v>
      </c>
      <c r="I283">
        <v>-5.1043999999999999E-2</v>
      </c>
    </row>
    <row r="284" spans="1:9">
      <c r="A284" t="s">
        <v>64</v>
      </c>
      <c r="B284">
        <v>29.38</v>
      </c>
      <c r="C284">
        <v>23.3</v>
      </c>
      <c r="D284">
        <v>35.08</v>
      </c>
      <c r="E284">
        <v>33.477665999999999</v>
      </c>
      <c r="F284">
        <v>26.549681</v>
      </c>
      <c r="G284">
        <v>39.972653000000001</v>
      </c>
      <c r="H284">
        <v>0.94322499999999998</v>
      </c>
      <c r="I284">
        <v>-8.4325999999999998E-2</v>
      </c>
    </row>
    <row r="285" spans="1:9">
      <c r="A285" t="s">
        <v>65</v>
      </c>
      <c r="B285">
        <v>29.97</v>
      </c>
      <c r="C285">
        <v>23.53</v>
      </c>
      <c r="D285">
        <v>34.92</v>
      </c>
      <c r="E285">
        <v>33.895046000000001</v>
      </c>
      <c r="F285">
        <v>26.611626000000001</v>
      </c>
      <c r="G285">
        <v>39.493327000000001</v>
      </c>
      <c r="H285">
        <v>0.95498499999999997</v>
      </c>
      <c r="I285">
        <v>-6.6449999999999995E-2</v>
      </c>
    </row>
    <row r="286" spans="1:9">
      <c r="A286" t="s">
        <v>66</v>
      </c>
      <c r="B286">
        <v>28.88</v>
      </c>
      <c r="C286">
        <v>24.65</v>
      </c>
      <c r="D286">
        <v>33.01</v>
      </c>
      <c r="E286">
        <v>33.371850999999999</v>
      </c>
      <c r="F286">
        <v>28.483937999999998</v>
      </c>
      <c r="G286">
        <v>38.144210999999999</v>
      </c>
      <c r="H286">
        <v>0.94024399999999997</v>
      </c>
      <c r="I286">
        <v>-8.8893E-2</v>
      </c>
    </row>
    <row r="287" spans="1:9">
      <c r="A287" t="s">
        <v>32</v>
      </c>
      <c r="B287">
        <v>31.14</v>
      </c>
      <c r="C287">
        <v>23.75</v>
      </c>
      <c r="D287">
        <v>32.17</v>
      </c>
      <c r="E287">
        <v>35.768436000000001</v>
      </c>
      <c r="F287">
        <v>27.280037</v>
      </c>
      <c r="G287">
        <v>36.951528000000003</v>
      </c>
      <c r="H287">
        <v>1.0077670000000001</v>
      </c>
      <c r="I287">
        <v>1.1162E-2</v>
      </c>
    </row>
    <row r="289" spans="1:9">
      <c r="A289" t="s">
        <v>57</v>
      </c>
      <c r="B289">
        <v>29.84</v>
      </c>
      <c r="C289">
        <v>21.9</v>
      </c>
      <c r="D289">
        <v>36.700000000000003</v>
      </c>
      <c r="E289">
        <v>33.740389</v>
      </c>
      <c r="F289">
        <v>24.762550999999998</v>
      </c>
      <c r="G289">
        <v>41.497059999999998</v>
      </c>
      <c r="H289">
        <v>0.89836099999999997</v>
      </c>
      <c r="I289">
        <v>-0.15463299999999999</v>
      </c>
    </row>
    <row r="290" spans="1:9">
      <c r="A290" t="s">
        <v>60</v>
      </c>
      <c r="B290">
        <v>27.53</v>
      </c>
      <c r="C290">
        <v>29.77</v>
      </c>
      <c r="D290">
        <v>30.97</v>
      </c>
      <c r="E290">
        <v>31.188399</v>
      </c>
      <c r="F290">
        <v>33.726067999999998</v>
      </c>
      <c r="G290">
        <v>35.085532999999998</v>
      </c>
      <c r="H290">
        <v>0.83041200000000004</v>
      </c>
      <c r="I290">
        <v>-0.2681</v>
      </c>
    </row>
    <row r="291" spans="1:9">
      <c r="A291" t="s">
        <v>62</v>
      </c>
      <c r="B291">
        <v>33.15</v>
      </c>
      <c r="C291">
        <v>25.83</v>
      </c>
      <c r="D291">
        <v>29.34</v>
      </c>
      <c r="E291">
        <v>37.533966999999997</v>
      </c>
      <c r="F291">
        <v>29.245923999999999</v>
      </c>
      <c r="G291">
        <v>33.220109000000001</v>
      </c>
      <c r="H291">
        <v>0.99936800000000003</v>
      </c>
      <c r="I291">
        <v>-9.1299999999999997E-4</v>
      </c>
    </row>
    <row r="292" spans="1:9">
      <c r="A292" t="s">
        <v>63</v>
      </c>
      <c r="B292">
        <v>31.16</v>
      </c>
      <c r="C292">
        <v>25.61</v>
      </c>
      <c r="D292">
        <v>31.44</v>
      </c>
      <c r="E292">
        <v>35.324793</v>
      </c>
      <c r="F292">
        <v>29.032989000000001</v>
      </c>
      <c r="G292">
        <v>35.642217000000002</v>
      </c>
      <c r="H292">
        <v>0.94054700000000002</v>
      </c>
      <c r="I292">
        <v>-8.8428000000000007E-2</v>
      </c>
    </row>
    <row r="293" spans="1:9">
      <c r="A293" t="s">
        <v>64</v>
      </c>
      <c r="B293">
        <v>31.43</v>
      </c>
      <c r="C293">
        <v>24.74</v>
      </c>
      <c r="D293">
        <v>31.6</v>
      </c>
      <c r="E293">
        <v>35.809502000000002</v>
      </c>
      <c r="F293">
        <v>28.187308000000002</v>
      </c>
      <c r="G293">
        <v>36.003189999999996</v>
      </c>
      <c r="H293">
        <v>0.95345199999999997</v>
      </c>
      <c r="I293">
        <v>-6.8766999999999995E-2</v>
      </c>
    </row>
    <row r="294" spans="1:9">
      <c r="A294" t="s">
        <v>65</v>
      </c>
      <c r="B294">
        <v>32.5</v>
      </c>
      <c r="C294">
        <v>26.28</v>
      </c>
      <c r="D294">
        <v>29.51</v>
      </c>
      <c r="E294">
        <v>36.810510999999998</v>
      </c>
      <c r="F294">
        <v>29.765544999999999</v>
      </c>
      <c r="G294">
        <v>33.423943999999999</v>
      </c>
      <c r="H294">
        <v>0.980105</v>
      </c>
      <c r="I294">
        <v>-2.8992E-2</v>
      </c>
    </row>
    <row r="295" spans="1:9">
      <c r="A295" t="s">
        <v>66</v>
      </c>
      <c r="B295">
        <v>30.15</v>
      </c>
      <c r="C295">
        <v>28.21</v>
      </c>
      <c r="D295">
        <v>29.12</v>
      </c>
      <c r="E295">
        <v>34.465021</v>
      </c>
      <c r="F295">
        <v>32.247371000000001</v>
      </c>
      <c r="G295">
        <v>33.287609000000003</v>
      </c>
      <c r="H295">
        <v>0.917655</v>
      </c>
      <c r="I295">
        <v>-0.123977</v>
      </c>
    </row>
    <row r="296" spans="1:9">
      <c r="A296" t="s">
        <v>32</v>
      </c>
      <c r="B296">
        <v>31.49</v>
      </c>
      <c r="C296">
        <v>26.47</v>
      </c>
      <c r="D296">
        <v>30.13</v>
      </c>
      <c r="E296">
        <v>35.747531000000002</v>
      </c>
      <c r="F296">
        <v>30.048814</v>
      </c>
      <c r="G296">
        <v>34.203654999999998</v>
      </c>
      <c r="H296">
        <v>0.95180200000000004</v>
      </c>
      <c r="I296">
        <v>-7.1265999999999996E-2</v>
      </c>
    </row>
    <row r="298" spans="1:9">
      <c r="A298" t="s">
        <v>57</v>
      </c>
      <c r="B298">
        <v>22.82</v>
      </c>
      <c r="C298">
        <v>15.26</v>
      </c>
      <c r="D298">
        <v>53.3</v>
      </c>
      <c r="E298">
        <v>24.972642</v>
      </c>
      <c r="F298">
        <v>16.699497000000001</v>
      </c>
      <c r="G298">
        <v>58.327862000000003</v>
      </c>
      <c r="H298">
        <v>0.72045499999999996</v>
      </c>
      <c r="I298">
        <v>-0.47301900000000002</v>
      </c>
    </row>
    <row r="299" spans="1:9">
      <c r="A299" t="s">
        <v>60</v>
      </c>
      <c r="B299">
        <v>24.23</v>
      </c>
      <c r="C299">
        <v>29.53</v>
      </c>
      <c r="D299">
        <v>35.950000000000003</v>
      </c>
      <c r="E299">
        <v>27.009252</v>
      </c>
      <c r="F299">
        <v>32.917178</v>
      </c>
      <c r="G299">
        <v>40.073569999999997</v>
      </c>
      <c r="H299">
        <v>0.77921099999999999</v>
      </c>
      <c r="I299">
        <v>-0.35991400000000001</v>
      </c>
    </row>
    <row r="300" spans="1:9">
      <c r="A300" t="s">
        <v>62</v>
      </c>
      <c r="B300">
        <v>34.299999999999997</v>
      </c>
      <c r="C300">
        <v>25.27</v>
      </c>
      <c r="D300">
        <v>29.02</v>
      </c>
      <c r="E300">
        <v>38.717688000000003</v>
      </c>
      <c r="F300">
        <v>28.524664000000001</v>
      </c>
      <c r="G300">
        <v>32.757648000000003</v>
      </c>
      <c r="H300">
        <v>1.116997</v>
      </c>
      <c r="I300">
        <v>0.15962499999999999</v>
      </c>
    </row>
    <row r="301" spans="1:9">
      <c r="A301" t="s">
        <v>63</v>
      </c>
      <c r="B301">
        <v>28.59</v>
      </c>
      <c r="C301">
        <v>25.88</v>
      </c>
      <c r="D301">
        <v>34.89</v>
      </c>
      <c r="E301">
        <v>31.994181000000001</v>
      </c>
      <c r="F301">
        <v>28.961504000000001</v>
      </c>
      <c r="G301">
        <v>39.044314999999997</v>
      </c>
      <c r="H301">
        <v>0.92302499999999998</v>
      </c>
      <c r="I301">
        <v>-0.11555799999999999</v>
      </c>
    </row>
    <row r="302" spans="1:9">
      <c r="A302" t="s">
        <v>64</v>
      </c>
      <c r="B302">
        <v>34</v>
      </c>
      <c r="C302">
        <v>22.13</v>
      </c>
      <c r="D302">
        <v>33.26</v>
      </c>
      <c r="E302">
        <v>38.035573999999997</v>
      </c>
      <c r="F302">
        <v>24.756684</v>
      </c>
      <c r="G302">
        <v>37.207740999999999</v>
      </c>
      <c r="H302">
        <v>1.097318</v>
      </c>
      <c r="I302">
        <v>0.13398199999999999</v>
      </c>
    </row>
    <row r="303" spans="1:9">
      <c r="A303" t="s">
        <v>65</v>
      </c>
      <c r="B303">
        <v>30.48</v>
      </c>
      <c r="C303">
        <v>26.3</v>
      </c>
      <c r="D303">
        <v>31.53</v>
      </c>
      <c r="E303">
        <v>34.514777000000002</v>
      </c>
      <c r="F303">
        <v>29.781452000000002</v>
      </c>
      <c r="G303">
        <v>35.703771000000003</v>
      </c>
      <c r="H303">
        <v>0.99574399999999996</v>
      </c>
      <c r="I303">
        <v>-6.1529999999999996E-3</v>
      </c>
    </row>
    <row r="304" spans="1:9">
      <c r="A304" t="s">
        <v>66</v>
      </c>
      <c r="B304">
        <v>27.85</v>
      </c>
      <c r="C304">
        <v>29.22</v>
      </c>
      <c r="D304">
        <v>31.22</v>
      </c>
      <c r="E304">
        <v>31.543776000000001</v>
      </c>
      <c r="F304">
        <v>33.095480999999999</v>
      </c>
      <c r="G304">
        <v>35.360742999999999</v>
      </c>
      <c r="H304">
        <v>0.91003100000000003</v>
      </c>
      <c r="I304">
        <v>-0.13601199999999999</v>
      </c>
    </row>
    <row r="305" spans="1:9">
      <c r="A305" t="s">
        <v>32</v>
      </c>
      <c r="B305">
        <v>32.85</v>
      </c>
      <c r="C305">
        <v>25.7</v>
      </c>
      <c r="D305">
        <v>29.73</v>
      </c>
      <c r="E305">
        <v>37.211145999999999</v>
      </c>
      <c r="F305">
        <v>29.111916999999998</v>
      </c>
      <c r="G305">
        <v>33.676937000000002</v>
      </c>
      <c r="H305">
        <v>1.073534</v>
      </c>
      <c r="I305">
        <v>0.102368</v>
      </c>
    </row>
    <row r="307" spans="1:9">
      <c r="A307" t="s">
        <v>57</v>
      </c>
      <c r="B307">
        <v>27.26</v>
      </c>
      <c r="C307">
        <v>23.68</v>
      </c>
      <c r="D307">
        <v>37.53</v>
      </c>
      <c r="E307">
        <v>30.812705000000001</v>
      </c>
      <c r="F307">
        <v>26.766134999999998</v>
      </c>
      <c r="G307">
        <v>42.42116</v>
      </c>
      <c r="H307">
        <v>0.93083099999999996</v>
      </c>
      <c r="I307">
        <v>-0.103409</v>
      </c>
    </row>
    <row r="308" spans="1:9">
      <c r="A308" t="s">
        <v>60</v>
      </c>
      <c r="B308">
        <v>26.29</v>
      </c>
      <c r="C308">
        <v>31.75</v>
      </c>
      <c r="D308">
        <v>30.77</v>
      </c>
      <c r="E308">
        <v>29.602522</v>
      </c>
      <c r="F308">
        <v>35.750478999999999</v>
      </c>
      <c r="G308">
        <v>34.646999000000001</v>
      </c>
      <c r="H308">
        <v>0.89427199999999996</v>
      </c>
      <c r="I308">
        <v>-0.161214</v>
      </c>
    </row>
    <row r="309" spans="1:9">
      <c r="A309" t="s">
        <v>62</v>
      </c>
      <c r="B309">
        <v>34.69</v>
      </c>
      <c r="C309">
        <v>27.35</v>
      </c>
      <c r="D309">
        <v>26.14</v>
      </c>
      <c r="E309">
        <v>39.339986000000003</v>
      </c>
      <c r="F309">
        <v>31.016103000000001</v>
      </c>
      <c r="G309">
        <v>29.643910000000002</v>
      </c>
      <c r="H309">
        <v>1.188434</v>
      </c>
      <c r="I309">
        <v>0.24906200000000001</v>
      </c>
    </row>
    <row r="310" spans="1:9">
      <c r="A310" t="s">
        <v>63</v>
      </c>
      <c r="B310">
        <v>28.4</v>
      </c>
      <c r="C310">
        <v>28.29</v>
      </c>
      <c r="D310">
        <v>31.94</v>
      </c>
      <c r="E310">
        <v>32.043326</v>
      </c>
      <c r="F310">
        <v>31.919215000000001</v>
      </c>
      <c r="G310">
        <v>36.037458999999998</v>
      </c>
      <c r="H310">
        <v>0.96800699999999995</v>
      </c>
      <c r="I310">
        <v>-4.691E-2</v>
      </c>
    </row>
    <row r="311" spans="1:9">
      <c r="A311" t="s">
        <v>64</v>
      </c>
      <c r="B311">
        <v>32.299999999999997</v>
      </c>
      <c r="C311">
        <v>27.22</v>
      </c>
      <c r="D311">
        <v>28.36</v>
      </c>
      <c r="E311">
        <v>36.754665000000003</v>
      </c>
      <c r="F311">
        <v>30.974056000000001</v>
      </c>
      <c r="G311">
        <v>32.271279</v>
      </c>
      <c r="H311">
        <v>1.110333</v>
      </c>
      <c r="I311">
        <v>0.15099299999999999</v>
      </c>
    </row>
    <row r="312" spans="1:9">
      <c r="A312" t="s">
        <v>65</v>
      </c>
      <c r="B312">
        <v>31.67</v>
      </c>
      <c r="C312">
        <v>27.14</v>
      </c>
      <c r="D312">
        <v>29.24</v>
      </c>
      <c r="E312">
        <v>35.968200000000003</v>
      </c>
      <c r="F312">
        <v>30.823395999999999</v>
      </c>
      <c r="G312">
        <v>33.208404000000002</v>
      </c>
      <c r="H312">
        <v>1.0865750000000001</v>
      </c>
      <c r="I312">
        <v>0.11978800000000001</v>
      </c>
    </row>
    <row r="313" spans="1:9">
      <c r="A313" t="s">
        <v>66</v>
      </c>
      <c r="B313">
        <v>30.38</v>
      </c>
      <c r="C313">
        <v>28.58</v>
      </c>
      <c r="D313">
        <v>28.74</v>
      </c>
      <c r="E313">
        <v>34.640821000000003</v>
      </c>
      <c r="F313">
        <v>32.588369</v>
      </c>
      <c r="G313">
        <v>32.770809999999997</v>
      </c>
      <c r="H313">
        <v>1.046476</v>
      </c>
      <c r="I313">
        <v>6.5539E-2</v>
      </c>
    </row>
    <row r="314" spans="1:9">
      <c r="A314" t="s">
        <v>32</v>
      </c>
      <c r="B314">
        <v>28.54</v>
      </c>
      <c r="C314">
        <v>27.4</v>
      </c>
      <c r="D314">
        <v>32.21</v>
      </c>
      <c r="E314">
        <v>32.376631000000003</v>
      </c>
      <c r="F314">
        <v>31.083380999999999</v>
      </c>
      <c r="G314">
        <v>36.539988999999998</v>
      </c>
      <c r="H314">
        <v>0.97807599999999995</v>
      </c>
      <c r="I314">
        <v>-3.1981000000000002E-2</v>
      </c>
    </row>
    <row r="316" spans="1:9">
      <c r="A316" t="s">
        <v>0</v>
      </c>
      <c r="B316" t="s">
        <v>1</v>
      </c>
      <c r="E316" t="s">
        <v>2</v>
      </c>
      <c r="H316" t="s">
        <v>3</v>
      </c>
      <c r="I316" t="s">
        <v>4</v>
      </c>
    </row>
    <row r="317" spans="1:9">
      <c r="B317" t="s">
        <v>5</v>
      </c>
      <c r="C317" t="s">
        <v>6</v>
      </c>
      <c r="D317" t="s">
        <v>7</v>
      </c>
      <c r="E317" t="s">
        <v>5</v>
      </c>
      <c r="F317" t="s">
        <v>6</v>
      </c>
      <c r="G317" t="s">
        <v>7</v>
      </c>
      <c r="H317" t="s">
        <v>5</v>
      </c>
      <c r="I317" t="s">
        <v>5</v>
      </c>
    </row>
    <row r="318" spans="1:9">
      <c r="A318" t="s">
        <v>72</v>
      </c>
      <c r="B318">
        <v>31.57</v>
      </c>
      <c r="C318">
        <v>35.380000000000003</v>
      </c>
      <c r="D318">
        <v>20.11</v>
      </c>
      <c r="E318">
        <v>36.262348000000003</v>
      </c>
      <c r="F318">
        <v>40.638640000000002</v>
      </c>
      <c r="G318">
        <v>23.099011999999998</v>
      </c>
      <c r="H318">
        <v>1.0267539999999999</v>
      </c>
      <c r="I318">
        <v>3.8089999999999999E-2</v>
      </c>
    </row>
    <row r="319" spans="1:9">
      <c r="A319" t="s">
        <v>32</v>
      </c>
      <c r="B319">
        <v>31.65</v>
      </c>
      <c r="C319">
        <v>35.700000000000003</v>
      </c>
      <c r="D319">
        <v>20.76</v>
      </c>
      <c r="E319">
        <v>35.921008</v>
      </c>
      <c r="F319">
        <v>40.517535000000002</v>
      </c>
      <c r="G319">
        <v>23.561457000000001</v>
      </c>
      <c r="H319">
        <v>1.0170889999999999</v>
      </c>
      <c r="I319">
        <v>2.4445999999999999E-2</v>
      </c>
    </row>
    <row r="321" spans="1:9">
      <c r="A321" t="s">
        <v>72</v>
      </c>
      <c r="B321">
        <v>31.07</v>
      </c>
      <c r="C321">
        <v>34.799999999999997</v>
      </c>
      <c r="D321">
        <v>21.22</v>
      </c>
      <c r="E321">
        <v>35.675738000000003</v>
      </c>
      <c r="F321">
        <v>39.958663000000001</v>
      </c>
      <c r="G321">
        <v>24.365599</v>
      </c>
      <c r="H321">
        <v>1.0101439999999999</v>
      </c>
      <c r="I321">
        <v>1.4560999999999999E-2</v>
      </c>
    </row>
    <row r="322" spans="1:9">
      <c r="A322" t="s">
        <v>32</v>
      </c>
      <c r="B322">
        <v>31.65</v>
      </c>
      <c r="C322">
        <v>35.700000000000003</v>
      </c>
      <c r="D322">
        <v>20.76</v>
      </c>
      <c r="E322">
        <v>35.921008</v>
      </c>
      <c r="F322">
        <v>40.517535000000002</v>
      </c>
      <c r="G322">
        <v>23.561457000000001</v>
      </c>
      <c r="H322">
        <v>1.0170889999999999</v>
      </c>
      <c r="I322">
        <v>2.4445999999999999E-2</v>
      </c>
    </row>
    <row r="324" spans="1:9">
      <c r="A324" t="s">
        <v>72</v>
      </c>
      <c r="B324">
        <v>32.72</v>
      </c>
      <c r="C324">
        <v>34.270000000000003</v>
      </c>
      <c r="D324">
        <v>20.09</v>
      </c>
      <c r="E324">
        <v>37.574643999999999</v>
      </c>
      <c r="F324">
        <v>39.354616</v>
      </c>
      <c r="G324">
        <v>23.070740000000001</v>
      </c>
      <c r="H324">
        <v>1.0639110000000001</v>
      </c>
      <c r="I324">
        <v>8.9376999999999998E-2</v>
      </c>
    </row>
    <row r="325" spans="1:9">
      <c r="A325" t="s">
        <v>32</v>
      </c>
      <c r="B325">
        <v>31.65</v>
      </c>
      <c r="C325">
        <v>35.700000000000003</v>
      </c>
      <c r="D325">
        <v>20.76</v>
      </c>
      <c r="E325">
        <v>35.921008</v>
      </c>
      <c r="F325">
        <v>40.517535000000002</v>
      </c>
      <c r="G325">
        <v>23.561457000000001</v>
      </c>
      <c r="H325">
        <v>1.0170889999999999</v>
      </c>
      <c r="I325">
        <v>2.4445999999999999E-2</v>
      </c>
    </row>
    <row r="327" spans="1:9">
      <c r="A327" t="s">
        <v>0</v>
      </c>
      <c r="B327" t="s">
        <v>1</v>
      </c>
      <c r="E327" t="s">
        <v>2</v>
      </c>
      <c r="H327" t="s">
        <v>3</v>
      </c>
      <c r="I327" t="s">
        <v>4</v>
      </c>
    </row>
    <row r="328" spans="1:9">
      <c r="B328" t="s">
        <v>5</v>
      </c>
      <c r="C328" t="s">
        <v>6</v>
      </c>
      <c r="D328" t="s">
        <v>7</v>
      </c>
      <c r="E328" t="s">
        <v>5</v>
      </c>
      <c r="F328" t="s">
        <v>6</v>
      </c>
      <c r="G328" t="s">
        <v>7</v>
      </c>
      <c r="H328" t="s">
        <v>5</v>
      </c>
      <c r="I328" t="s">
        <v>5</v>
      </c>
    </row>
    <row r="329" spans="1:9">
      <c r="A329" t="s">
        <v>73</v>
      </c>
      <c r="B329">
        <v>27.33</v>
      </c>
      <c r="C329">
        <v>27.87</v>
      </c>
      <c r="D329">
        <v>31.77</v>
      </c>
      <c r="E329">
        <v>31.424628999999999</v>
      </c>
      <c r="F329">
        <v>32.045532999999999</v>
      </c>
      <c r="G329">
        <v>36.529837999999998</v>
      </c>
      <c r="H329">
        <v>0.99963599999999997</v>
      </c>
      <c r="I329">
        <v>-5.2499999999999997E-4</v>
      </c>
    </row>
    <row r="330" spans="1:9">
      <c r="A330" t="s">
        <v>32</v>
      </c>
      <c r="B330">
        <v>25.62</v>
      </c>
      <c r="C330">
        <v>32.31</v>
      </c>
      <c r="D330">
        <v>30.19</v>
      </c>
      <c r="E330">
        <v>29.073989999999998</v>
      </c>
      <c r="F330">
        <v>36.665909999999997</v>
      </c>
      <c r="G330">
        <v>34.260100000000001</v>
      </c>
      <c r="H330">
        <v>0.92486100000000004</v>
      </c>
      <c r="I330">
        <v>-0.112692</v>
      </c>
    </row>
    <row r="332" spans="1:9">
      <c r="A332" t="s">
        <v>73</v>
      </c>
      <c r="B332">
        <v>28.61</v>
      </c>
      <c r="C332">
        <v>26.61</v>
      </c>
      <c r="D332">
        <v>31.17</v>
      </c>
      <c r="E332">
        <v>33.117258999999997</v>
      </c>
      <c r="F332">
        <v>30.802175999999999</v>
      </c>
      <c r="G332">
        <v>36.080565</v>
      </c>
      <c r="H332">
        <v>1.05348</v>
      </c>
      <c r="I332">
        <v>7.5162000000000007E-2</v>
      </c>
    </row>
    <row r="333" spans="1:9">
      <c r="A333" t="s">
        <v>32</v>
      </c>
      <c r="B333">
        <v>25.62</v>
      </c>
      <c r="C333">
        <v>32.31</v>
      </c>
      <c r="D333">
        <v>30.19</v>
      </c>
      <c r="E333">
        <v>29.073989999999998</v>
      </c>
      <c r="F333">
        <v>36.665909999999997</v>
      </c>
      <c r="G333">
        <v>34.260100000000001</v>
      </c>
      <c r="H333">
        <v>0.92486100000000004</v>
      </c>
      <c r="I333">
        <v>-0.112692</v>
      </c>
    </row>
    <row r="335" spans="1:9">
      <c r="A335" t="s">
        <v>73</v>
      </c>
      <c r="B335">
        <v>27.9</v>
      </c>
      <c r="C335">
        <v>27.9</v>
      </c>
      <c r="D335">
        <v>30.68</v>
      </c>
      <c r="E335">
        <v>32.261794999999999</v>
      </c>
      <c r="F335">
        <v>32.261794999999999</v>
      </c>
      <c r="G335">
        <v>35.476410999999999</v>
      </c>
      <c r="H335">
        <v>1.026267</v>
      </c>
      <c r="I335">
        <v>3.7406000000000002E-2</v>
      </c>
    </row>
    <row r="336" spans="1:9">
      <c r="A336" t="s">
        <v>32</v>
      </c>
      <c r="B336">
        <v>25.62</v>
      </c>
      <c r="C336">
        <v>32.31</v>
      </c>
      <c r="D336">
        <v>30.19</v>
      </c>
      <c r="E336">
        <v>29.073989999999998</v>
      </c>
      <c r="F336">
        <v>36.665909999999997</v>
      </c>
      <c r="G336">
        <v>34.260100000000001</v>
      </c>
      <c r="H336">
        <v>0.92486100000000004</v>
      </c>
      <c r="I336">
        <v>-0.112692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72"/>
  <sheetViews>
    <sheetView zoomScale="110" zoomScaleNormal="110" workbookViewId="0"/>
  </sheetViews>
  <sheetFormatPr baseColWidth="10" defaultColWidth="8.83203125" defaultRowHeight="15"/>
  <cols>
    <col min="1" max="1" width="15.6640625" customWidth="1"/>
    <col min="2" max="4" width="13.5" customWidth="1"/>
    <col min="5" max="5" width="11" customWidth="1"/>
    <col min="7" max="7" width="35.83203125" customWidth="1"/>
    <col min="8" max="8" width="14.1640625" customWidth="1"/>
    <col min="10" max="10" width="36.6640625" customWidth="1"/>
    <col min="11" max="11" width="40.6640625" customWidth="1"/>
    <col min="20" max="20" width="22.1640625" customWidth="1"/>
    <col min="21" max="21" width="15.5" customWidth="1"/>
    <col min="22" max="22" width="15.83203125" customWidth="1"/>
    <col min="23" max="23" width="14.83203125" customWidth="1"/>
    <col min="24" max="24" width="21.5" customWidth="1"/>
    <col min="27" max="27" width="36.33203125" customWidth="1"/>
    <col min="31" max="31" width="13" customWidth="1"/>
  </cols>
  <sheetData>
    <row r="1" spans="1:40">
      <c r="A1" s="37" t="s">
        <v>245</v>
      </c>
      <c r="C1" s="42" t="s">
        <v>1</v>
      </c>
      <c r="D1" s="42"/>
      <c r="E1" s="42"/>
      <c r="F1" s="42"/>
      <c r="G1" s="42" t="s">
        <v>2</v>
      </c>
      <c r="H1" s="42"/>
      <c r="I1" s="42"/>
      <c r="J1" s="42" t="s">
        <v>3</v>
      </c>
      <c r="K1" s="42" t="s">
        <v>4</v>
      </c>
    </row>
    <row r="2" spans="1:40">
      <c r="A2" s="1"/>
      <c r="C2" s="42" t="s">
        <v>5</v>
      </c>
      <c r="D2" s="42" t="s">
        <v>6</v>
      </c>
      <c r="E2" s="42" t="s">
        <v>7</v>
      </c>
      <c r="F2" s="42"/>
      <c r="G2" s="42"/>
      <c r="H2" s="42" t="s">
        <v>5</v>
      </c>
      <c r="I2" s="42"/>
      <c r="J2" s="42" t="s">
        <v>5</v>
      </c>
      <c r="K2" s="42" t="s">
        <v>5</v>
      </c>
    </row>
    <row r="3" spans="1:40">
      <c r="A3" s="133" t="s">
        <v>83</v>
      </c>
      <c r="B3" s="11" t="s">
        <v>84</v>
      </c>
      <c r="C3">
        <v>37.93</v>
      </c>
      <c r="D3">
        <v>22.73</v>
      </c>
      <c r="E3">
        <v>28.91</v>
      </c>
      <c r="G3">
        <f>SUM(C3:E3)</f>
        <v>89.57</v>
      </c>
      <c r="H3">
        <f>C3/G3*100</f>
        <v>42.346767891034951</v>
      </c>
      <c r="AB3" s="133"/>
      <c r="AN3" s="133"/>
    </row>
    <row r="4" spans="1:40">
      <c r="A4" s="133"/>
      <c r="B4" s="11" t="s">
        <v>85</v>
      </c>
      <c r="C4">
        <v>30.47</v>
      </c>
      <c r="D4">
        <v>29.8</v>
      </c>
      <c r="E4">
        <v>28.05</v>
      </c>
      <c r="G4">
        <f t="shared" ref="G4:G18" si="0">SUM(C4:E4)</f>
        <v>88.32</v>
      </c>
      <c r="H4">
        <f t="shared" ref="H4:H18" si="1">C4/G4*100</f>
        <v>34.499547101449281</v>
      </c>
      <c r="AB4" s="133"/>
      <c r="AN4" s="133"/>
    </row>
    <row r="5" spans="1:40" ht="16" thickBot="1">
      <c r="A5" s="133"/>
      <c r="B5" s="12" t="s">
        <v>86</v>
      </c>
      <c r="C5">
        <v>19.690000000000001</v>
      </c>
      <c r="D5">
        <v>38.75</v>
      </c>
      <c r="E5">
        <v>29.14</v>
      </c>
      <c r="G5">
        <f t="shared" si="0"/>
        <v>87.58</v>
      </c>
      <c r="H5">
        <f t="shared" si="1"/>
        <v>22.482301895409911</v>
      </c>
      <c r="AB5" s="133"/>
      <c r="AN5" s="133"/>
    </row>
    <row r="6" spans="1:40">
      <c r="B6" s="13"/>
      <c r="U6" s="2"/>
      <c r="V6" s="3"/>
      <c r="W6" s="3" t="s">
        <v>87</v>
      </c>
      <c r="X6" s="3" t="s">
        <v>88</v>
      </c>
      <c r="Y6" s="4" t="s">
        <v>89</v>
      </c>
    </row>
    <row r="7" spans="1:40">
      <c r="A7" s="133" t="s">
        <v>10</v>
      </c>
      <c r="B7" s="11" t="s">
        <v>84</v>
      </c>
      <c r="C7">
        <v>31.82</v>
      </c>
      <c r="D7">
        <v>25.79</v>
      </c>
      <c r="E7">
        <v>32.11</v>
      </c>
      <c r="G7">
        <f t="shared" si="0"/>
        <v>89.72</v>
      </c>
      <c r="H7">
        <f>C7/G7*100</f>
        <v>35.465893892108788</v>
      </c>
      <c r="J7">
        <f>H7/$H$3</f>
        <v>0.837511235411596</v>
      </c>
      <c r="K7">
        <f>LOG(J7,2)</f>
        <v>-0.25581955020407854</v>
      </c>
      <c r="U7" s="134" t="s">
        <v>90</v>
      </c>
      <c r="V7" s="14" t="s">
        <v>84</v>
      </c>
      <c r="W7" s="6">
        <f>AVERAGE(K16,K34,K52,K70)</f>
        <v>-9.6691856652232913E-2</v>
      </c>
      <c r="X7" s="6">
        <f>STDEV(K16,K34,K52,K70)</f>
        <v>9.8030157259842501E-2</v>
      </c>
      <c r="Y7" s="7">
        <f>X7/SQRT(4)</f>
        <v>4.9015078629921251E-2</v>
      </c>
    </row>
    <row r="8" spans="1:40">
      <c r="A8" s="133"/>
      <c r="B8" s="11" t="s">
        <v>85</v>
      </c>
      <c r="C8">
        <v>23.86</v>
      </c>
      <c r="D8">
        <v>31.23</v>
      </c>
      <c r="E8">
        <v>33.049999999999997</v>
      </c>
      <c r="G8">
        <f t="shared" si="0"/>
        <v>88.14</v>
      </c>
      <c r="H8">
        <f t="shared" si="1"/>
        <v>27.070569548445654</v>
      </c>
      <c r="J8">
        <f>H8/$H$4</f>
        <v>0.78466449048858544</v>
      </c>
      <c r="K8">
        <f t="shared" ref="K8:K18" si="2">LOG(J8,2)</f>
        <v>-0.34985218149052483</v>
      </c>
      <c r="U8" s="134"/>
      <c r="V8" s="14" t="s">
        <v>85</v>
      </c>
      <c r="W8" s="6">
        <f>AVERAGE(K17,K35,K53,K71)</f>
        <v>-0.94902398168795665</v>
      </c>
      <c r="X8" s="6">
        <f>STDEV(K17,K35,K53,K71)</f>
        <v>0.15923560142128024</v>
      </c>
      <c r="Y8" s="7">
        <f>X8/SQRT(4)</f>
        <v>7.9617800710640119E-2</v>
      </c>
    </row>
    <row r="9" spans="1:40">
      <c r="A9" s="133"/>
      <c r="B9" s="12" t="s">
        <v>86</v>
      </c>
      <c r="C9">
        <v>10.47</v>
      </c>
      <c r="D9">
        <v>39.81</v>
      </c>
      <c r="E9">
        <v>36.950000000000003</v>
      </c>
      <c r="G9">
        <f t="shared" si="0"/>
        <v>87.23</v>
      </c>
      <c r="H9">
        <f t="shared" si="1"/>
        <v>12.002751347013643</v>
      </c>
      <c r="J9">
        <f>H9/$H$5</f>
        <v>0.53387555255025643</v>
      </c>
      <c r="K9">
        <f t="shared" si="2"/>
        <v>-0.90542460885936982</v>
      </c>
      <c r="U9" s="134"/>
      <c r="V9" s="15" t="s">
        <v>86</v>
      </c>
      <c r="W9" s="6">
        <f>AVERAGE(K18,K36,K54,K72)</f>
        <v>-2.2456321395520962</v>
      </c>
      <c r="X9" s="6">
        <f>STDEV(K18,K36,K54,K72)</f>
        <v>0.20311526117066483</v>
      </c>
      <c r="Y9" s="7">
        <f>X9/SQRT(4)</f>
        <v>0.10155763058533242</v>
      </c>
    </row>
    <row r="10" spans="1:40">
      <c r="B10" s="13"/>
      <c r="U10" s="5"/>
      <c r="V10" s="16"/>
      <c r="W10" s="6"/>
      <c r="X10" s="6"/>
      <c r="Y10" s="7"/>
    </row>
    <row r="11" spans="1:40">
      <c r="B11" s="13"/>
      <c r="U11" s="134" t="s">
        <v>10</v>
      </c>
      <c r="V11" s="14" t="s">
        <v>84</v>
      </c>
      <c r="W11" s="6">
        <f>AVERAGE(K7,K25,K43,K61)</f>
        <v>-0.11353374608141606</v>
      </c>
      <c r="X11" s="6">
        <f>STDEV(K7,K25,K43,K61)</f>
        <v>0.11878077484295441</v>
      </c>
      <c r="Y11" s="7">
        <f>X11/SQRT(4)</f>
        <v>5.9390387421477203E-2</v>
      </c>
    </row>
    <row r="12" spans="1:40">
      <c r="A12" s="133" t="s">
        <v>59</v>
      </c>
      <c r="B12" s="11" t="s">
        <v>84</v>
      </c>
      <c r="C12">
        <v>32.869999999999997</v>
      </c>
      <c r="D12">
        <v>25.47</v>
      </c>
      <c r="E12">
        <v>30.34</v>
      </c>
      <c r="G12">
        <f t="shared" si="0"/>
        <v>88.679999999999993</v>
      </c>
      <c r="H12">
        <f t="shared" si="1"/>
        <v>37.065854758682903</v>
      </c>
      <c r="J12">
        <f>H12/$H$3</f>
        <v>0.87529359629191328</v>
      </c>
      <c r="K12">
        <f t="shared" si="2"/>
        <v>-0.19216107923585124</v>
      </c>
      <c r="U12" s="134"/>
      <c r="V12" s="14" t="s">
        <v>85</v>
      </c>
      <c r="W12" s="6">
        <f>AVERAGE(K8,K26,K44,K62)</f>
        <v>-0.44106099487838468</v>
      </c>
      <c r="X12" s="6">
        <f>STDEV(K8,K26,K44,K62)</f>
        <v>0.14351937709488621</v>
      </c>
      <c r="Y12" s="7">
        <f>X12/SQRT(4)</f>
        <v>7.1759688547443107E-2</v>
      </c>
    </row>
    <row r="13" spans="1:40">
      <c r="A13" s="133"/>
      <c r="B13" s="11" t="s">
        <v>85</v>
      </c>
      <c r="C13">
        <v>18.850000000000001</v>
      </c>
      <c r="D13">
        <v>35.21</v>
      </c>
      <c r="E13">
        <v>32.979999999999997</v>
      </c>
      <c r="G13">
        <f t="shared" si="0"/>
        <v>87.039999999999992</v>
      </c>
      <c r="H13">
        <f t="shared" si="1"/>
        <v>21.656709558823533</v>
      </c>
      <c r="J13">
        <f>H13/$H$4</f>
        <v>0.62773895248943035</v>
      </c>
      <c r="K13">
        <f t="shared" si="2"/>
        <v>-0.67176336100262923</v>
      </c>
      <c r="U13" s="134"/>
      <c r="V13" s="15" t="s">
        <v>86</v>
      </c>
      <c r="W13" s="6">
        <f>AVERAGE(K9,K27,K45,K63)</f>
        <v>-1.0949290043806121</v>
      </c>
      <c r="X13" s="6">
        <f>STDEV(K9,K27,K45,K63)</f>
        <v>0.30079108741815447</v>
      </c>
      <c r="Y13" s="7">
        <f>X13/SQRT(4)</f>
        <v>0.15039554370907723</v>
      </c>
    </row>
    <row r="14" spans="1:40">
      <c r="A14" s="133"/>
      <c r="B14" s="12" t="s">
        <v>86</v>
      </c>
      <c r="C14">
        <v>6.31</v>
      </c>
      <c r="D14">
        <v>47.21</v>
      </c>
      <c r="E14">
        <v>34.450000000000003</v>
      </c>
      <c r="G14">
        <f t="shared" si="0"/>
        <v>87.97</v>
      </c>
      <c r="H14">
        <f t="shared" si="1"/>
        <v>7.1728998522223471</v>
      </c>
      <c r="J14">
        <f>H14/$H$5</f>
        <v>0.31904650536192641</v>
      </c>
      <c r="K14">
        <f t="shared" si="2"/>
        <v>-1.6481613631701761</v>
      </c>
      <c r="U14" s="5"/>
      <c r="V14" s="6"/>
      <c r="W14" s="6"/>
      <c r="X14" s="6"/>
      <c r="Y14" s="7"/>
    </row>
    <row r="15" spans="1:40">
      <c r="B15" s="13"/>
      <c r="U15" s="134" t="s">
        <v>59</v>
      </c>
      <c r="V15" s="14" t="s">
        <v>84</v>
      </c>
      <c r="W15" s="6">
        <f>AVERAGE(K12,K30,K48,K66)</f>
        <v>-5.7569729932699029E-2</v>
      </c>
      <c r="X15" s="6">
        <f>STDEV(K12,K30,K48,K66)</f>
        <v>0.11558315797648921</v>
      </c>
      <c r="Y15" s="7">
        <f>X15/SQRT(4)</f>
        <v>5.7791578988244607E-2</v>
      </c>
    </row>
    <row r="16" spans="1:40">
      <c r="A16" s="133" t="s">
        <v>90</v>
      </c>
      <c r="B16" s="11" t="s">
        <v>84</v>
      </c>
      <c r="C16">
        <v>31.9</v>
      </c>
      <c r="D16">
        <v>28.01</v>
      </c>
      <c r="E16">
        <v>27.84</v>
      </c>
      <c r="G16">
        <f t="shared" si="0"/>
        <v>87.75</v>
      </c>
      <c r="H16">
        <f t="shared" si="1"/>
        <v>36.353276353276357</v>
      </c>
      <c r="J16">
        <f>H16/$H$3</f>
        <v>0.85846637568229966</v>
      </c>
      <c r="K16">
        <f t="shared" si="2"/>
        <v>-0.22016646687590777</v>
      </c>
      <c r="U16" s="134"/>
      <c r="V16" s="14" t="s">
        <v>85</v>
      </c>
      <c r="W16" s="6">
        <f>AVERAGE(K13,K31,K49,K67)</f>
        <v>-0.54615570243287181</v>
      </c>
      <c r="X16" s="6">
        <f>STDEV(K13,K31,K49,K67)</f>
        <v>0.10426710694564334</v>
      </c>
      <c r="Y16" s="7">
        <f>X16/SQRT(4)</f>
        <v>5.213355347282167E-2</v>
      </c>
      <c r="Z16" s="133"/>
    </row>
    <row r="17" spans="1:26">
      <c r="A17" s="133"/>
      <c r="B17" s="11" t="s">
        <v>85</v>
      </c>
      <c r="C17">
        <v>14.94</v>
      </c>
      <c r="D17">
        <v>41.73</v>
      </c>
      <c r="E17">
        <v>28.06</v>
      </c>
      <c r="G17">
        <f t="shared" si="0"/>
        <v>84.72999999999999</v>
      </c>
      <c r="H17">
        <f t="shared" si="1"/>
        <v>17.632479641213266</v>
      </c>
      <c r="J17">
        <f>H17/$H$4</f>
        <v>0.51109307578337881</v>
      </c>
      <c r="K17">
        <f t="shared" si="2"/>
        <v>-0.96834204884497355</v>
      </c>
      <c r="U17" s="134"/>
      <c r="V17" s="15" t="s">
        <v>86</v>
      </c>
      <c r="W17" s="6">
        <f>AVERAGE(K14,K32,K50,K68)</f>
        <v>-1.7162381617866656</v>
      </c>
      <c r="X17" s="6">
        <f>STDEV(K14,K32,K50,K68)</f>
        <v>0.16719323979530026</v>
      </c>
      <c r="Y17" s="7">
        <f>X17/SQRT(4)</f>
        <v>8.3596619897650132E-2</v>
      </c>
      <c r="Z17" s="133"/>
    </row>
    <row r="18" spans="1:26">
      <c r="A18" s="133"/>
      <c r="B18" s="12" t="s">
        <v>86</v>
      </c>
      <c r="C18">
        <v>4.32</v>
      </c>
      <c r="D18">
        <v>52.16</v>
      </c>
      <c r="E18">
        <v>31.18</v>
      </c>
      <c r="G18">
        <f t="shared" si="0"/>
        <v>87.66</v>
      </c>
      <c r="H18">
        <f t="shared" si="1"/>
        <v>4.9281314168377826</v>
      </c>
      <c r="J18">
        <f>H18/$H$5</f>
        <v>0.21920048221770086</v>
      </c>
      <c r="K18">
        <f t="shared" si="2"/>
        <v>-2.1896771228100884</v>
      </c>
      <c r="U18" s="5"/>
      <c r="V18" s="6"/>
      <c r="W18" s="6"/>
      <c r="X18" s="6"/>
      <c r="Y18" s="7"/>
      <c r="Z18" s="133"/>
    </row>
    <row r="19" spans="1:26">
      <c r="U19" s="5" t="s">
        <v>91</v>
      </c>
      <c r="V19" s="6"/>
      <c r="W19" s="6"/>
      <c r="X19" s="6"/>
      <c r="Y19" s="7"/>
    </row>
    <row r="20" spans="1:26" ht="17" thickBot="1">
      <c r="A20" s="1"/>
      <c r="U20" s="8" t="s">
        <v>92</v>
      </c>
      <c r="V20" s="17">
        <v>-0.15770000000000001</v>
      </c>
      <c r="W20" s="9"/>
      <c r="X20" s="9"/>
      <c r="Y20" s="10"/>
    </row>
    <row r="21" spans="1:26">
      <c r="A21" s="133" t="s">
        <v>83</v>
      </c>
      <c r="B21" s="11" t="s">
        <v>84</v>
      </c>
      <c r="C21">
        <v>27.81</v>
      </c>
      <c r="D21">
        <v>25.56</v>
      </c>
      <c r="E21">
        <v>36.590000000000003</v>
      </c>
      <c r="G21">
        <f>SUM(C21:E21)</f>
        <v>89.960000000000008</v>
      </c>
      <c r="H21">
        <f>C21/G21*100</f>
        <v>30.913739439750998</v>
      </c>
    </row>
    <row r="22" spans="1:26">
      <c r="A22" s="133"/>
      <c r="B22" s="11" t="s">
        <v>85</v>
      </c>
      <c r="C22">
        <v>22.64</v>
      </c>
      <c r="D22">
        <v>30.66</v>
      </c>
      <c r="E22">
        <v>36.07</v>
      </c>
      <c r="G22">
        <f t="shared" ref="G22:G23" si="3">SUM(C22:E22)</f>
        <v>89.37</v>
      </c>
      <c r="H22">
        <f t="shared" ref="H22:H23" si="4">C22/G22*100</f>
        <v>25.33288575584648</v>
      </c>
    </row>
    <row r="23" spans="1:26">
      <c r="A23" s="133"/>
      <c r="B23" s="12" t="s">
        <v>86</v>
      </c>
      <c r="C23">
        <v>14.89</v>
      </c>
      <c r="D23">
        <v>36.979999999999997</v>
      </c>
      <c r="E23">
        <v>37.450000000000003</v>
      </c>
      <c r="G23">
        <f t="shared" si="3"/>
        <v>89.32</v>
      </c>
      <c r="H23">
        <f t="shared" si="4"/>
        <v>16.670398566950293</v>
      </c>
    </row>
    <row r="24" spans="1:26">
      <c r="B24" s="13"/>
    </row>
    <row r="25" spans="1:26">
      <c r="A25" s="133" t="s">
        <v>10</v>
      </c>
      <c r="B25" s="11" t="s">
        <v>84</v>
      </c>
      <c r="C25">
        <v>28.09</v>
      </c>
      <c r="D25">
        <v>28.2</v>
      </c>
      <c r="E25">
        <v>32.44</v>
      </c>
      <c r="G25">
        <f t="shared" ref="G25:G27" si="5">SUM(C25:E25)</f>
        <v>88.72999999999999</v>
      </c>
      <c r="H25">
        <f>C25/G25*100</f>
        <v>31.657838386115184</v>
      </c>
      <c r="J25">
        <f>H25/$H$21</f>
        <v>1.0240701694408207</v>
      </c>
      <c r="K25">
        <f>LOG(J25,2)</f>
        <v>3.4314572404281228E-2</v>
      </c>
    </row>
    <row r="26" spans="1:26">
      <c r="A26" s="133"/>
      <c r="B26" s="11" t="s">
        <v>85</v>
      </c>
      <c r="C26">
        <v>18</v>
      </c>
      <c r="D26">
        <v>35.25</v>
      </c>
      <c r="E26">
        <v>34.15</v>
      </c>
      <c r="G26">
        <f t="shared" si="5"/>
        <v>87.4</v>
      </c>
      <c r="H26">
        <f t="shared" ref="H26:H27" si="6">C26/G26*100</f>
        <v>20.594965675057207</v>
      </c>
      <c r="J26">
        <f>H26/$H$22</f>
        <v>0.81297353462008071</v>
      </c>
      <c r="K26">
        <f t="shared" ref="K26:K27" si="7">LOG(J26,2)</f>
        <v>-0.2987197070321197</v>
      </c>
    </row>
    <row r="27" spans="1:26">
      <c r="A27" s="133"/>
      <c r="B27" s="12" t="s">
        <v>86</v>
      </c>
      <c r="C27">
        <v>7.83</v>
      </c>
      <c r="D27">
        <v>42.97</v>
      </c>
      <c r="E27">
        <v>36.5</v>
      </c>
      <c r="G27">
        <f t="shared" si="5"/>
        <v>87.3</v>
      </c>
      <c r="H27">
        <f t="shared" si="6"/>
        <v>8.9690721649484537</v>
      </c>
      <c r="J27">
        <f>H27/$H$23</f>
        <v>0.53802385881342896</v>
      </c>
      <c r="K27">
        <f t="shared" si="7"/>
        <v>-0.89425794398538838</v>
      </c>
    </row>
    <row r="28" spans="1:26">
      <c r="B28" s="13"/>
      <c r="U28" s="18"/>
    </row>
    <row r="29" spans="1:26">
      <c r="B29" s="13"/>
      <c r="U29" s="18"/>
    </row>
    <row r="30" spans="1:26">
      <c r="A30" s="133" t="s">
        <v>59</v>
      </c>
      <c r="B30" s="11" t="s">
        <v>84</v>
      </c>
      <c r="C30">
        <v>27.87</v>
      </c>
      <c r="D30">
        <v>25.89</v>
      </c>
      <c r="E30">
        <v>34.92</v>
      </c>
      <c r="G30">
        <f t="shared" ref="G30:G32" si="8">SUM(C30:E30)</f>
        <v>88.68</v>
      </c>
      <c r="H30">
        <f t="shared" ref="H30:H32" si="9">C30/G30*100</f>
        <v>31.427604871447901</v>
      </c>
      <c r="J30">
        <f>H30/$H$21</f>
        <v>1.0166225581573007</v>
      </c>
      <c r="K30">
        <f t="shared" ref="K30:K32" si="10">LOG(J30,2)</f>
        <v>2.3784148667631844E-2</v>
      </c>
      <c r="U30" s="18"/>
    </row>
    <row r="31" spans="1:26">
      <c r="A31" s="133"/>
      <c r="B31" s="11" t="s">
        <v>85</v>
      </c>
      <c r="C31">
        <v>16.28</v>
      </c>
      <c r="D31">
        <v>35.590000000000003</v>
      </c>
      <c r="E31">
        <v>35.020000000000003</v>
      </c>
      <c r="G31">
        <f t="shared" si="8"/>
        <v>86.890000000000015</v>
      </c>
      <c r="H31">
        <f t="shared" si="9"/>
        <v>18.736333294970649</v>
      </c>
      <c r="J31">
        <f>H31/$H$22</f>
        <v>0.73960517074714094</v>
      </c>
      <c r="K31">
        <f t="shared" si="10"/>
        <v>-0.43517278390244496</v>
      </c>
      <c r="U31" s="18"/>
      <c r="V31" s="11"/>
    </row>
    <row r="32" spans="1:26">
      <c r="A32" s="133"/>
      <c r="B32" s="12" t="s">
        <v>86</v>
      </c>
      <c r="C32">
        <v>4.66</v>
      </c>
      <c r="D32">
        <v>46.53</v>
      </c>
      <c r="E32">
        <v>37.619999999999997</v>
      </c>
      <c r="G32">
        <f t="shared" si="8"/>
        <v>88.81</v>
      </c>
      <c r="H32">
        <f t="shared" si="9"/>
        <v>5.2471568517058893</v>
      </c>
      <c r="J32">
        <f>H32/$H$23</f>
        <v>0.31475893216546003</v>
      </c>
      <c r="K32">
        <f t="shared" si="10"/>
        <v>-1.667680775853418</v>
      </c>
      <c r="U32" s="18"/>
      <c r="V32" s="11"/>
    </row>
    <row r="33" spans="1:25">
      <c r="B33" s="13"/>
      <c r="U33" s="18"/>
      <c r="V33" s="12"/>
    </row>
    <row r="34" spans="1:25">
      <c r="A34" s="133" t="s">
        <v>90</v>
      </c>
      <c r="B34" s="11" t="s">
        <v>84</v>
      </c>
      <c r="C34">
        <v>26.56</v>
      </c>
      <c r="D34">
        <v>26.95</v>
      </c>
      <c r="E34">
        <v>34.380000000000003</v>
      </c>
      <c r="G34">
        <f t="shared" ref="G34:G36" si="11">SUM(C34:E34)</f>
        <v>87.89</v>
      </c>
      <c r="H34">
        <f>C34/G34*100</f>
        <v>30.219592672659001</v>
      </c>
      <c r="J34">
        <f>H34/$H$21</f>
        <v>0.97754568746220927</v>
      </c>
      <c r="K34">
        <f t="shared" ref="K34:K36" si="12">LOG(J34,2)</f>
        <v>-3.2763963787219505E-2</v>
      </c>
      <c r="U34" s="18"/>
      <c r="V34" s="11"/>
    </row>
    <row r="35" spans="1:25">
      <c r="A35" s="133"/>
      <c r="B35" s="11" t="s">
        <v>85</v>
      </c>
      <c r="C35">
        <v>11.9</v>
      </c>
      <c r="D35">
        <v>38.29</v>
      </c>
      <c r="E35">
        <v>35.51</v>
      </c>
      <c r="G35">
        <f t="shared" si="11"/>
        <v>85.699999999999989</v>
      </c>
      <c r="H35">
        <f t="shared" ref="H35:H36" si="13">C35/G35*100</f>
        <v>13.88564760793466</v>
      </c>
      <c r="J35">
        <f>H35/$H$22</f>
        <v>0.54812735279201441</v>
      </c>
      <c r="K35">
        <f t="shared" si="12"/>
        <v>-0.86741696466575191</v>
      </c>
      <c r="U35" s="18"/>
      <c r="V35" s="11"/>
    </row>
    <row r="36" spans="1:25">
      <c r="A36" s="133"/>
      <c r="B36" s="12" t="s">
        <v>86</v>
      </c>
      <c r="C36">
        <v>3.42</v>
      </c>
      <c r="D36">
        <v>49.95</v>
      </c>
      <c r="E36">
        <v>34.770000000000003</v>
      </c>
      <c r="G36">
        <f t="shared" si="11"/>
        <v>88.140000000000015</v>
      </c>
      <c r="H36">
        <f t="shared" si="13"/>
        <v>3.8801906058543216</v>
      </c>
      <c r="J36">
        <f>H36/$H$23</f>
        <v>0.23275931827730556</v>
      </c>
      <c r="K36">
        <f t="shared" si="12"/>
        <v>-2.1030891691511653</v>
      </c>
      <c r="U36" s="18"/>
      <c r="V36" s="12"/>
    </row>
    <row r="37" spans="1:25">
      <c r="U37" s="18"/>
      <c r="V37" s="11"/>
    </row>
    <row r="38" spans="1:25">
      <c r="A38" s="1"/>
      <c r="U38" s="18"/>
      <c r="V38" s="11"/>
    </row>
    <row r="39" spans="1:25">
      <c r="A39" s="133" t="s">
        <v>83</v>
      </c>
      <c r="B39" s="11" t="s">
        <v>84</v>
      </c>
      <c r="C39">
        <v>28.71</v>
      </c>
      <c r="D39">
        <v>26.47</v>
      </c>
      <c r="E39">
        <v>33.04</v>
      </c>
      <c r="G39">
        <f>SUM(C39:E39)</f>
        <v>88.22</v>
      </c>
      <c r="H39">
        <f>C39/G39*100</f>
        <v>32.543640897755608</v>
      </c>
      <c r="U39" s="18"/>
      <c r="V39" s="12"/>
    </row>
    <row r="40" spans="1:25">
      <c r="A40" s="133"/>
      <c r="B40" s="11" t="s">
        <v>85</v>
      </c>
      <c r="C40">
        <v>24.42</v>
      </c>
      <c r="D40">
        <v>31.03</v>
      </c>
      <c r="E40">
        <v>31.82</v>
      </c>
      <c r="G40">
        <f t="shared" ref="G40:G41" si="14">SUM(C40:E40)</f>
        <v>87.27000000000001</v>
      </c>
      <c r="H40">
        <f t="shared" ref="H40:H41" si="15">C40/G40*100</f>
        <v>27.982124441388795</v>
      </c>
    </row>
    <row r="41" spans="1:25">
      <c r="A41" s="133"/>
      <c r="B41" s="12" t="s">
        <v>86</v>
      </c>
      <c r="C41">
        <v>15.68</v>
      </c>
      <c r="D41">
        <v>38.200000000000003</v>
      </c>
      <c r="E41">
        <v>25.78</v>
      </c>
      <c r="G41">
        <f t="shared" si="14"/>
        <v>79.66</v>
      </c>
      <c r="H41">
        <f t="shared" si="15"/>
        <v>19.68365553602812</v>
      </c>
    </row>
    <row r="42" spans="1:25" ht="16">
      <c r="B42" s="13"/>
      <c r="V42" s="19"/>
      <c r="W42" s="19"/>
      <c r="X42" s="19"/>
      <c r="Y42" s="19"/>
    </row>
    <row r="43" spans="1:25">
      <c r="A43" s="133" t="s">
        <v>10</v>
      </c>
      <c r="B43" s="11" t="s">
        <v>84</v>
      </c>
      <c r="C43">
        <v>26.74</v>
      </c>
      <c r="D43">
        <v>32.729999999999997</v>
      </c>
      <c r="E43">
        <v>28.97</v>
      </c>
      <c r="G43">
        <f>SUM(C43:E43)</f>
        <v>88.44</v>
      </c>
      <c r="H43">
        <f>C43/G43*100</f>
        <v>30.235187697874267</v>
      </c>
      <c r="J43">
        <f>H43/$H$39</f>
        <v>0.92906592083123229</v>
      </c>
      <c r="K43">
        <f>LOG(J43,2)</f>
        <v>-0.10614712983783713</v>
      </c>
    </row>
    <row r="44" spans="1:25">
      <c r="A44" s="133"/>
      <c r="B44" s="11" t="s">
        <v>85</v>
      </c>
      <c r="C44">
        <v>17.05</v>
      </c>
      <c r="D44">
        <v>38.9</v>
      </c>
      <c r="E44">
        <v>30.42</v>
      </c>
      <c r="G44">
        <f t="shared" ref="G44:G45" si="16">SUM(C44:E44)</f>
        <v>86.37</v>
      </c>
      <c r="H44">
        <f t="shared" ref="H44:H45" si="17">C44/G44*100</f>
        <v>19.740650688896608</v>
      </c>
      <c r="J44">
        <f>H44/$H$40</f>
        <v>0.70547362228501509</v>
      </c>
      <c r="K44">
        <f t="shared" ref="K44:K45" si="18">LOG(J44,2)</f>
        <v>-0.50333595353899663</v>
      </c>
    </row>
    <row r="45" spans="1:25">
      <c r="A45" s="133"/>
      <c r="B45" s="12" t="s">
        <v>86</v>
      </c>
      <c r="C45">
        <v>8.19</v>
      </c>
      <c r="D45">
        <v>49.46</v>
      </c>
      <c r="E45">
        <v>28.26</v>
      </c>
      <c r="G45">
        <f t="shared" si="16"/>
        <v>85.91</v>
      </c>
      <c r="H45">
        <f t="shared" si="17"/>
        <v>9.5332324525666401</v>
      </c>
      <c r="J45">
        <f>H45/$H$41</f>
        <v>0.48432225584914446</v>
      </c>
      <c r="K45">
        <f t="shared" si="18"/>
        <v>-1.0459607948892902</v>
      </c>
    </row>
    <row r="46" spans="1:25">
      <c r="B46" s="13"/>
    </row>
    <row r="47" spans="1:25">
      <c r="B47" s="13"/>
    </row>
    <row r="48" spans="1:25">
      <c r="A48" s="133" t="s">
        <v>59</v>
      </c>
      <c r="B48" s="11" t="s">
        <v>84</v>
      </c>
      <c r="C48">
        <v>29.45</v>
      </c>
      <c r="D48">
        <v>32.51</v>
      </c>
      <c r="E48">
        <v>25.3</v>
      </c>
      <c r="G48">
        <f t="shared" ref="G48:G50" si="19">SUM(C48:E48)</f>
        <v>87.259999999999991</v>
      </c>
      <c r="H48">
        <f t="shared" ref="H48:H50" si="20">C48/G48*100</f>
        <v>33.749713499885402</v>
      </c>
      <c r="J48">
        <f>H48/$H$39</f>
        <v>1.0370601619505018</v>
      </c>
      <c r="K48">
        <f t="shared" ref="K48:K50" si="21">LOG(J48,2)</f>
        <v>5.2499590226359361E-2</v>
      </c>
    </row>
    <row r="49" spans="1:11">
      <c r="A49" s="133"/>
      <c r="B49" s="11" t="s">
        <v>85</v>
      </c>
      <c r="C49">
        <v>16.809999999999999</v>
      </c>
      <c r="D49">
        <v>44.24</v>
      </c>
      <c r="E49">
        <v>23.43</v>
      </c>
      <c r="G49">
        <f t="shared" si="19"/>
        <v>84.47999999999999</v>
      </c>
      <c r="H49">
        <f t="shared" si="20"/>
        <v>19.898200757575761</v>
      </c>
      <c r="J49">
        <f>H49/$H$40</f>
        <v>0.71110400496053916</v>
      </c>
      <c r="K49">
        <f t="shared" si="21"/>
        <v>-0.49186751328822653</v>
      </c>
    </row>
    <row r="50" spans="1:11">
      <c r="A50" s="133"/>
      <c r="B50" s="12" t="s">
        <v>86</v>
      </c>
      <c r="C50">
        <v>5.7</v>
      </c>
      <c r="D50">
        <v>56.09</v>
      </c>
      <c r="E50">
        <v>25.23</v>
      </c>
      <c r="G50">
        <f t="shared" si="19"/>
        <v>87.02000000000001</v>
      </c>
      <c r="H50">
        <f t="shared" si="20"/>
        <v>6.5502183406113534</v>
      </c>
      <c r="J50">
        <f>H50/$H$41</f>
        <v>0.33277448533998749</v>
      </c>
      <c r="K50">
        <f t="shared" si="21"/>
        <v>-1.5873832722394476</v>
      </c>
    </row>
    <row r="51" spans="1:11">
      <c r="B51" s="13"/>
    </row>
    <row r="52" spans="1:11">
      <c r="A52" s="133" t="s">
        <v>90</v>
      </c>
      <c r="B52" s="11" t="s">
        <v>84</v>
      </c>
      <c r="C52">
        <v>28.32</v>
      </c>
      <c r="D52">
        <v>33.020000000000003</v>
      </c>
      <c r="E52">
        <v>25.97</v>
      </c>
      <c r="G52">
        <f t="shared" ref="G52:G54" si="22">SUM(C52:E52)</f>
        <v>87.31</v>
      </c>
      <c r="H52">
        <f>C52/G52*100</f>
        <v>32.436147062192191</v>
      </c>
      <c r="J52">
        <f>H52/$H$39</f>
        <v>0.99669693271563753</v>
      </c>
      <c r="K52">
        <f t="shared" ref="K52:K54" si="23">LOG(J52,2)</f>
        <v>-4.7732062484958718E-3</v>
      </c>
    </row>
    <row r="53" spans="1:11">
      <c r="A53" s="133"/>
      <c r="B53" s="11" t="s">
        <v>85</v>
      </c>
      <c r="C53">
        <v>13.76</v>
      </c>
      <c r="D53">
        <v>45.51</v>
      </c>
      <c r="E53">
        <v>26.17</v>
      </c>
      <c r="G53">
        <f t="shared" si="22"/>
        <v>85.44</v>
      </c>
      <c r="H53">
        <f t="shared" ref="H53:H54" si="24">C53/G53*100</f>
        <v>16.104868913857679</v>
      </c>
      <c r="J53">
        <f>H53/$H$40</f>
        <v>0.57554132273233394</v>
      </c>
      <c r="K53">
        <f t="shared" si="23"/>
        <v>-0.79700858015139686</v>
      </c>
    </row>
    <row r="54" spans="1:11">
      <c r="A54" s="133"/>
      <c r="B54" s="12" t="s">
        <v>86</v>
      </c>
      <c r="C54">
        <v>3.88</v>
      </c>
      <c r="D54">
        <v>56.06</v>
      </c>
      <c r="E54">
        <v>27.19</v>
      </c>
      <c r="G54">
        <f t="shared" si="22"/>
        <v>87.13000000000001</v>
      </c>
      <c r="H54">
        <f t="shared" si="24"/>
        <v>4.4531160335131412</v>
      </c>
      <c r="J54">
        <f>H54/$H$41</f>
        <v>0.22623419848830154</v>
      </c>
      <c r="K54">
        <f t="shared" si="23"/>
        <v>-2.1441110653818027</v>
      </c>
    </row>
    <row r="56" spans="1:11">
      <c r="A56" s="1"/>
    </row>
    <row r="57" spans="1:11">
      <c r="A57" s="133" t="s">
        <v>83</v>
      </c>
      <c r="B57" s="11" t="s">
        <v>84</v>
      </c>
      <c r="C57">
        <v>34.56</v>
      </c>
      <c r="D57">
        <v>30.03</v>
      </c>
      <c r="E57">
        <v>22.48</v>
      </c>
      <c r="G57">
        <f>SUM(C57:E57)</f>
        <v>87.070000000000007</v>
      </c>
      <c r="H57">
        <f>C57/G57*100</f>
        <v>39.692201676811763</v>
      </c>
    </row>
    <row r="58" spans="1:11">
      <c r="A58" s="133"/>
      <c r="B58" s="11" t="s">
        <v>85</v>
      </c>
      <c r="C58">
        <v>27.17</v>
      </c>
      <c r="D58">
        <v>30.96</v>
      </c>
      <c r="E58">
        <v>27.89</v>
      </c>
      <c r="G58">
        <f t="shared" ref="G58:G59" si="25">SUM(C58:E58)</f>
        <v>86.02000000000001</v>
      </c>
      <c r="H58">
        <f t="shared" ref="H58:H59" si="26">C58/G58*100</f>
        <v>31.585677749360613</v>
      </c>
    </row>
    <row r="59" spans="1:11">
      <c r="A59" s="133"/>
      <c r="B59" s="12" t="s">
        <v>86</v>
      </c>
      <c r="C59">
        <v>21.38</v>
      </c>
      <c r="D59">
        <v>38.200000000000003</v>
      </c>
      <c r="E59">
        <v>25.78</v>
      </c>
      <c r="G59">
        <f t="shared" si="25"/>
        <v>85.36</v>
      </c>
      <c r="H59">
        <f t="shared" si="26"/>
        <v>25.046860356138705</v>
      </c>
    </row>
    <row r="60" spans="1:11">
      <c r="B60" s="13"/>
    </row>
    <row r="61" spans="1:11">
      <c r="A61" s="133" t="s">
        <v>10</v>
      </c>
      <c r="B61" s="11" t="s">
        <v>84</v>
      </c>
      <c r="C61">
        <v>31.79</v>
      </c>
      <c r="D61">
        <v>32.03</v>
      </c>
      <c r="E61">
        <v>23.61</v>
      </c>
      <c r="G61">
        <f>SUM(C61:E61)</f>
        <v>87.43</v>
      </c>
      <c r="H61">
        <f>C61/G61*100</f>
        <v>36.360516985016581</v>
      </c>
      <c r="J61">
        <f>H61/$H$57</f>
        <v>0.91606198318443099</v>
      </c>
      <c r="K61">
        <f>LOG(J61,2)</f>
        <v>-0.12648287668802979</v>
      </c>
    </row>
    <row r="62" spans="1:11">
      <c r="A62" s="133"/>
      <c r="B62" s="11" t="s">
        <v>85</v>
      </c>
      <c r="C62">
        <v>17.87</v>
      </c>
      <c r="D62">
        <v>38.68</v>
      </c>
      <c r="E62">
        <v>29.94</v>
      </c>
      <c r="G62">
        <f t="shared" ref="G62:G63" si="27">SUM(C62:E62)</f>
        <v>86.49</v>
      </c>
      <c r="H62">
        <f t="shared" ref="H62:H63" si="28">C62/G62*100</f>
        <v>20.661348132732112</v>
      </c>
      <c r="J62">
        <f>H62/$H$58</f>
        <v>0.65413660889864422</v>
      </c>
      <c r="K62">
        <f t="shared" ref="K62:K63" si="29">LOG(J62,2)</f>
        <v>-0.6123361374518973</v>
      </c>
    </row>
    <row r="63" spans="1:11">
      <c r="A63" s="133"/>
      <c r="B63" s="12" t="s">
        <v>86</v>
      </c>
      <c r="C63">
        <v>7.45</v>
      </c>
      <c r="D63">
        <v>49.13</v>
      </c>
      <c r="E63">
        <v>29.56</v>
      </c>
      <c r="G63">
        <f t="shared" si="27"/>
        <v>86.14</v>
      </c>
      <c r="H63">
        <f t="shared" si="28"/>
        <v>8.6487114000464373</v>
      </c>
      <c r="J63">
        <f>H63/$H$59</f>
        <v>0.34530121847893541</v>
      </c>
      <c r="K63">
        <f t="shared" si="29"/>
        <v>-1.5340726697884</v>
      </c>
    </row>
    <row r="64" spans="1:11">
      <c r="B64" s="13"/>
    </row>
    <row r="65" spans="1:11">
      <c r="B65" s="13"/>
    </row>
    <row r="66" spans="1:11">
      <c r="A66" s="133" t="s">
        <v>59</v>
      </c>
      <c r="B66" s="11" t="s">
        <v>84</v>
      </c>
      <c r="C66">
        <v>31.83</v>
      </c>
      <c r="D66">
        <v>32.99</v>
      </c>
      <c r="E66">
        <v>21.99</v>
      </c>
      <c r="G66">
        <f>SUM(C66:E66)</f>
        <v>86.809999999999988</v>
      </c>
      <c r="H66">
        <f t="shared" ref="H66" si="30">C66/G66*100</f>
        <v>36.666282686326461</v>
      </c>
      <c r="J66">
        <f>H66/$H$57</f>
        <v>0.92376540321135558</v>
      </c>
      <c r="K66">
        <f t="shared" ref="K66:K68" si="31">LOG(J66,2)</f>
        <v>-0.11440157938893608</v>
      </c>
    </row>
    <row r="67" spans="1:11">
      <c r="A67" s="133"/>
      <c r="B67" s="11" t="s">
        <v>85</v>
      </c>
      <c r="C67">
        <v>17.97</v>
      </c>
      <c r="D67">
        <v>43.19</v>
      </c>
      <c r="E67">
        <v>24.23</v>
      </c>
      <c r="G67">
        <f t="shared" ref="G67:G68" si="32">SUM(C67:E67)</f>
        <v>85.39</v>
      </c>
      <c r="H67">
        <f>C67/G67*100</f>
        <v>21.044618807822928</v>
      </c>
      <c r="J67">
        <f>H67/$H$58</f>
        <v>0.66627092743795668</v>
      </c>
      <c r="K67">
        <f t="shared" si="31"/>
        <v>-0.58581915153818642</v>
      </c>
    </row>
    <row r="68" spans="1:11">
      <c r="A68" s="133"/>
      <c r="B68" s="12" t="s">
        <v>86</v>
      </c>
      <c r="C68">
        <v>5.58</v>
      </c>
      <c r="D68">
        <v>56.03</v>
      </c>
      <c r="E68">
        <v>25.17</v>
      </c>
      <c r="G68">
        <f t="shared" si="32"/>
        <v>86.78</v>
      </c>
      <c r="H68">
        <f t="shared" ref="H68" si="33">C68/G68*100</f>
        <v>6.430053007605439</v>
      </c>
      <c r="J68">
        <f>H68/$H$59</f>
        <v>0.2567209189565951</v>
      </c>
      <c r="K68">
        <f t="shared" si="31"/>
        <v>-1.9617272358836204</v>
      </c>
    </row>
    <row r="69" spans="1:11">
      <c r="B69" s="13"/>
    </row>
    <row r="70" spans="1:11">
      <c r="A70" s="133" t="s">
        <v>90</v>
      </c>
      <c r="B70" s="11" t="s">
        <v>84</v>
      </c>
      <c r="C70">
        <v>31.49</v>
      </c>
      <c r="D70">
        <v>32.71</v>
      </c>
      <c r="E70">
        <v>22.56</v>
      </c>
      <c r="G70">
        <f t="shared" ref="G70:G72" si="34">SUM(C70:E70)</f>
        <v>86.76</v>
      </c>
      <c r="H70">
        <f>C70/G70*100</f>
        <v>36.295527893038262</v>
      </c>
      <c r="J70">
        <f>H70/$H$57</f>
        <v>0.91442465672651663</v>
      </c>
      <c r="K70">
        <f t="shared" ref="K70" si="35">LOG(J70,2)</f>
        <v>-0.12906378969730853</v>
      </c>
    </row>
    <row r="71" spans="1:11">
      <c r="A71" s="133"/>
      <c r="B71" s="11" t="s">
        <v>85</v>
      </c>
      <c r="C71">
        <v>12.09</v>
      </c>
      <c r="D71">
        <v>43.28</v>
      </c>
      <c r="E71">
        <v>30.36</v>
      </c>
      <c r="G71">
        <f t="shared" si="34"/>
        <v>85.73</v>
      </c>
      <c r="H71">
        <f t="shared" ref="H71:H72" si="36">C71/G71*100</f>
        <v>14.102414557331155</v>
      </c>
      <c r="J71">
        <f>H71/$H$58</f>
        <v>0.44648130298918881</v>
      </c>
      <c r="K71">
        <f>LOG(J71,2)</f>
        <v>-1.1633283330897042</v>
      </c>
    </row>
    <row r="72" spans="1:11">
      <c r="A72" s="133"/>
      <c r="B72" s="12" t="s">
        <v>86</v>
      </c>
      <c r="C72">
        <v>3.76</v>
      </c>
      <c r="D72">
        <v>54.51</v>
      </c>
      <c r="E72">
        <v>29.38</v>
      </c>
      <c r="G72">
        <f t="shared" si="34"/>
        <v>87.649999999999991</v>
      </c>
      <c r="H72">
        <f t="shared" si="36"/>
        <v>4.2897889332572738</v>
      </c>
      <c r="J72">
        <f>H72/$H$59</f>
        <v>0.17127052541760568</v>
      </c>
      <c r="K72">
        <f t="shared" ref="K72" si="37">LOG(J72,2)</f>
        <v>-2.5456512008653283</v>
      </c>
    </row>
  </sheetData>
  <mergeCells count="22">
    <mergeCell ref="A30:A32"/>
    <mergeCell ref="A3:A5"/>
    <mergeCell ref="AB3:AB5"/>
    <mergeCell ref="AN3:AN5"/>
    <mergeCell ref="A7:A9"/>
    <mergeCell ref="U7:U9"/>
    <mergeCell ref="U11:U13"/>
    <mergeCell ref="A12:A14"/>
    <mergeCell ref="U15:U17"/>
    <mergeCell ref="A16:A18"/>
    <mergeCell ref="Z16:Z18"/>
    <mergeCell ref="A21:A23"/>
    <mergeCell ref="A25:A27"/>
    <mergeCell ref="A61:A63"/>
    <mergeCell ref="A66:A68"/>
    <mergeCell ref="A70:A72"/>
    <mergeCell ref="A34:A36"/>
    <mergeCell ref="A39:A41"/>
    <mergeCell ref="A43:A45"/>
    <mergeCell ref="A48:A50"/>
    <mergeCell ref="A52:A54"/>
    <mergeCell ref="A57:A5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H88"/>
  <sheetViews>
    <sheetView zoomScale="70" zoomScaleNormal="70" workbookViewId="0"/>
  </sheetViews>
  <sheetFormatPr baseColWidth="10" defaultColWidth="8.83203125" defaultRowHeight="15"/>
  <cols>
    <col min="1" max="1" width="21.6640625" customWidth="1"/>
    <col min="2" max="2" width="15.5" style="21" customWidth="1"/>
    <col min="3" max="3" width="11.6640625" style="21" customWidth="1"/>
    <col min="4" max="4" width="11.1640625" style="21" customWidth="1"/>
    <col min="5" max="5" width="8.83203125" style="21"/>
    <col min="6" max="6" width="43.5" style="21" customWidth="1"/>
    <col min="7" max="8" width="8.83203125" style="21"/>
    <col min="9" max="9" width="19.5" style="21" customWidth="1"/>
    <col min="10" max="10" width="29" style="21" customWidth="1"/>
    <col min="11" max="11" width="32.5" style="21" customWidth="1"/>
    <col min="12" max="12" width="17.33203125" style="21" customWidth="1"/>
    <col min="13" max="13" width="20.33203125" style="21" customWidth="1"/>
    <col min="14" max="14" width="19" style="21" customWidth="1"/>
    <col min="15" max="15" width="15.5" style="21" customWidth="1"/>
    <col min="16" max="16" width="8.83203125" style="21" customWidth="1"/>
    <col min="17" max="18" width="8.83203125" style="21"/>
    <col min="19" max="19" width="38.83203125" style="21" customWidth="1"/>
    <col min="20" max="21" width="8.83203125" style="21"/>
    <col min="22" max="22" width="28.5" style="21" customWidth="1"/>
    <col min="23" max="23" width="25.83203125" style="21" customWidth="1"/>
    <col min="24" max="24" width="8.5" style="21" customWidth="1"/>
    <col min="25" max="25" width="15.5" style="21" customWidth="1"/>
    <col min="26" max="26" width="8.5" style="21" customWidth="1"/>
    <col min="27" max="27" width="16.83203125" style="21" customWidth="1"/>
    <col min="28" max="28" width="18.5" style="21" customWidth="1"/>
    <col min="29" max="31" width="8.83203125" style="21"/>
    <col min="32" max="32" width="37.1640625" style="21" customWidth="1"/>
    <col min="33" max="34" width="8.83203125" style="21"/>
    <col min="35" max="35" width="17.5" style="21" customWidth="1"/>
    <col min="36" max="36" width="18.83203125" style="21" customWidth="1"/>
    <col min="37" max="40" width="8.83203125" style="21"/>
    <col min="41" max="41" width="17" style="21" customWidth="1"/>
    <col min="42" max="42" width="19.5" style="21" customWidth="1"/>
    <col min="43" max="43" width="12.5" style="21" customWidth="1"/>
    <col min="44" max="44" width="15" style="21" customWidth="1"/>
    <col min="45" max="45" width="8.83203125" style="21"/>
    <col min="46" max="46" width="44.1640625" style="21" customWidth="1"/>
    <col min="47" max="48" width="8.83203125" style="21"/>
    <col min="49" max="49" width="27" style="21" customWidth="1"/>
    <col min="50" max="50" width="28.5" style="21" customWidth="1"/>
    <col min="54" max="54" width="24.6640625" customWidth="1"/>
  </cols>
  <sheetData>
    <row r="1" spans="1:20">
      <c r="A1" s="37" t="s">
        <v>245</v>
      </c>
    </row>
    <row r="2" spans="1:20">
      <c r="A2" s="20"/>
      <c r="B2" s="44" t="s">
        <v>1</v>
      </c>
      <c r="C2" s="44"/>
      <c r="D2" s="44"/>
      <c r="E2" s="44"/>
      <c r="F2" s="44" t="s">
        <v>2</v>
      </c>
      <c r="G2" s="44"/>
      <c r="H2" s="44"/>
      <c r="I2" s="44" t="s">
        <v>211</v>
      </c>
      <c r="J2" s="44" t="s">
        <v>212</v>
      </c>
    </row>
    <row r="3" spans="1:20">
      <c r="B3" s="44" t="s">
        <v>5</v>
      </c>
      <c r="C3" s="44" t="s">
        <v>6</v>
      </c>
      <c r="D3" s="44" t="s">
        <v>7</v>
      </c>
      <c r="E3" s="44"/>
      <c r="F3" s="44"/>
      <c r="G3" s="44" t="s">
        <v>5</v>
      </c>
      <c r="H3" s="44"/>
      <c r="I3" s="44" t="s">
        <v>5</v>
      </c>
      <c r="J3" s="44" t="s">
        <v>5</v>
      </c>
    </row>
    <row r="4" spans="1:20">
      <c r="A4" t="s">
        <v>134</v>
      </c>
      <c r="B4" s="21">
        <v>22.49</v>
      </c>
      <c r="C4" s="21">
        <v>38.93</v>
      </c>
      <c r="D4" s="21">
        <v>25.4</v>
      </c>
      <c r="F4" s="21">
        <f>SUM(B4:D4)</f>
        <v>86.82</v>
      </c>
      <c r="G4" s="21">
        <f>B4/F4*100</f>
        <v>25.904169546187518</v>
      </c>
      <c r="I4" s="21">
        <f>AVERAGE(G4:G6)</f>
        <v>25.691630261232458</v>
      </c>
    </row>
    <row r="5" spans="1:20">
      <c r="A5" t="s">
        <v>134</v>
      </c>
      <c r="B5" s="21">
        <v>22.3</v>
      </c>
      <c r="C5" s="21">
        <v>38.659999999999997</v>
      </c>
      <c r="D5" s="21">
        <v>25.53</v>
      </c>
      <c r="F5" s="21">
        <f>SUM(B5:D5)</f>
        <v>86.49</v>
      </c>
      <c r="G5" s="21">
        <f>B5/F5*100</f>
        <v>25.783327552318191</v>
      </c>
      <c r="M5"/>
      <c r="N5"/>
      <c r="O5"/>
      <c r="P5"/>
      <c r="Q5"/>
      <c r="R5"/>
      <c r="S5"/>
      <c r="T5"/>
    </row>
    <row r="6" spans="1:20">
      <c r="A6" t="s">
        <v>134</v>
      </c>
      <c r="B6" s="21">
        <v>21.79</v>
      </c>
      <c r="C6" s="21">
        <v>41.69</v>
      </c>
      <c r="D6" s="21">
        <v>22.35</v>
      </c>
      <c r="F6" s="21">
        <f t="shared" ref="F6:F10" si="0">SUM(B6:D6)</f>
        <v>85.83</v>
      </c>
      <c r="G6" s="21">
        <f t="shared" ref="G6:G10" si="1">B6/F6*100</f>
        <v>25.387393685191658</v>
      </c>
      <c r="L6" s="22"/>
      <c r="M6" s="23"/>
      <c r="N6" s="23"/>
      <c r="O6" s="23"/>
      <c r="P6" s="23"/>
      <c r="Q6" s="23"/>
      <c r="R6" s="23"/>
      <c r="S6" s="23"/>
      <c r="T6"/>
    </row>
    <row r="7" spans="1:20">
      <c r="A7" t="s">
        <v>90</v>
      </c>
      <c r="B7" s="21">
        <v>12.4</v>
      </c>
      <c r="C7" s="21">
        <v>46.22</v>
      </c>
      <c r="D7" s="21">
        <v>27.32</v>
      </c>
      <c r="F7" s="21">
        <f t="shared" si="0"/>
        <v>85.94</v>
      </c>
      <c r="G7" s="21">
        <f t="shared" si="1"/>
        <v>14.428671165929718</v>
      </c>
      <c r="I7" s="21">
        <f>G7/$I$4</f>
        <v>0.56160979350936513</v>
      </c>
      <c r="J7" s="21">
        <f t="shared" ref="J7:J10" si="2">LOG(I7,2)</f>
        <v>-0.83236000090407658</v>
      </c>
      <c r="L7" s="22"/>
      <c r="M7" s="23"/>
      <c r="N7" s="24"/>
      <c r="O7" s="24"/>
      <c r="P7" s="22"/>
      <c r="Q7" s="22"/>
      <c r="R7" s="22"/>
      <c r="S7" s="23"/>
      <c r="T7"/>
    </row>
    <row r="8" spans="1:20" ht="16" thickBot="1">
      <c r="A8" t="s">
        <v>93</v>
      </c>
      <c r="B8" s="21">
        <v>22.19</v>
      </c>
      <c r="C8" s="21">
        <v>38.39</v>
      </c>
      <c r="D8" s="21">
        <v>26.5</v>
      </c>
      <c r="F8" s="21">
        <f t="shared" si="0"/>
        <v>87.08</v>
      </c>
      <c r="G8" s="21">
        <f t="shared" si="1"/>
        <v>25.482315112540192</v>
      </c>
      <c r="I8" s="21">
        <f>G8/$I$4</f>
        <v>0.99185278837644986</v>
      </c>
      <c r="J8" s="21">
        <f t="shared" si="2"/>
        <v>-1.1802084395570747E-2</v>
      </c>
      <c r="L8" s="22"/>
      <c r="M8" s="23"/>
      <c r="N8" s="22"/>
      <c r="O8" s="22"/>
      <c r="P8" s="22"/>
      <c r="Q8" s="22"/>
      <c r="R8" s="22"/>
      <c r="S8" s="23"/>
      <c r="T8"/>
    </row>
    <row r="9" spans="1:20">
      <c r="A9" t="s">
        <v>94</v>
      </c>
      <c r="B9" s="21">
        <v>22.97</v>
      </c>
      <c r="C9" s="21">
        <v>38.549999999999997</v>
      </c>
      <c r="D9" s="21">
        <v>24.51</v>
      </c>
      <c r="F9" s="21">
        <f t="shared" si="0"/>
        <v>86.03</v>
      </c>
      <c r="G9" s="21">
        <f t="shared" si="1"/>
        <v>26.699988376147854</v>
      </c>
      <c r="I9" s="21">
        <f>G9/$I$4</f>
        <v>1.0392485064070442</v>
      </c>
      <c r="J9" s="21">
        <f t="shared" si="2"/>
        <v>5.5540674543282473E-2</v>
      </c>
      <c r="L9" s="22"/>
      <c r="M9" s="25"/>
      <c r="N9" s="26"/>
      <c r="O9" s="26"/>
      <c r="P9" s="26"/>
      <c r="Q9" s="26"/>
      <c r="R9" s="27"/>
      <c r="S9" s="23"/>
      <c r="T9"/>
    </row>
    <row r="10" spans="1:20">
      <c r="A10" t="s">
        <v>95</v>
      </c>
      <c r="B10" s="21">
        <v>19.739999999999998</v>
      </c>
      <c r="C10" s="21">
        <v>38.950000000000003</v>
      </c>
      <c r="D10" s="21">
        <v>27.57</v>
      </c>
      <c r="F10" s="21">
        <f t="shared" si="0"/>
        <v>86.259999999999991</v>
      </c>
      <c r="G10" s="21">
        <f t="shared" si="1"/>
        <v>22.884303269186184</v>
      </c>
      <c r="I10" s="21">
        <f>G10/$I$4</f>
        <v>0.89072990061349255</v>
      </c>
      <c r="J10" s="21">
        <f t="shared" si="2"/>
        <v>-0.16694007068247801</v>
      </c>
      <c r="L10" s="22"/>
      <c r="M10" s="28"/>
      <c r="N10" s="22" t="s">
        <v>96</v>
      </c>
      <c r="O10" s="22" t="s">
        <v>97</v>
      </c>
      <c r="P10" s="22"/>
      <c r="Q10" s="22"/>
      <c r="R10" s="29"/>
      <c r="S10" s="23"/>
      <c r="T10"/>
    </row>
    <row r="11" spans="1:20">
      <c r="L11" s="22"/>
      <c r="M11" s="30" t="s">
        <v>90</v>
      </c>
      <c r="N11" s="22">
        <f>AVERAGE(J7,J18,J29)</f>
        <v>-1.0374762293500031</v>
      </c>
      <c r="O11" s="22">
        <f>STDEV(J29,J18,J7)/SQRT(3)</f>
        <v>0.10432277233057459</v>
      </c>
      <c r="P11" s="22"/>
      <c r="Q11" s="22" t="s">
        <v>98</v>
      </c>
      <c r="R11" s="29">
        <v>-0.15770000000000001</v>
      </c>
      <c r="S11" s="22"/>
      <c r="T11"/>
    </row>
    <row r="12" spans="1:20">
      <c r="L12" s="22"/>
      <c r="M12" s="30" t="s">
        <v>93</v>
      </c>
      <c r="N12" s="22">
        <f>AVERAGE(J8,J19,J30)</f>
        <v>-1.6973384145415701E-2</v>
      </c>
      <c r="O12" s="22">
        <f>STDEV(J30,J19,J8)/SQRT(3)</f>
        <v>6.3586166487858684E-2</v>
      </c>
      <c r="P12" s="22"/>
      <c r="Q12" s="22"/>
      <c r="R12" s="29"/>
      <c r="S12" s="22"/>
      <c r="T12"/>
    </row>
    <row r="13" spans="1:20">
      <c r="A13" s="31"/>
      <c r="L13" s="22"/>
      <c r="M13" s="30" t="s">
        <v>94</v>
      </c>
      <c r="N13" s="22">
        <f>AVERAGE(J9,J20,J31)</f>
        <v>4.3201537979379269E-3</v>
      </c>
      <c r="O13" s="22">
        <f>STDEV(J31,J20,J9)/SQRT(3)</f>
        <v>4.6386130803033943E-2</v>
      </c>
      <c r="P13" s="22"/>
      <c r="Q13" s="22"/>
      <c r="R13" s="29"/>
      <c r="S13" s="22"/>
      <c r="T13"/>
    </row>
    <row r="14" spans="1:20">
      <c r="A14" s="21"/>
      <c r="L14" s="22"/>
      <c r="M14" s="30" t="s">
        <v>95</v>
      </c>
      <c r="N14" s="22">
        <f>AVERAGE(J10,J21,J32)</f>
        <v>-0.14118616125072322</v>
      </c>
      <c r="O14" s="22">
        <f>STDEV(J32,J21,J10)/SQRT(3)</f>
        <v>1.5814722939649924E-2</v>
      </c>
      <c r="P14" s="22"/>
      <c r="Q14" s="22"/>
      <c r="R14" s="29"/>
      <c r="S14" s="22"/>
      <c r="T14"/>
    </row>
    <row r="15" spans="1:20">
      <c r="A15" s="21" t="s">
        <v>134</v>
      </c>
      <c r="B15" s="21">
        <v>21.52</v>
      </c>
      <c r="C15" s="21">
        <v>41.13</v>
      </c>
      <c r="D15" s="21">
        <v>23.62</v>
      </c>
      <c r="F15" s="21">
        <f>SUM(B15:D15)</f>
        <v>86.27000000000001</v>
      </c>
      <c r="G15" s="21">
        <f>B15/F15*100</f>
        <v>24.944940303697692</v>
      </c>
      <c r="I15" s="21">
        <f>AVERAGE(G15:G17)</f>
        <v>25.744410672962868</v>
      </c>
      <c r="L15" s="22"/>
      <c r="M15" s="30" t="s">
        <v>99</v>
      </c>
      <c r="N15" s="22">
        <f>AVERAGE(J69:J71,J59:J61,J50:J51,J42:J43)</f>
        <v>-0.26901718054565837</v>
      </c>
      <c r="O15" s="22">
        <f>STDEV(J69:J71,J59:J61,J50:J51,J42:J43)/SQRT(10)</f>
        <v>4.0474626569644449E-2</v>
      </c>
      <c r="P15" s="22"/>
      <c r="Q15" s="22"/>
      <c r="R15" s="29"/>
      <c r="S15" s="22"/>
      <c r="T15"/>
    </row>
    <row r="16" spans="1:20" ht="16" thickBot="1">
      <c r="A16" s="21" t="s">
        <v>134</v>
      </c>
      <c r="B16" s="21">
        <v>21.78</v>
      </c>
      <c r="C16" s="21">
        <v>41.81</v>
      </c>
      <c r="D16" s="21">
        <v>22.77</v>
      </c>
      <c r="F16" s="21">
        <f>SUM(B16:D16)</f>
        <v>86.36</v>
      </c>
      <c r="G16" s="21">
        <f>B16/F16*100</f>
        <v>25.220009263547936</v>
      </c>
      <c r="L16" s="22"/>
      <c r="M16" s="32" t="s">
        <v>100</v>
      </c>
      <c r="N16" s="33">
        <f>AVERAGE(J87:J88,J79:J80)</f>
        <v>-0.14288573324610104</v>
      </c>
      <c r="O16" s="33">
        <f>STDEV(J87:J88,J79:J80)/SQRT(4)</f>
        <v>8.025519260457413E-2</v>
      </c>
      <c r="P16" s="33"/>
      <c r="Q16" s="33"/>
      <c r="R16" s="34"/>
      <c r="S16" s="22"/>
      <c r="T16"/>
    </row>
    <row r="17" spans="1:60">
      <c r="A17" s="21" t="s">
        <v>134</v>
      </c>
      <c r="B17" s="21">
        <v>23.23</v>
      </c>
      <c r="C17" s="21">
        <v>41.48</v>
      </c>
      <c r="D17" s="21">
        <v>21.11</v>
      </c>
      <c r="F17" s="21">
        <f t="shared" ref="F17:F21" si="3">SUM(B17:D17)</f>
        <v>85.82</v>
      </c>
      <c r="G17" s="21">
        <f>B17/F17*100</f>
        <v>27.068282451642979</v>
      </c>
      <c r="L17" s="22"/>
      <c r="M17" s="22"/>
      <c r="N17" s="22"/>
      <c r="O17" s="22"/>
      <c r="P17" s="22"/>
      <c r="Q17" s="22"/>
      <c r="R17" s="22"/>
      <c r="S17" s="22"/>
      <c r="T17"/>
    </row>
    <row r="18" spans="1:60">
      <c r="A18" s="21" t="s">
        <v>90</v>
      </c>
      <c r="B18" s="21">
        <v>9.52</v>
      </c>
      <c r="C18" s="21">
        <v>50.69</v>
      </c>
      <c r="D18" s="21">
        <v>25.85</v>
      </c>
      <c r="F18" s="21">
        <f t="shared" si="3"/>
        <v>86.06</v>
      </c>
      <c r="G18" s="21">
        <f t="shared" ref="G18:G21" si="4">B18/F18*100</f>
        <v>11.062049732744596</v>
      </c>
      <c r="I18" s="21">
        <f>G18/$G$15</f>
        <v>0.44345865726945927</v>
      </c>
      <c r="J18" s="21">
        <f t="shared" ref="J18:J21" si="5">LOG(I18,2)</f>
        <v>-1.1731284835572557</v>
      </c>
      <c r="L18" s="22"/>
      <c r="M18" s="24"/>
      <c r="N18" s="24"/>
      <c r="O18" s="24"/>
      <c r="P18" s="22"/>
      <c r="Q18" s="22"/>
      <c r="R18" s="22"/>
      <c r="S18" s="22"/>
      <c r="T18"/>
      <c r="BB18" s="24"/>
      <c r="BC18" s="22"/>
      <c r="BD18" s="22"/>
      <c r="BE18" s="22"/>
      <c r="BF18" s="22"/>
      <c r="BG18" s="22"/>
      <c r="BH18" s="22"/>
    </row>
    <row r="19" spans="1:60">
      <c r="A19" s="21" t="s">
        <v>93</v>
      </c>
      <c r="B19" s="21">
        <v>19.760000000000002</v>
      </c>
      <c r="C19" s="21">
        <v>39.47</v>
      </c>
      <c r="D19" s="21">
        <v>27.43</v>
      </c>
      <c r="F19" s="21">
        <f t="shared" si="3"/>
        <v>86.66</v>
      </c>
      <c r="G19" s="21">
        <f t="shared" si="4"/>
        <v>22.801753981075471</v>
      </c>
      <c r="I19" s="21">
        <f>G19/$G$15</f>
        <v>0.9140833252543592</v>
      </c>
      <c r="J19" s="21">
        <f t="shared" si="5"/>
        <v>-0.12960241160408006</v>
      </c>
      <c r="L19" s="22"/>
      <c r="M19" s="24"/>
      <c r="N19" s="24"/>
      <c r="O19" s="24"/>
      <c r="P19" s="22"/>
      <c r="Q19" s="22"/>
      <c r="R19" s="22"/>
      <c r="S19" s="22"/>
      <c r="T19"/>
      <c r="BB19" s="24"/>
      <c r="BC19" s="22"/>
      <c r="BD19" s="22"/>
      <c r="BE19" s="22"/>
      <c r="BF19" s="22"/>
      <c r="BG19" s="22"/>
      <c r="BH19" s="22"/>
    </row>
    <row r="20" spans="1:60">
      <c r="A20" s="21" t="s">
        <v>94</v>
      </c>
      <c r="B20" s="21">
        <v>20.36</v>
      </c>
      <c r="C20" s="21">
        <v>40.06</v>
      </c>
      <c r="D20" s="21">
        <v>26.35</v>
      </c>
      <c r="F20" s="21">
        <f t="shared" si="3"/>
        <v>86.77000000000001</v>
      </c>
      <c r="G20" s="21">
        <f t="shared" si="4"/>
        <v>23.46433098997349</v>
      </c>
      <c r="I20" s="21">
        <f>G20/$G$15</f>
        <v>0.94064490450976446</v>
      </c>
      <c r="J20" s="21">
        <f t="shared" si="5"/>
        <v>-8.8277889666581177E-2</v>
      </c>
      <c r="L20" s="22"/>
      <c r="M20" s="22"/>
      <c r="N20" s="22"/>
      <c r="O20" s="22"/>
      <c r="P20" s="22"/>
      <c r="Q20" s="22"/>
      <c r="R20" s="22"/>
      <c r="S20" s="22"/>
      <c r="T20"/>
      <c r="BB20" s="24"/>
      <c r="BC20" s="22"/>
      <c r="BD20" s="22"/>
      <c r="BE20" s="22"/>
      <c r="BF20" s="22"/>
      <c r="BG20" s="22"/>
      <c r="BH20" s="22"/>
    </row>
    <row r="21" spans="1:60">
      <c r="A21" s="21" t="s">
        <v>95</v>
      </c>
      <c r="B21" s="21">
        <v>19.989999999999998</v>
      </c>
      <c r="C21" s="21">
        <v>41.11</v>
      </c>
      <c r="D21" s="21">
        <v>25.53</v>
      </c>
      <c r="F21" s="21">
        <f t="shared" si="3"/>
        <v>86.63</v>
      </c>
      <c r="G21" s="21">
        <f t="shared" si="4"/>
        <v>23.075147177652084</v>
      </c>
      <c r="I21" s="21">
        <f>G21/$G$15</f>
        <v>0.92504319099258614</v>
      </c>
      <c r="J21" s="21">
        <f t="shared" si="5"/>
        <v>-0.11240736712207998</v>
      </c>
      <c r="BB21" s="24"/>
      <c r="BC21" s="22"/>
      <c r="BD21" s="22"/>
      <c r="BE21" s="22"/>
      <c r="BF21" s="22"/>
      <c r="BG21" s="22"/>
      <c r="BH21" s="22"/>
    </row>
    <row r="22" spans="1:60">
      <c r="BB22" s="24"/>
      <c r="BC22" s="22"/>
      <c r="BD22" s="22"/>
      <c r="BE22" s="22"/>
      <c r="BF22" s="22"/>
      <c r="BG22" s="22"/>
      <c r="BH22" s="22"/>
    </row>
    <row r="23" spans="1:60">
      <c r="BB23" s="24"/>
      <c r="BC23" s="22"/>
      <c r="BD23" s="22"/>
      <c r="BE23" s="22"/>
      <c r="BF23" s="22"/>
      <c r="BG23" s="22"/>
      <c r="BH23" s="22"/>
    </row>
    <row r="24" spans="1:60">
      <c r="A24" s="35"/>
      <c r="BB24" s="24"/>
      <c r="BC24" s="22"/>
      <c r="BD24" s="22"/>
      <c r="BE24" s="22"/>
      <c r="BF24" s="22"/>
      <c r="BG24" s="22"/>
      <c r="BH24" s="22"/>
    </row>
    <row r="25" spans="1:60">
      <c r="A25" s="21"/>
      <c r="BB25" s="24"/>
      <c r="BC25" s="22"/>
      <c r="BD25" s="22"/>
      <c r="BE25" s="22"/>
      <c r="BF25" s="22"/>
      <c r="BG25" s="22"/>
      <c r="BH25" s="22"/>
    </row>
    <row r="26" spans="1:60">
      <c r="A26" s="21" t="s">
        <v>134</v>
      </c>
      <c r="B26" s="21">
        <v>17.920000000000002</v>
      </c>
      <c r="C26" s="21">
        <v>41.94</v>
      </c>
      <c r="D26" s="21">
        <v>26.85</v>
      </c>
      <c r="F26" s="21">
        <f>SUM(B26:D26)</f>
        <v>86.710000000000008</v>
      </c>
      <c r="G26" s="21">
        <f>B26/F26*100</f>
        <v>20.666589782032059</v>
      </c>
      <c r="I26" s="21">
        <f>AVERAGE(G26:G28)</f>
        <v>21.174699767998536</v>
      </c>
      <c r="BB26" s="24"/>
      <c r="BC26" s="22"/>
      <c r="BD26" s="22"/>
      <c r="BE26" s="22"/>
      <c r="BF26" s="22"/>
      <c r="BG26" s="22"/>
      <c r="BH26" s="22"/>
    </row>
    <row r="27" spans="1:60">
      <c r="A27" s="21" t="s">
        <v>134</v>
      </c>
      <c r="B27" s="21">
        <v>18.260000000000002</v>
      </c>
      <c r="C27" s="21">
        <v>41.47</v>
      </c>
      <c r="D27" s="21">
        <v>26.55</v>
      </c>
      <c r="F27" s="21">
        <f t="shared" ref="F27:F32" si="6">SUM(B27:D27)</f>
        <v>86.28</v>
      </c>
      <c r="G27" s="21">
        <f>B27/F27*100</f>
        <v>21.163653222067687</v>
      </c>
      <c r="BB27" s="24"/>
      <c r="BC27" s="22"/>
      <c r="BD27" s="22"/>
      <c r="BE27" s="22"/>
      <c r="BF27" s="22"/>
      <c r="BG27" s="22"/>
      <c r="BH27" s="22"/>
    </row>
    <row r="28" spans="1:60">
      <c r="A28" s="21" t="s">
        <v>134</v>
      </c>
      <c r="B28" s="21">
        <v>18.75</v>
      </c>
      <c r="C28" s="21">
        <v>41.15</v>
      </c>
      <c r="D28" s="21">
        <v>26.53</v>
      </c>
      <c r="F28" s="21">
        <f t="shared" si="6"/>
        <v>86.43</v>
      </c>
      <c r="G28" s="21">
        <f>B28/F28*100</f>
        <v>21.693856299895867</v>
      </c>
      <c r="BB28" s="24"/>
      <c r="BC28" s="22"/>
      <c r="BD28" s="22"/>
      <c r="BE28" s="22"/>
      <c r="BF28" s="22"/>
      <c r="BG28" s="22"/>
      <c r="BH28" s="22"/>
    </row>
    <row r="29" spans="1:60">
      <c r="A29" s="21" t="s">
        <v>90</v>
      </c>
      <c r="B29" s="21">
        <v>8.49</v>
      </c>
      <c r="C29" s="21">
        <v>50.7</v>
      </c>
      <c r="D29" s="21">
        <v>27.17</v>
      </c>
      <c r="F29" s="21">
        <f t="shared" si="6"/>
        <v>86.360000000000014</v>
      </c>
      <c r="G29" s="21">
        <f t="shared" ref="G29:G32" si="7">B29/F29*100</f>
        <v>9.830940250115793</v>
      </c>
      <c r="I29" s="21">
        <f>G29/$I$26</f>
        <v>0.46427766900257816</v>
      </c>
      <c r="J29" s="21">
        <f t="shared" ref="J29:J32" si="8">LOG(I29,2)</f>
        <v>-1.1069402035886771</v>
      </c>
      <c r="BB29" s="24"/>
      <c r="BC29" s="22"/>
      <c r="BD29" s="22"/>
      <c r="BE29" s="22"/>
      <c r="BF29" s="22"/>
      <c r="BG29" s="22"/>
      <c r="BH29" s="22"/>
    </row>
    <row r="30" spans="1:60">
      <c r="A30" s="21" t="s">
        <v>93</v>
      </c>
      <c r="B30" s="21">
        <v>19.54</v>
      </c>
      <c r="C30" s="21">
        <v>39.909999999999997</v>
      </c>
      <c r="D30" s="21">
        <v>27.22</v>
      </c>
      <c r="F30" s="21">
        <f t="shared" si="6"/>
        <v>86.669999999999987</v>
      </c>
      <c r="G30" s="21">
        <f t="shared" si="7"/>
        <v>22.545286719741551</v>
      </c>
      <c r="I30" s="21">
        <f>G30/$I$26</f>
        <v>1.0647275742636215</v>
      </c>
      <c r="J30" s="21">
        <f t="shared" si="8"/>
        <v>9.0484343563403721E-2</v>
      </c>
      <c r="BB30" s="24"/>
      <c r="BC30" s="22"/>
      <c r="BD30" s="22"/>
      <c r="BE30" s="22"/>
      <c r="BF30" s="22"/>
      <c r="BG30" s="22"/>
      <c r="BH30" s="22"/>
    </row>
    <row r="31" spans="1:60">
      <c r="A31" s="21" t="s">
        <v>94</v>
      </c>
      <c r="B31" s="21">
        <v>18.84</v>
      </c>
      <c r="C31" s="21">
        <v>39.6</v>
      </c>
      <c r="D31" s="21">
        <v>27.76</v>
      </c>
      <c r="F31" s="21">
        <f t="shared" si="6"/>
        <v>86.2</v>
      </c>
      <c r="G31" s="21">
        <f t="shared" si="7"/>
        <v>21.856148491879349</v>
      </c>
      <c r="I31" s="21">
        <f>G31/$I$26</f>
        <v>1.0321822142154142</v>
      </c>
      <c r="J31" s="21">
        <f t="shared" si="8"/>
        <v>4.5697676517112484E-2</v>
      </c>
      <c r="BB31" s="24"/>
      <c r="BC31" s="22"/>
      <c r="BD31" s="22"/>
      <c r="BE31" s="22"/>
      <c r="BF31" s="22"/>
      <c r="BG31" s="22"/>
      <c r="BH31" s="22"/>
    </row>
    <row r="32" spans="1:60">
      <c r="A32" s="21" t="s">
        <v>95</v>
      </c>
      <c r="B32" s="21">
        <v>16.66</v>
      </c>
      <c r="C32" s="21">
        <v>39.94</v>
      </c>
      <c r="D32" s="21">
        <v>30.35</v>
      </c>
      <c r="F32" s="21">
        <f t="shared" si="6"/>
        <v>86.949999999999989</v>
      </c>
      <c r="G32" s="21">
        <f t="shared" si="7"/>
        <v>19.160437032777462</v>
      </c>
      <c r="I32" s="21">
        <f>G32/$I$26</f>
        <v>0.90487408287765936</v>
      </c>
      <c r="J32" s="21">
        <f t="shared" si="8"/>
        <v>-0.14421104594761161</v>
      </c>
      <c r="BB32" s="24"/>
      <c r="BC32" s="22"/>
      <c r="BD32" s="22"/>
      <c r="BE32" s="22"/>
      <c r="BF32" s="22"/>
      <c r="BG32" s="22"/>
      <c r="BH32" s="22"/>
    </row>
    <row r="33" spans="1:60">
      <c r="BB33" s="24"/>
      <c r="BC33" s="22"/>
      <c r="BD33" s="22"/>
      <c r="BE33" s="22"/>
      <c r="BF33" s="22"/>
      <c r="BG33" s="22"/>
      <c r="BH33" s="22"/>
    </row>
    <row r="34" spans="1:60">
      <c r="BB34" s="6"/>
      <c r="BC34" s="6"/>
      <c r="BD34" s="6"/>
      <c r="BE34" s="22"/>
      <c r="BF34" s="22"/>
      <c r="BG34" s="22"/>
      <c r="BH34" s="22"/>
    </row>
    <row r="35" spans="1:60">
      <c r="BB35" s="6"/>
      <c r="BC35" s="6"/>
      <c r="BD35" s="6"/>
      <c r="BE35" s="22"/>
      <c r="BF35" s="22"/>
      <c r="BG35" s="22"/>
      <c r="BH35" s="22"/>
    </row>
    <row r="36" spans="1:60">
      <c r="A36" s="1"/>
      <c r="BB36" s="6"/>
      <c r="BC36" s="6"/>
      <c r="BD36" s="6"/>
      <c r="BE36" s="22"/>
      <c r="BF36" s="22"/>
      <c r="BG36" s="22"/>
      <c r="BH36" s="22"/>
    </row>
    <row r="37" spans="1:60">
      <c r="A37" s="36"/>
      <c r="BB37" s="6"/>
      <c r="BC37" s="6"/>
      <c r="BD37" s="6"/>
      <c r="BE37" s="22"/>
      <c r="BF37" s="22"/>
      <c r="BG37" s="22"/>
      <c r="BH37" s="22"/>
    </row>
    <row r="38" spans="1:60">
      <c r="A38" t="s">
        <v>134</v>
      </c>
      <c r="B38" s="21">
        <v>23.52</v>
      </c>
      <c r="C38" s="21">
        <v>42.7</v>
      </c>
      <c r="D38" s="21">
        <v>18.579999999999998</v>
      </c>
      <c r="F38" s="21">
        <f>SUM(B38:D38)</f>
        <v>84.8</v>
      </c>
      <c r="G38" s="21">
        <f>B38/F38*100</f>
        <v>27.735849056603772</v>
      </c>
      <c r="I38" s="21">
        <f>AVERAGE(G38:G41)</f>
        <v>28.512891357515439</v>
      </c>
      <c r="BC38" s="37"/>
      <c r="BD38" s="38"/>
      <c r="BE38" s="38"/>
      <c r="BF38" s="37"/>
      <c r="BG38" s="37"/>
      <c r="BH38" s="37"/>
    </row>
    <row r="39" spans="1:60">
      <c r="A39" t="s">
        <v>134</v>
      </c>
      <c r="B39" s="21">
        <v>24.86</v>
      </c>
      <c r="C39" s="21">
        <v>44.34</v>
      </c>
      <c r="D39" s="21">
        <v>15.15</v>
      </c>
      <c r="F39" s="21">
        <f t="shared" ref="F39:F43" si="9">SUM(B39:D39)</f>
        <v>84.350000000000009</v>
      </c>
      <c r="G39" s="21">
        <f t="shared" ref="G39:G43" si="10">B39/F39*100</f>
        <v>29.472436277415525</v>
      </c>
      <c r="BC39" s="37"/>
      <c r="BD39" s="38"/>
      <c r="BE39" s="38"/>
      <c r="BF39" s="37"/>
      <c r="BG39" s="37"/>
      <c r="BH39" s="37"/>
    </row>
    <row r="40" spans="1:60">
      <c r="A40" t="s">
        <v>134</v>
      </c>
      <c r="B40" s="21">
        <v>23.84</v>
      </c>
      <c r="C40" s="21">
        <v>44.05</v>
      </c>
      <c r="D40" s="21">
        <v>15.93</v>
      </c>
      <c r="F40" s="21">
        <f t="shared" si="9"/>
        <v>83.82</v>
      </c>
      <c r="G40" s="21">
        <f t="shared" si="10"/>
        <v>28.441899308041041</v>
      </c>
      <c r="BC40" s="37"/>
      <c r="BD40" s="38"/>
      <c r="BE40" s="38"/>
      <c r="BF40" s="37"/>
      <c r="BG40" s="37"/>
      <c r="BH40" s="37"/>
    </row>
    <row r="41" spans="1:60">
      <c r="A41" t="s">
        <v>134</v>
      </c>
      <c r="B41" s="21">
        <v>23.86</v>
      </c>
      <c r="C41" s="21">
        <v>45.03</v>
      </c>
      <c r="D41" s="21">
        <v>15.12</v>
      </c>
      <c r="F41" s="21">
        <f t="shared" si="9"/>
        <v>84.01</v>
      </c>
      <c r="G41" s="21">
        <f t="shared" si="10"/>
        <v>28.401380788001422</v>
      </c>
      <c r="BC41" s="37"/>
      <c r="BD41" s="37"/>
      <c r="BE41" s="38"/>
      <c r="BF41" s="37"/>
      <c r="BG41" s="37"/>
      <c r="BH41" s="37"/>
    </row>
    <row r="42" spans="1:60">
      <c r="A42" t="s">
        <v>99</v>
      </c>
      <c r="B42" s="21">
        <v>19.09</v>
      </c>
      <c r="C42" s="21">
        <v>48.5</v>
      </c>
      <c r="D42" s="21">
        <v>16</v>
      </c>
      <c r="F42" s="21">
        <f t="shared" si="9"/>
        <v>83.59</v>
      </c>
      <c r="G42" s="21">
        <f t="shared" si="10"/>
        <v>22.837660007177892</v>
      </c>
      <c r="I42" s="21">
        <f>G42/$I$38</f>
        <v>0.80095910726213781</v>
      </c>
      <c r="J42" s="21">
        <f t="shared" ref="J42:J43" si="11">LOG(I42,2)</f>
        <v>-0.32019950675537701</v>
      </c>
      <c r="BC42" s="38"/>
      <c r="BD42" s="38"/>
      <c r="BE42" s="38"/>
      <c r="BF42" s="37"/>
      <c r="BG42" s="37"/>
      <c r="BH42" s="37"/>
    </row>
    <row r="43" spans="1:60">
      <c r="A43" t="s">
        <v>99</v>
      </c>
      <c r="B43" s="21">
        <v>18.38</v>
      </c>
      <c r="C43" s="21">
        <v>47.01</v>
      </c>
      <c r="D43" s="21">
        <v>18.13</v>
      </c>
      <c r="F43" s="21">
        <f t="shared" si="9"/>
        <v>83.52</v>
      </c>
      <c r="G43" s="21">
        <f t="shared" si="10"/>
        <v>22.006704980842912</v>
      </c>
      <c r="I43" s="21">
        <f>G43/$I$38</f>
        <v>0.77181597281407854</v>
      </c>
      <c r="J43" s="21">
        <f t="shared" si="11"/>
        <v>-0.37367119397112514</v>
      </c>
      <c r="BC43" s="21"/>
      <c r="BD43" s="21"/>
      <c r="BE43" s="21"/>
    </row>
    <row r="44" spans="1:60">
      <c r="BC44" s="21"/>
      <c r="BD44" s="21"/>
      <c r="BE44" s="21"/>
    </row>
    <row r="45" spans="1:60">
      <c r="BC45" s="21"/>
      <c r="BD45" s="21"/>
      <c r="BE45" s="21"/>
    </row>
    <row r="46" spans="1:60">
      <c r="A46" s="35"/>
      <c r="BC46" s="21"/>
      <c r="BD46" s="21"/>
      <c r="BE46" s="21"/>
    </row>
    <row r="47" spans="1:60">
      <c r="A47" s="38"/>
      <c r="BC47" s="21"/>
      <c r="BD47" s="21"/>
      <c r="BE47" s="21"/>
    </row>
    <row r="48" spans="1:60">
      <c r="A48" s="21" t="s">
        <v>134</v>
      </c>
      <c r="B48" s="21">
        <v>21.55</v>
      </c>
      <c r="C48" s="21">
        <v>44.8</v>
      </c>
      <c r="D48" s="21">
        <v>15.43</v>
      </c>
      <c r="F48" s="21">
        <f>SUM(B48:D48)</f>
        <v>81.78</v>
      </c>
      <c r="G48" s="21">
        <f>B48/F48*100</f>
        <v>26.351186109073122</v>
      </c>
      <c r="I48" s="21">
        <f>AVERAGE(G48:G49)</f>
        <v>26.800867511721236</v>
      </c>
      <c r="BC48" s="21"/>
      <c r="BD48" s="21"/>
      <c r="BE48" s="21"/>
    </row>
    <row r="49" spans="1:57">
      <c r="A49" s="21" t="s">
        <v>134</v>
      </c>
      <c r="B49" s="21">
        <v>22.34</v>
      </c>
      <c r="C49" s="21">
        <v>44.63</v>
      </c>
      <c r="D49" s="21">
        <v>15.01</v>
      </c>
      <c r="F49" s="21">
        <f>SUM(B49:D49)</f>
        <v>81.98</v>
      </c>
      <c r="G49" s="21">
        <f>B49/F49*100</f>
        <v>27.250548914369354</v>
      </c>
      <c r="BC49" s="21"/>
      <c r="BD49" s="21"/>
      <c r="BE49" s="21"/>
    </row>
    <row r="50" spans="1:57">
      <c r="A50" s="21" t="s">
        <v>99</v>
      </c>
      <c r="B50" s="21">
        <v>19.78</v>
      </c>
      <c r="C50" s="21">
        <v>47.45</v>
      </c>
      <c r="D50" s="21">
        <v>12.41</v>
      </c>
      <c r="F50" s="21">
        <f t="shared" ref="F50:F51" si="12">SUM(B50:D50)</f>
        <v>79.64</v>
      </c>
      <c r="G50" s="21">
        <f>B50/F50*100</f>
        <v>24.836765444500251</v>
      </c>
      <c r="I50" s="21">
        <f>G50/$I$48</f>
        <v>0.92671498165639621</v>
      </c>
      <c r="J50" s="21">
        <f t="shared" ref="J50:J51" si="13">LOG(I50,2)</f>
        <v>-0.10980239980940044</v>
      </c>
      <c r="BC50" s="21"/>
      <c r="BD50" s="21"/>
      <c r="BE50" s="21"/>
    </row>
    <row r="51" spans="1:57">
      <c r="A51" s="21" t="s">
        <v>99</v>
      </c>
      <c r="B51" s="21">
        <v>19.350000000000001</v>
      </c>
      <c r="C51" s="21">
        <v>47.07</v>
      </c>
      <c r="D51" s="21">
        <v>13.52</v>
      </c>
      <c r="F51" s="21">
        <f t="shared" si="12"/>
        <v>79.94</v>
      </c>
      <c r="G51" s="21">
        <f t="shared" ref="G51" si="14">B51/F51*100</f>
        <v>24.205654240680513</v>
      </c>
      <c r="I51" s="21">
        <f>G51/$I$48</f>
        <v>0.90316681839101964</v>
      </c>
      <c r="J51" s="21">
        <f t="shared" si="13"/>
        <v>-0.14693561123668275</v>
      </c>
      <c r="BC51" s="21"/>
      <c r="BD51" s="21"/>
      <c r="BE51" s="21"/>
    </row>
    <row r="52" spans="1:57">
      <c r="BC52" s="21"/>
      <c r="BD52" s="21"/>
      <c r="BE52" s="21"/>
    </row>
    <row r="53" spans="1:57">
      <c r="BC53" s="21"/>
      <c r="BD53" s="21"/>
      <c r="BE53" s="21"/>
    </row>
    <row r="54" spans="1:57">
      <c r="A54" s="35"/>
      <c r="BC54" s="21"/>
      <c r="BD54" s="21"/>
      <c r="BE54" s="21"/>
    </row>
    <row r="55" spans="1:57">
      <c r="A55" s="21"/>
      <c r="BC55" s="21"/>
      <c r="BD55" s="21"/>
      <c r="BE55" s="21"/>
    </row>
    <row r="56" spans="1:57">
      <c r="A56" s="21" t="s">
        <v>134</v>
      </c>
      <c r="B56" s="21">
        <v>24.36</v>
      </c>
      <c r="C56" s="21">
        <v>36.24</v>
      </c>
      <c r="D56" s="21">
        <v>28.39</v>
      </c>
      <c r="F56" s="21">
        <f>SUM(B56:D56)</f>
        <v>88.990000000000009</v>
      </c>
      <c r="G56" s="21">
        <f>B56/F56*100</f>
        <v>27.373862231711428</v>
      </c>
      <c r="I56" s="21">
        <f>AVERAGE(G56:G58)</f>
        <v>27.953355021948454</v>
      </c>
      <c r="BC56" s="21"/>
      <c r="BD56" s="21"/>
      <c r="BE56" s="21"/>
    </row>
    <row r="57" spans="1:57">
      <c r="A57" s="21" t="s">
        <v>134</v>
      </c>
      <c r="B57" s="21">
        <v>24.13</v>
      </c>
      <c r="C57" s="21">
        <v>37.409999999999997</v>
      </c>
      <c r="D57" s="21">
        <v>27.3</v>
      </c>
      <c r="F57" s="21">
        <f t="shared" ref="F57:F61" si="15">SUM(B57:D57)</f>
        <v>88.839999999999989</v>
      </c>
      <c r="G57" s="21">
        <f>B57/F57*100</f>
        <v>27.16118865375957</v>
      </c>
      <c r="BC57" s="21"/>
      <c r="BD57" s="21"/>
      <c r="BE57" s="21"/>
    </row>
    <row r="58" spans="1:57">
      <c r="A58" s="21" t="s">
        <v>134</v>
      </c>
      <c r="B58" s="21">
        <v>25.85</v>
      </c>
      <c r="C58" s="21">
        <v>37.19</v>
      </c>
      <c r="D58" s="21">
        <v>25.11</v>
      </c>
      <c r="F58" s="21">
        <f t="shared" si="15"/>
        <v>88.15</v>
      </c>
      <c r="G58" s="21">
        <f>B58/F58*100</f>
        <v>29.32501418037436</v>
      </c>
      <c r="BC58" s="21"/>
      <c r="BD58" s="21"/>
      <c r="BE58" s="21"/>
    </row>
    <row r="59" spans="1:57">
      <c r="A59" s="21" t="s">
        <v>99</v>
      </c>
      <c r="B59" s="21">
        <v>21.63</v>
      </c>
      <c r="C59" s="21">
        <v>37.549999999999997</v>
      </c>
      <c r="D59" s="21">
        <v>27.88</v>
      </c>
      <c r="F59" s="21">
        <f t="shared" si="15"/>
        <v>87.059999999999988</v>
      </c>
      <c r="G59" s="21">
        <f t="shared" ref="G59:G61" si="16">B59/F59*100</f>
        <v>24.844934527911789</v>
      </c>
      <c r="I59" s="21">
        <f>G59/$I$56</f>
        <v>0.88879973471535023</v>
      </c>
      <c r="J59" s="21">
        <f t="shared" ref="J59:J61" si="17">LOG(I59,2)</f>
        <v>-0.17006970876893723</v>
      </c>
      <c r="BC59" s="21"/>
      <c r="BD59" s="21"/>
      <c r="BE59" s="21"/>
    </row>
    <row r="60" spans="1:57">
      <c r="A60" s="21" t="s">
        <v>99</v>
      </c>
      <c r="B60" s="21">
        <v>21.88</v>
      </c>
      <c r="C60" s="21">
        <v>37.270000000000003</v>
      </c>
      <c r="D60" s="21">
        <v>27.86</v>
      </c>
      <c r="F60" s="21">
        <f t="shared" si="15"/>
        <v>87.01</v>
      </c>
      <c r="G60" s="21">
        <f t="shared" si="16"/>
        <v>25.146534881048154</v>
      </c>
      <c r="I60" s="21">
        <f>G60/$I$56</f>
        <v>0.89958914990002325</v>
      </c>
      <c r="J60" s="21">
        <f t="shared" si="17"/>
        <v>-0.15266183426054802</v>
      </c>
      <c r="BC60" s="21"/>
      <c r="BD60" s="21"/>
      <c r="BE60" s="21"/>
    </row>
    <row r="61" spans="1:57">
      <c r="A61" s="21" t="s">
        <v>99</v>
      </c>
      <c r="B61" s="21">
        <v>21.4</v>
      </c>
      <c r="C61" s="21">
        <v>36.659999999999997</v>
      </c>
      <c r="D61" s="21">
        <v>28.67</v>
      </c>
      <c r="F61" s="21">
        <f t="shared" si="15"/>
        <v>86.72999999999999</v>
      </c>
      <c r="G61" s="21">
        <f t="shared" si="16"/>
        <v>24.674276490257121</v>
      </c>
      <c r="I61" s="21">
        <f>G61/$I$56</f>
        <v>0.88269463436082496</v>
      </c>
      <c r="J61" s="21">
        <f t="shared" si="17"/>
        <v>-0.18001366685271183</v>
      </c>
      <c r="BC61" s="21"/>
      <c r="BD61" s="21"/>
      <c r="BE61" s="21"/>
    </row>
    <row r="62" spans="1:57">
      <c r="A62" s="21"/>
      <c r="BC62" s="21"/>
      <c r="BD62" s="21"/>
      <c r="BE62" s="21"/>
    </row>
    <row r="63" spans="1:57">
      <c r="A63" s="21"/>
      <c r="BC63" s="21"/>
      <c r="BD63" s="21"/>
      <c r="BE63" s="21"/>
    </row>
    <row r="64" spans="1:57">
      <c r="A64" s="35"/>
      <c r="BC64" s="21"/>
      <c r="BD64" s="21"/>
      <c r="BE64" s="21"/>
    </row>
    <row r="65" spans="1:57">
      <c r="A65" s="21"/>
      <c r="BC65" s="21"/>
      <c r="BD65" s="21"/>
      <c r="BE65" s="21"/>
    </row>
    <row r="66" spans="1:57">
      <c r="A66" s="21" t="s">
        <v>134</v>
      </c>
      <c r="B66" s="21">
        <v>22.45</v>
      </c>
      <c r="C66" s="21">
        <v>36.200000000000003</v>
      </c>
      <c r="D66" s="21">
        <v>29.99</v>
      </c>
      <c r="F66" s="21">
        <f>SUM(B66:D66)</f>
        <v>88.64</v>
      </c>
      <c r="G66" s="21">
        <f>B66/F66*100</f>
        <v>25.327166064981949</v>
      </c>
      <c r="I66" s="21">
        <f>AVERAGE(G66:G68)</f>
        <v>25.539685810354598</v>
      </c>
      <c r="BC66" s="21"/>
      <c r="BD66" s="21"/>
      <c r="BE66" s="21"/>
    </row>
    <row r="67" spans="1:57">
      <c r="A67" s="21" t="s">
        <v>134</v>
      </c>
      <c r="B67" s="21">
        <v>23.29</v>
      </c>
      <c r="C67" s="21">
        <v>35.72</v>
      </c>
      <c r="D67" s="21">
        <v>29.29</v>
      </c>
      <c r="F67" s="21">
        <f t="shared" ref="F67:F71" si="18">SUM(B67:D67)</f>
        <v>88.3</v>
      </c>
      <c r="G67" s="21">
        <f t="shared" ref="G67:G71" si="19">B67/F67*100</f>
        <v>26.375990939977349</v>
      </c>
      <c r="BC67" s="21"/>
      <c r="BD67" s="21"/>
      <c r="BE67" s="21"/>
    </row>
    <row r="68" spans="1:57">
      <c r="A68" s="21" t="s">
        <v>134</v>
      </c>
      <c r="B68" s="21">
        <v>22.22</v>
      </c>
      <c r="C68" s="21">
        <v>34.57</v>
      </c>
      <c r="D68" s="21">
        <v>32.39</v>
      </c>
      <c r="F68" s="21">
        <f t="shared" si="18"/>
        <v>89.18</v>
      </c>
      <c r="G68" s="21">
        <f t="shared" si="19"/>
        <v>24.915900426104503</v>
      </c>
      <c r="BC68" s="21"/>
      <c r="BD68" s="21"/>
      <c r="BE68" s="21"/>
    </row>
    <row r="69" spans="1:57">
      <c r="A69" s="21" t="s">
        <v>99</v>
      </c>
      <c r="B69" s="21">
        <v>16.75</v>
      </c>
      <c r="C69" s="21">
        <v>37.21</v>
      </c>
      <c r="D69" s="21">
        <v>33.61</v>
      </c>
      <c r="F69" s="21">
        <f t="shared" si="18"/>
        <v>87.57</v>
      </c>
      <c r="G69" s="21">
        <f t="shared" si="19"/>
        <v>19.127555098778121</v>
      </c>
      <c r="I69" s="21">
        <f>G69/$I$66</f>
        <v>0.74893462828047808</v>
      </c>
      <c r="J69" s="21">
        <f t="shared" ref="J69:J70" si="20">LOG(I69,2)</f>
        <v>-0.41708829819465387</v>
      </c>
      <c r="BC69" s="21"/>
      <c r="BD69" s="21"/>
      <c r="BE69" s="21"/>
    </row>
    <row r="70" spans="1:57">
      <c r="A70" s="21" t="s">
        <v>99</v>
      </c>
      <c r="B70" s="21">
        <v>17.03</v>
      </c>
      <c r="C70" s="21">
        <v>36.36</v>
      </c>
      <c r="D70" s="21">
        <v>34.01</v>
      </c>
      <c r="F70" s="21">
        <f t="shared" si="18"/>
        <v>87.4</v>
      </c>
      <c r="G70" s="21">
        <f t="shared" si="19"/>
        <v>19.48512585812357</v>
      </c>
      <c r="I70" s="21">
        <f>G70/$I$66</f>
        <v>0.76293522178818984</v>
      </c>
      <c r="J70" s="21">
        <f t="shared" si="20"/>
        <v>-0.39036752691314541</v>
      </c>
      <c r="BC70" s="21"/>
      <c r="BD70" s="21"/>
      <c r="BE70" s="21"/>
    </row>
    <row r="71" spans="1:57">
      <c r="A71" s="21" t="s">
        <v>99</v>
      </c>
      <c r="B71" s="21">
        <v>16.61</v>
      </c>
      <c r="C71" s="21">
        <v>38.04</v>
      </c>
      <c r="D71" s="21">
        <v>32.93</v>
      </c>
      <c r="F71" s="21">
        <f t="shared" si="18"/>
        <v>87.58</v>
      </c>
      <c r="G71" s="21">
        <f t="shared" si="19"/>
        <v>18.96551724137931</v>
      </c>
      <c r="I71" s="21">
        <f>G71/$I$66</f>
        <v>0.74259007656586318</v>
      </c>
      <c r="J71" s="21">
        <f>LOG(I71,2)</f>
        <v>-0.42936205869400201</v>
      </c>
      <c r="BC71" s="21"/>
      <c r="BD71" s="21"/>
      <c r="BE71" s="21"/>
    </row>
    <row r="72" spans="1:57">
      <c r="BC72" s="21"/>
      <c r="BD72" s="21"/>
      <c r="BE72" s="21"/>
    </row>
    <row r="73" spans="1:57">
      <c r="BD73" s="21"/>
      <c r="BE73" s="21"/>
    </row>
    <row r="75" spans="1:57">
      <c r="A75" s="1"/>
    </row>
    <row r="76" spans="1:57">
      <c r="A76" s="37"/>
    </row>
    <row r="77" spans="1:57">
      <c r="A77" t="s">
        <v>134</v>
      </c>
      <c r="B77">
        <v>24.47</v>
      </c>
      <c r="C77">
        <v>31.21</v>
      </c>
      <c r="D77">
        <v>33.07</v>
      </c>
      <c r="F77" s="21">
        <f>SUM(B77:D77)</f>
        <v>88.75</v>
      </c>
      <c r="G77" s="21">
        <f>B77/F77*100</f>
        <v>27.57183098591549</v>
      </c>
      <c r="I77" s="21">
        <f>AVERAGE(G77:G78)</f>
        <v>26.767434085698785</v>
      </c>
    </row>
    <row r="78" spans="1:57">
      <c r="A78" t="s">
        <v>134</v>
      </c>
      <c r="B78">
        <v>23.32</v>
      </c>
      <c r="C78">
        <v>31.43</v>
      </c>
      <c r="D78">
        <v>35.07</v>
      </c>
      <c r="F78" s="21">
        <f t="shared" ref="F78:F79" si="21">SUM(B78:D78)</f>
        <v>89.82</v>
      </c>
      <c r="G78" s="21">
        <f t="shared" ref="G78:G79" si="22">B78/F78*100</f>
        <v>25.963037185482079</v>
      </c>
    </row>
    <row r="79" spans="1:57">
      <c r="A79" t="s">
        <v>100</v>
      </c>
      <c r="B79">
        <v>19.93</v>
      </c>
      <c r="C79">
        <v>26.8</v>
      </c>
      <c r="D79">
        <v>41.98</v>
      </c>
      <c r="F79" s="21">
        <f t="shared" si="21"/>
        <v>88.710000000000008</v>
      </c>
      <c r="G79" s="21">
        <f t="shared" si="22"/>
        <v>22.466463758313605</v>
      </c>
      <c r="I79" s="21">
        <f>G79/$I$77</f>
        <v>0.83932078384445941</v>
      </c>
      <c r="J79" s="21">
        <f t="shared" ref="J79:J80" si="23">LOG(I79,2)</f>
        <v>-0.25270578861821796</v>
      </c>
    </row>
    <row r="80" spans="1:57">
      <c r="A80" t="s">
        <v>100</v>
      </c>
      <c r="B80">
        <v>19.25</v>
      </c>
      <c r="C80">
        <v>27.13</v>
      </c>
      <c r="D80">
        <v>42.24</v>
      </c>
      <c r="F80" s="21">
        <f>SUM(B80:D80)</f>
        <v>88.62</v>
      </c>
      <c r="G80" s="21">
        <f>B80/F80*100</f>
        <v>21.721958925750393</v>
      </c>
      <c r="I80" s="21">
        <f>G80/$I$77</f>
        <v>0.8115069549141406</v>
      </c>
      <c r="J80" s="21">
        <f t="shared" si="23"/>
        <v>-0.30132463563211492</v>
      </c>
    </row>
    <row r="81" spans="1:14">
      <c r="N81"/>
    </row>
    <row r="83" spans="1:14">
      <c r="A83" s="35"/>
    </row>
    <row r="84" spans="1:14">
      <c r="A84" s="21"/>
    </row>
    <row r="85" spans="1:14">
      <c r="A85" t="s">
        <v>134</v>
      </c>
      <c r="B85">
        <v>22.36</v>
      </c>
      <c r="C85">
        <v>41.76</v>
      </c>
      <c r="D85">
        <v>26.3</v>
      </c>
      <c r="F85" s="21">
        <f>SUM(B85:D85)</f>
        <v>90.42</v>
      </c>
      <c r="G85" s="21">
        <f>B85/F85*100</f>
        <v>24.729042247290423</v>
      </c>
      <c r="I85" s="21">
        <f>AVERAGE(G85:G86)</f>
        <v>23.977603163556516</v>
      </c>
    </row>
    <row r="86" spans="1:14">
      <c r="A86" t="s">
        <v>134</v>
      </c>
      <c r="B86">
        <v>20.95</v>
      </c>
      <c r="C86">
        <v>38.630000000000003</v>
      </c>
      <c r="D86">
        <v>30.62</v>
      </c>
      <c r="F86" s="21">
        <f t="shared" ref="F86:F87" si="24">SUM(B86:D86)</f>
        <v>90.2</v>
      </c>
      <c r="G86" s="21">
        <f t="shared" ref="G86:G87" si="25">B86/F86*100</f>
        <v>23.226164079822613</v>
      </c>
    </row>
    <row r="87" spans="1:14">
      <c r="A87" t="s">
        <v>100</v>
      </c>
      <c r="B87">
        <v>22.41</v>
      </c>
      <c r="C87">
        <v>36.450000000000003</v>
      </c>
      <c r="D87">
        <v>32.25</v>
      </c>
      <c r="F87" s="21">
        <f t="shared" si="24"/>
        <v>91.11</v>
      </c>
      <c r="G87" s="21">
        <f t="shared" si="25"/>
        <v>24.596641422456372</v>
      </c>
      <c r="I87" s="21">
        <f>G87/$I$85</f>
        <v>1.0258173535810589</v>
      </c>
      <c r="J87" s="21">
        <f>LOG(I87,2)</f>
        <v>3.6773882465662905E-2</v>
      </c>
    </row>
    <row r="88" spans="1:14">
      <c r="A88" t="s">
        <v>100</v>
      </c>
      <c r="B88">
        <v>21.03</v>
      </c>
      <c r="C88">
        <v>35.130000000000003</v>
      </c>
      <c r="D88">
        <v>34.909999999999997</v>
      </c>
      <c r="F88" s="21">
        <f>SUM(B88:D88)</f>
        <v>91.07</v>
      </c>
      <c r="G88" s="21">
        <f>B88/F88*100</f>
        <v>23.09212693532448</v>
      </c>
      <c r="I88" s="21">
        <f>G88/$I$85</f>
        <v>0.96307069467319117</v>
      </c>
      <c r="J88" s="21">
        <f t="shared" ref="J88" si="26">LOG(I88,2)</f>
        <v>-5.428639119973426E-2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"/>
  <sheetViews>
    <sheetView zoomScaleNormal="100" workbookViewId="0">
      <selection activeCell="H19" sqref="H19"/>
    </sheetView>
  </sheetViews>
  <sheetFormatPr baseColWidth="10" defaultColWidth="8.83203125" defaultRowHeight="15"/>
  <sheetData>
    <row r="2" spans="2:2">
      <c r="B2" s="1" t="s">
        <v>128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K19"/>
  <sheetViews>
    <sheetView zoomScale="110" zoomScaleNormal="110" workbookViewId="0">
      <selection activeCell="C2" sqref="C2"/>
    </sheetView>
  </sheetViews>
  <sheetFormatPr baseColWidth="10" defaultColWidth="8.83203125" defaultRowHeight="15"/>
  <cols>
    <col min="3" max="3" width="20" customWidth="1"/>
    <col min="4" max="4" width="31" customWidth="1"/>
    <col min="5" max="5" width="28.6640625" customWidth="1"/>
    <col min="7" max="7" width="12.5" customWidth="1"/>
    <col min="9" max="9" width="17.33203125" customWidth="1"/>
  </cols>
  <sheetData>
    <row r="2" spans="2:11">
      <c r="C2" s="37" t="s">
        <v>245</v>
      </c>
    </row>
    <row r="4" spans="2:11" ht="16" thickBot="1">
      <c r="B4" s="37"/>
      <c r="D4" s="42" t="s">
        <v>209</v>
      </c>
      <c r="E4" s="42" t="s">
        <v>210</v>
      </c>
      <c r="G4" s="42" t="s">
        <v>182</v>
      </c>
    </row>
    <row r="5" spans="2:11">
      <c r="I5" s="2"/>
      <c r="J5" s="3" t="s">
        <v>77</v>
      </c>
      <c r="K5" s="4" t="s">
        <v>78</v>
      </c>
    </row>
    <row r="6" spans="2:11" ht="16">
      <c r="C6" s="39" t="s">
        <v>90</v>
      </c>
      <c r="D6">
        <v>9113.8819999999996</v>
      </c>
      <c r="E6">
        <v>2433.598</v>
      </c>
      <c r="G6">
        <f>D6/E6</f>
        <v>3.7450236234579415</v>
      </c>
      <c r="I6" s="97" t="s">
        <v>90</v>
      </c>
      <c r="J6" s="6">
        <f>AVERAGE(G6,G11,G16)</f>
        <v>2.6716409135522361</v>
      </c>
      <c r="K6" s="7">
        <f>STDEV(G6,G11,G16)</f>
        <v>0.92963150143901996</v>
      </c>
    </row>
    <row r="7" spans="2:11" ht="16">
      <c r="C7" s="39" t="s">
        <v>94</v>
      </c>
      <c r="D7">
        <v>5250.3969999999999</v>
      </c>
      <c r="E7">
        <v>634.69799999999998</v>
      </c>
      <c r="G7">
        <f>D7/E7</f>
        <v>8.2722759485613633</v>
      </c>
      <c r="I7" s="97" t="s">
        <v>94</v>
      </c>
      <c r="J7" s="6">
        <f>AVERAGE(G7,G12,G17)</f>
        <v>7.1490480624723602</v>
      </c>
      <c r="K7" s="7">
        <f>STDEV(G7,G12,G17)</f>
        <v>0.98245668534938169</v>
      </c>
    </row>
    <row r="8" spans="2:11">
      <c r="C8" s="40" t="s">
        <v>101</v>
      </c>
      <c r="D8">
        <v>167.364</v>
      </c>
      <c r="E8">
        <v>15880.953</v>
      </c>
      <c r="G8">
        <f t="shared" ref="G8:G18" si="0">D8/E8</f>
        <v>1.053866225786324E-2</v>
      </c>
      <c r="I8" s="98" t="s">
        <v>101</v>
      </c>
      <c r="J8" s="6">
        <f>AVERAGE(G8,G13,G18)</f>
        <v>8.3245760993952297E-2</v>
      </c>
      <c r="K8" s="7">
        <f>STDEV(G8,G13,G18)</f>
        <v>9.7469535991825923E-2</v>
      </c>
    </row>
    <row r="9" spans="2:11" ht="16" thickBot="1">
      <c r="C9" s="40" t="s">
        <v>102</v>
      </c>
      <c r="D9">
        <v>1896.376</v>
      </c>
      <c r="E9">
        <v>5155.6189999999997</v>
      </c>
      <c r="G9">
        <f t="shared" si="0"/>
        <v>0.36782702523208177</v>
      </c>
      <c r="I9" s="99" t="s">
        <v>102</v>
      </c>
      <c r="J9" s="9">
        <f>AVERAGE(G9,G14,G19)</f>
        <v>0.90465686199036277</v>
      </c>
      <c r="K9" s="10">
        <f>STDEV(G19,G9,G14)</f>
        <v>0.50861712585777585</v>
      </c>
    </row>
    <row r="10" spans="2:11">
      <c r="C10" s="41"/>
    </row>
    <row r="11" spans="2:11" ht="16">
      <c r="C11" s="39" t="s">
        <v>90</v>
      </c>
      <c r="D11">
        <v>8294.1749999999993</v>
      </c>
      <c r="E11">
        <v>3866.6689999999999</v>
      </c>
      <c r="G11">
        <f>D11/E11</f>
        <v>2.1450439641976078</v>
      </c>
      <c r="I11" s="39"/>
    </row>
    <row r="12" spans="2:11" ht="16">
      <c r="C12" s="39" t="s">
        <v>94</v>
      </c>
      <c r="D12">
        <v>6912.518</v>
      </c>
      <c r="E12">
        <v>1071.77</v>
      </c>
      <c r="G12">
        <f t="shared" si="0"/>
        <v>6.4496281851516652</v>
      </c>
      <c r="I12" s="39"/>
    </row>
    <row r="13" spans="2:11">
      <c r="C13" s="40" t="s">
        <v>101</v>
      </c>
      <c r="D13">
        <v>2041.376</v>
      </c>
      <c r="E13">
        <v>10522.518</v>
      </c>
      <c r="G13">
        <f t="shared" si="0"/>
        <v>0.19400071351742995</v>
      </c>
      <c r="I13" s="40"/>
    </row>
    <row r="14" spans="2:11">
      <c r="C14" s="40" t="s">
        <v>102</v>
      </c>
      <c r="D14">
        <v>5757.2250000000004</v>
      </c>
      <c r="E14">
        <v>4173.8609999999999</v>
      </c>
      <c r="G14">
        <f t="shared" si="0"/>
        <v>1.3793523550496771</v>
      </c>
      <c r="I14" s="40"/>
    </row>
    <row r="15" spans="2:11">
      <c r="C15" s="41"/>
    </row>
    <row r="16" spans="2:11" ht="16">
      <c r="C16" s="39" t="s">
        <v>90</v>
      </c>
      <c r="D16">
        <v>8255.3469999999998</v>
      </c>
      <c r="E16">
        <v>3885.134</v>
      </c>
      <c r="G16">
        <f t="shared" si="0"/>
        <v>2.1248551530011577</v>
      </c>
    </row>
    <row r="17" spans="3:7" ht="16">
      <c r="C17" s="39" t="s">
        <v>94</v>
      </c>
      <c r="D17">
        <v>7914.3969999999999</v>
      </c>
      <c r="E17">
        <v>1176.82</v>
      </c>
      <c r="G17">
        <f t="shared" si="0"/>
        <v>6.7252400537040504</v>
      </c>
    </row>
    <row r="18" spans="3:7">
      <c r="C18" s="40" t="s">
        <v>101</v>
      </c>
      <c r="D18">
        <v>406.50599999999997</v>
      </c>
      <c r="E18">
        <v>8993.9120000000003</v>
      </c>
      <c r="G18">
        <f t="shared" si="0"/>
        <v>4.5197907206563727E-2</v>
      </c>
    </row>
    <row r="19" spans="3:7">
      <c r="C19" s="40" t="s">
        <v>102</v>
      </c>
      <c r="D19">
        <v>2466.0329999999999</v>
      </c>
      <c r="E19">
        <v>2550.7399999999998</v>
      </c>
      <c r="G19">
        <f>D19/E19</f>
        <v>0.96679120568932941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3:S21"/>
  <sheetViews>
    <sheetView zoomScaleNormal="100" workbookViewId="0">
      <selection activeCell="B22" sqref="B22"/>
    </sheetView>
  </sheetViews>
  <sheetFormatPr baseColWidth="10" defaultColWidth="8.83203125" defaultRowHeight="15"/>
  <cols>
    <col min="2" max="2" width="29.1640625" bestFit="1" customWidth="1"/>
    <col min="3" max="3" width="19.5" customWidth="1"/>
    <col min="4" max="4" width="11.83203125" customWidth="1"/>
    <col min="5" max="5" width="11.5" customWidth="1"/>
    <col min="7" max="7" width="20.5" customWidth="1"/>
    <col min="11" max="11" width="18.33203125" customWidth="1"/>
    <col min="12" max="12" width="21" customWidth="1"/>
    <col min="17" max="17" width="13.1640625" customWidth="1"/>
  </cols>
  <sheetData>
    <row r="3" spans="2:19">
      <c r="B3" s="1"/>
      <c r="C3" s="44" t="s">
        <v>1</v>
      </c>
      <c r="D3" s="44"/>
      <c r="E3" s="44"/>
      <c r="F3" s="44"/>
      <c r="G3" s="44" t="s">
        <v>2</v>
      </c>
      <c r="H3" s="44"/>
      <c r="I3" s="44"/>
      <c r="J3" s="44"/>
      <c r="K3" s="44" t="s">
        <v>3</v>
      </c>
      <c r="L3" s="44" t="s">
        <v>4</v>
      </c>
      <c r="M3" s="42"/>
    </row>
    <row r="4" spans="2:19">
      <c r="C4" s="44" t="s">
        <v>5</v>
      </c>
      <c r="D4" s="44" t="s">
        <v>6</v>
      </c>
      <c r="E4" s="44" t="s">
        <v>7</v>
      </c>
      <c r="F4" s="44"/>
      <c r="G4" s="42"/>
      <c r="H4" s="44" t="s">
        <v>5</v>
      </c>
      <c r="I4" s="42"/>
      <c r="J4" s="44"/>
      <c r="K4" s="44" t="s">
        <v>5</v>
      </c>
      <c r="L4" s="44" t="s">
        <v>5</v>
      </c>
      <c r="M4" s="42"/>
    </row>
    <row r="5" spans="2:19" ht="16" thickBot="1">
      <c r="B5" t="s">
        <v>242</v>
      </c>
      <c r="C5">
        <v>22.15</v>
      </c>
      <c r="D5">
        <v>33.5</v>
      </c>
      <c r="E5">
        <v>31.58</v>
      </c>
      <c r="G5">
        <f t="shared" ref="G5:G12" si="0">SUM(C5:E5)</f>
        <v>87.22999999999999</v>
      </c>
      <c r="H5">
        <f t="shared" ref="H5:H12" si="1">C5/G5*100</f>
        <v>25.392640146738511</v>
      </c>
      <c r="K5">
        <f>AVERAGE(H5:H6)</f>
        <v>24.417659655035731</v>
      </c>
      <c r="L5" s="21"/>
    </row>
    <row r="6" spans="2:19">
      <c r="B6" t="s">
        <v>242</v>
      </c>
      <c r="C6">
        <v>20.51</v>
      </c>
      <c r="D6">
        <v>33.130000000000003</v>
      </c>
      <c r="E6">
        <v>33.85</v>
      </c>
      <c r="G6">
        <f t="shared" si="0"/>
        <v>87.490000000000009</v>
      </c>
      <c r="H6">
        <f t="shared" si="1"/>
        <v>23.442679163332951</v>
      </c>
      <c r="L6" s="21"/>
      <c r="Q6" s="2"/>
      <c r="R6" s="3" t="s">
        <v>96</v>
      </c>
      <c r="S6" s="4" t="s">
        <v>97</v>
      </c>
    </row>
    <row r="7" spans="2:19">
      <c r="B7" t="s">
        <v>243</v>
      </c>
      <c r="C7">
        <v>8.5399999999999991</v>
      </c>
      <c r="D7">
        <v>35.869999999999997</v>
      </c>
      <c r="E7">
        <v>41.33</v>
      </c>
      <c r="G7">
        <f t="shared" si="0"/>
        <v>85.74</v>
      </c>
      <c r="H7">
        <f t="shared" si="1"/>
        <v>9.9603452297644033</v>
      </c>
      <c r="K7">
        <f t="shared" ref="K7:K12" si="2">H7/$K$5</f>
        <v>0.4079156385370557</v>
      </c>
      <c r="L7">
        <f>LOG(K7,2)</f>
        <v>-1.2936572771235086</v>
      </c>
      <c r="Q7" s="5" t="s">
        <v>103</v>
      </c>
      <c r="R7" s="6">
        <f>AVERAGE(L7:L9,L17:L18)</f>
        <v>-1.1797683803399257</v>
      </c>
      <c r="S7" s="7">
        <f>STDEV(L7:L9,L17:L18)/SQRT(5)</f>
        <v>0.12922323652667064</v>
      </c>
    </row>
    <row r="8" spans="2:19">
      <c r="B8" t="s">
        <v>243</v>
      </c>
      <c r="C8">
        <v>7.67</v>
      </c>
      <c r="D8">
        <v>33.36</v>
      </c>
      <c r="E8">
        <v>44.84</v>
      </c>
      <c r="G8">
        <f t="shared" si="0"/>
        <v>85.87</v>
      </c>
      <c r="H8">
        <f t="shared" si="1"/>
        <v>8.9321066728776053</v>
      </c>
      <c r="K8">
        <f t="shared" si="2"/>
        <v>0.3658051917778905</v>
      </c>
      <c r="L8">
        <f t="shared" ref="L8:L12" si="3">LOG(K8,2)</f>
        <v>-1.4508525438601565</v>
      </c>
      <c r="Q8" s="5" t="s">
        <v>104</v>
      </c>
      <c r="R8" s="6">
        <f>AVERAGE(L10:L12,L19:L21)</f>
        <v>-0.56416009036105097</v>
      </c>
      <c r="S8" s="7">
        <f>STDEV(L10:L12,L19:L21)/SQRT(6)</f>
        <v>4.7000864388744817E-2</v>
      </c>
    </row>
    <row r="9" spans="2:19" ht="16" thickBot="1">
      <c r="B9" t="s">
        <v>243</v>
      </c>
      <c r="C9">
        <v>7.99</v>
      </c>
      <c r="D9">
        <v>34.450000000000003</v>
      </c>
      <c r="E9">
        <v>44.43</v>
      </c>
      <c r="G9">
        <f t="shared" si="0"/>
        <v>86.87</v>
      </c>
      <c r="H9">
        <f t="shared" si="1"/>
        <v>9.1976516634050878</v>
      </c>
      <c r="K9">
        <f t="shared" si="2"/>
        <v>0.37668031225540599</v>
      </c>
      <c r="L9">
        <f t="shared" si="3"/>
        <v>-1.4085874641870102</v>
      </c>
      <c r="Q9" s="8" t="s">
        <v>98</v>
      </c>
      <c r="R9" s="9">
        <v>-0.15770000000000001</v>
      </c>
      <c r="S9" s="10"/>
    </row>
    <row r="10" spans="2:19">
      <c r="B10" t="s">
        <v>244</v>
      </c>
      <c r="C10">
        <v>15.09</v>
      </c>
      <c r="D10">
        <v>39.450000000000003</v>
      </c>
      <c r="E10">
        <v>29.5</v>
      </c>
      <c r="G10">
        <f t="shared" si="0"/>
        <v>84.04</v>
      </c>
      <c r="H10">
        <f t="shared" si="1"/>
        <v>17.955735364112329</v>
      </c>
      <c r="K10">
        <f t="shared" si="2"/>
        <v>0.73535857317141617</v>
      </c>
      <c r="L10">
        <f t="shared" si="3"/>
        <v>-0.44348019107338882</v>
      </c>
    </row>
    <row r="11" spans="2:19">
      <c r="B11" t="s">
        <v>244</v>
      </c>
      <c r="C11">
        <v>12.37</v>
      </c>
      <c r="D11">
        <v>38.19</v>
      </c>
      <c r="E11">
        <v>34.520000000000003</v>
      </c>
      <c r="G11">
        <f t="shared" si="0"/>
        <v>85.08</v>
      </c>
      <c r="H11">
        <f t="shared" si="1"/>
        <v>14.539257169722614</v>
      </c>
      <c r="K11">
        <f t="shared" si="2"/>
        <v>0.59544024182203459</v>
      </c>
      <c r="L11">
        <f t="shared" si="3"/>
        <v>-0.7479713679113289</v>
      </c>
    </row>
    <row r="12" spans="2:19">
      <c r="B12" t="s">
        <v>244</v>
      </c>
      <c r="C12">
        <v>14.1</v>
      </c>
      <c r="D12">
        <v>38.53</v>
      </c>
      <c r="E12">
        <v>30.75</v>
      </c>
      <c r="G12">
        <f t="shared" si="0"/>
        <v>83.38</v>
      </c>
      <c r="H12">
        <f t="shared" si="1"/>
        <v>16.910530103142239</v>
      </c>
      <c r="K12">
        <f t="shared" si="2"/>
        <v>0.69255327259239308</v>
      </c>
      <c r="L12">
        <f t="shared" si="3"/>
        <v>-0.53000304444925939</v>
      </c>
    </row>
    <row r="14" spans="2:19">
      <c r="B14" s="1"/>
    </row>
    <row r="15" spans="2:19">
      <c r="B15" t="s">
        <v>242</v>
      </c>
      <c r="C15">
        <v>18.87</v>
      </c>
      <c r="D15">
        <v>36.21</v>
      </c>
      <c r="E15">
        <v>29.51</v>
      </c>
      <c r="G15">
        <f t="shared" ref="G15:G21" si="4">SUM(C15:E15)</f>
        <v>84.59</v>
      </c>
      <c r="H15">
        <f t="shared" ref="H15:H21" si="5">C15/G15*100</f>
        <v>22.307601371320487</v>
      </c>
      <c r="K15">
        <f>AVERAGE(H15:H16)</f>
        <v>22.822446766420342</v>
      </c>
    </row>
    <row r="16" spans="2:19">
      <c r="B16" t="s">
        <v>242</v>
      </c>
      <c r="C16">
        <v>19.649999999999999</v>
      </c>
      <c r="D16">
        <v>35.72</v>
      </c>
      <c r="E16">
        <v>28.83</v>
      </c>
      <c r="G16">
        <f t="shared" si="4"/>
        <v>84.199999999999989</v>
      </c>
      <c r="H16">
        <f t="shared" si="5"/>
        <v>23.337292161520192</v>
      </c>
    </row>
    <row r="17" spans="2:12">
      <c r="B17" t="s">
        <v>243</v>
      </c>
      <c r="C17">
        <v>10.77</v>
      </c>
      <c r="D17">
        <v>49.51</v>
      </c>
      <c r="E17">
        <v>22.72</v>
      </c>
      <c r="G17">
        <f t="shared" si="4"/>
        <v>83</v>
      </c>
      <c r="H17">
        <f t="shared" si="5"/>
        <v>12.975903614457831</v>
      </c>
      <c r="K17">
        <f>H17/$K$15</f>
        <v>0.56855882926408408</v>
      </c>
      <c r="L17">
        <f>LOG(K17,2)</f>
        <v>-0.81461846116741643</v>
      </c>
    </row>
    <row r="18" spans="2:12">
      <c r="B18" t="s">
        <v>243</v>
      </c>
      <c r="C18">
        <v>9.9499999999999993</v>
      </c>
      <c r="D18">
        <v>48.12</v>
      </c>
      <c r="E18">
        <v>25.06</v>
      </c>
      <c r="G18">
        <f t="shared" si="4"/>
        <v>83.13</v>
      </c>
      <c r="H18">
        <f t="shared" si="5"/>
        <v>11.969204859858053</v>
      </c>
      <c r="K18">
        <f t="shared" ref="K18:K21" si="6">H18/$K$15</f>
        <v>0.52444880175901487</v>
      </c>
      <c r="L18">
        <f t="shared" ref="L18" si="7">LOG(K18,2)</f>
        <v>-0.93112615536153664</v>
      </c>
    </row>
    <row r="19" spans="2:12">
      <c r="B19" t="s">
        <v>244</v>
      </c>
      <c r="C19">
        <v>13.74</v>
      </c>
      <c r="D19">
        <v>44.66</v>
      </c>
      <c r="E19">
        <v>23.88</v>
      </c>
      <c r="G19">
        <f t="shared" si="4"/>
        <v>82.28</v>
      </c>
      <c r="H19">
        <f t="shared" si="5"/>
        <v>16.699076324744773</v>
      </c>
      <c r="K19">
        <f t="shared" si="6"/>
        <v>0.73169526894525827</v>
      </c>
      <c r="L19">
        <f>LOG(K19,2)</f>
        <v>-0.45068516429680849</v>
      </c>
    </row>
    <row r="20" spans="2:12">
      <c r="B20" t="s">
        <v>244</v>
      </c>
      <c r="C20">
        <v>12.16</v>
      </c>
      <c r="D20">
        <v>47.31</v>
      </c>
      <c r="E20">
        <v>22.35</v>
      </c>
      <c r="G20">
        <f t="shared" si="4"/>
        <v>81.819999999999993</v>
      </c>
      <c r="H20">
        <f t="shared" si="5"/>
        <v>14.861891957956491</v>
      </c>
      <c r="K20">
        <f t="shared" si="6"/>
        <v>0.65119625910677725</v>
      </c>
      <c r="L20">
        <f t="shared" ref="L20:L21" si="8">LOG(K20,2)</f>
        <v>-0.61883568303443515</v>
      </c>
    </row>
    <row r="21" spans="2:12">
      <c r="B21" t="s">
        <v>244</v>
      </c>
      <c r="C21">
        <v>12.4</v>
      </c>
      <c r="D21">
        <v>45.67</v>
      </c>
      <c r="E21">
        <v>23.94</v>
      </c>
      <c r="G21">
        <f t="shared" si="4"/>
        <v>82.01</v>
      </c>
      <c r="H21">
        <f t="shared" si="5"/>
        <v>15.120107303987318</v>
      </c>
      <c r="K21">
        <f t="shared" si="6"/>
        <v>0.66251035477204789</v>
      </c>
      <c r="L21">
        <f t="shared" si="8"/>
        <v>-0.59398509140108557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2B</vt:lpstr>
      <vt:lpstr>2D</vt:lpstr>
      <vt:lpstr>2E</vt:lpstr>
      <vt:lpstr>3A</vt:lpstr>
      <vt:lpstr>3B</vt:lpstr>
      <vt:lpstr>4B</vt:lpstr>
      <vt:lpstr>4D</vt:lpstr>
      <vt:lpstr>4G</vt:lpstr>
      <vt:lpstr>4H</vt:lpstr>
      <vt:lpstr>7D</vt:lpstr>
      <vt:lpstr>S3A</vt:lpstr>
      <vt:lpstr>S3B</vt:lpstr>
      <vt:lpstr>S5A</vt:lpstr>
      <vt:lpstr>S5G</vt:lpstr>
      <vt:lpstr>S5H</vt:lpstr>
      <vt:lpstr>S5K</vt:lpstr>
      <vt:lpstr>S6A</vt:lpstr>
      <vt:lpstr>S6C</vt:lpstr>
      <vt:lpstr>S6D</vt:lpstr>
      <vt:lpstr>S6E</vt:lpstr>
      <vt:lpstr>S6F</vt:lpstr>
      <vt:lpstr>S6G</vt:lpstr>
      <vt:lpstr>S6M</vt:lpstr>
      <vt:lpstr>S6P</vt:lpstr>
      <vt:lpstr>S6Q</vt:lpstr>
      <vt:lpstr>S6R</vt:lpstr>
      <vt:lpstr>S7A</vt:lpstr>
      <vt:lpstr>S7B</vt:lpstr>
      <vt:lpstr>S7C</vt:lpstr>
      <vt:lpstr>S8A</vt:lpstr>
      <vt:lpstr>S8B</vt:lpstr>
      <vt:lpstr>S8C</vt:lpstr>
      <vt:lpstr>S8D</vt:lpstr>
      <vt:lpstr>S9L</vt:lpstr>
      <vt:lpstr>S9M</vt:lpstr>
      <vt:lpstr>S10C</vt:lpstr>
      <vt:lpstr>S10F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Shalgilab</dc:creator>
  <cp:lastModifiedBy>Microsoft Office User</cp:lastModifiedBy>
  <dcterms:created xsi:type="dcterms:W3CDTF">2021-11-30T13:40:27Z</dcterms:created>
  <dcterms:modified xsi:type="dcterms:W3CDTF">2021-12-07T15:40:07Z</dcterms:modified>
</cp:coreProperties>
</file>