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E:\LSU\ssNMR\(d) Manuscripts\6. Woods\"/>
    </mc:Choice>
  </mc:AlternateContent>
  <xr:revisionPtr revIDLastSave="0" documentId="13_ncr:1_{8CDCF84F-0BAF-4755-B571-40B6B588076E}" xr6:coauthVersionLast="47" xr6:coauthVersionMax="47" xr10:uidLastSave="{00000000-0000-0000-0000-000000000000}"/>
  <bookViews>
    <workbookView xWindow="-120" yWindow="-120" windowWidth="29040" windowHeight="15840" tabRatio="884" activeTab="10" xr2:uid="{00000000-000D-0000-FFFF-FFFF00000000}"/>
  </bookViews>
  <sheets>
    <sheet name="Fig. 1g  " sheetId="1" r:id="rId1"/>
    <sheet name="Fig. 2d" sheetId="3" r:id="rId2"/>
    <sheet name="Fig. 3cd" sheetId="4" r:id="rId3"/>
    <sheet name="Fig. 4cde" sheetId="5" r:id="rId4"/>
    <sheet name="Fig. 5 de" sheetId="11" r:id="rId5"/>
    <sheet name="Supplementary Fig. 8" sheetId="10" r:id="rId6"/>
    <sheet name="Supplementary Fig. 9c" sheetId="9" r:id="rId7"/>
    <sheet name="Supplementary Fig. 12abc" sheetId="7" r:id="rId8"/>
    <sheet name="Supplementary Fig. 14" sheetId="6" r:id="rId9"/>
    <sheet name="Supplementary Fig. 15" sheetId="8" r:id="rId10"/>
    <sheet name="Supplementary Fig. 16 cd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12" l="1"/>
  <c r="N36" i="12"/>
  <c r="K36" i="12"/>
  <c r="J36" i="12"/>
  <c r="O35" i="12"/>
  <c r="N35" i="12"/>
  <c r="K35" i="12"/>
  <c r="J35" i="12"/>
  <c r="O34" i="12"/>
  <c r="N34" i="12"/>
  <c r="K34" i="12"/>
  <c r="J34" i="12"/>
  <c r="G34" i="12"/>
  <c r="F34" i="12"/>
  <c r="C34" i="12"/>
  <c r="B34" i="12"/>
  <c r="O33" i="12"/>
  <c r="N33" i="12"/>
  <c r="K33" i="12"/>
  <c r="J33" i="12"/>
  <c r="G33" i="12"/>
  <c r="F33" i="12"/>
  <c r="C33" i="12"/>
  <c r="B33" i="12"/>
  <c r="O32" i="12"/>
  <c r="N32" i="12"/>
  <c r="K32" i="12"/>
  <c r="J32" i="12"/>
  <c r="G32" i="12"/>
  <c r="F32" i="12"/>
  <c r="C32" i="12"/>
  <c r="B32" i="12"/>
  <c r="O31" i="12"/>
  <c r="N31" i="12"/>
  <c r="K31" i="12"/>
  <c r="J31" i="12"/>
  <c r="G31" i="12"/>
  <c r="F31" i="12"/>
  <c r="C31" i="12"/>
  <c r="B31" i="12"/>
  <c r="O30" i="12"/>
  <c r="N30" i="12"/>
  <c r="K30" i="12"/>
  <c r="J30" i="12"/>
  <c r="G30" i="12"/>
  <c r="F30" i="12"/>
  <c r="C30" i="12"/>
  <c r="B30" i="12"/>
  <c r="O29" i="12"/>
  <c r="N29" i="12"/>
  <c r="K29" i="12"/>
  <c r="J29" i="12"/>
  <c r="G29" i="12"/>
  <c r="F29" i="12"/>
  <c r="C29" i="12"/>
  <c r="B29" i="12"/>
  <c r="O28" i="12"/>
  <c r="N28" i="12"/>
  <c r="K28" i="12"/>
  <c r="J28" i="12"/>
  <c r="G28" i="12"/>
  <c r="F28" i="12"/>
  <c r="C28" i="12"/>
  <c r="B28" i="12"/>
  <c r="O27" i="12"/>
  <c r="N27" i="12"/>
  <c r="K27" i="12"/>
  <c r="J27" i="12"/>
  <c r="G27" i="12"/>
  <c r="F27" i="12"/>
  <c r="C27" i="12"/>
  <c r="B27" i="12"/>
  <c r="O26" i="12"/>
  <c r="N26" i="12"/>
  <c r="K26" i="12"/>
  <c r="J26" i="12"/>
  <c r="G26" i="12"/>
  <c r="F26" i="12"/>
  <c r="C26" i="12"/>
  <c r="B26" i="12"/>
  <c r="O25" i="12"/>
  <c r="N25" i="12"/>
  <c r="K25" i="12"/>
  <c r="J25" i="12"/>
  <c r="G25" i="12"/>
  <c r="F25" i="12"/>
  <c r="C25" i="12"/>
  <c r="B25" i="12"/>
  <c r="BD24" i="5"/>
  <c r="BD36" i="5" s="1"/>
  <c r="BD25" i="5"/>
  <c r="BD26" i="5"/>
  <c r="BD23" i="5"/>
  <c r="BD19" i="5"/>
  <c r="BD20" i="5"/>
  <c r="BD21" i="5"/>
  <c r="BD22" i="5"/>
  <c r="BD18" i="5"/>
  <c r="BD8" i="5"/>
  <c r="BD9" i="5"/>
  <c r="BD10" i="5"/>
  <c r="BD34" i="5" s="1"/>
  <c r="BD11" i="5"/>
  <c r="BD12" i="5"/>
  <c r="BD13" i="5"/>
  <c r="BD14" i="5"/>
  <c r="BD15" i="5"/>
  <c r="BD16" i="5"/>
  <c r="BD17" i="5"/>
  <c r="BD7" i="5"/>
  <c r="AY18" i="5"/>
  <c r="AY19" i="5"/>
  <c r="AY20" i="5"/>
  <c r="AY17" i="5"/>
  <c r="AY36" i="5" s="1"/>
  <c r="AY13" i="5"/>
  <c r="AY14" i="5"/>
  <c r="AY15" i="5"/>
  <c r="AY16" i="5"/>
  <c r="AY12" i="5"/>
  <c r="AY8" i="5"/>
  <c r="AY9" i="5"/>
  <c r="AY10" i="5"/>
  <c r="AY11" i="5"/>
  <c r="AY7" i="5"/>
  <c r="AT21" i="5"/>
  <c r="AT36" i="5" s="1"/>
  <c r="AT22" i="5"/>
  <c r="AT23" i="5"/>
  <c r="AT20" i="5"/>
  <c r="AT16" i="5"/>
  <c r="AT17" i="5"/>
  <c r="AT18" i="5"/>
  <c r="AT19" i="5"/>
  <c r="AT15" i="5"/>
  <c r="AT8" i="5"/>
  <c r="AT9" i="5"/>
  <c r="AT34" i="5" s="1"/>
  <c r="AT10" i="5"/>
  <c r="AT11" i="5"/>
  <c r="AT12" i="5"/>
  <c r="AT13" i="5"/>
  <c r="AT14" i="5"/>
  <c r="AT7" i="5"/>
  <c r="BD27" i="5"/>
  <c r="BD37" i="5" s="1"/>
  <c r="BC37" i="5"/>
  <c r="BC36" i="5"/>
  <c r="BD35" i="5"/>
  <c r="BC35" i="5"/>
  <c r="BC34" i="5"/>
  <c r="AX36" i="5"/>
  <c r="AX35" i="5"/>
  <c r="AY34" i="5"/>
  <c r="AX34" i="5"/>
  <c r="AS36" i="5"/>
  <c r="AS35" i="5"/>
  <c r="AH30" i="5"/>
  <c r="AS34" i="5"/>
  <c r="AK19" i="5"/>
  <c r="AK20" i="5"/>
  <c r="AK21" i="5"/>
  <c r="AK22" i="5"/>
  <c r="AK18" i="5"/>
  <c r="AK14" i="5"/>
  <c r="AK31" i="5" s="1"/>
  <c r="AK15" i="5"/>
  <c r="AK16" i="5"/>
  <c r="AK13" i="5"/>
  <c r="AK10" i="5"/>
  <c r="AK30" i="5" s="1"/>
  <c r="AK11" i="5"/>
  <c r="AK12" i="5"/>
  <c r="AK9" i="5"/>
  <c r="AI19" i="5"/>
  <c r="AI20" i="5"/>
  <c r="AI21" i="5"/>
  <c r="AI22" i="5"/>
  <c r="AI18" i="5"/>
  <c r="AI14" i="5"/>
  <c r="AI15" i="5"/>
  <c r="AI16" i="5"/>
  <c r="AI17" i="5"/>
  <c r="AI13" i="5"/>
  <c r="AK23" i="5"/>
  <c r="AK33" i="5"/>
  <c r="AJ33" i="5"/>
  <c r="AI23" i="5"/>
  <c r="AI33" i="5"/>
  <c r="AH33" i="5"/>
  <c r="AI9" i="5"/>
  <c r="AI30" i="5" s="1"/>
  <c r="AI10" i="5"/>
  <c r="AI11" i="5"/>
  <c r="AI12" i="5"/>
  <c r="AI8" i="5"/>
  <c r="AJ32" i="5"/>
  <c r="AJ31" i="5"/>
  <c r="AJ30" i="5"/>
  <c r="AH32" i="5"/>
  <c r="AH31" i="5"/>
  <c r="AD20" i="5"/>
  <c r="AD21" i="5"/>
  <c r="AD22" i="5"/>
  <c r="AD23" i="5"/>
  <c r="AD19" i="5"/>
  <c r="AD15" i="5"/>
  <c r="AD31" i="5" s="1"/>
  <c r="AD16" i="5"/>
  <c r="AD17" i="5"/>
  <c r="AD14" i="5"/>
  <c r="AC31" i="5"/>
  <c r="AD30" i="5"/>
  <c r="AC32" i="5"/>
  <c r="AC30" i="5"/>
  <c r="AD11" i="5"/>
  <c r="AD12" i="5"/>
  <c r="AD13" i="5"/>
  <c r="AD10" i="5"/>
  <c r="AD8" i="5"/>
  <c r="AB20" i="5"/>
  <c r="AB21" i="5"/>
  <c r="AB22" i="5"/>
  <c r="AB23" i="5"/>
  <c r="AB32" i="5" s="1"/>
  <c r="AB19" i="5"/>
  <c r="AB15" i="5"/>
  <c r="AB16" i="5"/>
  <c r="AB17" i="5"/>
  <c r="AB18" i="5"/>
  <c r="AB14" i="5"/>
  <c r="AB13" i="5"/>
  <c r="AB12" i="5"/>
  <c r="AB10" i="5"/>
  <c r="AB9" i="5"/>
  <c r="AB30" i="5" s="1"/>
  <c r="AA32" i="5"/>
  <c r="AA31" i="5"/>
  <c r="AA30" i="5"/>
  <c r="W32" i="5"/>
  <c r="W31" i="5"/>
  <c r="W30" i="5"/>
  <c r="W20" i="5"/>
  <c r="W21" i="5"/>
  <c r="W22" i="5"/>
  <c r="W23" i="5"/>
  <c r="W19" i="5"/>
  <c r="W15" i="5"/>
  <c r="W16" i="5"/>
  <c r="W17" i="5"/>
  <c r="W14" i="5"/>
  <c r="W11" i="5"/>
  <c r="W12" i="5"/>
  <c r="W13" i="5"/>
  <c r="W10" i="5"/>
  <c r="W8" i="5"/>
  <c r="V31" i="5"/>
  <c r="V30" i="5"/>
  <c r="V32" i="5"/>
  <c r="U32" i="5"/>
  <c r="U31" i="5"/>
  <c r="U30" i="5"/>
  <c r="U20" i="5"/>
  <c r="U21" i="5"/>
  <c r="U22" i="5"/>
  <c r="U23" i="5"/>
  <c r="U19" i="5"/>
  <c r="U15" i="5"/>
  <c r="U16" i="5"/>
  <c r="U17" i="5"/>
  <c r="U18" i="5"/>
  <c r="U14" i="5"/>
  <c r="U10" i="5"/>
  <c r="U11" i="5"/>
  <c r="U12" i="5"/>
  <c r="U13" i="5"/>
  <c r="U9" i="5"/>
  <c r="T32" i="5"/>
  <c r="T31" i="5"/>
  <c r="T30" i="5"/>
  <c r="M40" i="5"/>
  <c r="M41" i="5"/>
  <c r="M39" i="5"/>
  <c r="M60" i="5" s="1"/>
  <c r="M28" i="5"/>
  <c r="M29" i="5"/>
  <c r="M30" i="5"/>
  <c r="M31" i="5"/>
  <c r="M32" i="5"/>
  <c r="M33" i="5"/>
  <c r="M34" i="5"/>
  <c r="M35" i="5"/>
  <c r="M36" i="5"/>
  <c r="M37" i="5"/>
  <c r="M38" i="5"/>
  <c r="M27" i="5"/>
  <c r="M23" i="5"/>
  <c r="M58" i="5" s="1"/>
  <c r="M24" i="5"/>
  <c r="M25" i="5"/>
  <c r="M26" i="5"/>
  <c r="M22" i="5"/>
  <c r="M19" i="5"/>
  <c r="M57" i="5" s="1"/>
  <c r="M20" i="5"/>
  <c r="M21" i="5"/>
  <c r="M18" i="5"/>
  <c r="M15" i="5"/>
  <c r="M16" i="5"/>
  <c r="M17" i="5"/>
  <c r="M14" i="5"/>
  <c r="M56" i="5" s="1"/>
  <c r="M8" i="5"/>
  <c r="M9" i="5"/>
  <c r="M10" i="5"/>
  <c r="M11" i="5"/>
  <c r="M12" i="5"/>
  <c r="M13" i="5"/>
  <c r="M7" i="5"/>
  <c r="L60" i="5"/>
  <c r="L59" i="5"/>
  <c r="H59" i="5"/>
  <c r="H8" i="5"/>
  <c r="H9" i="5"/>
  <c r="H10" i="5"/>
  <c r="H11" i="5"/>
  <c r="H12" i="5"/>
  <c r="H13" i="5"/>
  <c r="H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27" i="5"/>
  <c r="H23" i="5"/>
  <c r="H24" i="5"/>
  <c r="H25" i="5"/>
  <c r="H26" i="5"/>
  <c r="H22" i="5"/>
  <c r="H19" i="5"/>
  <c r="H20" i="5"/>
  <c r="H21" i="5"/>
  <c r="H18" i="5"/>
  <c r="H57" i="5" s="1"/>
  <c r="H15" i="5"/>
  <c r="H16" i="5"/>
  <c r="H17" i="5"/>
  <c r="H14" i="5"/>
  <c r="G59" i="5"/>
  <c r="L58" i="5"/>
  <c r="L57" i="5"/>
  <c r="L56" i="5"/>
  <c r="L55" i="5"/>
  <c r="G58" i="5"/>
  <c r="G57" i="5"/>
  <c r="H56" i="5"/>
  <c r="G56" i="5"/>
  <c r="G55" i="5"/>
  <c r="C59" i="5"/>
  <c r="C58" i="5"/>
  <c r="C57" i="5"/>
  <c r="C56" i="5"/>
  <c r="C55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27" i="5"/>
  <c r="C23" i="5"/>
  <c r="C24" i="5"/>
  <c r="C25" i="5"/>
  <c r="C26" i="5"/>
  <c r="C22" i="5"/>
  <c r="C19" i="5"/>
  <c r="C20" i="5"/>
  <c r="C21" i="5"/>
  <c r="C18" i="5"/>
  <c r="C15" i="5"/>
  <c r="C16" i="5"/>
  <c r="C17" i="5"/>
  <c r="C14" i="5"/>
  <c r="C8" i="5"/>
  <c r="C9" i="5"/>
  <c r="C10" i="5"/>
  <c r="C11" i="5"/>
  <c r="C12" i="5"/>
  <c r="C13" i="5"/>
  <c r="C7" i="5"/>
  <c r="B55" i="5"/>
  <c r="B59" i="5"/>
  <c r="B58" i="5"/>
  <c r="B57" i="5"/>
  <c r="B56" i="5"/>
  <c r="M17" i="4"/>
  <c r="N17" i="4"/>
  <c r="O17" i="4"/>
  <c r="L17" i="4"/>
  <c r="M16" i="4"/>
  <c r="N16" i="4"/>
  <c r="O16" i="4"/>
  <c r="L16" i="4"/>
  <c r="M15" i="4"/>
  <c r="N15" i="4"/>
  <c r="O15" i="4"/>
  <c r="L15" i="4"/>
  <c r="M14" i="4"/>
  <c r="N14" i="4"/>
  <c r="O14" i="4"/>
  <c r="L14" i="4"/>
  <c r="M13" i="4"/>
  <c r="N13" i="4"/>
  <c r="O13" i="4"/>
  <c r="L13" i="4"/>
  <c r="F34" i="1"/>
  <c r="AB30" i="1"/>
  <c r="AC30" i="1" s="1"/>
  <c r="AA30" i="1"/>
  <c r="R30" i="1"/>
  <c r="S30" i="1" s="1"/>
  <c r="Q30" i="1"/>
  <c r="G30" i="1"/>
  <c r="H30" i="1" s="1"/>
  <c r="F30" i="1"/>
  <c r="AB28" i="1"/>
  <c r="AA28" i="1"/>
  <c r="Q28" i="1"/>
  <c r="AA27" i="1"/>
  <c r="AB27" i="1" s="1"/>
  <c r="AC27" i="1" s="1"/>
  <c r="AD27" i="1" s="1"/>
  <c r="S27" i="1"/>
  <c r="T27" i="1" s="1"/>
  <c r="Q27" i="1"/>
  <c r="I27" i="1"/>
  <c r="H27" i="1"/>
  <c r="AA25" i="1"/>
  <c r="AB25" i="1" s="1"/>
  <c r="AC22" i="1" s="1"/>
  <c r="R24" i="1"/>
  <c r="Q24" i="1"/>
  <c r="F24" i="1"/>
  <c r="G24" i="1" s="1"/>
  <c r="AB23" i="1"/>
  <c r="AA23" i="1"/>
  <c r="R23" i="1"/>
  <c r="Q23" i="1"/>
  <c r="G23" i="1"/>
  <c r="F23" i="1"/>
  <c r="R22" i="1"/>
  <c r="S22" i="1" s="1"/>
  <c r="Q22" i="1"/>
  <c r="F22" i="1"/>
  <c r="G22" i="1" s="1"/>
  <c r="H22" i="1" s="1"/>
  <c r="AA20" i="1"/>
  <c r="AB20" i="1" s="1"/>
  <c r="Q20" i="1"/>
  <c r="R20" i="1" s="1"/>
  <c r="G20" i="1"/>
  <c r="F20" i="1"/>
  <c r="Q19" i="1"/>
  <c r="R19" i="1" s="1"/>
  <c r="S18" i="1" s="1"/>
  <c r="G19" i="1"/>
  <c r="F19" i="1"/>
  <c r="AA18" i="1"/>
  <c r="AB18" i="1" s="1"/>
  <c r="AC18" i="1" s="1"/>
  <c r="R18" i="1"/>
  <c r="Q18" i="1"/>
  <c r="H18" i="1"/>
  <c r="G18" i="1"/>
  <c r="F18" i="1"/>
  <c r="AA15" i="1"/>
  <c r="AB15" i="1" s="1"/>
  <c r="AC13" i="1" s="1"/>
  <c r="Q15" i="1"/>
  <c r="R15" i="1" s="1"/>
  <c r="S13" i="1" s="1"/>
  <c r="F15" i="1"/>
  <c r="G15" i="1" s="1"/>
  <c r="AB13" i="1"/>
  <c r="AA13" i="1"/>
  <c r="R13" i="1"/>
  <c r="Q13" i="1"/>
  <c r="G13" i="1"/>
  <c r="H13" i="1" s="1"/>
  <c r="I6" i="1" s="1"/>
  <c r="F13" i="1"/>
  <c r="AA9" i="1"/>
  <c r="AB9" i="1" s="1"/>
  <c r="R9" i="1"/>
  <c r="Q9" i="1"/>
  <c r="G9" i="1"/>
  <c r="F9" i="1"/>
  <c r="AA6" i="1"/>
  <c r="AA32" i="1" s="1"/>
  <c r="Q6" i="1"/>
  <c r="Q32" i="1" s="1"/>
  <c r="R32" i="1" s="1"/>
  <c r="H6" i="1"/>
  <c r="G6" i="1"/>
  <c r="F6" i="1"/>
  <c r="F32" i="1" s="1"/>
  <c r="AY35" i="5" l="1"/>
  <c r="AT35" i="5"/>
  <c r="AK32" i="5"/>
  <c r="AI32" i="5"/>
  <c r="AI31" i="5"/>
  <c r="AD32" i="5"/>
  <c r="AB31" i="5"/>
  <c r="M59" i="5"/>
  <c r="M55" i="5"/>
  <c r="H58" i="5"/>
  <c r="H55" i="5"/>
  <c r="I18" i="1"/>
  <c r="AD18" i="1"/>
  <c r="T18" i="1"/>
  <c r="T30" i="1"/>
  <c r="T32" i="1" s="1"/>
  <c r="AD30" i="1"/>
  <c r="H32" i="1"/>
  <c r="I30" i="1"/>
  <c r="R6" i="1"/>
  <c r="S6" i="1" s="1"/>
  <c r="T6" i="1" s="1"/>
  <c r="AB6" i="1"/>
  <c r="I32" i="1" l="1"/>
  <c r="AB32" i="1"/>
  <c r="AC6" i="1"/>
  <c r="S32" i="1"/>
  <c r="AD6" i="1" l="1"/>
  <c r="AD32" i="1" s="1"/>
  <c r="AC32" i="1"/>
  <c r="P5" i="4" l="1"/>
  <c r="P6" i="4"/>
  <c r="P7" i="4"/>
  <c r="P8" i="4"/>
  <c r="P4" i="4"/>
  <c r="O39" i="11"/>
  <c r="N39" i="11"/>
  <c r="K39" i="11"/>
  <c r="J39" i="11"/>
  <c r="O38" i="11"/>
  <c r="N38" i="11"/>
  <c r="K38" i="11"/>
  <c r="J38" i="11"/>
  <c r="O37" i="11"/>
  <c r="N37" i="11"/>
  <c r="K37" i="11"/>
  <c r="J37" i="11"/>
  <c r="O36" i="11"/>
  <c r="N36" i="11"/>
  <c r="K36" i="11"/>
  <c r="J36" i="11"/>
  <c r="G36" i="11"/>
  <c r="F36" i="11"/>
  <c r="C36" i="11"/>
  <c r="B36" i="11"/>
  <c r="O35" i="11"/>
  <c r="N35" i="11"/>
  <c r="K35" i="11"/>
  <c r="J35" i="11"/>
  <c r="G35" i="11"/>
  <c r="F35" i="11"/>
  <c r="C35" i="11"/>
  <c r="B35" i="11"/>
  <c r="O34" i="11"/>
  <c r="N34" i="11"/>
  <c r="K34" i="11"/>
  <c r="J34" i="11"/>
  <c r="G34" i="11"/>
  <c r="F34" i="11"/>
  <c r="C34" i="11"/>
  <c r="B34" i="11"/>
  <c r="O33" i="11"/>
  <c r="N33" i="11"/>
  <c r="K33" i="11"/>
  <c r="J33" i="11"/>
  <c r="G33" i="11"/>
  <c r="F33" i="11"/>
  <c r="C33" i="11"/>
  <c r="B33" i="11"/>
  <c r="O32" i="11"/>
  <c r="N32" i="11"/>
  <c r="K32" i="11"/>
  <c r="J32" i="11"/>
  <c r="G32" i="11"/>
  <c r="F32" i="11"/>
  <c r="C32" i="11"/>
  <c r="B32" i="11"/>
  <c r="O31" i="11"/>
  <c r="N31" i="11"/>
  <c r="K31" i="11"/>
  <c r="J31" i="11"/>
  <c r="G31" i="11"/>
  <c r="F31" i="11"/>
  <c r="C31" i="11"/>
  <c r="B31" i="11"/>
  <c r="O30" i="11"/>
  <c r="N30" i="11"/>
  <c r="K30" i="11"/>
  <c r="J30" i="11"/>
  <c r="G30" i="11"/>
  <c r="F30" i="11"/>
  <c r="C30" i="11"/>
  <c r="B30" i="11"/>
  <c r="O29" i="11"/>
  <c r="N29" i="11"/>
  <c r="K29" i="11"/>
  <c r="J29" i="11"/>
  <c r="G29" i="11"/>
  <c r="F29" i="11"/>
  <c r="C29" i="11"/>
  <c r="B29" i="11"/>
  <c r="O28" i="11"/>
  <c r="N28" i="11"/>
  <c r="K28" i="11"/>
  <c r="J28" i="11"/>
  <c r="G28" i="11"/>
  <c r="F28" i="11"/>
  <c r="C28" i="11"/>
  <c r="B28" i="11"/>
  <c r="O27" i="11"/>
  <c r="N27" i="11"/>
  <c r="K27" i="11"/>
  <c r="J27" i="11"/>
  <c r="G27" i="11"/>
  <c r="F27" i="11"/>
  <c r="C27" i="11"/>
  <c r="B27" i="11"/>
  <c r="Y92" i="10"/>
  <c r="Y90" i="10"/>
  <c r="AJ88" i="10"/>
  <c r="M88" i="10"/>
  <c r="Y84" i="10"/>
  <c r="AG83" i="10"/>
  <c r="AM62" i="10"/>
  <c r="AL62" i="10"/>
  <c r="AK62" i="10"/>
  <c r="AJ62" i="10"/>
  <c r="AI62" i="10"/>
  <c r="AH62" i="10"/>
  <c r="AG62" i="10"/>
  <c r="AF62" i="10"/>
  <c r="AE62" i="10"/>
  <c r="AD62" i="10"/>
  <c r="Z62" i="10"/>
  <c r="Y62" i="10"/>
  <c r="X62" i="10"/>
  <c r="W62" i="10"/>
  <c r="V62" i="10"/>
  <c r="U62" i="10"/>
  <c r="T62" i="10"/>
  <c r="S62" i="10"/>
  <c r="R62" i="10"/>
  <c r="Q62" i="10"/>
  <c r="M62" i="10"/>
  <c r="L62" i="10"/>
  <c r="K62" i="10"/>
  <c r="J62" i="10"/>
  <c r="I62" i="10"/>
  <c r="H62" i="10"/>
  <c r="G62" i="10"/>
  <c r="F62" i="10"/>
  <c r="E62" i="10"/>
  <c r="D62" i="10"/>
  <c r="AM56" i="10"/>
  <c r="AM92" i="10" s="1"/>
  <c r="AL56" i="10"/>
  <c r="AL92" i="10" s="1"/>
  <c r="AK56" i="10"/>
  <c r="AK92" i="10" s="1"/>
  <c r="AJ56" i="10"/>
  <c r="AJ92" i="10" s="1"/>
  <c r="AI56" i="10"/>
  <c r="AI92" i="10" s="1"/>
  <c r="AH56" i="10"/>
  <c r="AH92" i="10" s="1"/>
  <c r="AG56" i="10"/>
  <c r="AG92" i="10" s="1"/>
  <c r="AF56" i="10"/>
  <c r="AF92" i="10" s="1"/>
  <c r="AE56" i="10"/>
  <c r="AE92" i="10" s="1"/>
  <c r="AD56" i="10"/>
  <c r="AD92" i="10" s="1"/>
  <c r="Z56" i="10"/>
  <c r="Z92" i="10" s="1"/>
  <c r="Y56" i="10"/>
  <c r="X56" i="10"/>
  <c r="X92" i="10" s="1"/>
  <c r="W56" i="10"/>
  <c r="W92" i="10" s="1"/>
  <c r="V56" i="10"/>
  <c r="V92" i="10" s="1"/>
  <c r="U56" i="10"/>
  <c r="U92" i="10" s="1"/>
  <c r="T56" i="10"/>
  <c r="T92" i="10" s="1"/>
  <c r="S56" i="10"/>
  <c r="S92" i="10" s="1"/>
  <c r="R56" i="10"/>
  <c r="R92" i="10" s="1"/>
  <c r="Q56" i="10"/>
  <c r="Q92" i="10" s="1"/>
  <c r="M56" i="10"/>
  <c r="M92" i="10" s="1"/>
  <c r="L56" i="10"/>
  <c r="L92" i="10" s="1"/>
  <c r="K56" i="10"/>
  <c r="K92" i="10" s="1"/>
  <c r="J56" i="10"/>
  <c r="J92" i="10" s="1"/>
  <c r="I56" i="10"/>
  <c r="I92" i="10" s="1"/>
  <c r="H56" i="10"/>
  <c r="H92" i="10" s="1"/>
  <c r="G56" i="10"/>
  <c r="G92" i="10" s="1"/>
  <c r="F56" i="10"/>
  <c r="F92" i="10" s="1"/>
  <c r="E56" i="10"/>
  <c r="E92" i="10" s="1"/>
  <c r="D56" i="10"/>
  <c r="D92" i="10" s="1"/>
  <c r="AM55" i="10"/>
  <c r="AM91" i="10" s="1"/>
  <c r="AL55" i="10"/>
  <c r="AL91" i="10" s="1"/>
  <c r="AK55" i="10"/>
  <c r="AK91" i="10" s="1"/>
  <c r="AJ55" i="10"/>
  <c r="AJ91" i="10" s="1"/>
  <c r="AI55" i="10"/>
  <c r="AI91" i="10" s="1"/>
  <c r="AH55" i="10"/>
  <c r="AH91" i="10" s="1"/>
  <c r="AG55" i="10"/>
  <c r="AG91" i="10" s="1"/>
  <c r="AF55" i="10"/>
  <c r="AF91" i="10" s="1"/>
  <c r="AE55" i="10"/>
  <c r="AE91" i="10" s="1"/>
  <c r="AD55" i="10"/>
  <c r="AD91" i="10" s="1"/>
  <c r="Z55" i="10"/>
  <c r="Z91" i="10" s="1"/>
  <c r="Y55" i="10"/>
  <c r="Y91" i="10" s="1"/>
  <c r="X55" i="10"/>
  <c r="X91" i="10" s="1"/>
  <c r="W55" i="10"/>
  <c r="W91" i="10" s="1"/>
  <c r="V55" i="10"/>
  <c r="V91" i="10" s="1"/>
  <c r="U55" i="10"/>
  <c r="U91" i="10" s="1"/>
  <c r="T55" i="10"/>
  <c r="T91" i="10" s="1"/>
  <c r="S55" i="10"/>
  <c r="S91" i="10" s="1"/>
  <c r="R55" i="10"/>
  <c r="R91" i="10" s="1"/>
  <c r="Q55" i="10"/>
  <c r="Q91" i="10" s="1"/>
  <c r="M55" i="10"/>
  <c r="M91" i="10" s="1"/>
  <c r="L55" i="10"/>
  <c r="L91" i="10" s="1"/>
  <c r="K55" i="10"/>
  <c r="K91" i="10" s="1"/>
  <c r="J55" i="10"/>
  <c r="J91" i="10" s="1"/>
  <c r="I55" i="10"/>
  <c r="I91" i="10" s="1"/>
  <c r="H55" i="10"/>
  <c r="H91" i="10" s="1"/>
  <c r="G55" i="10"/>
  <c r="G91" i="10" s="1"/>
  <c r="F55" i="10"/>
  <c r="F91" i="10" s="1"/>
  <c r="E55" i="10"/>
  <c r="E91" i="10" s="1"/>
  <c r="D55" i="10"/>
  <c r="D91" i="10" s="1"/>
  <c r="AM54" i="10"/>
  <c r="AM90" i="10" s="1"/>
  <c r="AL54" i="10"/>
  <c r="AL90" i="10" s="1"/>
  <c r="AK54" i="10"/>
  <c r="AK90" i="10" s="1"/>
  <c r="AJ54" i="10"/>
  <c r="AJ90" i="10" s="1"/>
  <c r="AI54" i="10"/>
  <c r="AI90" i="10" s="1"/>
  <c r="AH54" i="10"/>
  <c r="AH90" i="10" s="1"/>
  <c r="AG54" i="10"/>
  <c r="AG90" i="10" s="1"/>
  <c r="AF54" i="10"/>
  <c r="AF90" i="10" s="1"/>
  <c r="AE54" i="10"/>
  <c r="AE90" i="10" s="1"/>
  <c r="AD54" i="10"/>
  <c r="AD90" i="10" s="1"/>
  <c r="Z54" i="10"/>
  <c r="Z90" i="10" s="1"/>
  <c r="Y54" i="10"/>
  <c r="X54" i="10"/>
  <c r="X90" i="10" s="1"/>
  <c r="W54" i="10"/>
  <c r="W90" i="10" s="1"/>
  <c r="V54" i="10"/>
  <c r="V90" i="10" s="1"/>
  <c r="U54" i="10"/>
  <c r="U90" i="10" s="1"/>
  <c r="T54" i="10"/>
  <c r="T90" i="10" s="1"/>
  <c r="S54" i="10"/>
  <c r="S90" i="10" s="1"/>
  <c r="R54" i="10"/>
  <c r="R90" i="10" s="1"/>
  <c r="Q54" i="10"/>
  <c r="Q90" i="10" s="1"/>
  <c r="M54" i="10"/>
  <c r="M90" i="10" s="1"/>
  <c r="L54" i="10"/>
  <c r="L90" i="10" s="1"/>
  <c r="K54" i="10"/>
  <c r="K90" i="10" s="1"/>
  <c r="J54" i="10"/>
  <c r="J90" i="10" s="1"/>
  <c r="I54" i="10"/>
  <c r="I90" i="10" s="1"/>
  <c r="H54" i="10"/>
  <c r="H90" i="10" s="1"/>
  <c r="G54" i="10"/>
  <c r="G90" i="10" s="1"/>
  <c r="F54" i="10"/>
  <c r="F90" i="10" s="1"/>
  <c r="E54" i="10"/>
  <c r="E90" i="10" s="1"/>
  <c r="D54" i="10"/>
  <c r="D90" i="10" s="1"/>
  <c r="AM53" i="10"/>
  <c r="AM89" i="10" s="1"/>
  <c r="AL53" i="10"/>
  <c r="AL89" i="10" s="1"/>
  <c r="AK53" i="10"/>
  <c r="AK89" i="10" s="1"/>
  <c r="AJ53" i="10"/>
  <c r="AJ89" i="10" s="1"/>
  <c r="AI53" i="10"/>
  <c r="AI89" i="10" s="1"/>
  <c r="AH53" i="10"/>
  <c r="AH89" i="10" s="1"/>
  <c r="AG53" i="10"/>
  <c r="AG89" i="10" s="1"/>
  <c r="AF53" i="10"/>
  <c r="AF89" i="10" s="1"/>
  <c r="AE53" i="10"/>
  <c r="AE89" i="10" s="1"/>
  <c r="AD53" i="10"/>
  <c r="AD89" i="10" s="1"/>
  <c r="Z53" i="10"/>
  <c r="Z89" i="10" s="1"/>
  <c r="Y53" i="10"/>
  <c r="Y89" i="10" s="1"/>
  <c r="X53" i="10"/>
  <c r="X89" i="10" s="1"/>
  <c r="W53" i="10"/>
  <c r="W89" i="10" s="1"/>
  <c r="V53" i="10"/>
  <c r="V89" i="10" s="1"/>
  <c r="U53" i="10"/>
  <c r="U89" i="10" s="1"/>
  <c r="T53" i="10"/>
  <c r="T89" i="10" s="1"/>
  <c r="S53" i="10"/>
  <c r="S89" i="10" s="1"/>
  <c r="R53" i="10"/>
  <c r="R89" i="10" s="1"/>
  <c r="Q53" i="10"/>
  <c r="Q89" i="10" s="1"/>
  <c r="M53" i="10"/>
  <c r="M89" i="10" s="1"/>
  <c r="L53" i="10"/>
  <c r="L89" i="10" s="1"/>
  <c r="K53" i="10"/>
  <c r="K89" i="10" s="1"/>
  <c r="J53" i="10"/>
  <c r="J89" i="10" s="1"/>
  <c r="I53" i="10"/>
  <c r="I89" i="10" s="1"/>
  <c r="H53" i="10"/>
  <c r="H89" i="10" s="1"/>
  <c r="G53" i="10"/>
  <c r="G89" i="10" s="1"/>
  <c r="F53" i="10"/>
  <c r="F89" i="10" s="1"/>
  <c r="E53" i="10"/>
  <c r="E89" i="10" s="1"/>
  <c r="D53" i="10"/>
  <c r="D89" i="10" s="1"/>
  <c r="AM52" i="10"/>
  <c r="AM88" i="10" s="1"/>
  <c r="AL52" i="10"/>
  <c r="AL88" i="10" s="1"/>
  <c r="AK52" i="10"/>
  <c r="AK88" i="10" s="1"/>
  <c r="AJ52" i="10"/>
  <c r="AI52" i="10"/>
  <c r="AI88" i="10" s="1"/>
  <c r="AH52" i="10"/>
  <c r="AH88" i="10" s="1"/>
  <c r="AG52" i="10"/>
  <c r="AG88" i="10" s="1"/>
  <c r="AF52" i="10"/>
  <c r="AF88" i="10" s="1"/>
  <c r="AE52" i="10"/>
  <c r="AE88" i="10" s="1"/>
  <c r="AD52" i="10"/>
  <c r="AD88" i="10" s="1"/>
  <c r="Z52" i="10"/>
  <c r="Z88" i="10" s="1"/>
  <c r="Y52" i="10"/>
  <c r="Y88" i="10" s="1"/>
  <c r="X52" i="10"/>
  <c r="X88" i="10" s="1"/>
  <c r="W52" i="10"/>
  <c r="W88" i="10" s="1"/>
  <c r="V52" i="10"/>
  <c r="V88" i="10" s="1"/>
  <c r="U52" i="10"/>
  <c r="U88" i="10" s="1"/>
  <c r="T52" i="10"/>
  <c r="T88" i="10" s="1"/>
  <c r="S52" i="10"/>
  <c r="S88" i="10" s="1"/>
  <c r="R52" i="10"/>
  <c r="R88" i="10" s="1"/>
  <c r="Q52" i="10"/>
  <c r="Q88" i="10" s="1"/>
  <c r="M52" i="10"/>
  <c r="L52" i="10"/>
  <c r="L88" i="10" s="1"/>
  <c r="K52" i="10"/>
  <c r="K88" i="10" s="1"/>
  <c r="J52" i="10"/>
  <c r="J88" i="10" s="1"/>
  <c r="I52" i="10"/>
  <c r="I88" i="10" s="1"/>
  <c r="H52" i="10"/>
  <c r="H88" i="10" s="1"/>
  <c r="G52" i="10"/>
  <c r="G88" i="10" s="1"/>
  <c r="F52" i="10"/>
  <c r="F88" i="10" s="1"/>
  <c r="E52" i="10"/>
  <c r="E88" i="10" s="1"/>
  <c r="D52" i="10"/>
  <c r="D88" i="10" s="1"/>
  <c r="AM51" i="10"/>
  <c r="AM87" i="10" s="1"/>
  <c r="AL51" i="10"/>
  <c r="AL87" i="10" s="1"/>
  <c r="AK51" i="10"/>
  <c r="AK87" i="10" s="1"/>
  <c r="AJ51" i="10"/>
  <c r="AJ87" i="10" s="1"/>
  <c r="AI51" i="10"/>
  <c r="AI87" i="10" s="1"/>
  <c r="AH51" i="10"/>
  <c r="AH87" i="10" s="1"/>
  <c r="AG51" i="10"/>
  <c r="AG87" i="10" s="1"/>
  <c r="AF51" i="10"/>
  <c r="AF87" i="10" s="1"/>
  <c r="AE51" i="10"/>
  <c r="AE87" i="10" s="1"/>
  <c r="AD51" i="10"/>
  <c r="AD87" i="10" s="1"/>
  <c r="Z51" i="10"/>
  <c r="Z87" i="10" s="1"/>
  <c r="Y51" i="10"/>
  <c r="Y87" i="10" s="1"/>
  <c r="X51" i="10"/>
  <c r="X87" i="10" s="1"/>
  <c r="W51" i="10"/>
  <c r="W87" i="10" s="1"/>
  <c r="V51" i="10"/>
  <c r="V87" i="10" s="1"/>
  <c r="U51" i="10"/>
  <c r="U87" i="10" s="1"/>
  <c r="T51" i="10"/>
  <c r="T87" i="10" s="1"/>
  <c r="S51" i="10"/>
  <c r="S87" i="10" s="1"/>
  <c r="R51" i="10"/>
  <c r="R87" i="10" s="1"/>
  <c r="Q51" i="10"/>
  <c r="Q87" i="10" s="1"/>
  <c r="M51" i="10"/>
  <c r="M87" i="10" s="1"/>
  <c r="L51" i="10"/>
  <c r="L87" i="10" s="1"/>
  <c r="K51" i="10"/>
  <c r="K87" i="10" s="1"/>
  <c r="J51" i="10"/>
  <c r="J87" i="10" s="1"/>
  <c r="I51" i="10"/>
  <c r="I87" i="10" s="1"/>
  <c r="H51" i="10"/>
  <c r="H87" i="10" s="1"/>
  <c r="G51" i="10"/>
  <c r="G87" i="10" s="1"/>
  <c r="F51" i="10"/>
  <c r="F87" i="10" s="1"/>
  <c r="E51" i="10"/>
  <c r="E87" i="10" s="1"/>
  <c r="D51" i="10"/>
  <c r="D87" i="10" s="1"/>
  <c r="AM50" i="10"/>
  <c r="AM86" i="10" s="1"/>
  <c r="AL50" i="10"/>
  <c r="AL86" i="10" s="1"/>
  <c r="AK50" i="10"/>
  <c r="AK86" i="10" s="1"/>
  <c r="AJ50" i="10"/>
  <c r="AJ86" i="10" s="1"/>
  <c r="AI50" i="10"/>
  <c r="AI86" i="10" s="1"/>
  <c r="AH50" i="10"/>
  <c r="AH86" i="10" s="1"/>
  <c r="AG50" i="10"/>
  <c r="AG86" i="10" s="1"/>
  <c r="AF50" i="10"/>
  <c r="AF86" i="10" s="1"/>
  <c r="AE50" i="10"/>
  <c r="AE86" i="10" s="1"/>
  <c r="AD50" i="10"/>
  <c r="AD86" i="10" s="1"/>
  <c r="Z50" i="10"/>
  <c r="Z86" i="10" s="1"/>
  <c r="Y50" i="10"/>
  <c r="Y86" i="10" s="1"/>
  <c r="X50" i="10"/>
  <c r="X86" i="10" s="1"/>
  <c r="W50" i="10"/>
  <c r="W86" i="10" s="1"/>
  <c r="V50" i="10"/>
  <c r="V86" i="10" s="1"/>
  <c r="U50" i="10"/>
  <c r="U86" i="10" s="1"/>
  <c r="T50" i="10"/>
  <c r="T86" i="10" s="1"/>
  <c r="S50" i="10"/>
  <c r="S86" i="10" s="1"/>
  <c r="R50" i="10"/>
  <c r="R86" i="10" s="1"/>
  <c r="Q50" i="10"/>
  <c r="Q86" i="10" s="1"/>
  <c r="M50" i="10"/>
  <c r="M86" i="10" s="1"/>
  <c r="L50" i="10"/>
  <c r="L86" i="10" s="1"/>
  <c r="K50" i="10"/>
  <c r="K86" i="10" s="1"/>
  <c r="J50" i="10"/>
  <c r="J86" i="10" s="1"/>
  <c r="I50" i="10"/>
  <c r="I86" i="10" s="1"/>
  <c r="H50" i="10"/>
  <c r="H86" i="10" s="1"/>
  <c r="G50" i="10"/>
  <c r="G86" i="10" s="1"/>
  <c r="F50" i="10"/>
  <c r="F86" i="10" s="1"/>
  <c r="E50" i="10"/>
  <c r="E86" i="10" s="1"/>
  <c r="D50" i="10"/>
  <c r="D86" i="10" s="1"/>
  <c r="AM49" i="10"/>
  <c r="AM85" i="10" s="1"/>
  <c r="AL49" i="10"/>
  <c r="AL85" i="10" s="1"/>
  <c r="AK49" i="10"/>
  <c r="AK85" i="10" s="1"/>
  <c r="AJ49" i="10"/>
  <c r="AJ85" i="10" s="1"/>
  <c r="AI49" i="10"/>
  <c r="AI85" i="10" s="1"/>
  <c r="AH49" i="10"/>
  <c r="AH85" i="10" s="1"/>
  <c r="AG49" i="10"/>
  <c r="AG85" i="10" s="1"/>
  <c r="AF49" i="10"/>
  <c r="AF85" i="10" s="1"/>
  <c r="AE49" i="10"/>
  <c r="AE85" i="10" s="1"/>
  <c r="AD49" i="10"/>
  <c r="AD85" i="10" s="1"/>
  <c r="Z49" i="10"/>
  <c r="Z85" i="10" s="1"/>
  <c r="Y49" i="10"/>
  <c r="Y85" i="10" s="1"/>
  <c r="X49" i="10"/>
  <c r="X85" i="10" s="1"/>
  <c r="W49" i="10"/>
  <c r="W85" i="10" s="1"/>
  <c r="V49" i="10"/>
  <c r="V85" i="10" s="1"/>
  <c r="U49" i="10"/>
  <c r="U85" i="10" s="1"/>
  <c r="T49" i="10"/>
  <c r="T85" i="10" s="1"/>
  <c r="S49" i="10"/>
  <c r="S85" i="10" s="1"/>
  <c r="R49" i="10"/>
  <c r="R85" i="10" s="1"/>
  <c r="Q49" i="10"/>
  <c r="Q85" i="10" s="1"/>
  <c r="M49" i="10"/>
  <c r="M85" i="10" s="1"/>
  <c r="L49" i="10"/>
  <c r="L85" i="10" s="1"/>
  <c r="K49" i="10"/>
  <c r="K85" i="10" s="1"/>
  <c r="J49" i="10"/>
  <c r="J85" i="10" s="1"/>
  <c r="I49" i="10"/>
  <c r="I85" i="10" s="1"/>
  <c r="H49" i="10"/>
  <c r="H85" i="10" s="1"/>
  <c r="G49" i="10"/>
  <c r="G85" i="10" s="1"/>
  <c r="F49" i="10"/>
  <c r="F85" i="10" s="1"/>
  <c r="E49" i="10"/>
  <c r="E85" i="10" s="1"/>
  <c r="D49" i="10"/>
  <c r="D85" i="10" s="1"/>
  <c r="AM48" i="10"/>
  <c r="AM84" i="10" s="1"/>
  <c r="AL48" i="10"/>
  <c r="AL84" i="10" s="1"/>
  <c r="AK48" i="10"/>
  <c r="AK84" i="10" s="1"/>
  <c r="AJ48" i="10"/>
  <c r="AJ84" i="10" s="1"/>
  <c r="AI48" i="10"/>
  <c r="AI84" i="10" s="1"/>
  <c r="AH48" i="10"/>
  <c r="AH84" i="10" s="1"/>
  <c r="AG48" i="10"/>
  <c r="AG84" i="10" s="1"/>
  <c r="AF48" i="10"/>
  <c r="AF84" i="10" s="1"/>
  <c r="AE48" i="10"/>
  <c r="AE84" i="10" s="1"/>
  <c r="AD48" i="10"/>
  <c r="AD84" i="10" s="1"/>
  <c r="Z48" i="10"/>
  <c r="Z84" i="10" s="1"/>
  <c r="Y48" i="10"/>
  <c r="X48" i="10"/>
  <c r="X84" i="10" s="1"/>
  <c r="W48" i="10"/>
  <c r="W84" i="10" s="1"/>
  <c r="V48" i="10"/>
  <c r="V84" i="10" s="1"/>
  <c r="U48" i="10"/>
  <c r="U84" i="10" s="1"/>
  <c r="T48" i="10"/>
  <c r="T84" i="10" s="1"/>
  <c r="S48" i="10"/>
  <c r="S84" i="10" s="1"/>
  <c r="R48" i="10"/>
  <c r="R84" i="10" s="1"/>
  <c r="Q48" i="10"/>
  <c r="Q84" i="10" s="1"/>
  <c r="M48" i="10"/>
  <c r="M84" i="10" s="1"/>
  <c r="L48" i="10"/>
  <c r="L84" i="10" s="1"/>
  <c r="K48" i="10"/>
  <c r="K84" i="10" s="1"/>
  <c r="J48" i="10"/>
  <c r="J84" i="10" s="1"/>
  <c r="I48" i="10"/>
  <c r="I84" i="10" s="1"/>
  <c r="H48" i="10"/>
  <c r="H84" i="10" s="1"/>
  <c r="G48" i="10"/>
  <c r="G84" i="10" s="1"/>
  <c r="F48" i="10"/>
  <c r="F84" i="10" s="1"/>
  <c r="E48" i="10"/>
  <c r="E84" i="10" s="1"/>
  <c r="D48" i="10"/>
  <c r="D84" i="10" s="1"/>
  <c r="AM47" i="10"/>
  <c r="AM83" i="10" s="1"/>
  <c r="AL47" i="10"/>
  <c r="AL83" i="10" s="1"/>
  <c r="AK47" i="10"/>
  <c r="AK83" i="10" s="1"/>
  <c r="AJ47" i="10"/>
  <c r="AJ83" i="10" s="1"/>
  <c r="AI47" i="10"/>
  <c r="AI83" i="10" s="1"/>
  <c r="AH47" i="10"/>
  <c r="AH83" i="10" s="1"/>
  <c r="AG47" i="10"/>
  <c r="AF47" i="10"/>
  <c r="AF83" i="10" s="1"/>
  <c r="AE47" i="10"/>
  <c r="AE83" i="10" s="1"/>
  <c r="AD47" i="10"/>
  <c r="AD83" i="10" s="1"/>
  <c r="Z47" i="10"/>
  <c r="Z83" i="10" s="1"/>
  <c r="Y47" i="10"/>
  <c r="Y83" i="10" s="1"/>
  <c r="X47" i="10"/>
  <c r="X83" i="10" s="1"/>
  <c r="W47" i="10"/>
  <c r="W83" i="10" s="1"/>
  <c r="V47" i="10"/>
  <c r="V83" i="10" s="1"/>
  <c r="U47" i="10"/>
  <c r="U83" i="10" s="1"/>
  <c r="T47" i="10"/>
  <c r="T83" i="10" s="1"/>
  <c r="S47" i="10"/>
  <c r="S83" i="10" s="1"/>
  <c r="R47" i="10"/>
  <c r="R83" i="10" s="1"/>
  <c r="Q47" i="10"/>
  <c r="Q83" i="10" s="1"/>
  <c r="M47" i="10"/>
  <c r="M83" i="10" s="1"/>
  <c r="L47" i="10"/>
  <c r="L83" i="10" s="1"/>
  <c r="K47" i="10"/>
  <c r="K83" i="10" s="1"/>
  <c r="J47" i="10"/>
  <c r="J83" i="10" s="1"/>
  <c r="I47" i="10"/>
  <c r="I83" i="10" s="1"/>
  <c r="H47" i="10"/>
  <c r="H83" i="10" s="1"/>
  <c r="G47" i="10"/>
  <c r="G83" i="10" s="1"/>
  <c r="F47" i="10"/>
  <c r="F83" i="10" s="1"/>
  <c r="E47" i="10"/>
  <c r="E83" i="10" s="1"/>
  <c r="D47" i="10"/>
  <c r="D83" i="10" s="1"/>
  <c r="AM46" i="10"/>
  <c r="AM82" i="10" s="1"/>
  <c r="AL46" i="10"/>
  <c r="AL82" i="10" s="1"/>
  <c r="AK46" i="10"/>
  <c r="AK82" i="10" s="1"/>
  <c r="AJ46" i="10"/>
  <c r="AJ82" i="10" s="1"/>
  <c r="AI46" i="10"/>
  <c r="AI82" i="10" s="1"/>
  <c r="AH46" i="10"/>
  <c r="AH82" i="10" s="1"/>
  <c r="AG46" i="10"/>
  <c r="AG82" i="10" s="1"/>
  <c r="AF46" i="10"/>
  <c r="AF82" i="10" s="1"/>
  <c r="AE46" i="10"/>
  <c r="AE82" i="10" s="1"/>
  <c r="AD46" i="10"/>
  <c r="AD82" i="10" s="1"/>
  <c r="Z46" i="10"/>
  <c r="Z82" i="10" s="1"/>
  <c r="Y46" i="10"/>
  <c r="Y82" i="10" s="1"/>
  <c r="X46" i="10"/>
  <c r="X82" i="10" s="1"/>
  <c r="W46" i="10"/>
  <c r="W82" i="10" s="1"/>
  <c r="V46" i="10"/>
  <c r="V82" i="10" s="1"/>
  <c r="U46" i="10"/>
  <c r="U82" i="10" s="1"/>
  <c r="T46" i="10"/>
  <c r="T82" i="10" s="1"/>
  <c r="S46" i="10"/>
  <c r="S82" i="10" s="1"/>
  <c r="R46" i="10"/>
  <c r="R82" i="10" s="1"/>
  <c r="Q46" i="10"/>
  <c r="Q82" i="10" s="1"/>
  <c r="M46" i="10"/>
  <c r="M82" i="10" s="1"/>
  <c r="L46" i="10"/>
  <c r="L82" i="10" s="1"/>
  <c r="K46" i="10"/>
  <c r="K82" i="10" s="1"/>
  <c r="J46" i="10"/>
  <c r="J82" i="10" s="1"/>
  <c r="I46" i="10"/>
  <c r="I82" i="10" s="1"/>
  <c r="H46" i="10"/>
  <c r="H82" i="10" s="1"/>
  <c r="G46" i="10"/>
  <c r="G82" i="10" s="1"/>
  <c r="F46" i="10"/>
  <c r="F82" i="10" s="1"/>
  <c r="E46" i="10"/>
  <c r="E82" i="10" s="1"/>
  <c r="D46" i="10"/>
  <c r="D82" i="10" s="1"/>
  <c r="AM45" i="10"/>
  <c r="AM81" i="10" s="1"/>
  <c r="AL45" i="10"/>
  <c r="AL81" i="10" s="1"/>
  <c r="AK45" i="10"/>
  <c r="AK81" i="10" s="1"/>
  <c r="AJ45" i="10"/>
  <c r="AJ81" i="10" s="1"/>
  <c r="AI45" i="10"/>
  <c r="AI81" i="10" s="1"/>
  <c r="AH45" i="10"/>
  <c r="AH81" i="10" s="1"/>
  <c r="AG45" i="10"/>
  <c r="AG81" i="10" s="1"/>
  <c r="AF45" i="10"/>
  <c r="AF81" i="10" s="1"/>
  <c r="AE45" i="10"/>
  <c r="AE81" i="10" s="1"/>
  <c r="AD45" i="10"/>
  <c r="AD81" i="10" s="1"/>
  <c r="Z45" i="10"/>
  <c r="Z81" i="10" s="1"/>
  <c r="Y45" i="10"/>
  <c r="Y81" i="10" s="1"/>
  <c r="X45" i="10"/>
  <c r="X81" i="10" s="1"/>
  <c r="W45" i="10"/>
  <c r="W81" i="10" s="1"/>
  <c r="V45" i="10"/>
  <c r="V81" i="10" s="1"/>
  <c r="U45" i="10"/>
  <c r="U81" i="10" s="1"/>
  <c r="T45" i="10"/>
  <c r="T81" i="10" s="1"/>
  <c r="S45" i="10"/>
  <c r="S81" i="10" s="1"/>
  <c r="R45" i="10"/>
  <c r="R81" i="10" s="1"/>
  <c r="Q45" i="10"/>
  <c r="Q81" i="10" s="1"/>
  <c r="M45" i="10"/>
  <c r="M81" i="10" s="1"/>
  <c r="L45" i="10"/>
  <c r="L81" i="10" s="1"/>
  <c r="K45" i="10"/>
  <c r="K81" i="10" s="1"/>
  <c r="J45" i="10"/>
  <c r="J81" i="10" s="1"/>
  <c r="I45" i="10"/>
  <c r="I81" i="10" s="1"/>
  <c r="H45" i="10"/>
  <c r="H81" i="10" s="1"/>
  <c r="G45" i="10"/>
  <c r="G81" i="10" s="1"/>
  <c r="F45" i="10"/>
  <c r="F81" i="10" s="1"/>
  <c r="E45" i="10"/>
  <c r="E81" i="10" s="1"/>
  <c r="D45" i="10"/>
  <c r="D81" i="10" s="1"/>
  <c r="AM44" i="10"/>
  <c r="AM80" i="10" s="1"/>
  <c r="AL44" i="10"/>
  <c r="AL80" i="10" s="1"/>
  <c r="AK44" i="10"/>
  <c r="AK80" i="10" s="1"/>
  <c r="AJ44" i="10"/>
  <c r="AJ80" i="10" s="1"/>
  <c r="AI44" i="10"/>
  <c r="AI80" i="10" s="1"/>
  <c r="AH44" i="10"/>
  <c r="AH80" i="10" s="1"/>
  <c r="AG44" i="10"/>
  <c r="AG80" i="10" s="1"/>
  <c r="AF44" i="10"/>
  <c r="AF80" i="10" s="1"/>
  <c r="AE44" i="10"/>
  <c r="AE80" i="10" s="1"/>
  <c r="AD44" i="10"/>
  <c r="AD80" i="10" s="1"/>
  <c r="Z44" i="10"/>
  <c r="Z80" i="10" s="1"/>
  <c r="Y44" i="10"/>
  <c r="Y80" i="10" s="1"/>
  <c r="X44" i="10"/>
  <c r="X80" i="10" s="1"/>
  <c r="W44" i="10"/>
  <c r="W80" i="10" s="1"/>
  <c r="V44" i="10"/>
  <c r="V80" i="10" s="1"/>
  <c r="U44" i="10"/>
  <c r="U80" i="10" s="1"/>
  <c r="T44" i="10"/>
  <c r="T80" i="10" s="1"/>
  <c r="S44" i="10"/>
  <c r="S80" i="10" s="1"/>
  <c r="R44" i="10"/>
  <c r="R80" i="10" s="1"/>
  <c r="Q44" i="10"/>
  <c r="Q80" i="10" s="1"/>
  <c r="M44" i="10"/>
  <c r="M80" i="10" s="1"/>
  <c r="L44" i="10"/>
  <c r="L80" i="10" s="1"/>
  <c r="K44" i="10"/>
  <c r="K80" i="10" s="1"/>
  <c r="J44" i="10"/>
  <c r="J80" i="10" s="1"/>
  <c r="I44" i="10"/>
  <c r="I80" i="10" s="1"/>
  <c r="H44" i="10"/>
  <c r="H80" i="10" s="1"/>
  <c r="G44" i="10"/>
  <c r="G80" i="10" s="1"/>
  <c r="F44" i="10"/>
  <c r="F80" i="10" s="1"/>
  <c r="E44" i="10"/>
  <c r="E80" i="10" s="1"/>
  <c r="D44" i="10"/>
  <c r="D80" i="10" s="1"/>
  <c r="Z43" i="10"/>
  <c r="AM37" i="10"/>
  <c r="AM43" i="10" s="1"/>
  <c r="AL37" i="10"/>
  <c r="AL43" i="10" s="1"/>
  <c r="AK37" i="10"/>
  <c r="AK43" i="10" s="1"/>
  <c r="AJ37" i="10"/>
  <c r="AJ43" i="10" s="1"/>
  <c r="AI37" i="10"/>
  <c r="AI43" i="10" s="1"/>
  <c r="AH37" i="10"/>
  <c r="AH43" i="10" s="1"/>
  <c r="AG37" i="10"/>
  <c r="AG43" i="10" s="1"/>
  <c r="AF37" i="10"/>
  <c r="AF43" i="10" s="1"/>
  <c r="AE37" i="10"/>
  <c r="AE43" i="10" s="1"/>
  <c r="AD37" i="10"/>
  <c r="AD43" i="10" s="1"/>
  <c r="Z37" i="10"/>
  <c r="Y37" i="10"/>
  <c r="Y43" i="10" s="1"/>
  <c r="X37" i="10"/>
  <c r="X43" i="10" s="1"/>
  <c r="W37" i="10"/>
  <c r="W43" i="10" s="1"/>
  <c r="V37" i="10"/>
  <c r="V43" i="10" s="1"/>
  <c r="U37" i="10"/>
  <c r="U43" i="10" s="1"/>
  <c r="T37" i="10"/>
  <c r="T43" i="10" s="1"/>
  <c r="S37" i="10"/>
  <c r="S43" i="10" s="1"/>
  <c r="R37" i="10"/>
  <c r="R43" i="10" s="1"/>
  <c r="Q37" i="10"/>
  <c r="Q43" i="10" s="1"/>
  <c r="M37" i="10"/>
  <c r="M43" i="10" s="1"/>
  <c r="L37" i="10"/>
  <c r="L43" i="10" s="1"/>
  <c r="K37" i="10"/>
  <c r="K43" i="10" s="1"/>
  <c r="J37" i="10"/>
  <c r="J43" i="10" s="1"/>
  <c r="I37" i="10"/>
  <c r="I43" i="10" s="1"/>
  <c r="H37" i="10"/>
  <c r="H43" i="10" s="1"/>
  <c r="G37" i="10"/>
  <c r="G43" i="10" s="1"/>
  <c r="F37" i="10"/>
  <c r="F43" i="10" s="1"/>
  <c r="E37" i="10"/>
  <c r="E43" i="10" s="1"/>
  <c r="D37" i="10"/>
  <c r="D43" i="10" s="1"/>
  <c r="AM36" i="10"/>
  <c r="AL36" i="10"/>
  <c r="AK36" i="10"/>
  <c r="AJ36" i="10"/>
  <c r="AI36" i="10"/>
  <c r="AH36" i="10"/>
  <c r="AG36" i="10"/>
  <c r="AF36" i="10"/>
  <c r="AE36" i="10"/>
  <c r="AD36" i="10"/>
  <c r="Z36" i="10"/>
  <c r="Y36" i="10"/>
  <c r="X36" i="10"/>
  <c r="W36" i="10"/>
  <c r="V36" i="10"/>
  <c r="U36" i="10"/>
  <c r="T36" i="10"/>
  <c r="S36" i="10"/>
  <c r="R36" i="10"/>
  <c r="Q36" i="10"/>
  <c r="M36" i="10"/>
  <c r="L36" i="10"/>
  <c r="K36" i="10"/>
  <c r="J36" i="10"/>
  <c r="I36" i="10"/>
  <c r="H36" i="10"/>
  <c r="G36" i="10"/>
  <c r="F36" i="10"/>
  <c r="E36" i="10"/>
  <c r="D36" i="10"/>
  <c r="AM35" i="10"/>
  <c r="AL35" i="10"/>
  <c r="AK35" i="10"/>
  <c r="AJ35" i="10"/>
  <c r="AI35" i="10"/>
  <c r="AH35" i="10"/>
  <c r="AG35" i="10"/>
  <c r="AF35" i="10"/>
  <c r="AE35" i="10"/>
  <c r="AD35" i="10"/>
  <c r="Z35" i="10"/>
  <c r="Y35" i="10"/>
  <c r="X35" i="10"/>
  <c r="W35" i="10"/>
  <c r="V35" i="10"/>
  <c r="U35" i="10"/>
  <c r="T35" i="10"/>
  <c r="S35" i="10"/>
  <c r="R35" i="10"/>
  <c r="Q35" i="10"/>
  <c r="M35" i="10"/>
  <c r="L35" i="10"/>
  <c r="K35" i="10"/>
  <c r="J35" i="10"/>
  <c r="I35" i="10"/>
  <c r="H35" i="10"/>
  <c r="G35" i="10"/>
  <c r="F35" i="10"/>
  <c r="E35" i="10"/>
  <c r="D35" i="10"/>
  <c r="AM34" i="10"/>
  <c r="AL34" i="10"/>
  <c r="AK34" i="10"/>
  <c r="AJ34" i="10"/>
  <c r="AI34" i="10"/>
  <c r="AH34" i="10"/>
  <c r="AG34" i="10"/>
  <c r="AF34" i="10"/>
  <c r="AE34" i="10"/>
  <c r="AD34" i="10"/>
  <c r="Z34" i="10"/>
  <c r="Y34" i="10"/>
  <c r="X34" i="10"/>
  <c r="W34" i="10"/>
  <c r="V34" i="10"/>
  <c r="U34" i="10"/>
  <c r="T34" i="10"/>
  <c r="S34" i="10"/>
  <c r="R34" i="10"/>
  <c r="Q34" i="10"/>
  <c r="M34" i="10"/>
  <c r="L34" i="10"/>
  <c r="K34" i="10"/>
  <c r="J34" i="10"/>
  <c r="I34" i="10"/>
  <c r="H34" i="10"/>
  <c r="G34" i="10"/>
  <c r="F34" i="10"/>
  <c r="E34" i="10"/>
  <c r="D34" i="10"/>
  <c r="AM33" i="10"/>
  <c r="AL33" i="10"/>
  <c r="AK33" i="10"/>
  <c r="AJ33" i="10"/>
  <c r="AI33" i="10"/>
  <c r="AH33" i="10"/>
  <c r="AG33" i="10"/>
  <c r="AF33" i="10"/>
  <c r="AE33" i="10"/>
  <c r="AD33" i="10"/>
  <c r="Z33" i="10"/>
  <c r="Y33" i="10"/>
  <c r="X33" i="10"/>
  <c r="W33" i="10"/>
  <c r="V33" i="10"/>
  <c r="U33" i="10"/>
  <c r="T33" i="10"/>
  <c r="S33" i="10"/>
  <c r="R33" i="10"/>
  <c r="Q33" i="10"/>
  <c r="M33" i="10"/>
  <c r="L33" i="10"/>
  <c r="K33" i="10"/>
  <c r="J33" i="10"/>
  <c r="I33" i="10"/>
  <c r="H33" i="10"/>
  <c r="G33" i="10"/>
  <c r="F33" i="10"/>
  <c r="E33" i="10"/>
  <c r="D33" i="10"/>
  <c r="AM32" i="10"/>
  <c r="AL32" i="10"/>
  <c r="AK32" i="10"/>
  <c r="AJ32" i="10"/>
  <c r="AI32" i="10"/>
  <c r="AH32" i="10"/>
  <c r="AG32" i="10"/>
  <c r="AF32" i="10"/>
  <c r="AE32" i="10"/>
  <c r="AD32" i="10"/>
  <c r="Z32" i="10"/>
  <c r="Y32" i="10"/>
  <c r="X32" i="10"/>
  <c r="W32" i="10"/>
  <c r="V32" i="10"/>
  <c r="U32" i="10"/>
  <c r="T32" i="10"/>
  <c r="S32" i="10"/>
  <c r="R32" i="10"/>
  <c r="Q32" i="10"/>
  <c r="M32" i="10"/>
  <c r="L32" i="10"/>
  <c r="K32" i="10"/>
  <c r="J32" i="10"/>
  <c r="I32" i="10"/>
  <c r="H32" i="10"/>
  <c r="G32" i="10"/>
  <c r="F32" i="10"/>
  <c r="E32" i="10"/>
  <c r="D32" i="10"/>
  <c r="AM31" i="10"/>
  <c r="AL31" i="10"/>
  <c r="AK31" i="10"/>
  <c r="AK40" i="10" s="1"/>
  <c r="AK61" i="10" s="1"/>
  <c r="AK63" i="10" s="1"/>
  <c r="AJ31" i="10"/>
  <c r="AJ40" i="10" s="1"/>
  <c r="AJ61" i="10" s="1"/>
  <c r="AJ63" i="10" s="1"/>
  <c r="AI31" i="10"/>
  <c r="AI40" i="10" s="1"/>
  <c r="AI61" i="10" s="1"/>
  <c r="AI63" i="10" s="1"/>
  <c r="AH31" i="10"/>
  <c r="AH40" i="10" s="1"/>
  <c r="AH61" i="10" s="1"/>
  <c r="AH63" i="10" s="1"/>
  <c r="AG31" i="10"/>
  <c r="AG40" i="10" s="1"/>
  <c r="AG61" i="10" s="1"/>
  <c r="AG63" i="10" s="1"/>
  <c r="AF31" i="10"/>
  <c r="AF40" i="10" s="1"/>
  <c r="AF61" i="10" s="1"/>
  <c r="AF63" i="10" s="1"/>
  <c r="AE31" i="10"/>
  <c r="AE40" i="10" s="1"/>
  <c r="AE61" i="10" s="1"/>
  <c r="AE63" i="10" s="1"/>
  <c r="AD31" i="10"/>
  <c r="AD40" i="10" s="1"/>
  <c r="AD61" i="10" s="1"/>
  <c r="AD63" i="10" s="1"/>
  <c r="Z31" i="10"/>
  <c r="Y31" i="10"/>
  <c r="X31" i="10"/>
  <c r="X40" i="10" s="1"/>
  <c r="X61" i="10" s="1"/>
  <c r="X63" i="10" s="1"/>
  <c r="W31" i="10"/>
  <c r="W40" i="10" s="1"/>
  <c r="W61" i="10" s="1"/>
  <c r="W63" i="10" s="1"/>
  <c r="V31" i="10"/>
  <c r="V40" i="10" s="1"/>
  <c r="V61" i="10" s="1"/>
  <c r="V63" i="10" s="1"/>
  <c r="U31" i="10"/>
  <c r="U40" i="10" s="1"/>
  <c r="U61" i="10" s="1"/>
  <c r="U63" i="10" s="1"/>
  <c r="T31" i="10"/>
  <c r="T40" i="10" s="1"/>
  <c r="T61" i="10" s="1"/>
  <c r="T63" i="10" s="1"/>
  <c r="S31" i="10"/>
  <c r="S40" i="10" s="1"/>
  <c r="S61" i="10" s="1"/>
  <c r="S63" i="10" s="1"/>
  <c r="R31" i="10"/>
  <c r="R40" i="10" s="1"/>
  <c r="R61" i="10" s="1"/>
  <c r="R63" i="10" s="1"/>
  <c r="Q31" i="10"/>
  <c r="Q40" i="10" s="1"/>
  <c r="Q61" i="10" s="1"/>
  <c r="Q63" i="10" s="1"/>
  <c r="M31" i="10"/>
  <c r="L31" i="10"/>
  <c r="K31" i="10"/>
  <c r="K40" i="10" s="1"/>
  <c r="K61" i="10" s="1"/>
  <c r="K63" i="10" s="1"/>
  <c r="J31" i="10"/>
  <c r="J40" i="10" s="1"/>
  <c r="J61" i="10" s="1"/>
  <c r="J63" i="10" s="1"/>
  <c r="I31" i="10"/>
  <c r="I40" i="10" s="1"/>
  <c r="I61" i="10" s="1"/>
  <c r="I63" i="10" s="1"/>
  <c r="H31" i="10"/>
  <c r="H40" i="10" s="1"/>
  <c r="H61" i="10" s="1"/>
  <c r="H63" i="10" s="1"/>
  <c r="G31" i="10"/>
  <c r="G40" i="10" s="1"/>
  <c r="G61" i="10" s="1"/>
  <c r="G63" i="10" s="1"/>
  <c r="F31" i="10"/>
  <c r="F40" i="10" s="1"/>
  <c r="F61" i="10" s="1"/>
  <c r="F63" i="10" s="1"/>
  <c r="E31" i="10"/>
  <c r="E40" i="10" s="1"/>
  <c r="E61" i="10" s="1"/>
  <c r="E63" i="10" s="1"/>
  <c r="D31" i="10"/>
  <c r="D40" i="10" s="1"/>
  <c r="D61" i="10" s="1"/>
  <c r="D63" i="10" s="1"/>
  <c r="AM30" i="10"/>
  <c r="AL30" i="10"/>
  <c r="AK30" i="10"/>
  <c r="AJ30" i="10"/>
  <c r="AI30" i="10"/>
  <c r="AH30" i="10"/>
  <c r="AG30" i="10"/>
  <c r="AF30" i="10"/>
  <c r="AE30" i="10"/>
  <c r="AD30" i="10"/>
  <c r="Z30" i="10"/>
  <c r="Y30" i="10"/>
  <c r="X30" i="10"/>
  <c r="W30" i="10"/>
  <c r="V30" i="10"/>
  <c r="U30" i="10"/>
  <c r="T30" i="10"/>
  <c r="S30" i="10"/>
  <c r="R30" i="10"/>
  <c r="Q30" i="10"/>
  <c r="M30" i="10"/>
  <c r="L30" i="10"/>
  <c r="K30" i="10"/>
  <c r="J30" i="10"/>
  <c r="I30" i="10"/>
  <c r="H30" i="10"/>
  <c r="G30" i="10"/>
  <c r="F30" i="10"/>
  <c r="E30" i="10"/>
  <c r="D30" i="10"/>
  <c r="AM29" i="10"/>
  <c r="AL29" i="10"/>
  <c r="AK29" i="10"/>
  <c r="AJ29" i="10"/>
  <c r="AI29" i="10"/>
  <c r="AH29" i="10"/>
  <c r="AG29" i="10"/>
  <c r="AF29" i="10"/>
  <c r="AE29" i="10"/>
  <c r="AD29" i="10"/>
  <c r="Z29" i="10"/>
  <c r="Y29" i="10"/>
  <c r="X29" i="10"/>
  <c r="W29" i="10"/>
  <c r="V29" i="10"/>
  <c r="U29" i="10"/>
  <c r="T29" i="10"/>
  <c r="S29" i="10"/>
  <c r="R29" i="10"/>
  <c r="Q29" i="10"/>
  <c r="M29" i="10"/>
  <c r="L29" i="10"/>
  <c r="K29" i="10"/>
  <c r="J29" i="10"/>
  <c r="I29" i="10"/>
  <c r="H29" i="10"/>
  <c r="G29" i="10"/>
  <c r="F29" i="10"/>
  <c r="E29" i="10"/>
  <c r="D29" i="10"/>
  <c r="AM28" i="10"/>
  <c r="AL28" i="10"/>
  <c r="AK28" i="10"/>
  <c r="AJ28" i="10"/>
  <c r="AI28" i="10"/>
  <c r="AH28" i="10"/>
  <c r="AG28" i="10"/>
  <c r="AF28" i="10"/>
  <c r="AE28" i="10"/>
  <c r="AD28" i="10"/>
  <c r="Z28" i="10"/>
  <c r="Y28" i="10"/>
  <c r="X28" i="10"/>
  <c r="W28" i="10"/>
  <c r="V28" i="10"/>
  <c r="U28" i="10"/>
  <c r="T28" i="10"/>
  <c r="S28" i="10"/>
  <c r="R28" i="10"/>
  <c r="Q28" i="10"/>
  <c r="M28" i="10"/>
  <c r="L28" i="10"/>
  <c r="K28" i="10"/>
  <c r="J28" i="10"/>
  <c r="I28" i="10"/>
  <c r="H28" i="10"/>
  <c r="G28" i="10"/>
  <c r="F28" i="10"/>
  <c r="E28" i="10"/>
  <c r="D28" i="10"/>
  <c r="AM27" i="10"/>
  <c r="AL27" i="10"/>
  <c r="AK27" i="10"/>
  <c r="AJ27" i="10"/>
  <c r="AI27" i="10"/>
  <c r="AH27" i="10"/>
  <c r="AG27" i="10"/>
  <c r="AF27" i="10"/>
  <c r="AE27" i="10"/>
  <c r="AD27" i="10"/>
  <c r="Z27" i="10"/>
  <c r="Y27" i="10"/>
  <c r="X27" i="10"/>
  <c r="W27" i="10"/>
  <c r="V27" i="10"/>
  <c r="U27" i="10"/>
  <c r="T27" i="10"/>
  <c r="S27" i="10"/>
  <c r="R27" i="10"/>
  <c r="Q27" i="10"/>
  <c r="M27" i="10"/>
  <c r="L27" i="10"/>
  <c r="K27" i="10"/>
  <c r="J27" i="10"/>
  <c r="I27" i="10"/>
  <c r="H27" i="10"/>
  <c r="G27" i="10"/>
  <c r="F27" i="10"/>
  <c r="E27" i="10"/>
  <c r="D27" i="10"/>
  <c r="AM26" i="10"/>
  <c r="AL26" i="10"/>
  <c r="AK26" i="10"/>
  <c r="AJ26" i="10"/>
  <c r="AI26" i="10"/>
  <c r="AH26" i="10"/>
  <c r="AG26" i="10"/>
  <c r="AF26" i="10"/>
  <c r="AE26" i="10"/>
  <c r="AD26" i="10"/>
  <c r="Z26" i="10"/>
  <c r="Y26" i="10"/>
  <c r="X26" i="10"/>
  <c r="W26" i="10"/>
  <c r="V26" i="10"/>
  <c r="U26" i="10"/>
  <c r="T26" i="10"/>
  <c r="S26" i="10"/>
  <c r="R26" i="10"/>
  <c r="Q26" i="10"/>
  <c r="M26" i="10"/>
  <c r="L26" i="10"/>
  <c r="K26" i="10"/>
  <c r="J26" i="10"/>
  <c r="I26" i="10"/>
  <c r="H26" i="10"/>
  <c r="G26" i="10"/>
  <c r="F26" i="10"/>
  <c r="E26" i="10"/>
  <c r="D26" i="10"/>
  <c r="AM25" i="10"/>
  <c r="AL25" i="10"/>
  <c r="AK25" i="10"/>
  <c r="AJ25" i="10"/>
  <c r="AI25" i="10"/>
  <c r="AH25" i="10"/>
  <c r="AG25" i="10"/>
  <c r="AF25" i="10"/>
  <c r="AE25" i="10"/>
  <c r="AD25" i="10"/>
  <c r="Z25" i="10"/>
  <c r="Y25" i="10"/>
  <c r="X25" i="10"/>
  <c r="W25" i="10"/>
  <c r="V25" i="10"/>
  <c r="U25" i="10"/>
  <c r="T25" i="10"/>
  <c r="S25" i="10"/>
  <c r="R25" i="10"/>
  <c r="Q25" i="10"/>
  <c r="M25" i="10"/>
  <c r="L25" i="10"/>
  <c r="K25" i="10"/>
  <c r="J25" i="10"/>
  <c r="I25" i="10"/>
  <c r="H25" i="10"/>
  <c r="G25" i="10"/>
  <c r="F25" i="10"/>
  <c r="E25" i="10"/>
  <c r="D25" i="10"/>
  <c r="D31" i="4" l="1"/>
  <c r="C31" i="4"/>
  <c r="B31" i="4"/>
  <c r="E30" i="4"/>
  <c r="E29" i="4"/>
  <c r="E28" i="4"/>
  <c r="E27" i="4"/>
  <c r="E26" i="4"/>
  <c r="E25" i="4"/>
  <c r="E24" i="4"/>
  <c r="E31" i="4" s="1"/>
  <c r="D19" i="4"/>
  <c r="C19" i="4"/>
  <c r="B19" i="4"/>
  <c r="E18" i="4"/>
  <c r="E17" i="4"/>
  <c r="E16" i="4"/>
  <c r="E15" i="4"/>
  <c r="E14" i="4"/>
  <c r="D10" i="4"/>
  <c r="C10" i="4"/>
  <c r="B10" i="4"/>
  <c r="E9" i="4"/>
  <c r="E8" i="4"/>
  <c r="E7" i="4"/>
  <c r="E6" i="4"/>
  <c r="E5" i="4"/>
  <c r="E10" i="4" l="1"/>
  <c r="E19" i="4"/>
  <c r="H11" i="3"/>
  <c r="H18" i="3"/>
  <c r="F9" i="3"/>
  <c r="F8" i="3"/>
  <c r="F7" i="3"/>
  <c r="F16" i="3"/>
  <c r="F15" i="3"/>
  <c r="F11" i="3" l="1"/>
  <c r="G9" i="3" s="1"/>
  <c r="F18" i="3"/>
  <c r="G16" i="3" s="1"/>
  <c r="G7" i="3" l="1"/>
  <c r="G8" i="3"/>
  <c r="G15" i="3"/>
</calcChain>
</file>

<file path=xl/sharedStrings.xml><?xml version="1.0" encoding="utf-8"?>
<sst xmlns="http://schemas.openxmlformats.org/spreadsheetml/2006/main" count="1229" uniqueCount="378">
  <si>
    <t>Eucalyptus</t>
  </si>
  <si>
    <t>Poplar</t>
  </si>
  <si>
    <t>Spruce</t>
  </si>
  <si>
    <t>ia, b</t>
  </si>
  <si>
    <t>ic</t>
  </si>
  <si>
    <t>sf</t>
  </si>
  <si>
    <t>sg</t>
  </si>
  <si>
    <t>Xn2f</t>
  </si>
  <si>
    <t>Xn3f</t>
  </si>
  <si>
    <t>Xn</t>
  </si>
  <si>
    <t>GlcAa</t>
  </si>
  <si>
    <t>GlcAb</t>
  </si>
  <si>
    <t>GlcAc</t>
  </si>
  <si>
    <t>Ara</t>
  </si>
  <si>
    <t>Spin Pairs</t>
  </si>
  <si>
    <t>i5a,b</t>
  </si>
  <si>
    <t>i6a,b</t>
  </si>
  <si>
    <t>Average</t>
  </si>
  <si>
    <t>Xn4</t>
  </si>
  <si>
    <t>Xn5</t>
  </si>
  <si>
    <t>Xn4 2f</t>
  </si>
  <si>
    <t>Xn5 2f</t>
  </si>
  <si>
    <t>Xn4 3f</t>
  </si>
  <si>
    <t>Xn5 3f</t>
  </si>
  <si>
    <t>s6f</t>
  </si>
  <si>
    <t>s5f</t>
  </si>
  <si>
    <t>s6g</t>
  </si>
  <si>
    <t>s5g</t>
  </si>
  <si>
    <t>x</t>
  </si>
  <si>
    <t>x4</t>
  </si>
  <si>
    <t>x5</t>
  </si>
  <si>
    <t>A1</t>
  </si>
  <si>
    <t>A2</t>
  </si>
  <si>
    <t>GlcA1 a</t>
  </si>
  <si>
    <t>GlcA2 a</t>
  </si>
  <si>
    <t>AcCo</t>
  </si>
  <si>
    <t>AcMe</t>
  </si>
  <si>
    <t>Acetyl</t>
  </si>
  <si>
    <t>molecule</t>
  </si>
  <si>
    <t>M1</t>
  </si>
  <si>
    <t>M2</t>
  </si>
  <si>
    <t>M1 Ac</t>
  </si>
  <si>
    <t>M2 Ac</t>
  </si>
  <si>
    <t>Abs. Area</t>
  </si>
  <si>
    <t>SUM</t>
  </si>
  <si>
    <t>Molar Fraction</t>
  </si>
  <si>
    <t>surface cellulose</t>
  </si>
  <si>
    <t>interior cellulose</t>
  </si>
  <si>
    <t>xylan backbone</t>
  </si>
  <si>
    <t>Xylan sidechain</t>
  </si>
  <si>
    <t>XyG sidechain</t>
  </si>
  <si>
    <t>Man</t>
  </si>
  <si>
    <t>Mannan</t>
  </si>
  <si>
    <t>Integral [abs]</t>
  </si>
  <si>
    <t>Integral [rel]</t>
  </si>
  <si>
    <t>Total</t>
  </si>
  <si>
    <t>ν1</t>
  </si>
  <si>
    <t>ν2</t>
  </si>
  <si>
    <t>S3/5-S4</t>
  </si>
  <si>
    <t>G3-G4</t>
  </si>
  <si>
    <t>S'3/5-S'2/6</t>
  </si>
  <si>
    <t>Fig. 1e, Composition of carbohydrates in the cell wall</t>
  </si>
  <si>
    <t>Type</t>
  </si>
  <si>
    <t>Strong restraints</t>
  </si>
  <si>
    <t>Medium restraints</t>
  </si>
  <si>
    <t>Weak restraints</t>
  </si>
  <si>
    <t>lignin-lignin</t>
  </si>
  <si>
    <t>Sum</t>
  </si>
  <si>
    <t>cellulose-xylan</t>
  </si>
  <si>
    <t>cellulose-lignin</t>
  </si>
  <si>
    <t>xylan-lignin</t>
  </si>
  <si>
    <t>mixed sugar-lignin</t>
  </si>
  <si>
    <t>mannan-lignin</t>
  </si>
  <si>
    <t>mannan-xylan</t>
  </si>
  <si>
    <t>Fig. 2d, Composition of Lignin Units</t>
  </si>
  <si>
    <t>i4-1</t>
  </si>
  <si>
    <t>i4-3</t>
  </si>
  <si>
    <t>i4-2/5</t>
  </si>
  <si>
    <t>i6-1</t>
  </si>
  <si>
    <t>i6-4</t>
  </si>
  <si>
    <t>i6-3</t>
  </si>
  <si>
    <t>i6-2/5</t>
  </si>
  <si>
    <t>s4-1</t>
  </si>
  <si>
    <t>s4-3/5</t>
  </si>
  <si>
    <t>s4-3</t>
  </si>
  <si>
    <t>s4-2</t>
  </si>
  <si>
    <t>s4-2/5</t>
  </si>
  <si>
    <t>s4-6</t>
  </si>
  <si>
    <r>
      <t>Xn</t>
    </r>
    <r>
      <rPr>
        <vertAlign val="superscript"/>
        <sz val="10"/>
        <rFont val="Times New Roman"/>
        <family val="1"/>
      </rPr>
      <t>2f</t>
    </r>
    <r>
      <rPr>
        <sz val="10"/>
        <rFont val="Times New Roman"/>
        <family val="1"/>
      </rPr>
      <t>4-1</t>
    </r>
  </si>
  <si>
    <r>
      <t>Xn</t>
    </r>
    <r>
      <rPr>
        <vertAlign val="superscript"/>
        <sz val="10"/>
        <rFont val="Times New Roman"/>
        <family val="1"/>
      </rPr>
      <t>2f</t>
    </r>
    <r>
      <rPr>
        <sz val="10"/>
        <rFont val="Times New Roman"/>
        <family val="1"/>
      </rPr>
      <t>4-3</t>
    </r>
  </si>
  <si>
    <t>Xn2f4-2</t>
  </si>
  <si>
    <r>
      <t>Xn</t>
    </r>
    <r>
      <rPr>
        <vertAlign val="superscript"/>
        <sz val="10"/>
        <rFont val="Times New Roman"/>
        <family val="1"/>
      </rPr>
      <t>2f</t>
    </r>
    <r>
      <rPr>
        <sz val="10"/>
        <rFont val="Times New Roman"/>
        <family val="1"/>
      </rPr>
      <t>4-2</t>
    </r>
  </si>
  <si>
    <r>
      <t>Xn</t>
    </r>
    <r>
      <rPr>
        <vertAlign val="superscript"/>
        <sz val="10"/>
        <rFont val="Times New Roman"/>
        <family val="1"/>
      </rPr>
      <t>2f</t>
    </r>
    <r>
      <rPr>
        <sz val="10"/>
        <rFont val="Times New Roman"/>
        <family val="1"/>
      </rPr>
      <t>4-5</t>
    </r>
  </si>
  <si>
    <t>Xn2f4-5</t>
  </si>
  <si>
    <t>Xn3f2/3-1</t>
  </si>
  <si>
    <r>
      <t>Xn</t>
    </r>
    <r>
      <rPr>
        <vertAlign val="superscript"/>
        <sz val="10"/>
        <rFont val="Times New Roman"/>
        <family val="1"/>
      </rPr>
      <t>3f</t>
    </r>
    <r>
      <rPr>
        <sz val="10"/>
        <rFont val="Times New Roman"/>
        <family val="1"/>
      </rPr>
      <t>2/3-1</t>
    </r>
  </si>
  <si>
    <r>
      <t>Xn</t>
    </r>
    <r>
      <rPr>
        <vertAlign val="superscript"/>
        <sz val="10"/>
        <rFont val="Times New Roman"/>
        <family val="1"/>
      </rPr>
      <t>3f</t>
    </r>
    <r>
      <rPr>
        <sz val="10"/>
        <rFont val="Times New Roman"/>
        <family val="1"/>
      </rPr>
      <t>2/3-4</t>
    </r>
  </si>
  <si>
    <r>
      <t>Xn</t>
    </r>
    <r>
      <rPr>
        <vertAlign val="superscript"/>
        <sz val="10"/>
        <rFont val="Times New Roman"/>
        <family val="1"/>
      </rPr>
      <t>3f</t>
    </r>
    <r>
      <rPr>
        <sz val="10"/>
        <rFont val="Times New Roman"/>
        <family val="1"/>
      </rPr>
      <t>2/3-5</t>
    </r>
  </si>
  <si>
    <r>
      <t>Xn</t>
    </r>
    <r>
      <rPr>
        <vertAlign val="superscript"/>
        <sz val="10"/>
        <rFont val="Times New Roman"/>
        <family val="1"/>
      </rPr>
      <t>3f</t>
    </r>
    <r>
      <rPr>
        <sz val="10"/>
        <rFont val="Times New Roman"/>
        <family val="1"/>
      </rPr>
      <t>5-1</t>
    </r>
  </si>
  <si>
    <t>Xn3f5-4</t>
  </si>
  <si>
    <r>
      <t>Xn</t>
    </r>
    <r>
      <rPr>
        <vertAlign val="superscript"/>
        <sz val="10"/>
        <rFont val="Times New Roman"/>
        <family val="1"/>
      </rPr>
      <t>3f</t>
    </r>
    <r>
      <rPr>
        <sz val="10"/>
        <rFont val="Times New Roman"/>
        <family val="1"/>
      </rPr>
      <t>5-4</t>
    </r>
  </si>
  <si>
    <r>
      <t>S3/5-S1</t>
    </r>
    <r>
      <rPr>
        <vertAlign val="superscript"/>
        <sz val="10"/>
        <rFont val="Times New Roman"/>
        <family val="1"/>
      </rPr>
      <t>b</t>
    </r>
  </si>
  <si>
    <t>S3/5-S1b</t>
  </si>
  <si>
    <t>G3-G1</t>
  </si>
  <si>
    <t>S3/5-S1a</t>
  </si>
  <si>
    <r>
      <t>S3/5-S1</t>
    </r>
    <r>
      <rPr>
        <vertAlign val="superscript"/>
        <sz val="10"/>
        <rFont val="Times New Roman"/>
        <family val="1"/>
      </rPr>
      <t>a</t>
    </r>
  </si>
  <si>
    <t>G3-G2</t>
  </si>
  <si>
    <r>
      <t>S3/5-S2/6</t>
    </r>
    <r>
      <rPr>
        <vertAlign val="superscript"/>
        <sz val="10"/>
        <rFont val="Times New Roman"/>
        <family val="1"/>
      </rPr>
      <t>a</t>
    </r>
  </si>
  <si>
    <t>S3/5-S2/6</t>
  </si>
  <si>
    <t>G3-OMe</t>
  </si>
  <si>
    <r>
      <t>S3/5-S2/6</t>
    </r>
    <r>
      <rPr>
        <vertAlign val="superscript"/>
        <sz val="10"/>
        <rFont val="Times New Roman"/>
        <family val="1"/>
      </rPr>
      <t>b</t>
    </r>
  </si>
  <si>
    <t>S3/5-OMe</t>
  </si>
  <si>
    <t>G1-G3</t>
  </si>
  <si>
    <r>
      <t>S1</t>
    </r>
    <r>
      <rPr>
        <vertAlign val="superscript"/>
        <sz val="10"/>
        <rFont val="Times New Roman"/>
        <family val="1"/>
      </rPr>
      <t>b</t>
    </r>
    <r>
      <rPr>
        <sz val="10"/>
        <rFont val="Times New Roman"/>
        <family val="1"/>
      </rPr>
      <t>-S3/5</t>
    </r>
  </si>
  <si>
    <t>G6-G3</t>
  </si>
  <si>
    <t>S'3/5-S'4</t>
  </si>
  <si>
    <t>S1b-S2/6</t>
  </si>
  <si>
    <t>G6-OMe</t>
  </si>
  <si>
    <t>S'3/5-S'2, G4-G2</t>
  </si>
  <si>
    <r>
      <t>S1</t>
    </r>
    <r>
      <rPr>
        <vertAlign val="superscript"/>
        <sz val="10"/>
        <rFont val="Times New Roman"/>
        <family val="1"/>
      </rPr>
      <t>b</t>
    </r>
    <r>
      <rPr>
        <sz val="10"/>
        <rFont val="Times New Roman"/>
        <family val="1"/>
      </rPr>
      <t>-OMe</t>
    </r>
  </si>
  <si>
    <r>
      <t>G2-G3</t>
    </r>
    <r>
      <rPr>
        <vertAlign val="superscript"/>
        <sz val="10"/>
        <rFont val="Times New Roman"/>
        <family val="1"/>
      </rPr>
      <t>b,c</t>
    </r>
  </si>
  <si>
    <t>S'3/5-OMe, G4-OMe</t>
  </si>
  <si>
    <r>
      <t>S1</t>
    </r>
    <r>
      <rPr>
        <vertAlign val="superscript"/>
        <sz val="10"/>
        <rFont val="Times New Roman"/>
        <family val="1"/>
      </rPr>
      <t>a</t>
    </r>
    <r>
      <rPr>
        <sz val="10"/>
        <rFont val="Times New Roman"/>
        <family val="1"/>
      </rPr>
      <t>-OMe</t>
    </r>
  </si>
  <si>
    <r>
      <t>G2-G3</t>
    </r>
    <r>
      <rPr>
        <vertAlign val="superscript"/>
        <sz val="10"/>
        <rFont val="Times New Roman"/>
        <family val="1"/>
      </rPr>
      <t>a</t>
    </r>
  </si>
  <si>
    <t>S4-S3/5</t>
  </si>
  <si>
    <t>G5-G3</t>
  </si>
  <si>
    <t>G2-OMe</t>
  </si>
  <si>
    <t>S4-S2/6</t>
  </si>
  <si>
    <t>G5-G1</t>
  </si>
  <si>
    <t>Man1-4</t>
  </si>
  <si>
    <t>S4-S1</t>
  </si>
  <si>
    <t>G5-OMe</t>
  </si>
  <si>
    <t>Man1-5</t>
  </si>
  <si>
    <t>S4-OMe</t>
  </si>
  <si>
    <t>G2-G3</t>
  </si>
  <si>
    <t>Man1-6</t>
  </si>
  <si>
    <t>S2/6-S3/5</t>
  </si>
  <si>
    <t>G2-G1</t>
  </si>
  <si>
    <t>OMe-G3</t>
  </si>
  <si>
    <t>S2/6-S1</t>
  </si>
  <si>
    <t>G2-G6</t>
  </si>
  <si>
    <t>OMe-G1</t>
  </si>
  <si>
    <t>S2/6-S4</t>
  </si>
  <si>
    <t>OMe-G2</t>
  </si>
  <si>
    <t>S2/6-OMe</t>
  </si>
  <si>
    <t>OMe-S3/5</t>
  </si>
  <si>
    <r>
      <t>S2/6-S1</t>
    </r>
    <r>
      <rPr>
        <vertAlign val="superscript"/>
        <sz val="10"/>
        <rFont val="Times New Roman"/>
        <family val="1"/>
      </rPr>
      <t>b</t>
    </r>
  </si>
  <si>
    <t>OMe-S1</t>
  </si>
  <si>
    <t>OMe-S4</t>
  </si>
  <si>
    <t>OMe-S2/6</t>
  </si>
  <si>
    <t>OMe-G5</t>
  </si>
  <si>
    <t>Fig. 4c, Water-edited intensities of polysccharides and lignin in the three woods</t>
  </si>
  <si>
    <t>time (s)</t>
  </si>
  <si>
    <t>56 ppm</t>
  </si>
  <si>
    <t>Time (ms)</t>
  </si>
  <si>
    <t>√ Time</t>
  </si>
  <si>
    <t>105 ppm</t>
  </si>
  <si>
    <t>89 ppm</t>
  </si>
  <si>
    <t>84 ppm</t>
  </si>
  <si>
    <t>102 ppm</t>
  </si>
  <si>
    <t>82 ppm</t>
  </si>
  <si>
    <t>78 ppm</t>
  </si>
  <si>
    <t>65 ppm</t>
  </si>
  <si>
    <t>63.5 ppm</t>
  </si>
  <si>
    <t>61.5 ppm</t>
  </si>
  <si>
    <t>21 ppm</t>
  </si>
  <si>
    <t>101 ppm</t>
  </si>
  <si>
    <t>174 ppm</t>
  </si>
  <si>
    <t>153 ppm</t>
  </si>
  <si>
    <t>148 ppm</t>
  </si>
  <si>
    <t>145 ppm</t>
  </si>
  <si>
    <t>136 ppm</t>
  </si>
  <si>
    <t>134 ppm</t>
  </si>
  <si>
    <t>116 ppm</t>
  </si>
  <si>
    <t>57 ppm</t>
  </si>
  <si>
    <t>62 ppm</t>
  </si>
  <si>
    <t>120 ppm</t>
  </si>
  <si>
    <t>115 ppm</t>
  </si>
  <si>
    <t>132 ppm</t>
  </si>
  <si>
    <t>130 ppm</t>
  </si>
  <si>
    <t xml:space="preserve">105 ppm </t>
  </si>
  <si>
    <t>153.9 ppm</t>
  </si>
  <si>
    <t>136.1 ppm</t>
  </si>
  <si>
    <t>135.6 ppm</t>
  </si>
  <si>
    <t>133.3 ppm</t>
  </si>
  <si>
    <t>119.2 ppm</t>
  </si>
  <si>
    <t>102.5 ppm</t>
  </si>
  <si>
    <t>133 ppm</t>
  </si>
  <si>
    <t>62.5 ppm</t>
  </si>
  <si>
    <t>147.6 ppm</t>
  </si>
  <si>
    <t>145.3 ppm</t>
  </si>
  <si>
    <t>134.2 ppm</t>
  </si>
  <si>
    <t>130.7 ppm</t>
  </si>
  <si>
    <t>119 ppm</t>
  </si>
  <si>
    <t>116.3 ppm</t>
  </si>
  <si>
    <t>113.5 ppm</t>
  </si>
  <si>
    <t>145.4 ppm</t>
  </si>
  <si>
    <t>137.2 ppm</t>
  </si>
  <si>
    <t>120.7 ppm</t>
  </si>
  <si>
    <t xml:space="preserve"> Spruce</t>
  </si>
  <si>
    <t xml:space="preserve"> Poplar </t>
  </si>
  <si>
    <t xml:space="preserve"> Eucalyptus</t>
  </si>
  <si>
    <t>lignin-cellulose</t>
  </si>
  <si>
    <t>lignin-xylan</t>
  </si>
  <si>
    <t>mixed sugar-xylan</t>
  </si>
  <si>
    <t>Strong</t>
  </si>
  <si>
    <t>Weak</t>
  </si>
  <si>
    <t>Medium</t>
  </si>
  <si>
    <t>n/a</t>
  </si>
  <si>
    <t>Note: n/a means there are no lignin-lignin intermolecular crosspeaks in spruce because we only have one type of lignin unit (guaicyl, G, unit)</t>
  </si>
  <si>
    <t>Fig. 3c, Count of Restraints in Eucalyptus, Poplar, and Spruce</t>
  </si>
  <si>
    <t>Wood</t>
  </si>
  <si>
    <t>cellulose</t>
  </si>
  <si>
    <t>cellulose-dominant</t>
  </si>
  <si>
    <t>lignin</t>
  </si>
  <si>
    <t>Intensities</t>
  </si>
  <si>
    <t>time(us)</t>
  </si>
  <si>
    <t xml:space="preserve"> </t>
  </si>
  <si>
    <t>S/N</t>
  </si>
  <si>
    <t>Normalized Intensities</t>
  </si>
  <si>
    <t>Error Bar</t>
  </si>
  <si>
    <t>T2</t>
  </si>
  <si>
    <t>T2 curve</t>
  </si>
  <si>
    <t>I = exp(-t/T2)</t>
  </si>
  <si>
    <t>e.g. 0.956=exp(-133/T2)</t>
  </si>
  <si>
    <t>Get T2 for each carbon site</t>
  </si>
  <si>
    <t>Then use new T2 to get new intensity</t>
  </si>
  <si>
    <t>MAS = 7.5 khz</t>
  </si>
  <si>
    <t>CH</t>
  </si>
  <si>
    <t>CH2</t>
  </si>
  <si>
    <t>Dipolar coupling</t>
  </si>
  <si>
    <t>Order parameter</t>
  </si>
  <si>
    <t>Simulated Fitting</t>
  </si>
  <si>
    <t>python</t>
  </si>
  <si>
    <t>T2 Corrected Fitting</t>
  </si>
  <si>
    <t>13C-T1</t>
  </si>
  <si>
    <t>1H-T1r</t>
  </si>
  <si>
    <t>Before lyophilization</t>
  </si>
  <si>
    <t>Carbohydrates (58-109 ppm)</t>
  </si>
  <si>
    <t>Lignins (165-109 ppm)</t>
  </si>
  <si>
    <t>After lyophilization</t>
  </si>
  <si>
    <t>0s</t>
  </si>
  <si>
    <t>0ms</t>
  </si>
  <si>
    <t>0.3s</t>
  </si>
  <si>
    <t>0.2ms</t>
  </si>
  <si>
    <t>0.7s</t>
  </si>
  <si>
    <t>0.4ms</t>
  </si>
  <si>
    <t>1.2s</t>
  </si>
  <si>
    <t>0.9ms</t>
  </si>
  <si>
    <t>1.9s</t>
  </si>
  <si>
    <t>1.4ms</t>
  </si>
  <si>
    <t>2.9s</t>
  </si>
  <si>
    <t>2.1ms</t>
  </si>
  <si>
    <t>4.4s</t>
  </si>
  <si>
    <t>2.9ms</t>
  </si>
  <si>
    <t>6.4s</t>
  </si>
  <si>
    <t>3.9ms</t>
  </si>
  <si>
    <t>8.9s</t>
  </si>
  <si>
    <t>5.4ms</t>
  </si>
  <si>
    <t>11.9s</t>
  </si>
  <si>
    <t>7.4ms</t>
  </si>
  <si>
    <t>9.9ms</t>
  </si>
  <si>
    <t>13.9ms</t>
  </si>
  <si>
    <t>18.9ms</t>
  </si>
  <si>
    <t>0.7ms</t>
  </si>
  <si>
    <t>1.2ms</t>
  </si>
  <si>
    <t>1.9ms</t>
  </si>
  <si>
    <t>2.7ms</t>
  </si>
  <si>
    <t>3.7ms</t>
  </si>
  <si>
    <t>5.2ms</t>
  </si>
  <si>
    <t>7.2ms</t>
  </si>
  <si>
    <t>9.7ms</t>
  </si>
  <si>
    <t>13.7ms</t>
  </si>
  <si>
    <t>18.7ms</t>
  </si>
  <si>
    <t>Ref</t>
  </si>
  <si>
    <t>74/26</t>
  </si>
  <si>
    <t>62/38</t>
  </si>
  <si>
    <t>0/100</t>
  </si>
  <si>
    <t>Raletive Intensity (S/S0)</t>
  </si>
  <si>
    <t>i</t>
  </si>
  <si>
    <t>s</t>
  </si>
  <si>
    <t>M</t>
  </si>
  <si>
    <t>Fig. 4d, 13C-T1 relaxation times of lignin and polysaccharides in the three woods</t>
  </si>
  <si>
    <t>rigid</t>
  </si>
  <si>
    <t>all molecules</t>
  </si>
  <si>
    <t>T1 (s)</t>
  </si>
  <si>
    <t>S3/5</t>
  </si>
  <si>
    <t>G3</t>
  </si>
  <si>
    <t>G4/ S’3/5</t>
  </si>
  <si>
    <t>S1</t>
  </si>
  <si>
    <t>S4</t>
  </si>
  <si>
    <t>G1</t>
  </si>
  <si>
    <t>G6</t>
  </si>
  <si>
    <t>OMe</t>
  </si>
  <si>
    <t>i4</t>
  </si>
  <si>
    <t>s4</t>
  </si>
  <si>
    <t>i6</t>
  </si>
  <si>
    <t>s6</t>
  </si>
  <si>
    <r>
      <t>Ac</t>
    </r>
    <r>
      <rPr>
        <vertAlign val="superscript"/>
        <sz val="11"/>
        <color theme="1"/>
        <rFont val="Times New Roman"/>
        <family val="1"/>
      </rPr>
      <t>CO</t>
    </r>
  </si>
  <si>
    <r>
      <t>i/s/Xn</t>
    </r>
    <r>
      <rPr>
        <vertAlign val="superscript"/>
        <sz val="11"/>
        <color theme="1"/>
        <rFont val="Times New Roman"/>
        <family val="1"/>
      </rPr>
      <t>2f</t>
    </r>
    <r>
      <rPr>
        <sz val="11"/>
        <color theme="1"/>
        <rFont val="Times New Roman"/>
        <family val="1"/>
      </rPr>
      <t>1</t>
    </r>
  </si>
  <si>
    <r>
      <t>Xn</t>
    </r>
    <r>
      <rPr>
        <vertAlign val="superscript"/>
        <sz val="11"/>
        <color theme="1"/>
        <rFont val="Times New Roman"/>
        <family val="1"/>
      </rPr>
      <t>3f</t>
    </r>
    <r>
      <rPr>
        <sz val="11"/>
        <color theme="1"/>
        <rFont val="Times New Roman"/>
        <family val="1"/>
      </rPr>
      <t>1</t>
    </r>
  </si>
  <si>
    <r>
      <t>Xn</t>
    </r>
    <r>
      <rPr>
        <vertAlign val="superscript"/>
        <sz val="11"/>
        <color theme="1"/>
        <rFont val="Times New Roman"/>
        <family val="1"/>
      </rPr>
      <t>2f</t>
    </r>
    <r>
      <rPr>
        <sz val="11"/>
        <color theme="1"/>
        <rFont val="Times New Roman"/>
        <family val="1"/>
      </rPr>
      <t>4</t>
    </r>
  </si>
  <si>
    <r>
      <t>Xn</t>
    </r>
    <r>
      <rPr>
        <vertAlign val="superscript"/>
        <sz val="11"/>
        <color theme="1"/>
        <rFont val="Times New Roman"/>
        <family val="1"/>
      </rPr>
      <t>3f</t>
    </r>
    <r>
      <rPr>
        <sz val="11"/>
        <color theme="1"/>
        <rFont val="Times New Roman"/>
        <family val="1"/>
      </rPr>
      <t>4</t>
    </r>
  </si>
  <si>
    <r>
      <t>Ac</t>
    </r>
    <r>
      <rPr>
        <vertAlign val="superscript"/>
        <sz val="11"/>
        <color theme="1"/>
        <rFont val="Times New Roman"/>
        <family val="1"/>
      </rPr>
      <t>Me</t>
    </r>
  </si>
  <si>
    <t>-</t>
  </si>
  <si>
    <t>xylan</t>
  </si>
  <si>
    <t>Fig. 4e, 1H-T1r relaxation times of lignin and polysaccharides in the three woods</t>
  </si>
  <si>
    <t>T1r (ms)</t>
  </si>
  <si>
    <r>
      <t>G1</t>
    </r>
    <r>
      <rPr>
        <vertAlign val="superscript"/>
        <sz val="10"/>
        <color theme="1"/>
        <rFont val="Times New Roman"/>
        <family val="1"/>
      </rPr>
      <t>a</t>
    </r>
  </si>
  <si>
    <r>
      <t>G1</t>
    </r>
    <r>
      <rPr>
        <vertAlign val="superscript"/>
        <sz val="10"/>
        <color theme="1"/>
        <rFont val="Times New Roman"/>
        <family val="1"/>
      </rPr>
      <t>b/c</t>
    </r>
  </si>
  <si>
    <r>
      <t>G1</t>
    </r>
    <r>
      <rPr>
        <vertAlign val="superscript"/>
        <sz val="10"/>
        <color theme="1"/>
        <rFont val="Times New Roman"/>
        <family val="1"/>
      </rPr>
      <t>d</t>
    </r>
  </si>
  <si>
    <r>
      <t>G3</t>
    </r>
    <r>
      <rPr>
        <vertAlign val="superscript"/>
        <sz val="10"/>
        <color theme="1"/>
        <rFont val="Times New Roman"/>
        <family val="1"/>
      </rPr>
      <t>a</t>
    </r>
  </si>
  <si>
    <r>
      <t>G3</t>
    </r>
    <r>
      <rPr>
        <vertAlign val="superscript"/>
        <sz val="10"/>
        <color theme="1"/>
        <rFont val="Times New Roman"/>
        <family val="1"/>
      </rPr>
      <t>c</t>
    </r>
  </si>
  <si>
    <t>S’3/5/G4</t>
  </si>
  <si>
    <r>
      <t>S’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4</t>
    </r>
  </si>
  <si>
    <t>G5</t>
  </si>
  <si>
    <t>G2</t>
  </si>
  <si>
    <t>S’1</t>
  </si>
  <si>
    <r>
      <t>i/s/Xn1</t>
    </r>
    <r>
      <rPr>
        <vertAlign val="superscript"/>
        <sz val="10"/>
        <color theme="1"/>
        <rFont val="Times New Roman"/>
        <family val="1"/>
      </rPr>
      <t>2f</t>
    </r>
  </si>
  <si>
    <r>
      <t>Xn1</t>
    </r>
    <r>
      <rPr>
        <vertAlign val="superscript"/>
        <sz val="10"/>
        <color theme="1"/>
        <rFont val="Times New Roman"/>
        <family val="1"/>
      </rPr>
      <t>3f</t>
    </r>
  </si>
  <si>
    <t>Man1</t>
  </si>
  <si>
    <r>
      <t>Xn4</t>
    </r>
    <r>
      <rPr>
        <vertAlign val="superscript"/>
        <sz val="10"/>
        <color theme="1"/>
        <rFont val="Times New Roman"/>
        <family val="1"/>
      </rPr>
      <t>2f</t>
    </r>
  </si>
  <si>
    <r>
      <t>Xn4</t>
    </r>
    <r>
      <rPr>
        <vertAlign val="superscript"/>
        <sz val="10"/>
        <color theme="1"/>
        <rFont val="Times New Roman"/>
        <family val="1"/>
      </rPr>
      <t>3f</t>
    </r>
  </si>
  <si>
    <t>Average %</t>
  </si>
  <si>
    <t>Fig. 3d, Count of carbohydrate-lignin interactions across plant species.</t>
  </si>
  <si>
    <t>Arabidopsis</t>
  </si>
  <si>
    <t>Grass</t>
  </si>
  <si>
    <t>numbers</t>
  </si>
  <si>
    <t>sum</t>
  </si>
  <si>
    <t>Cellulose</t>
  </si>
  <si>
    <t xml:space="preserve">i4a,b </t>
  </si>
  <si>
    <t>i5 a,b</t>
  </si>
  <si>
    <t>i3 a,b</t>
  </si>
  <si>
    <t>i5c</t>
  </si>
  <si>
    <t>i6c</t>
  </si>
  <si>
    <t>i4c</t>
  </si>
  <si>
    <t>i3c</t>
  </si>
  <si>
    <r>
      <t xml:space="preserve">s4f </t>
    </r>
    <r>
      <rPr>
        <sz val="10"/>
        <color rgb="FFFF0000"/>
        <rFont val="Arial"/>
        <family val="2"/>
      </rPr>
      <t>x 2</t>
    </r>
  </si>
  <si>
    <t>s3,5f</t>
  </si>
  <si>
    <r>
      <t>s4f</t>
    </r>
    <r>
      <rPr>
        <sz val="10"/>
        <color rgb="FFFF0000"/>
        <rFont val="Arial"/>
        <family val="2"/>
      </rPr>
      <t xml:space="preserve"> x 2</t>
    </r>
  </si>
  <si>
    <t>s3,5g</t>
  </si>
  <si>
    <t>Xylan</t>
  </si>
  <si>
    <t>GlcA1 b</t>
  </si>
  <si>
    <t>GlcA2 b</t>
  </si>
  <si>
    <t>GlcA1 c</t>
  </si>
  <si>
    <t>GlcA2 c</t>
  </si>
  <si>
    <t>ratio(%)</t>
  </si>
  <si>
    <t>standard deviation</t>
  </si>
  <si>
    <t>Mean</t>
  </si>
  <si>
    <t>(x-mean)^2</t>
  </si>
  <si>
    <t>man</t>
  </si>
  <si>
    <t>mannan</t>
  </si>
  <si>
    <t>86/14</t>
  </si>
  <si>
    <t>63/37</t>
  </si>
  <si>
    <t>average</t>
  </si>
  <si>
    <t>Rencoret et al. 2009</t>
  </si>
  <si>
    <t>Rico et al. 2014</t>
  </si>
  <si>
    <t>Ibarra at al. 2006</t>
  </si>
  <si>
    <t>Rencoret et al. 2008</t>
  </si>
  <si>
    <t>Pereira et al. 2017</t>
  </si>
  <si>
    <t>Yuan et al. 2011</t>
  </si>
  <si>
    <t>Li et al. 2017</t>
  </si>
  <si>
    <t>Samuel et al. 2011</t>
  </si>
  <si>
    <t>This work</t>
  </si>
  <si>
    <t>literatures</t>
  </si>
  <si>
    <r>
      <rPr>
        <b/>
        <sz val="12"/>
        <color theme="1"/>
        <rFont val="Times New Roman"/>
        <family val="1"/>
      </rPr>
      <t>Note</t>
    </r>
    <r>
      <rPr>
        <sz val="12"/>
        <color theme="1"/>
        <rFont val="Times New Roman"/>
        <family val="1"/>
      </rPr>
      <t>: all the cross peaks and their relative intensities are documented in</t>
    </r>
    <r>
      <rPr>
        <sz val="12"/>
        <color rgb="FFFF0000"/>
        <rFont val="Times New Roman"/>
        <family val="1"/>
      </rPr>
      <t xml:space="preserve"> Supplementary Data 2-4 &amp; Table 6.</t>
    </r>
  </si>
  <si>
    <t>Supplementary Fig. 9c, counts of intermolecular cross peaks in three woods</t>
  </si>
  <si>
    <t>Fig. 5d Average 13C-T1 relaxation plot, using the integrals of spectral regions for never-dried and rehydrated Spruce</t>
  </si>
  <si>
    <t>Fig. 5e Average 1H-T1r relaxation plot, using the integrals of spectral regions for never-dried and rehydrated Spruce</t>
  </si>
  <si>
    <t>Fig. S8. 13C–1H dipolar order parameters of biopolymers in wood cell walls.</t>
  </si>
  <si>
    <t>Supplementary Fig. 12, Water 1H spin diffusion of polysaccharides at using mixing times</t>
  </si>
  <si>
    <t>Supplementary figure 12a</t>
  </si>
  <si>
    <t>Supplementary figure 12b</t>
  </si>
  <si>
    <t>Supplementary figure 12c</t>
  </si>
  <si>
    <r>
      <t xml:space="preserve">Supplementary Fig. 14, </t>
    </r>
    <r>
      <rPr>
        <b/>
        <vertAlign val="superscript"/>
        <sz val="12"/>
        <color rgb="FF0000FF"/>
        <rFont val="Times New Roman"/>
        <family val="1"/>
      </rPr>
      <t>13</t>
    </r>
    <r>
      <rPr>
        <b/>
        <sz val="12"/>
        <color rgb="FF0000FF"/>
        <rFont val="Times New Roman"/>
        <family val="1"/>
      </rPr>
      <t>C-T</t>
    </r>
    <r>
      <rPr>
        <b/>
        <vertAlign val="subscript"/>
        <sz val="12"/>
        <color rgb="FF0000FF"/>
        <rFont val="Times New Roman"/>
        <family val="1"/>
      </rPr>
      <t xml:space="preserve">1 </t>
    </r>
    <r>
      <rPr>
        <b/>
        <sz val="12"/>
        <color rgb="FF0000FF"/>
        <rFont val="Times New Roman"/>
        <family val="1"/>
      </rPr>
      <t>relaxation of lignin and polysaccharides of the three woods</t>
    </r>
  </si>
  <si>
    <r>
      <t xml:space="preserve">Supplementary Fig. 15, </t>
    </r>
    <r>
      <rPr>
        <b/>
        <vertAlign val="superscript"/>
        <sz val="12"/>
        <color rgb="FF0000FF"/>
        <rFont val="Times New Roman"/>
        <family val="1"/>
      </rPr>
      <t>1</t>
    </r>
    <r>
      <rPr>
        <b/>
        <sz val="12"/>
        <color rgb="FF0000FF"/>
        <rFont val="Times New Roman"/>
        <family val="1"/>
      </rPr>
      <t>H T</t>
    </r>
    <r>
      <rPr>
        <b/>
        <vertAlign val="subscript"/>
        <sz val="12"/>
        <color rgb="FF0000FF"/>
        <rFont val="Times New Roman"/>
        <family val="1"/>
      </rPr>
      <t>1rho</t>
    </r>
    <r>
      <rPr>
        <b/>
        <sz val="12"/>
        <color rgb="FF0000FF"/>
        <rFont val="Times New Roman"/>
        <family val="1"/>
      </rPr>
      <t xml:space="preserve"> relaxation times of lignin and polysaccharides</t>
    </r>
  </si>
  <si>
    <t>Fig. S16d Average 1H-T1r relaxation plot, using the integrals of spectral regions for never-dried and rehydrated Eucalyptus</t>
  </si>
  <si>
    <t>Fig. S16c Average 13C-T1 relaxation plot, using the integrals of spectral regions for never-dried and rehydrated Eucalyptus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</si>
</sst>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"/>
    <numFmt numFmtId="167" formatCode="0.0000E+00"/>
  </numFmts>
  <fonts count="6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0000FF"/>
      <name val="Times New Roman"/>
      <family val="1"/>
    </font>
    <font>
      <sz val="11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0"/>
      <name val="Times New Roman"/>
      <family val="1"/>
    </font>
    <font>
      <sz val="10"/>
      <color rgb="FF0000FF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FF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1"/>
      <color rgb="FF0000FF"/>
      <name val="Times New Roman"/>
      <family val="1"/>
    </font>
    <font>
      <b/>
      <sz val="11"/>
      <color rgb="FF00B05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FF"/>
      <name val="Calibri"/>
      <family val="2"/>
      <scheme val="minor"/>
    </font>
    <font>
      <b/>
      <sz val="12"/>
      <color rgb="FFFF0000"/>
      <name val="Times New Roman"/>
      <family val="1"/>
    </font>
    <font>
      <sz val="10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2"/>
      <color rgb="FF0000FF"/>
      <name val="Times New Roman"/>
      <family val="1"/>
    </font>
    <font>
      <b/>
      <vertAlign val="subscript"/>
      <sz val="12"/>
      <color rgb="FF0000FF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2" tint="-0.499984740745262"/>
      <name val="Calibri"/>
      <family val="2"/>
      <scheme val="minor"/>
    </font>
    <font>
      <b/>
      <sz val="11"/>
      <color theme="2" tint="-0.499984740745262"/>
      <name val="Times New Roman"/>
      <family val="1"/>
    </font>
    <font>
      <sz val="11"/>
      <color theme="2" tint="-0.499984740745262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6"/>
      <color rgb="FF0000FF"/>
      <name val="Times New Roman"/>
      <family val="1"/>
    </font>
    <font>
      <vertAlign val="superscript"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rgb="FF0000FF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Calibri"/>
      <family val="2"/>
      <scheme val="minor"/>
    </font>
    <font>
      <b/>
      <sz val="24"/>
      <color rgb="FF0000FF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FF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9" fillId="0" borderId="0" xfId="0" applyFont="1"/>
    <xf numFmtId="0" fontId="5" fillId="0" borderId="0" xfId="0" applyFont="1"/>
    <xf numFmtId="0" fontId="11" fillId="0" borderId="0" xfId="0" applyFont="1"/>
    <xf numFmtId="0" fontId="10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2" fillId="0" borderId="4" xfId="0" applyFont="1" applyBorder="1"/>
    <xf numFmtId="0" fontId="3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0" applyFont="1"/>
    <xf numFmtId="0" fontId="15" fillId="0" borderId="0" xfId="0" applyFont="1"/>
    <xf numFmtId="2" fontId="6" fillId="0" borderId="0" xfId="0" applyNumberFormat="1" applyFont="1"/>
    <xf numFmtId="166" fontId="0" fillId="0" borderId="0" xfId="0" applyNumberFormat="1"/>
    <xf numFmtId="0" fontId="0" fillId="0" borderId="0" xfId="0" applyFont="1"/>
    <xf numFmtId="0" fontId="16" fillId="0" borderId="0" xfId="0" applyFont="1"/>
    <xf numFmtId="166" fontId="17" fillId="0" borderId="0" xfId="0" applyNumberFormat="1" applyFont="1"/>
    <xf numFmtId="166" fontId="2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166" fontId="21" fillId="0" borderId="0" xfId="0" applyNumberFormat="1" applyFont="1"/>
    <xf numFmtId="166" fontId="21" fillId="0" borderId="0" xfId="0" applyNumberFormat="1" applyFont="1" applyAlignment="1">
      <alignment vertical="center" wrapText="1"/>
    </xf>
    <xf numFmtId="0" fontId="17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  <xf numFmtId="0" fontId="22" fillId="0" borderId="0" xfId="0" applyFont="1"/>
    <xf numFmtId="0" fontId="24" fillId="0" borderId="0" xfId="0" applyFont="1"/>
    <xf numFmtId="166" fontId="7" fillId="0" borderId="0" xfId="0" applyNumberFormat="1" applyFont="1"/>
    <xf numFmtId="0" fontId="25" fillId="0" borderId="0" xfId="0" applyFont="1"/>
    <xf numFmtId="0" fontId="23" fillId="0" borderId="0" xfId="0" applyFont="1"/>
    <xf numFmtId="165" fontId="2" fillId="0" borderId="0" xfId="0" applyNumberFormat="1" applyFont="1"/>
    <xf numFmtId="0" fontId="11" fillId="0" borderId="0" xfId="0" applyFont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166" fontId="26" fillId="0" borderId="0" xfId="0" applyNumberFormat="1" applyFont="1"/>
    <xf numFmtId="1" fontId="27" fillId="0" borderId="0" xfId="0" applyNumberFormat="1" applyFont="1"/>
    <xf numFmtId="0" fontId="29" fillId="0" borderId="0" xfId="0" applyFont="1" applyAlignment="1">
      <alignment horizontal="center"/>
    </xf>
    <xf numFmtId="166" fontId="27" fillId="0" borderId="0" xfId="0" applyNumberFormat="1" applyFont="1"/>
    <xf numFmtId="0" fontId="30" fillId="0" borderId="0" xfId="0" applyFont="1"/>
    <xf numFmtId="0" fontId="6" fillId="0" borderId="0" xfId="0" applyFont="1" applyAlignment="1">
      <alignment horizontal="right"/>
    </xf>
    <xf numFmtId="0" fontId="6" fillId="2" borderId="0" xfId="0" applyFont="1" applyFill="1"/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10" fillId="6" borderId="0" xfId="0" applyFont="1" applyFill="1"/>
    <xf numFmtId="0" fontId="6" fillId="6" borderId="0" xfId="0" applyFont="1" applyFill="1"/>
    <xf numFmtId="0" fontId="6" fillId="6" borderId="0" xfId="0" applyFont="1" applyFill="1" applyAlignment="1">
      <alignment horizontal="right"/>
    </xf>
    <xf numFmtId="166" fontId="6" fillId="6" borderId="0" xfId="0" applyNumberFormat="1" applyFont="1" applyFill="1" applyAlignment="1">
      <alignment horizontal="right"/>
    </xf>
    <xf numFmtId="166" fontId="6" fillId="6" borderId="0" xfId="0" applyNumberFormat="1" applyFont="1" applyFill="1"/>
    <xf numFmtId="0" fontId="33" fillId="7" borderId="0" xfId="0" applyFont="1" applyFill="1"/>
    <xf numFmtId="0" fontId="34" fillId="7" borderId="0" xfId="0" applyFont="1" applyFill="1"/>
    <xf numFmtId="0" fontId="34" fillId="7" borderId="0" xfId="0" applyFont="1" applyFill="1" applyAlignment="1">
      <alignment horizontal="right"/>
    </xf>
    <xf numFmtId="0" fontId="33" fillId="4" borderId="0" xfId="0" applyFont="1" applyFill="1"/>
    <xf numFmtId="166" fontId="6" fillId="4" borderId="0" xfId="0" applyNumberFormat="1" applyFont="1" applyFill="1" applyAlignment="1">
      <alignment horizontal="right"/>
    </xf>
    <xf numFmtId="166" fontId="6" fillId="4" borderId="0" xfId="0" applyNumberFormat="1" applyFont="1" applyFill="1"/>
    <xf numFmtId="0" fontId="6" fillId="8" borderId="0" xfId="0" applyFont="1" applyFill="1"/>
    <xf numFmtId="166" fontId="6" fillId="8" borderId="0" xfId="0" applyNumberFormat="1" applyFont="1" applyFill="1" applyAlignment="1">
      <alignment horizontal="right"/>
    </xf>
    <xf numFmtId="166" fontId="6" fillId="8" borderId="0" xfId="0" applyNumberFormat="1" applyFont="1" applyFill="1"/>
    <xf numFmtId="0" fontId="33" fillId="9" borderId="0" xfId="0" applyFont="1" applyFill="1"/>
    <xf numFmtId="0" fontId="6" fillId="9" borderId="0" xfId="0" applyFont="1" applyFill="1"/>
    <xf numFmtId="166" fontId="6" fillId="9" borderId="0" xfId="0" applyNumberFormat="1" applyFont="1" applyFill="1" applyAlignment="1">
      <alignment horizontal="right"/>
    </xf>
    <xf numFmtId="166" fontId="6" fillId="9" borderId="0" xfId="0" applyNumberFormat="1" applyFont="1" applyFill="1"/>
    <xf numFmtId="166" fontId="35" fillId="9" borderId="0" xfId="0" applyNumberFormat="1" applyFont="1" applyFill="1" applyAlignment="1">
      <alignment horizontal="right"/>
    </xf>
    <xf numFmtId="166" fontId="6" fillId="2" borderId="0" xfId="0" applyNumberFormat="1" applyFont="1" applyFill="1" applyAlignment="1">
      <alignment horizontal="right"/>
    </xf>
    <xf numFmtId="166" fontId="6" fillId="2" borderId="0" xfId="0" applyNumberFormat="1" applyFont="1" applyFill="1"/>
    <xf numFmtId="0" fontId="36" fillId="2" borderId="0" xfId="0" applyFont="1" applyFill="1"/>
    <xf numFmtId="0" fontId="33" fillId="10" borderId="0" xfId="0" applyFont="1" applyFill="1"/>
    <xf numFmtId="0" fontId="6" fillId="10" borderId="0" xfId="0" applyFont="1" applyFill="1"/>
    <xf numFmtId="0" fontId="6" fillId="10" borderId="0" xfId="0" applyFont="1" applyFill="1" applyAlignment="1">
      <alignment horizontal="right"/>
    </xf>
    <xf numFmtId="0" fontId="0" fillId="10" borderId="0" xfId="0" applyFill="1" applyAlignment="1">
      <alignment horizontal="right"/>
    </xf>
    <xf numFmtId="0" fontId="0" fillId="11" borderId="0" xfId="0" applyFill="1" applyAlignment="1">
      <alignment horizontal="right"/>
    </xf>
    <xf numFmtId="0" fontId="37" fillId="10" borderId="0" xfId="0" applyFont="1" applyFill="1" applyAlignment="1">
      <alignment horizontal="right"/>
    </xf>
    <xf numFmtId="0" fontId="10" fillId="12" borderId="0" xfId="0" applyFont="1" applyFill="1"/>
    <xf numFmtId="0" fontId="6" fillId="12" borderId="0" xfId="0" applyFont="1" applyFill="1"/>
    <xf numFmtId="0" fontId="6" fillId="12" borderId="0" xfId="0" applyFont="1" applyFill="1" applyAlignment="1">
      <alignment horizontal="right"/>
    </xf>
    <xf numFmtId="165" fontId="35" fillId="12" borderId="0" xfId="0" applyNumberFormat="1" applyFont="1" applyFill="1"/>
    <xf numFmtId="165" fontId="38" fillId="12" borderId="0" xfId="0" applyNumberFormat="1" applyFont="1" applyFill="1"/>
    <xf numFmtId="0" fontId="10" fillId="13" borderId="0" xfId="0" applyFont="1" applyFill="1"/>
    <xf numFmtId="0" fontId="6" fillId="13" borderId="0" xfId="0" applyFont="1" applyFill="1"/>
    <xf numFmtId="0" fontId="6" fillId="13" borderId="0" xfId="0" applyFont="1" applyFill="1" applyAlignment="1">
      <alignment horizontal="right"/>
    </xf>
    <xf numFmtId="166" fontId="6" fillId="13" borderId="0" xfId="0" applyNumberFormat="1" applyFont="1" applyFill="1"/>
    <xf numFmtId="166" fontId="39" fillId="13" borderId="0" xfId="0" applyNumberFormat="1" applyFont="1" applyFill="1"/>
    <xf numFmtId="0" fontId="10" fillId="14" borderId="0" xfId="0" applyFont="1" applyFill="1"/>
    <xf numFmtId="0" fontId="6" fillId="14" borderId="0" xfId="0" applyFont="1" applyFill="1"/>
    <xf numFmtId="0" fontId="6" fillId="14" borderId="0" xfId="0" applyFont="1" applyFill="1" applyAlignment="1">
      <alignment horizontal="right"/>
    </xf>
    <xf numFmtId="2" fontId="35" fillId="14" borderId="0" xfId="0" applyNumberFormat="1" applyFont="1" applyFill="1"/>
    <xf numFmtId="2" fontId="38" fillId="14" borderId="0" xfId="0" applyNumberFormat="1" applyFont="1" applyFill="1"/>
    <xf numFmtId="0" fontId="10" fillId="10" borderId="0" xfId="0" applyFont="1" applyFill="1"/>
    <xf numFmtId="166" fontId="6" fillId="10" borderId="0" xfId="0" applyNumberFormat="1" applyFont="1" applyFill="1" applyAlignment="1">
      <alignment horizontal="right"/>
    </xf>
    <xf numFmtId="166" fontId="6" fillId="10" borderId="0" xfId="0" applyNumberFormat="1" applyFont="1" applyFill="1"/>
    <xf numFmtId="0" fontId="0" fillId="0" borderId="0" xfId="0" applyAlignment="1">
      <alignment horizontal="center"/>
    </xf>
    <xf numFmtId="0" fontId="4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1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40" fillId="10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40" fillId="5" borderId="9" xfId="0" applyFont="1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9" fontId="2" fillId="19" borderId="4" xfId="0" applyNumberFormat="1" applyFont="1" applyFill="1" applyBorder="1" applyAlignment="1">
      <alignment horizontal="center"/>
    </xf>
    <xf numFmtId="0" fontId="2" fillId="19" borderId="0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19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16" borderId="0" xfId="0" applyFont="1" applyFill="1" applyBorder="1" applyAlignment="1">
      <alignment horizontal="center" vertical="center" wrapText="1"/>
    </xf>
    <xf numFmtId="0" fontId="13" fillId="16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3" fillId="13" borderId="0" xfId="0" applyFont="1" applyFill="1" applyBorder="1" applyAlignment="1">
      <alignment horizontal="center" vertical="center" wrapText="1"/>
    </xf>
    <xf numFmtId="0" fontId="13" fillId="13" borderId="0" xfId="0" applyFont="1" applyFill="1" applyBorder="1" applyAlignment="1">
      <alignment horizontal="center"/>
    </xf>
    <xf numFmtId="0" fontId="13" fillId="6" borderId="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13" fillId="20" borderId="0" xfId="0" applyFont="1" applyFill="1" applyBorder="1" applyAlignment="1">
      <alignment horizontal="center" vertical="center" wrapText="1"/>
    </xf>
    <xf numFmtId="0" fontId="13" fillId="20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/>
    </xf>
    <xf numFmtId="0" fontId="33" fillId="10" borderId="0" xfId="0" applyFont="1" applyFill="1" applyBorder="1" applyAlignment="1">
      <alignment horizontal="center"/>
    </xf>
    <xf numFmtId="0" fontId="33" fillId="13" borderId="0" xfId="0" applyFont="1" applyFill="1" applyBorder="1" applyAlignment="1">
      <alignment horizontal="center"/>
    </xf>
    <xf numFmtId="0" fontId="33" fillId="6" borderId="0" xfId="0" applyFont="1" applyFill="1" applyBorder="1" applyAlignment="1">
      <alignment horizontal="center"/>
    </xf>
    <xf numFmtId="0" fontId="33" fillId="20" borderId="0" xfId="0" applyFont="1" applyFill="1" applyBorder="1" applyAlignment="1">
      <alignment horizontal="center" vertical="center" wrapText="1"/>
    </xf>
    <xf numFmtId="0" fontId="42" fillId="16" borderId="0" xfId="0" applyFont="1" applyFill="1" applyBorder="1" applyAlignment="1">
      <alignment horizontal="center"/>
    </xf>
    <xf numFmtId="0" fontId="42" fillId="5" borderId="0" xfId="0" applyFont="1" applyFill="1" applyBorder="1" applyAlignment="1">
      <alignment horizontal="center"/>
    </xf>
    <xf numFmtId="0" fontId="42" fillId="10" borderId="0" xfId="0" applyFont="1" applyFill="1" applyBorder="1" applyAlignment="1">
      <alignment horizontal="center"/>
    </xf>
    <xf numFmtId="0" fontId="42" fillId="13" borderId="0" xfId="0" applyFont="1" applyFill="1" applyBorder="1" applyAlignment="1">
      <alignment horizontal="center"/>
    </xf>
    <xf numFmtId="0" fontId="42" fillId="6" borderId="0" xfId="0" applyFont="1" applyFill="1" applyBorder="1" applyAlignment="1">
      <alignment horizontal="center"/>
    </xf>
    <xf numFmtId="0" fontId="42" fillId="6" borderId="0" xfId="0" applyFont="1" applyFill="1" applyBorder="1" applyAlignment="1">
      <alignment horizontal="center" vertical="top"/>
    </xf>
    <xf numFmtId="0" fontId="42" fillId="2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0" fillId="0" borderId="14" xfId="0" applyBorder="1"/>
    <xf numFmtId="0" fontId="0" fillId="0" borderId="11" xfId="0" applyBorder="1"/>
    <xf numFmtId="0" fontId="33" fillId="16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13" fillId="16" borderId="14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3" fillId="13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top"/>
    </xf>
    <xf numFmtId="0" fontId="13" fillId="6" borderId="14" xfId="0" applyFont="1" applyFill="1" applyBorder="1" applyAlignment="1">
      <alignment horizontal="center" vertical="top" wrapText="1"/>
    </xf>
    <xf numFmtId="0" fontId="13" fillId="6" borderId="14" xfId="0" applyFont="1" applyFill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0" fillId="0" borderId="12" xfId="0" applyBorder="1"/>
    <xf numFmtId="0" fontId="43" fillId="0" borderId="11" xfId="0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19" borderId="0" xfId="0" applyFont="1" applyFill="1" applyBorder="1" applyAlignment="1">
      <alignment horizontal="center"/>
    </xf>
    <xf numFmtId="0" fontId="7" fillId="19" borderId="0" xfId="0" applyFont="1" applyFill="1" applyBorder="1" applyAlignment="1">
      <alignment horizontal="center"/>
    </xf>
    <xf numFmtId="0" fontId="3" fillId="19" borderId="0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10" fontId="5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19" borderId="0" xfId="0" applyFont="1" applyFill="1" applyAlignment="1">
      <alignment horizontal="center"/>
    </xf>
    <xf numFmtId="0" fontId="52" fillId="19" borderId="0" xfId="0" applyFont="1" applyFill="1" applyAlignment="1">
      <alignment horizontal="center"/>
    </xf>
    <xf numFmtId="10" fontId="52" fillId="19" borderId="0" xfId="0" applyNumberFormat="1" applyFont="1" applyFill="1" applyAlignment="1">
      <alignment horizontal="center"/>
    </xf>
    <xf numFmtId="0" fontId="52" fillId="0" borderId="0" xfId="0" applyFont="1" applyAlignment="1">
      <alignment horizontal="center"/>
    </xf>
    <xf numFmtId="11" fontId="1" fillId="19" borderId="0" xfId="0" applyNumberFormat="1" applyFont="1" applyFill="1" applyAlignment="1">
      <alignment horizontal="center"/>
    </xf>
    <xf numFmtId="10" fontId="1" fillId="19" borderId="0" xfId="0" applyNumberFormat="1" applyFont="1" applyFill="1" applyAlignment="1">
      <alignment horizontal="center"/>
    </xf>
    <xf numFmtId="164" fontId="52" fillId="0" borderId="0" xfId="0" applyNumberFormat="1" applyFont="1" applyAlignment="1">
      <alignment horizontal="center"/>
    </xf>
    <xf numFmtId="164" fontId="52" fillId="19" borderId="0" xfId="0" applyNumberFormat="1" applyFont="1" applyFill="1" applyAlignment="1">
      <alignment horizontal="center"/>
    </xf>
    <xf numFmtId="167" fontId="1" fillId="0" borderId="0" xfId="0" applyNumberFormat="1" applyFont="1" applyAlignment="1">
      <alignment horizontal="center"/>
    </xf>
    <xf numFmtId="164" fontId="1" fillId="19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19" borderId="0" xfId="0" applyNumberFormat="1" applyFont="1" applyFill="1" applyAlignment="1">
      <alignment horizontal="center"/>
    </xf>
    <xf numFmtId="0" fontId="0" fillId="19" borderId="0" xfId="0" applyFill="1" applyAlignment="1">
      <alignment horizontal="center"/>
    </xf>
    <xf numFmtId="0" fontId="5" fillId="19" borderId="0" xfId="0" applyFont="1" applyFill="1" applyAlignment="1">
      <alignment horizontal="center"/>
    </xf>
    <xf numFmtId="2" fontId="0" fillId="19" borderId="0" xfId="0" applyNumberFormat="1" applyFill="1" applyAlignment="1">
      <alignment horizontal="center"/>
    </xf>
    <xf numFmtId="0" fontId="3" fillId="19" borderId="0" xfId="0" applyFont="1" applyFill="1" applyAlignment="1">
      <alignment horizontal="center"/>
    </xf>
    <xf numFmtId="0" fontId="2" fillId="19" borderId="0" xfId="0" applyFont="1" applyFill="1" applyAlignment="1">
      <alignment horizontal="center"/>
    </xf>
    <xf numFmtId="0" fontId="6" fillId="19" borderId="0" xfId="0" applyFont="1" applyFill="1" applyAlignment="1">
      <alignment horizontal="center"/>
    </xf>
    <xf numFmtId="0" fontId="11" fillId="19" borderId="0" xfId="0" applyFont="1" applyFill="1" applyAlignment="1">
      <alignment horizontal="center"/>
    </xf>
    <xf numFmtId="165" fontId="0" fillId="19" borderId="0" xfId="0" applyNumberFormat="1" applyFill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48" fillId="0" borderId="0" xfId="0" applyFont="1" applyBorder="1"/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/>
    <xf numFmtId="0" fontId="48" fillId="0" borderId="0" xfId="0" applyFont="1" applyFill="1" applyBorder="1" applyAlignment="1">
      <alignment vertical="top"/>
    </xf>
    <xf numFmtId="0" fontId="48" fillId="21" borderId="0" xfId="0" applyFont="1" applyFill="1" applyBorder="1" applyAlignment="1">
      <alignment horizontal="center"/>
    </xf>
    <xf numFmtId="0" fontId="8" fillId="21" borderId="0" xfId="0" applyFont="1" applyFill="1" applyBorder="1" applyAlignment="1">
      <alignment horizontal="center"/>
    </xf>
    <xf numFmtId="0" fontId="8" fillId="21" borderId="0" xfId="0" applyFont="1" applyFill="1" applyBorder="1" applyAlignment="1">
      <alignment horizontal="center" vertical="center"/>
    </xf>
    <xf numFmtId="0" fontId="48" fillId="21" borderId="0" xfId="0" applyFont="1" applyFill="1" applyBorder="1"/>
    <xf numFmtId="0" fontId="48" fillId="21" borderId="14" xfId="0" applyFont="1" applyFill="1" applyBorder="1" applyAlignment="1">
      <alignment horizontal="center"/>
    </xf>
    <xf numFmtId="0" fontId="8" fillId="21" borderId="14" xfId="0" applyFont="1" applyFill="1" applyBorder="1" applyAlignment="1">
      <alignment horizontal="center"/>
    </xf>
    <xf numFmtId="0" fontId="48" fillId="0" borderId="14" xfId="0" applyFont="1" applyBorder="1"/>
    <xf numFmtId="0" fontId="0" fillId="0" borderId="14" xfId="0" applyBorder="1" applyAlignment="1">
      <alignment vertical="top"/>
    </xf>
    <xf numFmtId="0" fontId="41" fillId="16" borderId="9" xfId="0" applyFont="1" applyFill="1" applyBorder="1" applyAlignment="1">
      <alignment horizontal="center"/>
    </xf>
    <xf numFmtId="0" fontId="54" fillId="0" borderId="0" xfId="0" applyFont="1"/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0" fontId="41" fillId="0" borderId="1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40" fillId="8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40" fillId="4" borderId="11" xfId="0" applyFont="1" applyFill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0" fillId="4" borderId="19" xfId="0" applyFont="1" applyFill="1" applyBorder="1" applyAlignment="1">
      <alignment horizontal="center"/>
    </xf>
    <xf numFmtId="0" fontId="41" fillId="16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40" fillId="5" borderId="0" xfId="0" applyFont="1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40" fillId="16" borderId="11" xfId="0" applyFont="1" applyFill="1" applyBorder="1" applyAlignment="1">
      <alignment horizontal="center"/>
    </xf>
    <xf numFmtId="0" fontId="40" fillId="16" borderId="19" xfId="0" applyFont="1" applyFill="1" applyBorder="1" applyAlignment="1">
      <alignment horizontal="center"/>
    </xf>
    <xf numFmtId="0" fontId="0" fillId="15" borderId="0" xfId="0" applyFill="1" applyBorder="1" applyAlignment="1">
      <alignment horizontal="center"/>
    </xf>
    <xf numFmtId="0" fontId="40" fillId="15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40" fillId="6" borderId="11" xfId="0" applyFont="1" applyFill="1" applyBorder="1" applyAlignment="1">
      <alignment horizontal="center"/>
    </xf>
    <xf numFmtId="0" fontId="40" fillId="6" borderId="19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40" fillId="10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0" fillId="2" borderId="11" xfId="0" applyFont="1" applyFill="1" applyBorder="1" applyAlignment="1">
      <alignment horizontal="center"/>
    </xf>
    <xf numFmtId="0" fontId="40" fillId="2" borderId="19" xfId="0" applyFont="1" applyFill="1" applyBorder="1" applyAlignment="1">
      <alignment horizontal="center"/>
    </xf>
    <xf numFmtId="0" fontId="2" fillId="0" borderId="5" xfId="0" applyFont="1" applyBorder="1"/>
    <xf numFmtId="0" fontId="9" fillId="0" borderId="5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13" fillId="22" borderId="4" xfId="0" applyFont="1" applyFill="1" applyBorder="1" applyAlignment="1">
      <alignment horizontal="center"/>
    </xf>
    <xf numFmtId="0" fontId="2" fillId="22" borderId="0" xfId="0" applyFont="1" applyFill="1" applyBorder="1" applyAlignment="1">
      <alignment horizontal="center"/>
    </xf>
    <xf numFmtId="0" fontId="13" fillId="22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33" fillId="21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43" fillId="21" borderId="14" xfId="0" applyFont="1" applyFill="1" applyBorder="1" applyAlignment="1">
      <alignment horizontal="center"/>
    </xf>
    <xf numFmtId="0" fontId="43" fillId="21" borderId="0" xfId="0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3" fillId="0" borderId="14" xfId="0" applyFont="1" applyBorder="1" applyAlignment="1">
      <alignment horizontal="center"/>
    </xf>
    <xf numFmtId="0" fontId="41" fillId="15" borderId="9" xfId="0" applyFont="1" applyFill="1" applyBorder="1" applyAlignment="1">
      <alignment horizontal="center"/>
    </xf>
    <xf numFmtId="0" fontId="41" fillId="6" borderId="9" xfId="0" applyFont="1" applyFill="1" applyBorder="1" applyAlignment="1">
      <alignment horizontal="center"/>
    </xf>
    <xf numFmtId="0" fontId="41" fillId="6" borderId="19" xfId="0" applyFont="1" applyFill="1" applyBorder="1" applyAlignment="1">
      <alignment horizontal="center"/>
    </xf>
    <xf numFmtId="0" fontId="41" fillId="10" borderId="9" xfId="0" applyFont="1" applyFill="1" applyBorder="1" applyAlignment="1">
      <alignment horizontal="center"/>
    </xf>
    <xf numFmtId="0" fontId="41" fillId="2" borderId="9" xfId="0" applyFont="1" applyFill="1" applyBorder="1" applyAlignment="1">
      <alignment horizontal="center"/>
    </xf>
    <xf numFmtId="0" fontId="41" fillId="2" borderId="19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57" fillId="17" borderId="14" xfId="0" applyFont="1" applyFill="1" applyBorder="1" applyAlignment="1">
      <alignment horizontal="center" vertical="center"/>
    </xf>
    <xf numFmtId="0" fontId="57" fillId="17" borderId="0" xfId="0" applyFont="1" applyFill="1" applyBorder="1" applyAlignment="1">
      <alignment horizontal="center" vertical="center"/>
    </xf>
    <xf numFmtId="0" fontId="57" fillId="17" borderId="11" xfId="0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3" fillId="0" borderId="0" xfId="0" applyFont="1" applyAlignment="1">
      <alignment horizontal="left"/>
    </xf>
    <xf numFmtId="0" fontId="41" fillId="8" borderId="9" xfId="0" applyFont="1" applyFill="1" applyBorder="1" applyAlignment="1">
      <alignment horizontal="center"/>
    </xf>
    <xf numFmtId="0" fontId="41" fillId="4" borderId="9" xfId="0" applyFont="1" applyFill="1" applyBorder="1" applyAlignment="1">
      <alignment horizontal="center"/>
    </xf>
    <xf numFmtId="0" fontId="41" fillId="4" borderId="19" xfId="0" applyFont="1" applyFill="1" applyBorder="1" applyAlignment="1">
      <alignment horizontal="center"/>
    </xf>
    <xf numFmtId="0" fontId="41" fillId="5" borderId="9" xfId="0" applyFont="1" applyFill="1" applyBorder="1" applyAlignment="1">
      <alignment horizontal="center"/>
    </xf>
    <xf numFmtId="0" fontId="41" fillId="16" borderId="9" xfId="0" applyFont="1" applyFill="1" applyBorder="1" applyAlignment="1">
      <alignment horizontal="center"/>
    </xf>
    <xf numFmtId="0" fontId="41" fillId="16" borderId="19" xfId="0" applyFont="1" applyFill="1" applyBorder="1" applyAlignment="1">
      <alignment horizontal="center"/>
    </xf>
    <xf numFmtId="0" fontId="56" fillId="18" borderId="14" xfId="0" applyFont="1" applyFill="1" applyBorder="1" applyAlignment="1">
      <alignment horizontal="center" vertical="center"/>
    </xf>
    <xf numFmtId="0" fontId="56" fillId="18" borderId="0" xfId="0" applyFont="1" applyFill="1" applyBorder="1" applyAlignment="1">
      <alignment horizontal="center" vertical="center"/>
    </xf>
    <xf numFmtId="0" fontId="56" fillId="18" borderId="11" xfId="0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5" fillId="0" borderId="2" xfId="0" applyFont="1" applyBorder="1" applyAlignment="1"/>
    <xf numFmtId="0" fontId="5" fillId="0" borderId="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5" fillId="0" borderId="3" xfId="0" applyFont="1" applyBorder="1" applyAlignment="1"/>
    <xf numFmtId="0" fontId="3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5" fillId="0" borderId="0" xfId="0" applyFont="1" applyBorder="1" applyAlignment="1"/>
    <xf numFmtId="0" fontId="55" fillId="0" borderId="11" xfId="0" applyFont="1" applyBorder="1" applyAlignment="1">
      <alignment horizontal="center"/>
    </xf>
    <xf numFmtId="0" fontId="5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CCFF"/>
      <color rgb="FFCC99FF"/>
      <color rgb="FFCC66FF"/>
      <color rgb="FF99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9"/>
  <sheetViews>
    <sheetView zoomScale="85" zoomScaleNormal="85" workbookViewId="0">
      <selection activeCell="H40" sqref="H40"/>
    </sheetView>
  </sheetViews>
  <sheetFormatPr defaultColWidth="9.140625" defaultRowHeight="12.75" x14ac:dyDescent="0.2"/>
  <cols>
    <col min="1" max="1" width="9.140625" style="1"/>
    <col min="2" max="2" width="10.5703125" style="1" customWidth="1"/>
    <col min="3" max="3" width="9.140625" style="1"/>
    <col min="4" max="5" width="10" style="1" bestFit="1" customWidth="1"/>
    <col min="6" max="6" width="12" style="1" customWidth="1"/>
    <col min="7" max="7" width="9.140625" style="1"/>
    <col min="8" max="8" width="13.28515625" style="1" customWidth="1"/>
    <col min="9" max="9" width="14.42578125" style="1" customWidth="1"/>
    <col min="10" max="15" width="9.140625" style="1"/>
    <col min="16" max="16" width="15.140625" style="1" bestFit="1" customWidth="1"/>
    <col min="17" max="17" width="12.140625" style="1" customWidth="1"/>
    <col min="18" max="18" width="9.140625" style="1"/>
    <col min="19" max="19" width="14.140625" style="1" customWidth="1"/>
    <col min="20" max="20" width="15.140625" style="1" customWidth="1"/>
    <col min="21" max="25" width="9.140625" style="1"/>
    <col min="26" max="26" width="8.7109375" style="1" customWidth="1"/>
    <col min="27" max="27" width="13.28515625" style="1" customWidth="1"/>
    <col min="28" max="28" width="9.140625" style="1"/>
    <col min="29" max="29" width="12.140625" style="1" customWidth="1"/>
    <col min="30" max="30" width="14.85546875" style="1" customWidth="1"/>
    <col min="31" max="16384" width="9.140625" style="1"/>
  </cols>
  <sheetData>
    <row r="1" spans="1:32" ht="15.75" x14ac:dyDescent="0.25">
      <c r="A1" s="284" t="s">
        <v>61</v>
      </c>
      <c r="B1" s="284"/>
      <c r="C1" s="284"/>
      <c r="D1" s="284"/>
      <c r="E1" s="284"/>
      <c r="F1" s="284"/>
      <c r="G1" s="284"/>
      <c r="H1" s="284"/>
      <c r="I1" s="28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.75" x14ac:dyDescent="0.25">
      <c r="A3" s="199" t="s">
        <v>0</v>
      </c>
      <c r="B3" s="200"/>
      <c r="C3" s="200"/>
      <c r="D3" s="200"/>
      <c r="E3" s="200"/>
      <c r="F3" s="200"/>
      <c r="G3" s="200"/>
      <c r="H3" s="200"/>
      <c r="I3" s="201"/>
      <c r="J3" s="200"/>
      <c r="K3" s="200"/>
      <c r="L3" s="199" t="s">
        <v>1</v>
      </c>
      <c r="M3" s="200"/>
      <c r="N3" s="200"/>
      <c r="O3" s="200"/>
      <c r="P3" s="200"/>
      <c r="Q3" s="200"/>
      <c r="R3" s="200"/>
      <c r="S3" s="200"/>
      <c r="T3" s="201"/>
      <c r="U3" s="200"/>
      <c r="V3" s="199" t="s">
        <v>2</v>
      </c>
      <c r="W3" s="200"/>
      <c r="X3" s="200"/>
      <c r="Y3" s="200"/>
      <c r="Z3" s="200"/>
      <c r="AA3" s="200"/>
      <c r="AB3" s="200"/>
      <c r="AC3" s="200"/>
      <c r="AD3" s="201"/>
      <c r="AF3" s="3"/>
    </row>
    <row r="4" spans="1:32" x14ac:dyDescent="0.2">
      <c r="A4" s="202" t="s">
        <v>38</v>
      </c>
      <c r="B4" s="202" t="s">
        <v>14</v>
      </c>
      <c r="C4" s="202"/>
      <c r="D4" s="202" t="s">
        <v>43</v>
      </c>
      <c r="E4" s="202" t="s">
        <v>43</v>
      </c>
      <c r="F4" s="202" t="s">
        <v>17</v>
      </c>
      <c r="G4" s="202" t="s">
        <v>45</v>
      </c>
      <c r="H4" s="202"/>
      <c r="I4" s="203"/>
      <c r="J4" s="202"/>
      <c r="K4" s="202"/>
      <c r="L4" s="202" t="s">
        <v>38</v>
      </c>
      <c r="M4" s="202" t="s">
        <v>14</v>
      </c>
      <c r="N4" s="202"/>
      <c r="O4" s="202" t="s">
        <v>43</v>
      </c>
      <c r="P4" s="202" t="s">
        <v>43</v>
      </c>
      <c r="Q4" s="202" t="s">
        <v>17</v>
      </c>
      <c r="R4" s="202" t="s">
        <v>45</v>
      </c>
      <c r="S4" s="200"/>
      <c r="T4" s="203"/>
      <c r="U4" s="200"/>
      <c r="V4" s="202" t="s">
        <v>38</v>
      </c>
      <c r="W4" s="202" t="s">
        <v>14</v>
      </c>
      <c r="X4" s="202"/>
      <c r="Y4" s="202" t="s">
        <v>43</v>
      </c>
      <c r="Z4" s="202" t="s">
        <v>43</v>
      </c>
      <c r="AA4" s="202" t="s">
        <v>17</v>
      </c>
      <c r="AB4" s="202" t="s">
        <v>45</v>
      </c>
      <c r="AC4" s="200"/>
      <c r="AD4" s="203"/>
      <c r="AF4" s="3"/>
    </row>
    <row r="5" spans="1:32" x14ac:dyDescent="0.2">
      <c r="A5" s="200"/>
      <c r="B5" s="200"/>
      <c r="C5" s="200"/>
      <c r="D5" s="200"/>
      <c r="E5" s="200"/>
      <c r="F5" s="204"/>
      <c r="G5" s="205"/>
      <c r="H5" s="206" t="s">
        <v>47</v>
      </c>
      <c r="I5" s="207" t="s">
        <v>329</v>
      </c>
      <c r="J5" s="208"/>
      <c r="K5" s="200"/>
      <c r="L5" s="200"/>
      <c r="M5" s="200"/>
      <c r="N5" s="200"/>
      <c r="O5" s="200"/>
      <c r="P5" s="200"/>
      <c r="Q5" s="204"/>
      <c r="R5" s="209"/>
      <c r="S5" s="206" t="s">
        <v>47</v>
      </c>
      <c r="T5" s="207" t="s">
        <v>329</v>
      </c>
      <c r="U5" s="208"/>
      <c r="V5" s="200"/>
      <c r="W5" s="200"/>
      <c r="X5" s="200"/>
      <c r="Y5" s="200"/>
      <c r="Z5" s="200"/>
      <c r="AA5" s="204"/>
      <c r="AB5" s="209"/>
      <c r="AC5" s="206" t="s">
        <v>47</v>
      </c>
      <c r="AD5" s="207" t="s">
        <v>329</v>
      </c>
      <c r="AF5" s="3"/>
    </row>
    <row r="6" spans="1:32" x14ac:dyDescent="0.2">
      <c r="A6" s="200" t="s">
        <v>3</v>
      </c>
      <c r="B6" s="200" t="s">
        <v>15</v>
      </c>
      <c r="C6" s="200" t="s">
        <v>16</v>
      </c>
      <c r="D6" s="204">
        <v>1540000000</v>
      </c>
      <c r="E6" s="204">
        <v>1810000000</v>
      </c>
      <c r="F6" s="204">
        <f>(D6+E6+D7+E7+D8+E8)/6</f>
        <v>1313600000</v>
      </c>
      <c r="G6" s="210">
        <f>F6/4638700000</f>
        <v>0.28318278828119947</v>
      </c>
      <c r="H6" s="207">
        <f>SUM(G6:G9)</f>
        <v>0.38198302685378804</v>
      </c>
      <c r="I6" s="207">
        <f>H6+H13</f>
        <v>0.74034708000086225</v>
      </c>
      <c r="J6" s="211"/>
      <c r="K6" s="200"/>
      <c r="L6" s="200" t="s">
        <v>3</v>
      </c>
      <c r="M6" s="200" t="s">
        <v>15</v>
      </c>
      <c r="N6" s="200" t="s">
        <v>16</v>
      </c>
      <c r="O6" s="204">
        <v>725568000</v>
      </c>
      <c r="P6" s="204">
        <v>875557000</v>
      </c>
      <c r="Q6" s="204">
        <f>(O6+P6+O7+P7+O8+P8)/6</f>
        <v>576143000</v>
      </c>
      <c r="R6" s="210">
        <f>Q6/1761400000</f>
        <v>0.32709378903145225</v>
      </c>
      <c r="S6" s="207">
        <f>SUM(R6:R9)</f>
        <v>0.44974243972597555</v>
      </c>
      <c r="T6" s="207">
        <f>S6+S13</f>
        <v>0.81417915673138785</v>
      </c>
      <c r="U6" s="211"/>
      <c r="V6" s="200" t="s">
        <v>3</v>
      </c>
      <c r="W6" s="200" t="s">
        <v>15</v>
      </c>
      <c r="X6" s="200" t="s">
        <v>16</v>
      </c>
      <c r="Y6" s="204">
        <v>1520000000</v>
      </c>
      <c r="Z6" s="204">
        <v>1620000000</v>
      </c>
      <c r="AA6" s="204">
        <f>(Y6+Z6+Y7+Z7+Y8+Z8)/6</f>
        <v>1289095833.3333333</v>
      </c>
      <c r="AB6" s="210">
        <f>AA6/4580700000</f>
        <v>0.2814189607119727</v>
      </c>
      <c r="AC6" s="207">
        <f>SUM(AB6:AB9)</f>
        <v>0.37064313314558911</v>
      </c>
      <c r="AD6" s="207">
        <f>AC6+AC13</f>
        <v>0.75807322025018009</v>
      </c>
      <c r="AF6" s="3"/>
    </row>
    <row r="7" spans="1:32" x14ac:dyDescent="0.2">
      <c r="A7" s="200"/>
      <c r="B7" s="200" t="s">
        <v>330</v>
      </c>
      <c r="C7" s="200" t="s">
        <v>331</v>
      </c>
      <c r="D7" s="204">
        <v>1255700000</v>
      </c>
      <c r="E7" s="204">
        <v>1290000000</v>
      </c>
      <c r="F7" s="204"/>
      <c r="G7" s="210"/>
      <c r="H7" s="207"/>
      <c r="I7" s="207"/>
      <c r="J7" s="211"/>
      <c r="K7" s="200"/>
      <c r="L7" s="200"/>
      <c r="M7" s="200" t="s">
        <v>330</v>
      </c>
      <c r="N7" s="200" t="s">
        <v>331</v>
      </c>
      <c r="O7" s="204">
        <v>536670000</v>
      </c>
      <c r="P7" s="204">
        <v>431633000</v>
      </c>
      <c r="Q7" s="204"/>
      <c r="R7" s="210"/>
      <c r="S7" s="207"/>
      <c r="T7" s="207"/>
      <c r="U7" s="211"/>
      <c r="V7" s="200"/>
      <c r="W7" s="200" t="s">
        <v>330</v>
      </c>
      <c r="X7" s="200" t="s">
        <v>331</v>
      </c>
      <c r="Y7" s="204">
        <v>1320240000</v>
      </c>
      <c r="Z7" s="204">
        <v>1247745000</v>
      </c>
      <c r="AA7" s="204"/>
      <c r="AB7" s="210"/>
      <c r="AC7" s="207"/>
      <c r="AD7" s="207"/>
      <c r="AF7" s="3"/>
    </row>
    <row r="8" spans="1:32" x14ac:dyDescent="0.2">
      <c r="A8" s="200"/>
      <c r="B8" s="200" t="s">
        <v>330</v>
      </c>
      <c r="C8" s="200" t="s">
        <v>332</v>
      </c>
      <c r="D8" s="204">
        <v>969900000</v>
      </c>
      <c r="E8" s="204">
        <v>1016000000</v>
      </c>
      <c r="F8" s="204"/>
      <c r="G8" s="210"/>
      <c r="H8" s="207"/>
      <c r="I8" s="207"/>
      <c r="J8" s="211"/>
      <c r="K8" s="200"/>
      <c r="L8" s="200"/>
      <c r="M8" s="200" t="s">
        <v>330</v>
      </c>
      <c r="N8" s="200" t="s">
        <v>332</v>
      </c>
      <c r="O8" s="204">
        <v>397430000</v>
      </c>
      <c r="P8" s="204">
        <v>490000000</v>
      </c>
      <c r="Q8" s="204"/>
      <c r="R8" s="210"/>
      <c r="S8" s="207"/>
      <c r="T8" s="207"/>
      <c r="U8" s="211"/>
      <c r="V8" s="200"/>
      <c r="W8" s="200" t="s">
        <v>330</v>
      </c>
      <c r="X8" s="200" t="s">
        <v>332</v>
      </c>
      <c r="Y8" s="204">
        <v>1034110000</v>
      </c>
      <c r="Z8" s="204">
        <v>992480000</v>
      </c>
      <c r="AA8" s="204"/>
      <c r="AB8" s="210"/>
      <c r="AC8" s="207"/>
      <c r="AD8" s="207"/>
      <c r="AF8" s="3"/>
    </row>
    <row r="9" spans="1:32" x14ac:dyDescent="0.2">
      <c r="A9" s="200" t="s">
        <v>4</v>
      </c>
      <c r="B9" s="200" t="s">
        <v>333</v>
      </c>
      <c r="C9" s="200" t="s">
        <v>334</v>
      </c>
      <c r="D9" s="204">
        <v>523000000</v>
      </c>
      <c r="E9" s="204">
        <v>586000000</v>
      </c>
      <c r="F9" s="204">
        <f>(D9+E9+D10+E10+D11+E11)/6</f>
        <v>458304666.66666669</v>
      </c>
      <c r="G9" s="210">
        <f t="shared" ref="G9:G30" si="0">F9/4638700000</f>
        <v>9.8800238572588586E-2</v>
      </c>
      <c r="H9" s="207"/>
      <c r="I9" s="207"/>
      <c r="J9" s="211"/>
      <c r="K9" s="200"/>
      <c r="L9" s="200" t="s">
        <v>4</v>
      </c>
      <c r="M9" s="200" t="s">
        <v>333</v>
      </c>
      <c r="N9" s="200" t="s">
        <v>334</v>
      </c>
      <c r="O9" s="204">
        <v>298600000</v>
      </c>
      <c r="P9" s="204">
        <v>298800000</v>
      </c>
      <c r="Q9" s="204">
        <f>(O9+P9+O10+P10+O11+P11)/6</f>
        <v>216033333.33333334</v>
      </c>
      <c r="R9" s="210">
        <f t="shared" ref="R9:R32" si="1">Q9/1761400000</f>
        <v>0.1226486506945233</v>
      </c>
      <c r="S9" s="207"/>
      <c r="T9" s="207"/>
      <c r="U9" s="211"/>
      <c r="V9" s="200" t="s">
        <v>4</v>
      </c>
      <c r="W9" s="200" t="s">
        <v>333</v>
      </c>
      <c r="X9" s="200" t="s">
        <v>334</v>
      </c>
      <c r="Y9" s="204">
        <v>467800000</v>
      </c>
      <c r="Z9" s="204">
        <v>808980000</v>
      </c>
      <c r="AA9" s="204">
        <f>(Y9+Z9+Y10+Z10+Y11+Z11)/6</f>
        <v>408709166.66666669</v>
      </c>
      <c r="AB9" s="210">
        <f t="shared" ref="AB9:AB30" si="2">AA9/4580700000</f>
        <v>8.9224172433616411E-2</v>
      </c>
      <c r="AC9" s="207"/>
      <c r="AD9" s="207"/>
      <c r="AF9" s="3"/>
    </row>
    <row r="10" spans="1:32" x14ac:dyDescent="0.2">
      <c r="A10" s="200"/>
      <c r="B10" s="200" t="s">
        <v>335</v>
      </c>
      <c r="C10" s="200" t="s">
        <v>333</v>
      </c>
      <c r="D10" s="204">
        <v>386400000</v>
      </c>
      <c r="E10" s="204">
        <v>467060000</v>
      </c>
      <c r="F10" s="204"/>
      <c r="G10" s="210"/>
      <c r="H10" s="207"/>
      <c r="I10" s="207"/>
      <c r="J10" s="211"/>
      <c r="K10" s="200"/>
      <c r="L10" s="200"/>
      <c r="M10" s="200" t="s">
        <v>335</v>
      </c>
      <c r="N10" s="200" t="s">
        <v>333</v>
      </c>
      <c r="O10" s="204">
        <v>144390000</v>
      </c>
      <c r="P10" s="204">
        <v>211710000</v>
      </c>
      <c r="Q10" s="204"/>
      <c r="R10" s="210"/>
      <c r="S10" s="207"/>
      <c r="T10" s="207"/>
      <c r="U10" s="211"/>
      <c r="V10" s="200"/>
      <c r="W10" s="200" t="s">
        <v>335</v>
      </c>
      <c r="X10" s="200" t="s">
        <v>333</v>
      </c>
      <c r="Y10" s="204">
        <v>258000000</v>
      </c>
      <c r="Z10" s="204">
        <v>269325000</v>
      </c>
      <c r="AA10" s="204"/>
      <c r="AB10" s="210"/>
      <c r="AC10" s="207"/>
      <c r="AD10" s="207"/>
      <c r="AF10" s="3"/>
    </row>
    <row r="11" spans="1:32" x14ac:dyDescent="0.2">
      <c r="A11" s="200"/>
      <c r="B11" s="200" t="s">
        <v>335</v>
      </c>
      <c r="C11" s="200" t="s">
        <v>336</v>
      </c>
      <c r="D11" s="204">
        <v>427188000</v>
      </c>
      <c r="E11" s="204">
        <v>360180000</v>
      </c>
      <c r="F11" s="204"/>
      <c r="G11" s="210"/>
      <c r="H11" s="207" t="s">
        <v>46</v>
      </c>
      <c r="I11" s="207"/>
      <c r="J11" s="211"/>
      <c r="K11" s="200"/>
      <c r="L11" s="200"/>
      <c r="M11" s="200" t="s">
        <v>335</v>
      </c>
      <c r="N11" s="200" t="s">
        <v>336</v>
      </c>
      <c r="O11" s="204">
        <v>177700000</v>
      </c>
      <c r="P11" s="204">
        <v>165000000</v>
      </c>
      <c r="Q11" s="204"/>
      <c r="R11" s="210"/>
      <c r="S11" s="207" t="s">
        <v>46</v>
      </c>
      <c r="T11" s="207"/>
      <c r="U11" s="211"/>
      <c r="V11" s="200"/>
      <c r="W11" s="200" t="s">
        <v>335</v>
      </c>
      <c r="X11" s="200" t="s">
        <v>336</v>
      </c>
      <c r="Y11" s="204">
        <v>295150000</v>
      </c>
      <c r="Z11" s="204">
        <v>353000000</v>
      </c>
      <c r="AA11" s="204"/>
      <c r="AB11" s="210"/>
      <c r="AC11" s="207" t="s">
        <v>46</v>
      </c>
      <c r="AD11" s="207"/>
      <c r="AF11" s="3"/>
    </row>
    <row r="12" spans="1:32" x14ac:dyDescent="0.2">
      <c r="A12" s="200"/>
      <c r="B12" s="200"/>
      <c r="C12" s="200"/>
      <c r="D12" s="200"/>
      <c r="E12" s="200"/>
      <c r="F12" s="204"/>
      <c r="G12" s="210"/>
      <c r="H12" s="207"/>
      <c r="I12" s="207"/>
      <c r="J12" s="211"/>
      <c r="K12" s="200"/>
      <c r="L12" s="200"/>
      <c r="M12" s="200"/>
      <c r="N12" s="200"/>
      <c r="O12" s="200"/>
      <c r="P12" s="200"/>
      <c r="Q12" s="204"/>
      <c r="R12" s="210"/>
      <c r="S12" s="207"/>
      <c r="T12" s="207"/>
      <c r="U12" s="211"/>
      <c r="V12" s="200"/>
      <c r="W12" s="200"/>
      <c r="X12" s="200"/>
      <c r="Y12" s="200"/>
      <c r="Z12" s="200"/>
      <c r="AA12" s="204"/>
      <c r="AB12" s="210"/>
      <c r="AC12" s="207"/>
      <c r="AD12" s="207"/>
      <c r="AF12" s="3"/>
    </row>
    <row r="13" spans="1:32" x14ac:dyDescent="0.2">
      <c r="A13" s="200" t="s">
        <v>5</v>
      </c>
      <c r="B13" s="200" t="s">
        <v>25</v>
      </c>
      <c r="C13" s="200" t="s">
        <v>24</v>
      </c>
      <c r="D13" s="204">
        <v>1297000000</v>
      </c>
      <c r="E13" s="204">
        <v>1080000000</v>
      </c>
      <c r="F13" s="204">
        <f>(D13+E13+D14+E14)/6</f>
        <v>983268333.33333337</v>
      </c>
      <c r="G13" s="210">
        <f>F13/4638700000</f>
        <v>0.21197066706907827</v>
      </c>
      <c r="H13" s="207">
        <f>SUM(G13:G15)</f>
        <v>0.35836405314707426</v>
      </c>
      <c r="I13" s="207"/>
      <c r="J13" s="211"/>
      <c r="K13" s="200"/>
      <c r="L13" s="200" t="s">
        <v>5</v>
      </c>
      <c r="M13" s="200" t="s">
        <v>25</v>
      </c>
      <c r="N13" s="200" t="s">
        <v>24</v>
      </c>
      <c r="O13" s="204">
        <v>562100000</v>
      </c>
      <c r="P13" s="204">
        <v>513600000</v>
      </c>
      <c r="Q13" s="204">
        <f>(O13+P13+O14+P14)/6</f>
        <v>384787833.33333331</v>
      </c>
      <c r="R13" s="210">
        <f t="shared" si="1"/>
        <v>0.21845567919458006</v>
      </c>
      <c r="S13" s="207">
        <f>SUM(R13:R15)</f>
        <v>0.36443671700541236</v>
      </c>
      <c r="T13" s="207"/>
      <c r="U13" s="211"/>
      <c r="V13" s="200" t="s">
        <v>5</v>
      </c>
      <c r="W13" s="200" t="s">
        <v>25</v>
      </c>
      <c r="X13" s="200" t="s">
        <v>24</v>
      </c>
      <c r="Y13" s="204">
        <v>1750000000</v>
      </c>
      <c r="Z13" s="204">
        <v>1191700000</v>
      </c>
      <c r="AA13" s="204">
        <f>(Y13+Z13+Y14+Z14)/6</f>
        <v>1080783333.3333333</v>
      </c>
      <c r="AB13" s="210">
        <f t="shared" si="2"/>
        <v>0.23594283260928095</v>
      </c>
      <c r="AC13" s="207">
        <f>SUM(AB13:AB15)</f>
        <v>0.38743008710459098</v>
      </c>
      <c r="AD13" s="207"/>
      <c r="AF13" s="3"/>
    </row>
    <row r="14" spans="1:32" x14ac:dyDescent="0.2">
      <c r="A14" s="200"/>
      <c r="B14" s="200" t="s">
        <v>337</v>
      </c>
      <c r="C14" s="200" t="s">
        <v>338</v>
      </c>
      <c r="D14" s="204">
        <v>1800000000</v>
      </c>
      <c r="E14" s="204">
        <v>1722610000</v>
      </c>
      <c r="F14" s="204"/>
      <c r="G14" s="210"/>
      <c r="H14" s="207"/>
      <c r="I14" s="207"/>
      <c r="J14" s="211"/>
      <c r="K14" s="200"/>
      <c r="L14" s="200"/>
      <c r="M14" s="200" t="s">
        <v>337</v>
      </c>
      <c r="N14" s="200" t="s">
        <v>338</v>
      </c>
      <c r="O14" s="204">
        <v>596937000</v>
      </c>
      <c r="P14" s="204">
        <v>636090000</v>
      </c>
      <c r="Q14" s="204"/>
      <c r="R14" s="210"/>
      <c r="S14" s="207"/>
      <c r="T14" s="207"/>
      <c r="U14" s="211"/>
      <c r="V14" s="200"/>
      <c r="W14" s="200" t="s">
        <v>337</v>
      </c>
      <c r="X14" s="200" t="s">
        <v>338</v>
      </c>
      <c r="Y14" s="204">
        <v>1923000000</v>
      </c>
      <c r="Z14" s="204">
        <v>1620000000</v>
      </c>
      <c r="AA14" s="204"/>
      <c r="AB14" s="210"/>
      <c r="AC14" s="207"/>
      <c r="AD14" s="207"/>
      <c r="AF14" s="3"/>
    </row>
    <row r="15" spans="1:32" x14ac:dyDescent="0.2">
      <c r="A15" s="200" t="s">
        <v>6</v>
      </c>
      <c r="B15" s="200" t="s">
        <v>27</v>
      </c>
      <c r="C15" s="200" t="s">
        <v>26</v>
      </c>
      <c r="D15" s="204">
        <v>444000000</v>
      </c>
      <c r="E15" s="204">
        <v>880000000</v>
      </c>
      <c r="F15" s="204">
        <f>(D15+E15+D16+E16)/6</f>
        <v>679075000</v>
      </c>
      <c r="G15" s="210">
        <f t="shared" si="0"/>
        <v>0.14639338607799599</v>
      </c>
      <c r="H15" s="207"/>
      <c r="I15" s="207"/>
      <c r="J15" s="211"/>
      <c r="K15" s="200"/>
      <c r="L15" s="200" t="s">
        <v>6</v>
      </c>
      <c r="M15" s="200" t="s">
        <v>27</v>
      </c>
      <c r="N15" s="200" t="s">
        <v>26</v>
      </c>
      <c r="O15" s="204">
        <v>191776000</v>
      </c>
      <c r="P15" s="204">
        <v>359550000</v>
      </c>
      <c r="Q15" s="204">
        <f>(O15+P15+O16+P16)/6</f>
        <v>257131000</v>
      </c>
      <c r="R15" s="210">
        <f t="shared" si="1"/>
        <v>0.1459810378108323</v>
      </c>
      <c r="S15" s="207"/>
      <c r="T15" s="207"/>
      <c r="U15" s="211"/>
      <c r="V15" s="200" t="s">
        <v>6</v>
      </c>
      <c r="W15" s="200" t="s">
        <v>27</v>
      </c>
      <c r="X15" s="200" t="s">
        <v>26</v>
      </c>
      <c r="Y15" s="204">
        <v>536000000</v>
      </c>
      <c r="Z15" s="204">
        <v>1040000000</v>
      </c>
      <c r="AA15" s="204">
        <f>(Y15+Z15+Y16+Z16)/6</f>
        <v>693917666.66666663</v>
      </c>
      <c r="AB15" s="210">
        <f t="shared" si="2"/>
        <v>0.15148725449531003</v>
      </c>
      <c r="AC15" s="212"/>
      <c r="AD15" s="207"/>
      <c r="AF15" s="3"/>
    </row>
    <row r="16" spans="1:32" x14ac:dyDescent="0.2">
      <c r="A16" s="200"/>
      <c r="B16" s="200" t="s">
        <v>339</v>
      </c>
      <c r="C16" s="200" t="s">
        <v>340</v>
      </c>
      <c r="D16" s="204">
        <v>1579150000</v>
      </c>
      <c r="E16" s="204">
        <v>1171300000</v>
      </c>
      <c r="F16" s="204"/>
      <c r="G16" s="210"/>
      <c r="H16" s="207"/>
      <c r="I16" s="207"/>
      <c r="J16" s="211"/>
      <c r="K16" s="200"/>
      <c r="L16" s="200"/>
      <c r="M16" s="200" t="s">
        <v>339</v>
      </c>
      <c r="N16" s="200" t="s">
        <v>340</v>
      </c>
      <c r="O16" s="204">
        <v>540560000</v>
      </c>
      <c r="P16" s="204">
        <v>450900000</v>
      </c>
      <c r="Q16" s="204"/>
      <c r="R16" s="210"/>
      <c r="S16" s="207"/>
      <c r="T16" s="207"/>
      <c r="U16" s="211"/>
      <c r="V16" s="200"/>
      <c r="W16" s="200" t="s">
        <v>339</v>
      </c>
      <c r="X16" s="200" t="s">
        <v>340</v>
      </c>
      <c r="Y16" s="204">
        <v>1464500000</v>
      </c>
      <c r="Z16" s="204">
        <v>1123006000</v>
      </c>
      <c r="AA16" s="204"/>
      <c r="AB16" s="210"/>
      <c r="AC16" s="212"/>
      <c r="AD16" s="207"/>
      <c r="AF16" s="3"/>
    </row>
    <row r="17" spans="1:32" x14ac:dyDescent="0.2">
      <c r="A17" s="200"/>
      <c r="B17" s="200"/>
      <c r="C17" s="200"/>
      <c r="D17" s="204"/>
      <c r="E17" s="204"/>
      <c r="F17" s="204"/>
      <c r="G17" s="210"/>
      <c r="H17" s="207" t="s">
        <v>48</v>
      </c>
      <c r="I17" s="207" t="s">
        <v>341</v>
      </c>
      <c r="J17" s="211"/>
      <c r="K17" s="200"/>
      <c r="L17" s="200"/>
      <c r="M17" s="200"/>
      <c r="N17" s="200"/>
      <c r="O17" s="204"/>
      <c r="P17" s="204"/>
      <c r="Q17" s="204"/>
      <c r="R17" s="210"/>
      <c r="S17" s="207" t="s">
        <v>48</v>
      </c>
      <c r="T17" s="207" t="s">
        <v>341</v>
      </c>
      <c r="U17" s="211"/>
      <c r="V17" s="200"/>
      <c r="W17" s="200"/>
      <c r="X17" s="200"/>
      <c r="Y17" s="204"/>
      <c r="Z17" s="204"/>
      <c r="AA17" s="204"/>
      <c r="AB17" s="210"/>
      <c r="AC17" s="212" t="s">
        <v>48</v>
      </c>
      <c r="AD17" s="207" t="s">
        <v>341</v>
      </c>
      <c r="AF17" s="3"/>
    </row>
    <row r="18" spans="1:32" x14ac:dyDescent="0.2">
      <c r="A18" s="200" t="s">
        <v>7</v>
      </c>
      <c r="B18" s="200" t="s">
        <v>20</v>
      </c>
      <c r="C18" s="200" t="s">
        <v>21</v>
      </c>
      <c r="D18" s="204">
        <v>372000000</v>
      </c>
      <c r="E18" s="204">
        <v>555000000</v>
      </c>
      <c r="F18" s="204">
        <f>(D18+E18)/2</f>
        <v>463500000</v>
      </c>
      <c r="G18" s="210">
        <f t="shared" si="0"/>
        <v>9.9920236273093752E-2</v>
      </c>
      <c r="H18" s="207">
        <f>SUM(G18:G20)</f>
        <v>0.16771940414340225</v>
      </c>
      <c r="I18" s="207">
        <f>H18+H22</f>
        <v>0.25426304783667841</v>
      </c>
      <c r="J18" s="211"/>
      <c r="K18" s="200"/>
      <c r="L18" s="200" t="s">
        <v>7</v>
      </c>
      <c r="M18" s="200" t="s">
        <v>20</v>
      </c>
      <c r="N18" s="200" t="s">
        <v>21</v>
      </c>
      <c r="O18" s="204">
        <v>120970000</v>
      </c>
      <c r="P18" s="204">
        <v>155590000</v>
      </c>
      <c r="Q18" s="204">
        <f t="shared" ref="Q18:Q20" si="3">(O18+P18)/2</f>
        <v>138280000</v>
      </c>
      <c r="R18" s="210">
        <f t="shared" si="1"/>
        <v>7.8505734075167477E-2</v>
      </c>
      <c r="S18" s="207">
        <f>SUM(R18:R20)</f>
        <v>0.13254967639377768</v>
      </c>
      <c r="T18" s="207">
        <f>S18+S22</f>
        <v>0.18012830702850008</v>
      </c>
      <c r="U18" s="211"/>
      <c r="V18" s="200" t="s">
        <v>7</v>
      </c>
      <c r="W18" s="200" t="s">
        <v>20</v>
      </c>
      <c r="X18" s="200" t="s">
        <v>21</v>
      </c>
      <c r="Y18" s="204">
        <v>320000000</v>
      </c>
      <c r="Z18" s="204">
        <v>310000000</v>
      </c>
      <c r="AA18" s="204">
        <f>(Y18+Z18)/2</f>
        <v>315000000</v>
      </c>
      <c r="AB18" s="210">
        <f t="shared" si="2"/>
        <v>6.876678236950684E-2</v>
      </c>
      <c r="AC18" s="207">
        <f>SUM(AB18:AB20)</f>
        <v>0.10369375859584778</v>
      </c>
      <c r="AD18" s="207">
        <f>AC18+AC22</f>
        <v>0.118431680747484</v>
      </c>
      <c r="AF18" s="3"/>
    </row>
    <row r="19" spans="1:32" x14ac:dyDescent="0.2">
      <c r="A19" s="200" t="s">
        <v>9</v>
      </c>
      <c r="B19" s="200" t="s">
        <v>18</v>
      </c>
      <c r="C19" s="200" t="s">
        <v>19</v>
      </c>
      <c r="D19" s="204">
        <v>108000000</v>
      </c>
      <c r="E19" s="204">
        <v>71000000</v>
      </c>
      <c r="F19" s="204">
        <f t="shared" ref="F19:F24" si="4">(D19+E19)/2</f>
        <v>89500000</v>
      </c>
      <c r="G19" s="210">
        <f t="shared" si="0"/>
        <v>1.9294198805699873E-2</v>
      </c>
      <c r="H19" s="207"/>
      <c r="I19" s="207"/>
      <c r="J19" s="211"/>
      <c r="K19" s="200"/>
      <c r="L19" s="200" t="s">
        <v>9</v>
      </c>
      <c r="M19" s="200" t="s">
        <v>18</v>
      </c>
      <c r="N19" s="200" t="s">
        <v>19</v>
      </c>
      <c r="O19" s="204">
        <v>41786000</v>
      </c>
      <c r="P19" s="204">
        <v>13245000</v>
      </c>
      <c r="Q19" s="204">
        <f t="shared" si="3"/>
        <v>27515500</v>
      </c>
      <c r="R19" s="210">
        <f t="shared" si="1"/>
        <v>1.5621380719881912E-2</v>
      </c>
      <c r="S19" s="207"/>
      <c r="T19" s="207"/>
      <c r="U19" s="211"/>
      <c r="V19" s="200" t="s">
        <v>9</v>
      </c>
      <c r="W19" s="200" t="s">
        <v>18</v>
      </c>
      <c r="X19" s="200" t="s">
        <v>19</v>
      </c>
      <c r="Y19" s="200"/>
      <c r="Z19" s="200"/>
      <c r="AA19" s="204"/>
      <c r="AB19" s="210"/>
      <c r="AC19" s="212"/>
      <c r="AD19" s="207"/>
      <c r="AF19" s="3"/>
    </row>
    <row r="20" spans="1:32" x14ac:dyDescent="0.2">
      <c r="A20" s="200" t="s">
        <v>8</v>
      </c>
      <c r="B20" s="200" t="s">
        <v>22</v>
      </c>
      <c r="C20" s="200" t="s">
        <v>23</v>
      </c>
      <c r="D20" s="204">
        <v>240000000</v>
      </c>
      <c r="E20" s="204">
        <v>210000000</v>
      </c>
      <c r="F20" s="204">
        <f t="shared" si="4"/>
        <v>225000000</v>
      </c>
      <c r="G20" s="210">
        <f t="shared" si="0"/>
        <v>4.8504969064608619E-2</v>
      </c>
      <c r="H20" s="207"/>
      <c r="I20" s="207"/>
      <c r="J20" s="211"/>
      <c r="K20" s="200"/>
      <c r="L20" s="200" t="s">
        <v>8</v>
      </c>
      <c r="M20" s="200" t="s">
        <v>22</v>
      </c>
      <c r="N20" s="200" t="s">
        <v>23</v>
      </c>
      <c r="O20" s="204">
        <v>61734000</v>
      </c>
      <c r="P20" s="204">
        <v>73621000</v>
      </c>
      <c r="Q20" s="204">
        <f t="shared" si="3"/>
        <v>67677500</v>
      </c>
      <c r="R20" s="210">
        <f t="shared" si="1"/>
        <v>3.8422561598728283E-2</v>
      </c>
      <c r="S20" s="207"/>
      <c r="T20" s="207"/>
      <c r="U20" s="211"/>
      <c r="V20" s="200" t="s">
        <v>8</v>
      </c>
      <c r="W20" s="200" t="s">
        <v>22</v>
      </c>
      <c r="X20" s="200" t="s">
        <v>23</v>
      </c>
      <c r="Y20" s="204">
        <v>175000000</v>
      </c>
      <c r="Z20" s="204">
        <v>144980000</v>
      </c>
      <c r="AA20" s="204">
        <f>(Y20+Z20)/2</f>
        <v>159990000</v>
      </c>
      <c r="AB20" s="210">
        <f t="shared" si="2"/>
        <v>3.4926976226340951E-2</v>
      </c>
      <c r="AC20" s="212"/>
      <c r="AD20" s="207"/>
      <c r="AF20" s="3"/>
    </row>
    <row r="21" spans="1:32" x14ac:dyDescent="0.2">
      <c r="A21" s="200"/>
      <c r="B21" s="200"/>
      <c r="C21" s="200"/>
      <c r="D21" s="204"/>
      <c r="E21" s="204"/>
      <c r="F21" s="204"/>
      <c r="G21" s="210"/>
      <c r="H21" s="207" t="s">
        <v>49</v>
      </c>
      <c r="I21" s="207"/>
      <c r="J21" s="211"/>
      <c r="K21" s="200"/>
      <c r="L21" s="200"/>
      <c r="M21" s="200"/>
      <c r="N21" s="200"/>
      <c r="O21" s="204"/>
      <c r="P21" s="204"/>
      <c r="Q21" s="204"/>
      <c r="R21" s="210"/>
      <c r="S21" s="207" t="s">
        <v>49</v>
      </c>
      <c r="T21" s="207"/>
      <c r="U21" s="211"/>
      <c r="V21" s="200"/>
      <c r="W21" s="200"/>
      <c r="X21" s="200"/>
      <c r="Y21" s="204"/>
      <c r="Z21" s="204"/>
      <c r="AA21" s="204"/>
      <c r="AB21" s="210"/>
      <c r="AC21" s="212" t="s">
        <v>49</v>
      </c>
      <c r="AD21" s="207"/>
      <c r="AF21" s="3"/>
    </row>
    <row r="22" spans="1:32" x14ac:dyDescent="0.2">
      <c r="A22" s="200" t="s">
        <v>10</v>
      </c>
      <c r="B22" s="200" t="s">
        <v>33</v>
      </c>
      <c r="C22" s="200" t="s">
        <v>34</v>
      </c>
      <c r="D22" s="204">
        <v>180400000</v>
      </c>
      <c r="E22" s="204">
        <v>150000000</v>
      </c>
      <c r="F22" s="204">
        <f>(D22+E22)/2</f>
        <v>165200000</v>
      </c>
      <c r="G22" s="210">
        <f t="shared" si="0"/>
        <v>3.5613426175437085E-2</v>
      </c>
      <c r="H22" s="207">
        <f>SUM(G22:G24)</f>
        <v>8.6543643693276134E-2</v>
      </c>
      <c r="I22" s="207"/>
      <c r="J22" s="211"/>
      <c r="K22" s="200"/>
      <c r="L22" s="200" t="s">
        <v>10</v>
      </c>
      <c r="M22" s="200" t="s">
        <v>33</v>
      </c>
      <c r="N22" s="200" t="s">
        <v>34</v>
      </c>
      <c r="O22" s="204">
        <v>42100000</v>
      </c>
      <c r="P22" s="204">
        <v>10590000</v>
      </c>
      <c r="Q22" s="204">
        <f t="shared" ref="Q22:Q24" si="5">(O22+P22)/2</f>
        <v>26345000</v>
      </c>
      <c r="R22" s="210">
        <f t="shared" si="1"/>
        <v>1.4956852503690247E-2</v>
      </c>
      <c r="S22" s="207">
        <f>SUM(R22:R25)</f>
        <v>4.7578630634722383E-2</v>
      </c>
      <c r="T22" s="207"/>
      <c r="U22" s="211"/>
      <c r="V22" s="200" t="s">
        <v>10</v>
      </c>
      <c r="W22" s="200" t="s">
        <v>33</v>
      </c>
      <c r="X22" s="200" t="s">
        <v>34</v>
      </c>
      <c r="Y22" s="200"/>
      <c r="Z22" s="200"/>
      <c r="AA22" s="204"/>
      <c r="AB22" s="210"/>
      <c r="AC22" s="207">
        <f>SUM(AB22:AB25)</f>
        <v>1.4737922151636213E-2</v>
      </c>
      <c r="AD22" s="207"/>
      <c r="AF22" s="3"/>
    </row>
    <row r="23" spans="1:32" x14ac:dyDescent="0.2">
      <c r="A23" s="200" t="s">
        <v>11</v>
      </c>
      <c r="B23" s="200" t="s">
        <v>342</v>
      </c>
      <c r="C23" s="200" t="s">
        <v>343</v>
      </c>
      <c r="D23" s="204">
        <v>134000000</v>
      </c>
      <c r="E23" s="204">
        <v>94800000</v>
      </c>
      <c r="F23" s="204">
        <f t="shared" si="4"/>
        <v>114400000</v>
      </c>
      <c r="G23" s="210">
        <f t="shared" si="0"/>
        <v>2.4662082048849895E-2</v>
      </c>
      <c r="H23" s="207"/>
      <c r="I23" s="207"/>
      <c r="J23" s="211"/>
      <c r="K23" s="200"/>
      <c r="L23" s="200" t="s">
        <v>11</v>
      </c>
      <c r="M23" s="200" t="s">
        <v>342</v>
      </c>
      <c r="N23" s="200" t="s">
        <v>343</v>
      </c>
      <c r="O23" s="204">
        <v>33560000</v>
      </c>
      <c r="P23" s="204">
        <v>9360000</v>
      </c>
      <c r="Q23" s="204">
        <f t="shared" si="5"/>
        <v>21460000</v>
      </c>
      <c r="R23" s="210">
        <f t="shared" si="1"/>
        <v>1.2183490405359373E-2</v>
      </c>
      <c r="S23" s="207"/>
      <c r="T23" s="207"/>
      <c r="U23" s="211"/>
      <c r="V23" s="200" t="s">
        <v>11</v>
      </c>
      <c r="W23" s="200" t="s">
        <v>342</v>
      </c>
      <c r="X23" s="200" t="s">
        <v>343</v>
      </c>
      <c r="Y23" s="204">
        <v>22190000</v>
      </c>
      <c r="Z23" s="204">
        <v>26830000</v>
      </c>
      <c r="AA23" s="204">
        <f>(Y23+Z23)/2</f>
        <v>24510000</v>
      </c>
      <c r="AB23" s="210">
        <f t="shared" si="2"/>
        <v>5.3507105900844846E-3</v>
      </c>
      <c r="AC23" s="212"/>
      <c r="AD23" s="207"/>
      <c r="AF23" s="3"/>
    </row>
    <row r="24" spans="1:32" x14ac:dyDescent="0.2">
      <c r="A24" s="200" t="s">
        <v>12</v>
      </c>
      <c r="B24" s="200" t="s">
        <v>344</v>
      </c>
      <c r="C24" s="200" t="s">
        <v>345</v>
      </c>
      <c r="D24" s="204">
        <v>125000000</v>
      </c>
      <c r="E24" s="204">
        <v>118700000</v>
      </c>
      <c r="F24" s="204">
        <f t="shared" si="4"/>
        <v>121850000</v>
      </c>
      <c r="G24" s="210">
        <f t="shared" si="0"/>
        <v>2.6268135468989158E-2</v>
      </c>
      <c r="H24" s="207"/>
      <c r="I24" s="207"/>
      <c r="J24" s="211"/>
      <c r="K24" s="200"/>
      <c r="L24" s="200" t="s">
        <v>12</v>
      </c>
      <c r="M24" s="200" t="s">
        <v>344</v>
      </c>
      <c r="N24" s="200" t="s">
        <v>345</v>
      </c>
      <c r="O24" s="204">
        <v>38500000</v>
      </c>
      <c r="P24" s="204">
        <v>33500000</v>
      </c>
      <c r="Q24" s="204">
        <f t="shared" si="5"/>
        <v>36000000</v>
      </c>
      <c r="R24" s="210">
        <f t="shared" si="1"/>
        <v>2.0438287725672761E-2</v>
      </c>
      <c r="S24" s="207"/>
      <c r="T24" s="207"/>
      <c r="U24" s="211"/>
      <c r="V24" s="200" t="s">
        <v>12</v>
      </c>
      <c r="W24" s="200" t="s">
        <v>344</v>
      </c>
      <c r="X24" s="200" t="s">
        <v>345</v>
      </c>
      <c r="Y24" s="200"/>
      <c r="Z24" s="200"/>
      <c r="AA24" s="204"/>
      <c r="AB24" s="210"/>
      <c r="AC24" s="212"/>
      <c r="AD24" s="207"/>
      <c r="AF24" s="3"/>
    </row>
    <row r="25" spans="1:32" x14ac:dyDescent="0.2">
      <c r="A25" s="200" t="s">
        <v>13</v>
      </c>
      <c r="B25" s="200" t="s">
        <v>31</v>
      </c>
      <c r="C25" s="200" t="s">
        <v>32</v>
      </c>
      <c r="D25" s="200"/>
      <c r="E25" s="200"/>
      <c r="F25" s="204"/>
      <c r="G25" s="210"/>
      <c r="H25" s="207"/>
      <c r="I25" s="207"/>
      <c r="J25" s="211"/>
      <c r="K25" s="200"/>
      <c r="L25" s="200" t="s">
        <v>13</v>
      </c>
      <c r="M25" s="200" t="s">
        <v>31</v>
      </c>
      <c r="N25" s="200" t="s">
        <v>32</v>
      </c>
      <c r="O25" s="204"/>
      <c r="P25" s="204"/>
      <c r="Q25" s="204"/>
      <c r="R25" s="210"/>
      <c r="S25" s="207"/>
      <c r="T25" s="207"/>
      <c r="U25" s="211"/>
      <c r="V25" s="200" t="s">
        <v>13</v>
      </c>
      <c r="W25" s="200" t="s">
        <v>31</v>
      </c>
      <c r="X25" s="200" t="s">
        <v>32</v>
      </c>
      <c r="Y25" s="204">
        <v>57000000</v>
      </c>
      <c r="Z25" s="204">
        <v>29000000</v>
      </c>
      <c r="AA25" s="204">
        <f>(Y25+Z25)/2</f>
        <v>43000000</v>
      </c>
      <c r="AB25" s="210">
        <f t="shared" si="2"/>
        <v>9.3872115615517282E-3</v>
      </c>
      <c r="AC25" s="212"/>
      <c r="AD25" s="207"/>
      <c r="AF25" s="3"/>
    </row>
    <row r="26" spans="1:32" x14ac:dyDescent="0.2">
      <c r="A26" s="200"/>
      <c r="B26" s="200"/>
      <c r="C26" s="200"/>
      <c r="D26" s="200"/>
      <c r="E26" s="200"/>
      <c r="F26" s="204"/>
      <c r="G26" s="210"/>
      <c r="H26" s="207" t="s">
        <v>52</v>
      </c>
      <c r="I26" s="207" t="s">
        <v>52</v>
      </c>
      <c r="J26" s="211"/>
      <c r="K26" s="200"/>
      <c r="L26" s="200"/>
      <c r="M26" s="200"/>
      <c r="N26" s="200"/>
      <c r="O26" s="204"/>
      <c r="P26" s="204"/>
      <c r="Q26" s="204"/>
      <c r="R26" s="210"/>
      <c r="S26" s="207" t="s">
        <v>52</v>
      </c>
      <c r="T26" s="207" t="s">
        <v>52</v>
      </c>
      <c r="U26" s="211"/>
      <c r="V26" s="200"/>
      <c r="W26" s="200"/>
      <c r="X26" s="200"/>
      <c r="Y26" s="204"/>
      <c r="Z26" s="204"/>
      <c r="AA26" s="204"/>
      <c r="AB26" s="210"/>
      <c r="AC26" s="212" t="s">
        <v>52</v>
      </c>
      <c r="AD26" s="207" t="s">
        <v>52</v>
      </c>
      <c r="AF26" s="3"/>
    </row>
    <row r="27" spans="1:32" x14ac:dyDescent="0.2">
      <c r="A27" s="200" t="s">
        <v>51</v>
      </c>
      <c r="B27" s="200" t="s">
        <v>39</v>
      </c>
      <c r="C27" s="200" t="s">
        <v>40</v>
      </c>
      <c r="D27" s="200"/>
      <c r="E27" s="200"/>
      <c r="F27" s="200"/>
      <c r="G27" s="210"/>
      <c r="H27" s="207">
        <f>SUM(G27:G29)</f>
        <v>0</v>
      </c>
      <c r="I27" s="207">
        <f>H27+H28</f>
        <v>0</v>
      </c>
      <c r="J27" s="211"/>
      <c r="K27" s="200"/>
      <c r="L27" s="200" t="s">
        <v>51</v>
      </c>
      <c r="M27" s="200" t="s">
        <v>39</v>
      </c>
      <c r="N27" s="200" t="s">
        <v>40</v>
      </c>
      <c r="O27" s="204"/>
      <c r="P27" s="204"/>
      <c r="Q27" s="204">
        <f t="shared" ref="Q27:Q28" si="6">(O27+P27)/2</f>
        <v>0</v>
      </c>
      <c r="R27" s="210"/>
      <c r="S27" s="207">
        <f>SUM(R27:R29)</f>
        <v>0</v>
      </c>
      <c r="T27" s="207">
        <f>S27+S28</f>
        <v>0</v>
      </c>
      <c r="U27" s="211"/>
      <c r="V27" s="200" t="s">
        <v>51</v>
      </c>
      <c r="W27" s="200" t="s">
        <v>39</v>
      </c>
      <c r="X27" s="200" t="s">
        <v>40</v>
      </c>
      <c r="Y27" s="204">
        <v>319900000</v>
      </c>
      <c r="Z27" s="204">
        <v>246000000</v>
      </c>
      <c r="AA27" s="204">
        <f t="shared" ref="AA27:AA28" si="7">(Y27+Z27)/2</f>
        <v>282950000</v>
      </c>
      <c r="AB27" s="210">
        <f t="shared" si="2"/>
        <v>6.1770035147466547E-2</v>
      </c>
      <c r="AC27" s="207">
        <f>SUM(AB27:AB29)</f>
        <v>0.10496212369288538</v>
      </c>
      <c r="AD27" s="207">
        <f>AC27+AC28</f>
        <v>0.10496212369288538</v>
      </c>
      <c r="AF27" s="3"/>
    </row>
    <row r="28" spans="1:32" x14ac:dyDescent="0.2">
      <c r="A28" s="200"/>
      <c r="B28" s="200" t="s">
        <v>41</v>
      </c>
      <c r="C28" s="200" t="s">
        <v>42</v>
      </c>
      <c r="D28" s="200"/>
      <c r="E28" s="200"/>
      <c r="F28" s="200"/>
      <c r="G28" s="210"/>
      <c r="H28" s="210"/>
      <c r="I28" s="210"/>
      <c r="J28" s="200"/>
      <c r="K28" s="200"/>
      <c r="L28" s="200"/>
      <c r="M28" s="200" t="s">
        <v>41</v>
      </c>
      <c r="N28" s="200" t="s">
        <v>42</v>
      </c>
      <c r="O28" s="204"/>
      <c r="P28" s="204"/>
      <c r="Q28" s="204">
        <f t="shared" si="6"/>
        <v>0</v>
      </c>
      <c r="R28" s="210"/>
      <c r="S28" s="210"/>
      <c r="T28" s="210"/>
      <c r="U28" s="200"/>
      <c r="V28" s="200"/>
      <c r="W28" s="200" t="s">
        <v>41</v>
      </c>
      <c r="X28" s="200" t="s">
        <v>42</v>
      </c>
      <c r="Y28" s="204">
        <v>209700000</v>
      </c>
      <c r="Z28" s="204">
        <v>186000000</v>
      </c>
      <c r="AA28" s="204">
        <f t="shared" si="7"/>
        <v>197850000</v>
      </c>
      <c r="AB28" s="210">
        <f t="shared" si="2"/>
        <v>4.3192088545418825E-2</v>
      </c>
      <c r="AC28" s="205"/>
      <c r="AD28" s="210"/>
      <c r="AF28" s="3"/>
    </row>
    <row r="29" spans="1:32" x14ac:dyDescent="0.2">
      <c r="A29" s="200"/>
      <c r="B29" s="200"/>
      <c r="C29" s="200"/>
      <c r="D29" s="200"/>
      <c r="E29" s="200"/>
      <c r="F29" s="200"/>
      <c r="G29" s="210"/>
      <c r="H29" s="207" t="s">
        <v>50</v>
      </c>
      <c r="I29" s="207" t="s">
        <v>50</v>
      </c>
      <c r="J29" s="208"/>
      <c r="K29" s="200"/>
      <c r="L29" s="200"/>
      <c r="M29" s="200"/>
      <c r="N29" s="200"/>
      <c r="O29" s="200"/>
      <c r="P29" s="200"/>
      <c r="Q29" s="200"/>
      <c r="R29" s="210"/>
      <c r="S29" s="207" t="s">
        <v>50</v>
      </c>
      <c r="T29" s="207" t="s">
        <v>50</v>
      </c>
      <c r="U29" s="208"/>
      <c r="V29" s="200"/>
      <c r="W29" s="200"/>
      <c r="X29" s="200"/>
      <c r="Y29" s="200"/>
      <c r="Z29" s="200"/>
      <c r="AA29" s="200"/>
      <c r="AB29" s="210"/>
      <c r="AC29" s="206" t="s">
        <v>50</v>
      </c>
      <c r="AD29" s="207" t="s">
        <v>50</v>
      </c>
      <c r="AF29" s="3"/>
    </row>
    <row r="30" spans="1:32" x14ac:dyDescent="0.2">
      <c r="A30" s="200" t="s">
        <v>28</v>
      </c>
      <c r="B30" s="200" t="s">
        <v>29</v>
      </c>
      <c r="C30" s="200" t="s">
        <v>30</v>
      </c>
      <c r="D30" s="204">
        <v>25000000</v>
      </c>
      <c r="E30" s="204">
        <v>25000000</v>
      </c>
      <c r="F30" s="204">
        <f>(D30+E30)/2</f>
        <v>25000000</v>
      </c>
      <c r="G30" s="210">
        <f t="shared" si="0"/>
        <v>5.3894410071787351E-3</v>
      </c>
      <c r="H30" s="207">
        <f>G30</f>
        <v>5.3894410071787351E-3</v>
      </c>
      <c r="I30" s="207">
        <f>H30</f>
        <v>5.3894410071787351E-3</v>
      </c>
      <c r="J30" s="211"/>
      <c r="K30" s="200"/>
      <c r="L30" s="200" t="s">
        <v>28</v>
      </c>
      <c r="M30" s="200" t="s">
        <v>29</v>
      </c>
      <c r="N30" s="200" t="s">
        <v>30</v>
      </c>
      <c r="O30" s="204">
        <v>7000000</v>
      </c>
      <c r="P30" s="204">
        <v>13000000</v>
      </c>
      <c r="Q30" s="204">
        <f>(O30+P30)/2</f>
        <v>10000000</v>
      </c>
      <c r="R30" s="210">
        <f t="shared" si="1"/>
        <v>5.6773021460202111E-3</v>
      </c>
      <c r="S30" s="207">
        <f>R30</f>
        <v>5.6773021460202111E-3</v>
      </c>
      <c r="T30" s="207">
        <f>S30</f>
        <v>5.6773021460202111E-3</v>
      </c>
      <c r="U30" s="211"/>
      <c r="V30" s="200" t="s">
        <v>28</v>
      </c>
      <c r="W30" s="200" t="s">
        <v>29</v>
      </c>
      <c r="X30" s="200" t="s">
        <v>30</v>
      </c>
      <c r="Y30" s="204">
        <v>103000000</v>
      </c>
      <c r="Z30" s="204">
        <v>66800000</v>
      </c>
      <c r="AA30" s="204">
        <f>(Y30+Z30)/2</f>
        <v>84900000</v>
      </c>
      <c r="AB30" s="210">
        <f t="shared" si="2"/>
        <v>1.8534285152924226E-2</v>
      </c>
      <c r="AC30" s="207">
        <f>AB30</f>
        <v>1.8534285152924226E-2</v>
      </c>
      <c r="AD30" s="207">
        <f>AC30</f>
        <v>1.8534285152924226E-2</v>
      </c>
      <c r="AF30" s="3"/>
    </row>
    <row r="31" spans="1:32" x14ac:dyDescent="0.2">
      <c r="A31" s="200"/>
      <c r="B31" s="200"/>
      <c r="C31" s="200"/>
      <c r="D31" s="200"/>
      <c r="E31" s="200"/>
      <c r="F31" s="200"/>
      <c r="G31" s="210"/>
      <c r="H31" s="210"/>
      <c r="I31" s="210"/>
      <c r="J31" s="200"/>
      <c r="K31" s="200"/>
      <c r="L31" s="200"/>
      <c r="M31" s="200"/>
      <c r="N31" s="200"/>
      <c r="O31" s="200"/>
      <c r="P31" s="200"/>
      <c r="Q31" s="200"/>
      <c r="R31" s="210"/>
      <c r="S31" s="210"/>
      <c r="T31" s="210"/>
      <c r="U31" s="200"/>
      <c r="V31" s="200"/>
      <c r="W31" s="200"/>
      <c r="X31" s="200"/>
      <c r="Y31" s="200"/>
      <c r="Z31" s="200"/>
      <c r="AA31" s="200"/>
      <c r="AB31" s="205"/>
      <c r="AC31" s="205"/>
      <c r="AD31" s="210"/>
      <c r="AF31" s="3"/>
    </row>
    <row r="32" spans="1:32" x14ac:dyDescent="0.2">
      <c r="A32" s="202" t="s">
        <v>44</v>
      </c>
      <c r="B32" s="200"/>
      <c r="C32" s="200"/>
      <c r="D32" s="200"/>
      <c r="E32" s="200"/>
      <c r="F32" s="213">
        <f>SUM(F6:F30)</f>
        <v>4638698000</v>
      </c>
      <c r="G32" s="205"/>
      <c r="H32" s="214">
        <f>SUM(H30+H27+H22+H18+H13+H6)</f>
        <v>0.99999956884471941</v>
      </c>
      <c r="I32" s="210">
        <f>SUM(I30+I27+I18+I6)</f>
        <v>0.99999956884471941</v>
      </c>
      <c r="J32" s="215"/>
      <c r="K32" s="200"/>
      <c r="L32" s="200"/>
      <c r="M32" s="200"/>
      <c r="N32" s="200"/>
      <c r="O32" s="200"/>
      <c r="P32" s="200"/>
      <c r="Q32" s="213">
        <f>SUM(Q6:Q30)</f>
        <v>1761373166.6666667</v>
      </c>
      <c r="R32" s="210">
        <f t="shared" si="1"/>
        <v>0.99998476590590823</v>
      </c>
      <c r="S32" s="214">
        <f>SUM(S30+S27+S22+S18+S13+S6)</f>
        <v>0.99998476590590823</v>
      </c>
      <c r="T32" s="210">
        <f>SUM(T30+T27+T18+T6)</f>
        <v>0.99998476590590812</v>
      </c>
      <c r="U32" s="215"/>
      <c r="V32" s="200"/>
      <c r="W32" s="200"/>
      <c r="X32" s="200"/>
      <c r="Y32" s="200"/>
      <c r="Z32" s="200"/>
      <c r="AA32" s="213">
        <f>SUM(AA6:AA30)</f>
        <v>4580706000</v>
      </c>
      <c r="AB32" s="216">
        <f>SUM(AB6:AB30)</f>
        <v>1.0000013098434739</v>
      </c>
      <c r="AC32" s="214">
        <f>SUM(AC30+AC27+AC22+AC18+AC13+AC6)</f>
        <v>1.0000013098434737</v>
      </c>
      <c r="AD32" s="210">
        <f>SUM(AD30+AD27+AD18+AD6)</f>
        <v>1.0000013098434737</v>
      </c>
      <c r="AF32" s="3"/>
    </row>
    <row r="33" spans="1:32" x14ac:dyDescent="0.2">
      <c r="A33" s="200"/>
      <c r="B33" s="200"/>
      <c r="C33" s="200"/>
      <c r="D33" s="200"/>
      <c r="E33" s="200"/>
      <c r="F33" s="200"/>
      <c r="G33" s="200"/>
      <c r="H33" s="200"/>
      <c r="I33" s="201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1"/>
      <c r="U33" s="200"/>
      <c r="V33" s="200"/>
      <c r="W33" s="200"/>
      <c r="X33" s="200"/>
      <c r="Y33" s="200"/>
      <c r="Z33" s="200"/>
      <c r="AA33" s="200"/>
      <c r="AB33" s="200"/>
      <c r="AC33" s="200"/>
      <c r="AD33" s="201"/>
      <c r="AF33" s="3"/>
    </row>
    <row r="34" spans="1:32" x14ac:dyDescent="0.2">
      <c r="A34" s="200" t="s">
        <v>37</v>
      </c>
      <c r="B34" s="200" t="s">
        <v>35</v>
      </c>
      <c r="C34" s="200" t="s">
        <v>36</v>
      </c>
      <c r="D34" s="204">
        <v>875000000</v>
      </c>
      <c r="E34" s="204">
        <v>1460000000</v>
      </c>
      <c r="F34" s="204">
        <f>(D34+E34)/2</f>
        <v>1167500000</v>
      </c>
      <c r="G34" s="200"/>
      <c r="H34" s="200"/>
      <c r="I34" s="201"/>
      <c r="J34" s="200"/>
      <c r="K34" s="200"/>
      <c r="L34" s="200" t="s">
        <v>37</v>
      </c>
      <c r="M34" s="200" t="s">
        <v>35</v>
      </c>
      <c r="N34" s="200" t="s">
        <v>36</v>
      </c>
      <c r="O34" s="200"/>
      <c r="P34" s="200"/>
      <c r="Q34" s="204"/>
      <c r="R34" s="204"/>
      <c r="S34" s="200"/>
      <c r="T34" s="201"/>
      <c r="U34" s="200"/>
      <c r="V34" s="200" t="s">
        <v>37</v>
      </c>
      <c r="W34" s="200" t="s">
        <v>35</v>
      </c>
      <c r="X34" s="200" t="s">
        <v>36</v>
      </c>
      <c r="Y34" s="200"/>
      <c r="Z34" s="200"/>
      <c r="AA34" s="204"/>
      <c r="AB34" s="204"/>
      <c r="AC34" s="200"/>
      <c r="AD34" s="201"/>
      <c r="AF34" s="3"/>
    </row>
    <row r="35" spans="1:3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33EF-E2F4-4F1B-AC4A-F182104A13B4}">
  <dimension ref="A1:AA56"/>
  <sheetViews>
    <sheetView zoomScale="70" zoomScaleNormal="70" workbookViewId="0">
      <selection activeCell="U15" sqref="U15"/>
    </sheetView>
  </sheetViews>
  <sheetFormatPr defaultColWidth="8.85546875" defaultRowHeight="15" x14ac:dyDescent="0.25"/>
  <sheetData>
    <row r="1" spans="1:22" s="2" customFormat="1" ht="19.5" x14ac:dyDescent="0.3">
      <c r="A1" s="5" t="s">
        <v>375</v>
      </c>
    </row>
    <row r="2" spans="1:22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2" ht="15.75" x14ac:dyDescent="0.25">
      <c r="A3" s="315" t="s">
        <v>201</v>
      </c>
      <c r="B3" s="315"/>
      <c r="C3" s="315"/>
      <c r="D3" s="31"/>
      <c r="E3" s="31"/>
      <c r="F3" s="32"/>
      <c r="G3" s="32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29"/>
      <c r="T3" s="36"/>
      <c r="U3" s="36"/>
      <c r="V3" s="2"/>
    </row>
    <row r="4" spans="1:22" x14ac:dyDescent="0.25">
      <c r="A4" s="37" t="s">
        <v>154</v>
      </c>
      <c r="B4" s="37" t="s">
        <v>181</v>
      </c>
      <c r="C4" s="37" t="s">
        <v>182</v>
      </c>
      <c r="D4" s="37" t="s">
        <v>183</v>
      </c>
      <c r="E4" s="37" t="s">
        <v>184</v>
      </c>
      <c r="F4" s="37" t="s">
        <v>185</v>
      </c>
      <c r="G4" s="37" t="s">
        <v>177</v>
      </c>
      <c r="H4" s="37" t="s">
        <v>174</v>
      </c>
      <c r="I4" s="37" t="s">
        <v>186</v>
      </c>
      <c r="J4" s="37" t="s">
        <v>157</v>
      </c>
      <c r="K4" s="37" t="s">
        <v>158</v>
      </c>
      <c r="L4" s="37" t="s">
        <v>161</v>
      </c>
      <c r="M4" s="38" t="s">
        <v>162</v>
      </c>
      <c r="N4" s="37" t="s">
        <v>164</v>
      </c>
      <c r="O4" s="37" t="s">
        <v>165</v>
      </c>
      <c r="P4" s="36"/>
      <c r="Q4" s="36"/>
      <c r="R4" s="36"/>
      <c r="S4" s="36"/>
      <c r="T4" s="36"/>
    </row>
    <row r="5" spans="1:22" x14ac:dyDescent="0.25">
      <c r="A5" s="33">
        <v>0</v>
      </c>
      <c r="B5" s="34">
        <v>0.95238095238095233</v>
      </c>
      <c r="C5" s="34">
        <v>0.98068059233107774</v>
      </c>
      <c r="D5" s="34">
        <v>0.97115664756725251</v>
      </c>
      <c r="E5" s="34">
        <v>1</v>
      </c>
      <c r="F5" s="34">
        <v>0.92489826119126906</v>
      </c>
      <c r="G5" s="34">
        <v>0.96172340834775916</v>
      </c>
      <c r="H5" s="34">
        <v>0.99029510794216669</v>
      </c>
      <c r="I5" s="34">
        <v>0.99700897308075787</v>
      </c>
      <c r="J5" s="34">
        <v>0.96339113680154143</v>
      </c>
      <c r="K5" s="34">
        <v>0.97276264591439687</v>
      </c>
      <c r="L5" s="34">
        <v>0.970295107942167</v>
      </c>
      <c r="M5" s="35">
        <v>0.97115664800000001</v>
      </c>
      <c r="N5" s="34">
        <v>0.98231827111984282</v>
      </c>
      <c r="O5" s="34">
        <v>1</v>
      </c>
      <c r="P5" s="36"/>
      <c r="Q5" s="36"/>
      <c r="R5" s="36"/>
      <c r="S5" s="36"/>
      <c r="T5" s="36"/>
    </row>
    <row r="6" spans="1:22" x14ac:dyDescent="0.25">
      <c r="A6" s="33">
        <v>0.1</v>
      </c>
      <c r="B6" s="34">
        <v>1</v>
      </c>
      <c r="C6" s="34">
        <v>1</v>
      </c>
      <c r="D6" s="34">
        <v>1</v>
      </c>
      <c r="E6" s="34">
        <v>0.97119999999999995</v>
      </c>
      <c r="F6" s="34">
        <v>1</v>
      </c>
      <c r="G6" s="34">
        <v>1</v>
      </c>
      <c r="H6" s="34">
        <v>1</v>
      </c>
      <c r="I6" s="34">
        <v>1</v>
      </c>
      <c r="J6" s="34">
        <v>1</v>
      </c>
      <c r="K6" s="34">
        <v>1</v>
      </c>
      <c r="L6" s="34">
        <v>1</v>
      </c>
      <c r="M6" s="35">
        <v>1</v>
      </c>
      <c r="N6" s="34">
        <v>1</v>
      </c>
      <c r="O6" s="34">
        <v>0.98070000000000002</v>
      </c>
      <c r="P6" s="36"/>
      <c r="Q6" s="36"/>
      <c r="R6" s="36"/>
      <c r="S6" s="36"/>
      <c r="T6" s="36"/>
    </row>
    <row r="7" spans="1:22" x14ac:dyDescent="0.25">
      <c r="A7" s="33">
        <v>0.3</v>
      </c>
      <c r="B7" s="34">
        <v>0.96171428571428574</v>
      </c>
      <c r="C7" s="34">
        <v>0.9340001961361184</v>
      </c>
      <c r="D7" s="34">
        <v>0.91589783432067595</v>
      </c>
      <c r="E7" s="34">
        <v>0.91590000000000005</v>
      </c>
      <c r="F7" s="34">
        <v>0.92489826119126906</v>
      </c>
      <c r="G7" s="34">
        <v>0.95239469128678578</v>
      </c>
      <c r="H7" s="34">
        <v>0.97118241235888292</v>
      </c>
      <c r="I7" s="34">
        <v>0.97118644067796622</v>
      </c>
      <c r="J7" s="34">
        <v>0.99036608863198461</v>
      </c>
      <c r="K7" s="34">
        <v>0.98054474708171202</v>
      </c>
      <c r="L7" s="34">
        <v>0.93394731630025751</v>
      </c>
      <c r="M7" s="35">
        <v>0.98499999999999999</v>
      </c>
      <c r="N7" s="34">
        <v>0.9711198428290766</v>
      </c>
      <c r="O7" s="34">
        <v>0.9617</v>
      </c>
      <c r="P7" s="36"/>
      <c r="Q7" s="36"/>
      <c r="R7" s="36"/>
      <c r="S7" s="36"/>
      <c r="T7" s="36"/>
    </row>
    <row r="8" spans="1:22" x14ac:dyDescent="0.25">
      <c r="A8" s="33">
        <v>0.5</v>
      </c>
      <c r="B8" s="34">
        <v>0.95238095238095233</v>
      </c>
      <c r="C8" s="34">
        <v>0.86388153378444643</v>
      </c>
      <c r="D8" s="34">
        <v>0.87229290084490618</v>
      </c>
      <c r="E8" s="34">
        <v>0.8982</v>
      </c>
      <c r="F8" s="34">
        <v>0.84711431742508336</v>
      </c>
      <c r="G8" s="34">
        <v>0.89824966339680712</v>
      </c>
      <c r="H8" s="34">
        <v>0.94315706080411965</v>
      </c>
      <c r="I8" s="34">
        <v>0.92492522432701896</v>
      </c>
      <c r="J8" s="34">
        <v>0.95934489402697498</v>
      </c>
      <c r="K8" s="34">
        <v>0.9523346303501945</v>
      </c>
      <c r="L8" s="34">
        <v>0.92592394533570999</v>
      </c>
      <c r="M8" s="35">
        <v>0.96173642800000003</v>
      </c>
      <c r="N8" s="34">
        <v>0.93398821218074657</v>
      </c>
      <c r="O8" s="34">
        <v>0.94310000000000005</v>
      </c>
      <c r="P8" s="36"/>
      <c r="Q8" s="36"/>
      <c r="R8" s="36"/>
      <c r="S8" s="36"/>
      <c r="T8" s="36"/>
    </row>
    <row r="9" spans="1:22" x14ac:dyDescent="0.25">
      <c r="A9" s="33">
        <v>1</v>
      </c>
      <c r="B9" s="34">
        <v>0.89819047619047621</v>
      </c>
      <c r="C9" s="34">
        <v>0.84711189565558498</v>
      </c>
      <c r="D9" s="34">
        <v>0.84713994367291434</v>
      </c>
      <c r="E9" s="34">
        <v>0.84709999999999996</v>
      </c>
      <c r="F9" s="34">
        <v>0.77589715131335557</v>
      </c>
      <c r="G9" s="34">
        <v>0.79120984804770145</v>
      </c>
      <c r="H9" s="34">
        <v>0.8981976629035453</v>
      </c>
      <c r="I9" s="34">
        <v>0.88085742771684949</v>
      </c>
      <c r="J9" s="34">
        <v>0.96175337186897869</v>
      </c>
      <c r="K9" s="34">
        <v>0.93394941634241235</v>
      </c>
      <c r="L9" s="34">
        <v>0.85541691424044364</v>
      </c>
      <c r="M9" s="35">
        <v>0.92492959100000005</v>
      </c>
      <c r="N9" s="34">
        <v>0.89823182711198424</v>
      </c>
      <c r="O9" s="34">
        <v>0.8982</v>
      </c>
      <c r="P9" s="36"/>
      <c r="Q9" s="36"/>
      <c r="R9" s="36"/>
      <c r="S9" s="36"/>
      <c r="T9" s="36"/>
    </row>
    <row r="10" spans="1:22" x14ac:dyDescent="0.25">
      <c r="A10" s="33">
        <v>1.5</v>
      </c>
      <c r="B10" s="34">
        <v>0.85542857142857143</v>
      </c>
      <c r="C10" s="34">
        <v>0.81474943610865935</v>
      </c>
      <c r="D10" s="34">
        <v>0.81470331164416809</v>
      </c>
      <c r="E10" s="34">
        <v>0.79900000000000004</v>
      </c>
      <c r="F10" s="34">
        <v>0.7246577876433592</v>
      </c>
      <c r="G10" s="34">
        <v>0.76841700326985962</v>
      </c>
      <c r="H10" s="34">
        <v>0.85541691424044364</v>
      </c>
      <c r="I10" s="34">
        <v>0.83080757726819554</v>
      </c>
      <c r="J10" s="34">
        <v>0.95240847784200389</v>
      </c>
      <c r="K10" s="34">
        <v>0.90700389105058365</v>
      </c>
      <c r="L10" s="34">
        <v>0.80679342444048319</v>
      </c>
      <c r="M10" s="35">
        <v>0.89822278300000002</v>
      </c>
      <c r="N10" s="34">
        <v>0.8554027504911591</v>
      </c>
      <c r="O10" s="34">
        <v>0.86380000000000001</v>
      </c>
      <c r="P10" s="36"/>
      <c r="Q10" s="36"/>
      <c r="R10" s="36"/>
      <c r="S10" s="36"/>
      <c r="T10" s="36"/>
    </row>
    <row r="11" spans="1:22" x14ac:dyDescent="0.25">
      <c r="A11" s="33">
        <v>2.2000000000000002</v>
      </c>
      <c r="B11" s="34">
        <v>0.81479999999999997</v>
      </c>
      <c r="C11" s="34">
        <v>0.73894282632146702</v>
      </c>
      <c r="D11" s="34">
        <v>0.7317665339419247</v>
      </c>
      <c r="E11" s="34">
        <v>0.78349999999999997</v>
      </c>
      <c r="F11" s="34">
        <v>0.62597114317425084</v>
      </c>
      <c r="G11" s="34">
        <v>0.71763800730909788</v>
      </c>
      <c r="H11" s="34">
        <v>0.80679342444048319</v>
      </c>
      <c r="I11" s="34">
        <v>0.76091724825523432</v>
      </c>
      <c r="J11" s="34">
        <v>0.92495183044315987</v>
      </c>
      <c r="K11" s="34">
        <v>0.88083657587548636</v>
      </c>
      <c r="L11" s="34">
        <v>0.73618736383442296</v>
      </c>
      <c r="M11" s="35">
        <v>0.87229290100000001</v>
      </c>
      <c r="N11" s="34">
        <v>0.80677799607072698</v>
      </c>
      <c r="O11" s="34">
        <v>0.82269999999999999</v>
      </c>
      <c r="P11" s="36"/>
      <c r="Q11" s="36"/>
      <c r="R11" s="36"/>
      <c r="S11" s="36"/>
      <c r="T11" s="36"/>
    </row>
    <row r="12" spans="1:22" x14ac:dyDescent="0.25">
      <c r="A12" s="33">
        <v>3</v>
      </c>
      <c r="B12" s="34">
        <v>0.79895238095238086</v>
      </c>
      <c r="C12" s="34">
        <v>0.69696969696969691</v>
      </c>
      <c r="D12" s="34">
        <v>0.68350004855783231</v>
      </c>
      <c r="E12" s="34">
        <v>0.69689999999999996</v>
      </c>
      <c r="F12" s="34">
        <v>0.60201627820939707</v>
      </c>
      <c r="G12" s="34">
        <v>0.61992690902096548</v>
      </c>
      <c r="H12" s="34">
        <v>0.76094276094276092</v>
      </c>
      <c r="I12" s="34">
        <v>0.71764705882352953</v>
      </c>
      <c r="J12" s="34">
        <v>0.90703275529865124</v>
      </c>
      <c r="K12" s="34">
        <v>0.83891050583657589</v>
      </c>
      <c r="L12" s="34">
        <v>0.69696969696969691</v>
      </c>
      <c r="M12" s="35">
        <v>0.83888511200000004</v>
      </c>
      <c r="N12" s="34">
        <v>0.76090373280943024</v>
      </c>
      <c r="O12" s="34">
        <v>0.79120000000000001</v>
      </c>
      <c r="P12" s="36"/>
      <c r="Q12" s="36"/>
      <c r="R12" s="36"/>
      <c r="S12" s="36"/>
      <c r="T12" s="36"/>
    </row>
    <row r="13" spans="1:22" x14ac:dyDescent="0.25">
      <c r="A13" s="33">
        <v>4</v>
      </c>
      <c r="B13" s="34">
        <v>0.73895238095238092</v>
      </c>
      <c r="C13" s="34">
        <v>0.65735020103952135</v>
      </c>
      <c r="D13" s="34">
        <v>0.62600757502185089</v>
      </c>
      <c r="E13" s="34">
        <v>0.67679999999999996</v>
      </c>
      <c r="F13" s="34">
        <v>0.55678875323714394</v>
      </c>
      <c r="G13" s="34">
        <v>0.56780150028851706</v>
      </c>
      <c r="H13" s="34">
        <v>0.71073479897009306</v>
      </c>
      <c r="I13" s="34">
        <v>0.66709870388833514</v>
      </c>
      <c r="J13" s="34">
        <v>0.88092485549132948</v>
      </c>
      <c r="K13" s="34">
        <v>0.79892996108949421</v>
      </c>
      <c r="L13" s="34">
        <v>0.63834422657952061</v>
      </c>
      <c r="M13" s="35">
        <v>0.80683694299999997</v>
      </c>
      <c r="N13" s="34">
        <v>0.72347740667976423</v>
      </c>
      <c r="O13" s="34">
        <v>0.75349999999999995</v>
      </c>
      <c r="P13" s="36"/>
      <c r="Q13" s="36"/>
      <c r="R13" s="36"/>
      <c r="S13" s="36"/>
      <c r="T13" s="36"/>
    </row>
    <row r="14" spans="1:22" x14ac:dyDescent="0.25">
      <c r="A14" s="33">
        <v>5.5</v>
      </c>
      <c r="B14" s="34">
        <v>0.63219047619047608</v>
      </c>
      <c r="C14" s="34">
        <v>0.51005197607139352</v>
      </c>
      <c r="D14" s="34">
        <v>0.49053122268621924</v>
      </c>
      <c r="E14" s="34">
        <v>0.47170000000000001</v>
      </c>
      <c r="F14" s="34">
        <v>0.41</v>
      </c>
      <c r="G14" s="34">
        <v>0.41152144643200611</v>
      </c>
      <c r="H14" s="34">
        <v>0.56783521489403843</v>
      </c>
      <c r="I14" s="34">
        <v>0.59920239282153542</v>
      </c>
      <c r="J14" s="34">
        <v>0.83892100192678232</v>
      </c>
      <c r="K14" s="34">
        <v>0.74620622568093387</v>
      </c>
      <c r="L14" s="34">
        <v>0.5846702317290553</v>
      </c>
      <c r="M14" s="35">
        <v>0.76837913999999996</v>
      </c>
      <c r="N14" s="34">
        <v>0.66257367387033395</v>
      </c>
      <c r="O14" s="34">
        <v>0.69689999999999996</v>
      </c>
      <c r="P14" s="36"/>
      <c r="Q14" s="36"/>
      <c r="R14" s="36"/>
      <c r="S14" s="36"/>
      <c r="T14" s="36"/>
    </row>
    <row r="15" spans="1:22" x14ac:dyDescent="0.25">
      <c r="A15" s="33">
        <v>7.5</v>
      </c>
      <c r="B15" s="34">
        <v>0.60790476190476184</v>
      </c>
      <c r="C15" s="34">
        <v>0.45807590467784642</v>
      </c>
      <c r="D15" s="34">
        <v>0.46712634747984844</v>
      </c>
      <c r="E15" s="34">
        <v>0.3957</v>
      </c>
      <c r="F15" s="34">
        <v>0.3589530151683315</v>
      </c>
      <c r="G15" s="34">
        <v>0.38805539526832084</v>
      </c>
      <c r="H15" s="34">
        <v>0.56783521489403843</v>
      </c>
      <c r="I15" s="34">
        <v>0.53300099700897308</v>
      </c>
      <c r="J15" s="34">
        <v>0.79123314065510597</v>
      </c>
      <c r="K15" s="34">
        <v>0.69017509727626458</v>
      </c>
      <c r="L15" s="34">
        <v>0.53555159437512367</v>
      </c>
      <c r="M15" s="35">
        <v>0.71768476299999995</v>
      </c>
      <c r="N15" s="34">
        <v>0.60098231827111981</v>
      </c>
      <c r="O15" s="34">
        <v>0.63829999999999998</v>
      </c>
      <c r="P15" s="36"/>
      <c r="Q15" s="36"/>
      <c r="R15" s="36"/>
      <c r="S15" s="36"/>
      <c r="T15" s="36"/>
    </row>
    <row r="16" spans="1:22" x14ac:dyDescent="0.25">
      <c r="A16" s="33">
        <v>10</v>
      </c>
      <c r="B16" s="34">
        <v>0.51</v>
      </c>
      <c r="C16" s="34">
        <v>0.42375208394625868</v>
      </c>
      <c r="D16" s="34">
        <v>0.40351558706419344</v>
      </c>
      <c r="E16" s="34">
        <v>0.32240000000000002</v>
      </c>
      <c r="F16" s="34">
        <v>0.29245283018867924</v>
      </c>
      <c r="G16" s="34">
        <v>0.34516253125601076</v>
      </c>
      <c r="H16" s="34">
        <v>0.49049316696375522</v>
      </c>
      <c r="I16" s="34">
        <v>0.47407776669990032</v>
      </c>
      <c r="J16" s="34">
        <v>0.73901734104046246</v>
      </c>
      <c r="K16" s="34">
        <v>0.62597276264591439</v>
      </c>
      <c r="L16" s="34">
        <v>0.46167755991285397</v>
      </c>
      <c r="M16" s="35">
        <v>0.66378556899999996</v>
      </c>
      <c r="N16" s="34">
        <v>0.53457760314341851</v>
      </c>
      <c r="O16" s="34">
        <v>0.56230000000000002</v>
      </c>
      <c r="P16" s="36"/>
      <c r="Q16" s="36"/>
      <c r="R16" s="36"/>
      <c r="S16" s="36"/>
      <c r="T16" s="36"/>
    </row>
    <row r="17" spans="1:27" x14ac:dyDescent="0.25">
      <c r="A17" s="33">
        <v>14</v>
      </c>
      <c r="B17" s="34">
        <v>0.43561904761904802</v>
      </c>
      <c r="C17" s="34">
        <v>0.33205844856330291</v>
      </c>
      <c r="D17" s="34">
        <v>0.32572593959405649</v>
      </c>
      <c r="E17" s="34">
        <v>0.2162</v>
      </c>
      <c r="F17" s="34">
        <v>0.18849426563078064</v>
      </c>
      <c r="G17" s="34">
        <v>0.28409309482592804</v>
      </c>
      <c r="H17" s="34">
        <v>0.41572588631412161</v>
      </c>
      <c r="I17" s="34">
        <v>0.40578265204386843</v>
      </c>
      <c r="J17" s="34">
        <v>0.68381502890173407</v>
      </c>
      <c r="K17" s="34">
        <v>0.56245136186770428</v>
      </c>
      <c r="L17" s="34">
        <v>0.41572588631412161</v>
      </c>
      <c r="M17" s="35">
        <v>0.60231135300000005</v>
      </c>
      <c r="N17" s="34">
        <v>0.46188605108055009</v>
      </c>
      <c r="O17" s="34">
        <v>0.4672</v>
      </c>
      <c r="P17" s="36"/>
      <c r="Q17" s="36"/>
      <c r="R17" s="36"/>
      <c r="S17" s="36"/>
      <c r="T17" s="36"/>
    </row>
    <row r="18" spans="1:27" x14ac:dyDescent="0.25">
      <c r="A18" s="33">
        <v>19</v>
      </c>
      <c r="B18" s="34">
        <v>0.35828571428571399</v>
      </c>
      <c r="C18" s="34">
        <v>0.32244777875845831</v>
      </c>
      <c r="D18" s="34">
        <v>0.28846265902690099</v>
      </c>
      <c r="E18" s="34">
        <v>0.20599999999999999</v>
      </c>
      <c r="F18" s="34">
        <v>0.19715501294857599</v>
      </c>
      <c r="G18" s="34">
        <v>0.22696672437007115</v>
      </c>
      <c r="H18" s="34">
        <v>0.33868092691622104</v>
      </c>
      <c r="I18" s="34">
        <v>0.34380857427716849</v>
      </c>
      <c r="J18" s="34">
        <v>0.61425818882466277</v>
      </c>
      <c r="K18" s="34">
        <v>0.48599221789883268</v>
      </c>
      <c r="L18" s="34">
        <v>0.3291740938799762</v>
      </c>
      <c r="M18" s="35">
        <v>0.55705545300000003</v>
      </c>
      <c r="N18" s="34">
        <v>0.3944990176817289</v>
      </c>
      <c r="O18" s="34">
        <v>0.36984</v>
      </c>
      <c r="P18" s="36"/>
      <c r="Q18" s="36"/>
      <c r="R18" s="36"/>
      <c r="S18" s="36"/>
      <c r="T18" s="36"/>
    </row>
    <row r="19" spans="1:27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2"/>
    </row>
    <row r="20" spans="1:27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2"/>
    </row>
    <row r="21" spans="1:27" ht="15.75" x14ac:dyDescent="0.25">
      <c r="A21" s="315" t="s">
        <v>200</v>
      </c>
      <c r="B21" s="315"/>
      <c r="C21" s="315"/>
      <c r="D21" s="31"/>
      <c r="E21" s="31"/>
      <c r="F21" s="32"/>
      <c r="G21" s="32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2"/>
    </row>
    <row r="22" spans="1:27" x14ac:dyDescent="0.25">
      <c r="A22" s="37" t="s">
        <v>154</v>
      </c>
      <c r="B22" s="37" t="s">
        <v>168</v>
      </c>
      <c r="C22" s="37" t="s">
        <v>187</v>
      </c>
      <c r="D22" s="37" t="s">
        <v>196</v>
      </c>
      <c r="E22" s="37" t="s">
        <v>197</v>
      </c>
      <c r="F22" s="37" t="s">
        <v>198</v>
      </c>
      <c r="G22" s="37" t="s">
        <v>173</v>
      </c>
      <c r="H22" s="37" t="s">
        <v>156</v>
      </c>
      <c r="I22" s="37" t="s">
        <v>186</v>
      </c>
      <c r="J22" s="37" t="s">
        <v>157</v>
      </c>
      <c r="K22" s="37" t="s">
        <v>158</v>
      </c>
      <c r="L22" s="37" t="s">
        <v>160</v>
      </c>
      <c r="M22" s="37" t="s">
        <v>161</v>
      </c>
      <c r="N22" s="37" t="s">
        <v>188</v>
      </c>
      <c r="O22" s="37" t="s">
        <v>164</v>
      </c>
      <c r="P22" s="37" t="s">
        <v>165</v>
      </c>
      <c r="Q22" s="36"/>
      <c r="R22" s="36"/>
      <c r="S22" s="36"/>
      <c r="T22" s="36"/>
      <c r="U22" s="2"/>
    </row>
    <row r="23" spans="1:27" x14ac:dyDescent="0.25">
      <c r="A23" s="33">
        <v>0</v>
      </c>
      <c r="B23" s="34">
        <v>0.96172340834775916</v>
      </c>
      <c r="C23" s="34">
        <v>0.98058442831927828</v>
      </c>
      <c r="D23" s="29">
        <v>1</v>
      </c>
      <c r="E23" s="29">
        <v>1</v>
      </c>
      <c r="F23" s="29">
        <v>1</v>
      </c>
      <c r="G23" s="34">
        <v>1</v>
      </c>
      <c r="H23" s="34">
        <v>0.96172340834775916</v>
      </c>
      <c r="I23" s="34">
        <v>0.98068059233107774</v>
      </c>
      <c r="J23" s="34">
        <v>0.96172340834775916</v>
      </c>
      <c r="K23" s="34">
        <v>0.97115664756725251</v>
      </c>
      <c r="L23" s="34">
        <v>0.98068059233107774</v>
      </c>
      <c r="M23" s="34">
        <v>0.99029510794216669</v>
      </c>
      <c r="N23" s="34">
        <v>0.96172340834775916</v>
      </c>
      <c r="O23" s="34">
        <v>0.97115664756725251</v>
      </c>
      <c r="P23" s="34">
        <v>0.96153846153846145</v>
      </c>
      <c r="Q23" s="36"/>
      <c r="R23" s="36"/>
      <c r="S23" s="36"/>
      <c r="T23" s="36"/>
      <c r="U23" s="2"/>
      <c r="Z23" s="28"/>
      <c r="AA23" s="28"/>
    </row>
    <row r="24" spans="1:27" x14ac:dyDescent="0.25">
      <c r="A24" s="33">
        <v>0.1</v>
      </c>
      <c r="B24" s="34">
        <v>1</v>
      </c>
      <c r="C24" s="34">
        <v>0.99990194155716805</v>
      </c>
      <c r="D24" s="29">
        <v>0.99965000000000004</v>
      </c>
      <c r="E24" s="29">
        <v>0.99650000000000005</v>
      </c>
      <c r="F24" s="29">
        <v>0.98070000000000002</v>
      </c>
      <c r="G24" s="34">
        <v>0.99029999999999996</v>
      </c>
      <c r="H24" s="34">
        <v>1</v>
      </c>
      <c r="I24" s="34">
        <v>1</v>
      </c>
      <c r="J24" s="34">
        <v>1</v>
      </c>
      <c r="K24" s="34">
        <v>1</v>
      </c>
      <c r="L24" s="34">
        <v>1</v>
      </c>
      <c r="M24" s="34">
        <v>1</v>
      </c>
      <c r="N24" s="34">
        <v>1</v>
      </c>
      <c r="O24" s="34">
        <v>1</v>
      </c>
      <c r="P24" s="34">
        <v>1</v>
      </c>
      <c r="Q24" s="36"/>
      <c r="R24" s="36"/>
      <c r="S24" s="36"/>
      <c r="T24" s="36"/>
      <c r="U24" s="2"/>
      <c r="Z24" s="26"/>
      <c r="AA24" s="26"/>
    </row>
    <row r="25" spans="1:27" x14ac:dyDescent="0.25">
      <c r="A25" s="33">
        <v>0.3</v>
      </c>
      <c r="B25" s="34">
        <v>0.97114829774956724</v>
      </c>
      <c r="C25" s="34">
        <v>0.95234359678368297</v>
      </c>
      <c r="D25" s="29">
        <v>0.95204999999999995</v>
      </c>
      <c r="E25" s="29">
        <v>0.98035000000000005</v>
      </c>
      <c r="F25" s="29">
        <v>0.94310000000000005</v>
      </c>
      <c r="G25" s="34">
        <v>0.92490000000000006</v>
      </c>
      <c r="H25" s="34">
        <v>0.97114829774956724</v>
      </c>
      <c r="I25" s="34">
        <v>0.95243699127194259</v>
      </c>
      <c r="J25" s="34">
        <v>0.97114829774956724</v>
      </c>
      <c r="K25" s="34">
        <v>0.96173642808585014</v>
      </c>
      <c r="L25" s="34">
        <v>0.95243699127194259</v>
      </c>
      <c r="M25" s="34">
        <v>0.93394731630025751</v>
      </c>
      <c r="N25" s="34">
        <v>0.97114829774956724</v>
      </c>
      <c r="O25" s="34">
        <v>0.97115664756725251</v>
      </c>
      <c r="P25" s="34">
        <v>0.98076923076923073</v>
      </c>
      <c r="Q25" s="36"/>
      <c r="R25" s="36"/>
      <c r="S25" s="36"/>
      <c r="T25" s="36"/>
      <c r="U25" s="2"/>
      <c r="Z25" s="26"/>
      <c r="AA25" s="26"/>
    </row>
    <row r="26" spans="1:27" x14ac:dyDescent="0.25">
      <c r="A26" s="33">
        <v>0.5</v>
      </c>
      <c r="B26" s="34">
        <v>0.96172340834775916</v>
      </c>
      <c r="C26" s="34">
        <v>0.89811727789762696</v>
      </c>
      <c r="D26" s="29">
        <v>0.89795000000000003</v>
      </c>
      <c r="E26" s="29">
        <v>0.88919999999999999</v>
      </c>
      <c r="F26" s="29">
        <v>0.90700000000000003</v>
      </c>
      <c r="G26" s="34">
        <v>0.88090000000000002</v>
      </c>
      <c r="H26" s="34">
        <v>0.96172340834775916</v>
      </c>
      <c r="I26" s="34">
        <v>0.9340001961361184</v>
      </c>
      <c r="J26" s="34">
        <v>0.96172340834775916</v>
      </c>
      <c r="K26" s="34">
        <v>0.95241332426920455</v>
      </c>
      <c r="L26" s="34">
        <v>0.94312052564479743</v>
      </c>
      <c r="M26" s="34">
        <v>0.91592394533571009</v>
      </c>
      <c r="N26" s="34">
        <v>0.94316214656664743</v>
      </c>
      <c r="O26" s="34">
        <v>0.95241332426920455</v>
      </c>
      <c r="P26" s="34">
        <v>0.98076923076923073</v>
      </c>
      <c r="Q26" s="36"/>
      <c r="R26" s="36"/>
      <c r="S26" s="36"/>
      <c r="T26" s="36"/>
      <c r="U26" s="2"/>
      <c r="Z26" s="26"/>
      <c r="AA26" s="26"/>
    </row>
    <row r="27" spans="1:27" x14ac:dyDescent="0.25">
      <c r="A27" s="33">
        <v>1</v>
      </c>
      <c r="B27" s="34">
        <v>0.93402577418734367</v>
      </c>
      <c r="C27" s="34">
        <v>0.83065306922926052</v>
      </c>
      <c r="D27" s="29">
        <v>0.80654999999999999</v>
      </c>
      <c r="E27" s="29">
        <v>0.82245000000000001</v>
      </c>
      <c r="F27" s="29">
        <v>0.86380000000000001</v>
      </c>
      <c r="G27" s="34">
        <v>0.79120000000000001</v>
      </c>
      <c r="H27" s="34">
        <v>0.94316214656664743</v>
      </c>
      <c r="I27" s="34">
        <v>0.88084730803177402</v>
      </c>
      <c r="J27" s="34">
        <v>0.95239469128678578</v>
      </c>
      <c r="K27" s="34">
        <v>0.9249295911430514</v>
      </c>
      <c r="L27" s="34">
        <v>0.89820535451603412</v>
      </c>
      <c r="M27" s="34">
        <v>0.85541691424044364</v>
      </c>
      <c r="N27" s="34">
        <v>0.90700134641277164</v>
      </c>
      <c r="O27" s="34">
        <v>0.91589783432067595</v>
      </c>
      <c r="P27" s="34">
        <v>0.95221153846153839</v>
      </c>
      <c r="Q27" s="36"/>
      <c r="R27" s="36"/>
      <c r="S27" s="36"/>
      <c r="T27" s="36"/>
      <c r="U27" s="2"/>
      <c r="Z27" s="26"/>
      <c r="AA27" s="26"/>
    </row>
    <row r="28" spans="1:27" x14ac:dyDescent="0.25">
      <c r="A28" s="33">
        <v>1.5</v>
      </c>
      <c r="B28" s="34">
        <v>0.89824966339680712</v>
      </c>
      <c r="C28" s="34">
        <v>0.79113551676799365</v>
      </c>
      <c r="D28" s="29">
        <v>0.70355000000000001</v>
      </c>
      <c r="E28" s="29">
        <v>0.72445000000000004</v>
      </c>
      <c r="F28" s="29">
        <v>0.77590000000000003</v>
      </c>
      <c r="G28" s="34">
        <v>0.77590000000000003</v>
      </c>
      <c r="H28" s="34">
        <v>0.93402577418734367</v>
      </c>
      <c r="I28" s="34">
        <v>0.83073452976365592</v>
      </c>
      <c r="J28" s="34">
        <v>0.94316214656664743</v>
      </c>
      <c r="K28" s="34">
        <v>0.89822278333495198</v>
      </c>
      <c r="L28" s="34">
        <v>0.85544768069039911</v>
      </c>
      <c r="M28" s="34">
        <v>0.80679342444048319</v>
      </c>
      <c r="N28" s="34">
        <v>0.88084246970571267</v>
      </c>
      <c r="O28" s="34">
        <v>0.88083907934349803</v>
      </c>
      <c r="P28" s="34">
        <v>0.91576923076923078</v>
      </c>
      <c r="Q28" s="36"/>
      <c r="R28" s="36"/>
      <c r="S28" s="36"/>
      <c r="T28" s="36"/>
      <c r="U28" s="2"/>
      <c r="Z28" s="26"/>
      <c r="AA28" s="26"/>
    </row>
    <row r="29" spans="1:27" x14ac:dyDescent="0.25">
      <c r="A29" s="33">
        <v>2.2000000000000002</v>
      </c>
      <c r="B29" s="34">
        <v>0.86381996537795724</v>
      </c>
      <c r="C29" s="34">
        <v>0.73887036673857609</v>
      </c>
      <c r="D29" s="29">
        <v>0.61975000000000002</v>
      </c>
      <c r="E29" s="29">
        <v>0.67005000000000003</v>
      </c>
      <c r="F29" s="29">
        <v>0.7177</v>
      </c>
      <c r="G29" s="34">
        <v>0.6835</v>
      </c>
      <c r="H29" s="34">
        <v>0.90700134641277164</v>
      </c>
      <c r="I29" s="34">
        <v>0.77591448465234869</v>
      </c>
      <c r="J29" s="34">
        <v>0.92488940180803991</v>
      </c>
      <c r="K29" s="34">
        <v>0.87229290084490618</v>
      </c>
      <c r="L29" s="34">
        <v>0.81474943610865935</v>
      </c>
      <c r="M29" s="34">
        <v>0.74618736383442263</v>
      </c>
      <c r="N29" s="34">
        <v>0.83891132910175026</v>
      </c>
      <c r="O29" s="34">
        <v>0.83888511216859274</v>
      </c>
      <c r="P29" s="34">
        <v>0.88067307692307695</v>
      </c>
      <c r="Q29" s="36"/>
      <c r="R29" s="36"/>
      <c r="S29" s="36"/>
      <c r="T29" s="36"/>
      <c r="U29" s="2"/>
      <c r="Z29" s="26"/>
      <c r="AA29" s="26"/>
    </row>
    <row r="30" spans="1:27" x14ac:dyDescent="0.25">
      <c r="A30" s="33">
        <v>3</v>
      </c>
      <c r="B30" s="34">
        <v>0.83073668013079438</v>
      </c>
      <c r="C30" s="34">
        <v>0.710629535202981</v>
      </c>
      <c r="D30" s="29">
        <v>0.54059999999999997</v>
      </c>
      <c r="E30" s="29">
        <v>0.63195000000000001</v>
      </c>
      <c r="F30" s="29">
        <v>0.65090000000000003</v>
      </c>
      <c r="G30" s="34">
        <v>0.65090000000000003</v>
      </c>
      <c r="H30" s="34">
        <v>0.88949798038084249</v>
      </c>
      <c r="I30" s="34">
        <v>0.73178385799745016</v>
      </c>
      <c r="J30" s="34">
        <v>0.90527024427774572</v>
      </c>
      <c r="K30" s="34">
        <v>0.84713994367291434</v>
      </c>
      <c r="L30" s="34">
        <v>0.77591448465234869</v>
      </c>
      <c r="M30" s="34">
        <v>0.69696969696969691</v>
      </c>
      <c r="N30" s="34">
        <v>0.80678976726293516</v>
      </c>
      <c r="O30" s="34">
        <v>0.79897057395357862</v>
      </c>
      <c r="P30" s="34">
        <v>0.83874999999999988</v>
      </c>
      <c r="Q30" s="36"/>
      <c r="R30" s="36"/>
      <c r="S30" s="36"/>
      <c r="T30" s="36"/>
      <c r="U30" s="2"/>
      <c r="Z30" s="26"/>
      <c r="AA30" s="26"/>
    </row>
    <row r="31" spans="1:27" x14ac:dyDescent="0.25">
      <c r="A31" s="33">
        <v>4</v>
      </c>
      <c r="B31" s="34">
        <v>0.79120984804770145</v>
      </c>
      <c r="C31" s="34">
        <v>0.63826240439301829</v>
      </c>
      <c r="D31" s="29">
        <v>0.46700000000000003</v>
      </c>
      <c r="E31" s="29">
        <v>0.56210000000000004</v>
      </c>
      <c r="F31" s="29">
        <v>0.59040000000000004</v>
      </c>
      <c r="G31" s="34">
        <v>0.626</v>
      </c>
      <c r="H31" s="34">
        <v>0.86381996537795724</v>
      </c>
      <c r="I31" s="34">
        <v>0.67029518485829165</v>
      </c>
      <c r="J31" s="34">
        <v>0.88949798038084249</v>
      </c>
      <c r="K31" s="34">
        <v>0.81470331164416809</v>
      </c>
      <c r="L31" s="34">
        <v>0.73178385799745016</v>
      </c>
      <c r="M31" s="34">
        <v>0.63834422657952061</v>
      </c>
      <c r="N31" s="34">
        <v>0.76091556068474708</v>
      </c>
      <c r="O31" s="34">
        <v>0.75352044284743125</v>
      </c>
      <c r="P31" s="34">
        <v>0.79884615384615376</v>
      </c>
      <c r="Q31" s="36"/>
      <c r="R31" s="36"/>
      <c r="S31" s="36"/>
      <c r="T31" s="36"/>
      <c r="U31" s="2"/>
      <c r="Z31" s="26"/>
      <c r="AA31" s="26"/>
    </row>
    <row r="32" spans="1:27" x14ac:dyDescent="0.25">
      <c r="A32" s="33">
        <v>5.5</v>
      </c>
      <c r="B32" s="34">
        <v>0.73898826697441811</v>
      </c>
      <c r="C32" s="34">
        <v>0.56226711119827422</v>
      </c>
      <c r="D32" s="29">
        <v>0.38419999999999999</v>
      </c>
      <c r="E32" s="29">
        <v>0.4491</v>
      </c>
      <c r="F32" s="29">
        <v>0.5252</v>
      </c>
      <c r="G32" s="34">
        <v>0.55679999999999996</v>
      </c>
      <c r="H32" s="34">
        <v>0.83073668013079438</v>
      </c>
      <c r="I32" s="34">
        <v>0.61390605079925464</v>
      </c>
      <c r="J32" s="34">
        <v>0.86381996537795724</v>
      </c>
      <c r="K32" s="34">
        <v>0.77595416140623485</v>
      </c>
      <c r="L32" s="34">
        <v>0.68343630479552808</v>
      </c>
      <c r="M32" s="34">
        <v>0.5846702317290553</v>
      </c>
      <c r="N32" s="34">
        <v>0.72465858819003648</v>
      </c>
      <c r="O32" s="34">
        <v>0.70379722249198795</v>
      </c>
      <c r="P32" s="34">
        <v>0.73884615384615382</v>
      </c>
      <c r="Q32" s="36"/>
      <c r="R32" s="36"/>
      <c r="S32" s="36"/>
      <c r="T32" s="36"/>
      <c r="U32" s="2"/>
      <c r="Z32" s="26"/>
      <c r="AA32" s="26"/>
    </row>
    <row r="33" spans="1:27" x14ac:dyDescent="0.25">
      <c r="A33" s="33">
        <v>7.5</v>
      </c>
      <c r="B33" s="34">
        <v>0.67686093479515286</v>
      </c>
      <c r="C33" s="34">
        <v>0.5200039223377132</v>
      </c>
      <c r="D33" s="29">
        <v>0.1462</v>
      </c>
      <c r="E33" s="29">
        <v>0.22245000000000001</v>
      </c>
      <c r="F33" s="29">
        <v>0.42370000000000002</v>
      </c>
      <c r="G33" s="34">
        <v>0.51</v>
      </c>
      <c r="H33" s="34">
        <v>0.79120984804770145</v>
      </c>
      <c r="I33" s="34">
        <v>0.55143669706776499</v>
      </c>
      <c r="J33" s="34">
        <v>0.83073668013079438</v>
      </c>
      <c r="K33" s="34">
        <v>0.7317665339419247</v>
      </c>
      <c r="L33" s="34">
        <v>0.62596842208492687</v>
      </c>
      <c r="M33" s="34">
        <v>0.53555159437512367</v>
      </c>
      <c r="N33" s="34">
        <v>0.66378149644162343</v>
      </c>
      <c r="O33" s="34">
        <v>0.65096630086432938</v>
      </c>
      <c r="P33" s="34">
        <v>0.66365384615384615</v>
      </c>
      <c r="Q33" s="36"/>
      <c r="R33" s="36"/>
      <c r="S33" s="36"/>
      <c r="T33" s="36"/>
      <c r="U33" s="2"/>
      <c r="Z33" s="26"/>
      <c r="AA33" s="26"/>
    </row>
    <row r="34" spans="1:27" x14ac:dyDescent="0.25">
      <c r="A34" s="33">
        <v>10</v>
      </c>
      <c r="B34" s="34">
        <v>0.61992690902096548</v>
      </c>
      <c r="C34" s="34">
        <v>0.44920572661306135</v>
      </c>
      <c r="D34" s="29">
        <v>0.1019</v>
      </c>
      <c r="E34" s="29">
        <v>0.16600000000000001</v>
      </c>
      <c r="F34" s="29">
        <v>0.3589</v>
      </c>
      <c r="G34" s="34">
        <v>0.41549999999999998</v>
      </c>
      <c r="H34" s="34">
        <v>0.75351029044046924</v>
      </c>
      <c r="I34" s="34">
        <v>0.5001471020888496</v>
      </c>
      <c r="J34" s="34">
        <v>0.79120984804770145</v>
      </c>
      <c r="K34" s="34">
        <v>0.67679906768961828</v>
      </c>
      <c r="L34" s="34">
        <v>0.56781406295969394</v>
      </c>
      <c r="M34" s="34">
        <v>0.47167755991285404</v>
      </c>
      <c r="N34" s="34">
        <v>0.61992690902096548</v>
      </c>
      <c r="O34" s="34">
        <v>0.59619306594153632</v>
      </c>
      <c r="P34" s="34">
        <v>0.59605769230769234</v>
      </c>
      <c r="Q34" s="36"/>
      <c r="R34" s="36"/>
      <c r="S34" s="36"/>
      <c r="T34" s="36"/>
      <c r="U34" s="2"/>
      <c r="Z34" s="26"/>
      <c r="AA34" s="26"/>
    </row>
    <row r="35" spans="1:27" x14ac:dyDescent="0.25">
      <c r="A35" s="33">
        <v>14</v>
      </c>
      <c r="B35" s="34">
        <v>0.49067128293902668</v>
      </c>
      <c r="C35" s="34">
        <v>0.34536183565404982</v>
      </c>
      <c r="D35" s="29">
        <v>7.17E-2</v>
      </c>
      <c r="E35" s="29">
        <v>0.1192</v>
      </c>
      <c r="F35" s="29">
        <v>0.28139999999999998</v>
      </c>
      <c r="G35" s="34">
        <v>0.32879999999999998</v>
      </c>
      <c r="H35" s="34">
        <v>0.67705327947682237</v>
      </c>
      <c r="I35" s="34">
        <v>0.41973129351770128</v>
      </c>
      <c r="J35" s="34">
        <v>0.73206385843431421</v>
      </c>
      <c r="K35" s="34">
        <v>0.60813829270661357</v>
      </c>
      <c r="L35" s="34">
        <v>0.49073256840247126</v>
      </c>
      <c r="M35" s="34">
        <v>0.41572588631412161</v>
      </c>
      <c r="N35" s="34">
        <v>0.5462588959415271</v>
      </c>
      <c r="O35" s="34">
        <v>0.52015150043702041</v>
      </c>
      <c r="P35" s="34">
        <v>0.49057692307692302</v>
      </c>
      <c r="Q35" s="36"/>
      <c r="R35" s="36"/>
      <c r="S35" s="36"/>
      <c r="T35" s="36"/>
      <c r="U35" s="2"/>
      <c r="Z35" s="26"/>
      <c r="AA35" s="26"/>
    </row>
    <row r="36" spans="1:27" x14ac:dyDescent="0.25">
      <c r="A36" s="33">
        <v>19</v>
      </c>
      <c r="B36" s="34">
        <v>0.4196960954029621</v>
      </c>
      <c r="C36" s="34">
        <v>0.24789174347911358</v>
      </c>
      <c r="D36" s="29">
        <v>4.07E-2</v>
      </c>
      <c r="E36" s="29">
        <v>4.9000000000000002E-2</v>
      </c>
      <c r="F36" s="29">
        <v>0.24299999999999999</v>
      </c>
      <c r="G36" s="34">
        <v>0.2656</v>
      </c>
      <c r="H36" s="34">
        <v>0.64512406231967678</v>
      </c>
      <c r="I36" s="34">
        <v>0.28988918309306655</v>
      </c>
      <c r="J36" s="34">
        <v>0.66435853048663196</v>
      </c>
      <c r="K36" s="34">
        <v>0.60833252403612692</v>
      </c>
      <c r="L36" s="34">
        <v>0.39580268706482297</v>
      </c>
      <c r="M36" s="34">
        <v>0.3291740938799762</v>
      </c>
      <c r="N36" s="34">
        <v>0.48124639353721865</v>
      </c>
      <c r="O36" s="34">
        <v>0.44090511799553267</v>
      </c>
      <c r="P36" s="34">
        <v>0.41576923076923078</v>
      </c>
      <c r="Q36" s="36"/>
      <c r="R36" s="36"/>
      <c r="S36" s="36"/>
      <c r="T36" s="36"/>
      <c r="U36" s="2"/>
      <c r="Z36" s="26"/>
      <c r="AA36" s="26"/>
    </row>
    <row r="37" spans="1:27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2"/>
      <c r="Z37" s="26"/>
      <c r="AA37" s="26"/>
    </row>
    <row r="38" spans="1:27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</row>
    <row r="39" spans="1:27" ht="15.75" x14ac:dyDescent="0.25">
      <c r="A39" s="315" t="s">
        <v>199</v>
      </c>
      <c r="B39" s="315"/>
      <c r="C39" s="315"/>
      <c r="D39" s="31"/>
      <c r="E39" s="31"/>
      <c r="F39" s="32"/>
      <c r="G39" s="32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2"/>
    </row>
    <row r="40" spans="1:27" s="39" customFormat="1" x14ac:dyDescent="0.25">
      <c r="A40" s="37" t="s">
        <v>154</v>
      </c>
      <c r="B40" s="37" t="s">
        <v>189</v>
      </c>
      <c r="C40" s="37" t="s">
        <v>190</v>
      </c>
      <c r="D40" s="37" t="s">
        <v>191</v>
      </c>
      <c r="E40" s="37" t="s">
        <v>192</v>
      </c>
      <c r="F40" s="37" t="s">
        <v>193</v>
      </c>
      <c r="G40" s="37" t="s">
        <v>194</v>
      </c>
      <c r="H40" s="37" t="s">
        <v>195</v>
      </c>
      <c r="I40" s="37" t="s">
        <v>174</v>
      </c>
      <c r="J40" s="37" t="s">
        <v>156</v>
      </c>
      <c r="K40" s="37" t="s">
        <v>186</v>
      </c>
      <c r="L40" s="37" t="s">
        <v>157</v>
      </c>
      <c r="M40" s="37" t="s">
        <v>158</v>
      </c>
      <c r="N40" s="37" t="s">
        <v>160</v>
      </c>
      <c r="O40" s="37" t="s">
        <v>161</v>
      </c>
      <c r="P40" s="37" t="s">
        <v>162</v>
      </c>
      <c r="Q40" s="37" t="s">
        <v>188</v>
      </c>
      <c r="R40" s="37" t="s">
        <v>164</v>
      </c>
      <c r="S40" s="37" t="s">
        <v>165</v>
      </c>
      <c r="T40" s="24"/>
    </row>
    <row r="41" spans="1:27" x14ac:dyDescent="0.25">
      <c r="A41" s="33">
        <v>0</v>
      </c>
      <c r="B41" s="34">
        <v>0.94312930302744502</v>
      </c>
      <c r="C41" s="34">
        <v>0.99029510794216669</v>
      </c>
      <c r="D41" s="34">
        <v>0.90702947845804982</v>
      </c>
      <c r="E41" s="34">
        <v>0.95238095238095233</v>
      </c>
      <c r="F41" s="34">
        <v>0.95238095238095233</v>
      </c>
      <c r="G41" s="34">
        <v>0.97115664756725251</v>
      </c>
      <c r="H41" s="34">
        <v>0.97115664756725251</v>
      </c>
      <c r="I41" s="34">
        <v>0.9664637092877163</v>
      </c>
      <c r="J41" s="34">
        <v>0.95238095238095233</v>
      </c>
      <c r="K41" s="34">
        <v>0.98425196850393704</v>
      </c>
      <c r="L41" s="34">
        <v>0.95602294455066916</v>
      </c>
      <c r="M41" s="34">
        <v>0.96525096525096521</v>
      </c>
      <c r="N41" s="34">
        <v>0.96525096525096521</v>
      </c>
      <c r="O41" s="34">
        <v>0.97465886939571145</v>
      </c>
      <c r="P41" s="34">
        <v>0.95147478591817325</v>
      </c>
      <c r="Q41" s="34">
        <v>0.96061479346781953</v>
      </c>
      <c r="R41" s="34">
        <v>0.96993210475266745</v>
      </c>
      <c r="S41" s="34">
        <v>0.98039215686274506</v>
      </c>
      <c r="T41" s="36"/>
    </row>
    <row r="42" spans="1:27" x14ac:dyDescent="0.25">
      <c r="A42" s="33">
        <v>0.1</v>
      </c>
      <c r="B42" s="34">
        <v>1</v>
      </c>
      <c r="C42" s="34">
        <v>1</v>
      </c>
      <c r="D42" s="34">
        <v>1</v>
      </c>
      <c r="E42" s="34">
        <v>1</v>
      </c>
      <c r="F42" s="34">
        <v>1</v>
      </c>
      <c r="G42" s="34">
        <v>1</v>
      </c>
      <c r="H42" s="34">
        <v>1</v>
      </c>
      <c r="I42" s="34">
        <v>1</v>
      </c>
      <c r="J42" s="34">
        <v>1</v>
      </c>
      <c r="K42" s="34">
        <v>1</v>
      </c>
      <c r="L42" s="34">
        <v>1</v>
      </c>
      <c r="M42" s="34">
        <v>1</v>
      </c>
      <c r="N42" s="34">
        <v>1</v>
      </c>
      <c r="O42" s="34">
        <v>1</v>
      </c>
      <c r="P42" s="34">
        <v>1</v>
      </c>
      <c r="Q42" s="34">
        <v>1</v>
      </c>
      <c r="R42" s="34">
        <v>1</v>
      </c>
      <c r="S42" s="34">
        <v>1</v>
      </c>
      <c r="T42" s="36"/>
    </row>
    <row r="43" spans="1:27" x14ac:dyDescent="0.25">
      <c r="A43" s="33">
        <v>0.3</v>
      </c>
      <c r="B43" s="34">
        <v>0.97114024332736026</v>
      </c>
      <c r="C43" s="34">
        <v>0.97118241235888292</v>
      </c>
      <c r="D43" s="34">
        <v>0.91591836734693877</v>
      </c>
      <c r="E43" s="34">
        <v>0.91590476190476189</v>
      </c>
      <c r="F43" s="34">
        <v>0.92495238095238086</v>
      </c>
      <c r="G43" s="34">
        <v>0.94318733611731564</v>
      </c>
      <c r="H43" s="34">
        <v>0.93396134796542674</v>
      </c>
      <c r="I43" s="34">
        <v>0.95708901130762536</v>
      </c>
      <c r="J43" s="34">
        <v>0.96190476190476182</v>
      </c>
      <c r="K43" s="34">
        <v>0.95226377952755903</v>
      </c>
      <c r="L43" s="34">
        <v>0.97131931166347985</v>
      </c>
      <c r="M43" s="34">
        <v>0.96167953667953665</v>
      </c>
      <c r="N43" s="34">
        <v>0.95231660231660231</v>
      </c>
      <c r="O43" s="34">
        <v>0.93382066276803111</v>
      </c>
      <c r="P43" s="34">
        <v>0.95242626070409131</v>
      </c>
      <c r="Q43" s="34">
        <v>0.9433237271853987</v>
      </c>
      <c r="R43" s="34">
        <v>0.95247332686711939</v>
      </c>
      <c r="S43" s="34">
        <v>0.94284313725490199</v>
      </c>
      <c r="T43" s="36"/>
    </row>
    <row r="44" spans="1:27" x14ac:dyDescent="0.25">
      <c r="A44" s="33">
        <v>0.5</v>
      </c>
      <c r="B44" s="34">
        <v>0.88946524568518348</v>
      </c>
      <c r="C44" s="34">
        <v>0.93394731630025751</v>
      </c>
      <c r="D44" s="34">
        <v>0.89823129251700673</v>
      </c>
      <c r="E44" s="34">
        <v>0.85542857142857143</v>
      </c>
      <c r="F44" s="34">
        <v>0.88085714285714289</v>
      </c>
      <c r="G44" s="34">
        <v>0.90706030882781397</v>
      </c>
      <c r="H44" s="34">
        <v>0.89822278333495198</v>
      </c>
      <c r="I44" s="34">
        <v>0.93862955446023</v>
      </c>
      <c r="J44" s="34">
        <v>0.95238095238095233</v>
      </c>
      <c r="K44" s="34">
        <v>0.92480314960629917</v>
      </c>
      <c r="L44" s="34">
        <v>0.96175908221797324</v>
      </c>
      <c r="M44" s="34">
        <v>0.95231660231660231</v>
      </c>
      <c r="N44" s="34">
        <v>0.93388030888030893</v>
      </c>
      <c r="O44" s="34">
        <v>0.90692007797270957</v>
      </c>
      <c r="P44" s="34">
        <v>0.94348239771646059</v>
      </c>
      <c r="Q44" s="34">
        <v>0.9250720461095101</v>
      </c>
      <c r="R44" s="34">
        <v>0.93404461687681861</v>
      </c>
      <c r="S44" s="34">
        <v>0.92460784313725497</v>
      </c>
      <c r="T44" s="36"/>
    </row>
    <row r="45" spans="1:27" x14ac:dyDescent="0.25">
      <c r="A45" s="33">
        <v>1</v>
      </c>
      <c r="B45" s="34">
        <v>0.84711873997925113</v>
      </c>
      <c r="C45" s="34">
        <v>0.86383442265795196</v>
      </c>
      <c r="D45" s="34">
        <v>0.85541950113378684</v>
      </c>
      <c r="E45" s="34">
        <v>0.79895238095238086</v>
      </c>
      <c r="F45" s="34">
        <v>0.79895238095238086</v>
      </c>
      <c r="G45" s="34">
        <v>0.83072739632902792</v>
      </c>
      <c r="H45" s="34">
        <v>0.83888511216859274</v>
      </c>
      <c r="I45" s="34">
        <v>0.88518411133661945</v>
      </c>
      <c r="J45" s="34">
        <v>0.94314285714285706</v>
      </c>
      <c r="K45" s="34">
        <v>0.84704724409448817</v>
      </c>
      <c r="L45" s="34">
        <v>0.95248565965583165</v>
      </c>
      <c r="M45" s="34">
        <v>0.91583011583011575</v>
      </c>
      <c r="N45" s="34">
        <v>0.88079150579150578</v>
      </c>
      <c r="O45" s="34">
        <v>0.83070175438596483</v>
      </c>
      <c r="P45" s="34">
        <v>0.91627021883920079</v>
      </c>
      <c r="Q45" s="34">
        <v>0.88097982708933731</v>
      </c>
      <c r="R45" s="34">
        <v>0.88089233753637253</v>
      </c>
      <c r="S45" s="34">
        <v>0.86362745098039218</v>
      </c>
      <c r="T45" s="36"/>
    </row>
    <row r="46" spans="1:27" x14ac:dyDescent="0.25">
      <c r="A46" s="33">
        <v>1.5</v>
      </c>
      <c r="B46" s="34">
        <v>0.83891351504291234</v>
      </c>
      <c r="C46" s="34">
        <v>0.83075856605268361</v>
      </c>
      <c r="D46" s="34">
        <v>0.75356009070294783</v>
      </c>
      <c r="E46" s="34">
        <v>0.72466666666666668</v>
      </c>
      <c r="F46" s="34">
        <v>0.76095238095238094</v>
      </c>
      <c r="G46" s="34">
        <v>0.75352044284743125</v>
      </c>
      <c r="H46" s="34">
        <v>0.78352918325725929</v>
      </c>
      <c r="I46" s="34">
        <v>0.84304629361167494</v>
      </c>
      <c r="J46" s="34">
        <v>0.92495238095238086</v>
      </c>
      <c r="K46" s="34">
        <v>0.79891732283464567</v>
      </c>
      <c r="L46" s="34">
        <v>0.93403441682600374</v>
      </c>
      <c r="M46" s="34">
        <v>0.88079150579150578</v>
      </c>
      <c r="N46" s="34">
        <v>0.83889961389961387</v>
      </c>
      <c r="O46" s="34">
        <v>0.77582846003898642</v>
      </c>
      <c r="P46" s="34">
        <v>0.88981921979067569</v>
      </c>
      <c r="Q46" s="34">
        <v>0.8391930835734871</v>
      </c>
      <c r="R46" s="34">
        <v>0.84713870029097971</v>
      </c>
      <c r="S46" s="34">
        <v>0.82245098039215681</v>
      </c>
      <c r="T46" s="36"/>
    </row>
    <row r="47" spans="1:27" x14ac:dyDescent="0.25">
      <c r="A47" s="33">
        <v>2.2000000000000002</v>
      </c>
      <c r="B47" s="34">
        <v>0.76091672168254265</v>
      </c>
      <c r="C47" s="34">
        <v>0.81471578530402056</v>
      </c>
      <c r="D47" s="34">
        <v>0.67029478458049885</v>
      </c>
      <c r="E47" s="34">
        <v>0.64457142857142846</v>
      </c>
      <c r="F47" s="34">
        <v>0.6637142857142857</v>
      </c>
      <c r="G47" s="34">
        <v>0.68350004855783231</v>
      </c>
      <c r="H47" s="34">
        <v>0.7176847625521996</v>
      </c>
      <c r="I47" s="34">
        <v>0.78737798395670244</v>
      </c>
      <c r="J47" s="34">
        <v>0.89819047619047621</v>
      </c>
      <c r="K47" s="34">
        <v>0.73887795275590551</v>
      </c>
      <c r="L47" s="34">
        <v>0.91596558317399612</v>
      </c>
      <c r="M47" s="34">
        <v>0.84613899613899612</v>
      </c>
      <c r="N47" s="34">
        <v>0.79111969111969105</v>
      </c>
      <c r="O47" s="34">
        <v>0.71754385964912271</v>
      </c>
      <c r="P47" s="34">
        <v>0.86412940057088494</v>
      </c>
      <c r="Q47" s="34">
        <v>0.79135446685878963</v>
      </c>
      <c r="R47" s="34">
        <v>0.79903006789524733</v>
      </c>
      <c r="S47" s="34">
        <v>0.7533333333333333</v>
      </c>
      <c r="T47" s="36"/>
    </row>
    <row r="48" spans="1:27" x14ac:dyDescent="0.25">
      <c r="A48" s="33">
        <v>3</v>
      </c>
      <c r="B48" s="34">
        <v>0.73177402621899468</v>
      </c>
      <c r="C48" s="34">
        <v>0.72469795999207764</v>
      </c>
      <c r="D48" s="34">
        <v>0.65732426303854874</v>
      </c>
      <c r="E48" s="34">
        <v>0.61990476190476196</v>
      </c>
      <c r="F48" s="34">
        <v>0.61390476190476184</v>
      </c>
      <c r="G48" s="34">
        <v>0.64465378265514217</v>
      </c>
      <c r="H48" s="34">
        <v>0.65096630086432938</v>
      </c>
      <c r="I48" s="34">
        <v>0.74263071421668114</v>
      </c>
      <c r="J48" s="34">
        <v>0.87228571428571433</v>
      </c>
      <c r="K48" s="34">
        <v>0.69015748031496071</v>
      </c>
      <c r="L48" s="34">
        <v>0.89827915869980879</v>
      </c>
      <c r="M48" s="34">
        <v>0.80675675675675673</v>
      </c>
      <c r="N48" s="34">
        <v>0.73889961389961378</v>
      </c>
      <c r="O48" s="34">
        <v>0.65721247563352825</v>
      </c>
      <c r="P48" s="34">
        <v>0.83101807802093242</v>
      </c>
      <c r="Q48" s="34">
        <v>0.75369836695485115</v>
      </c>
      <c r="R48" s="34">
        <v>0.75354025218234733</v>
      </c>
      <c r="S48" s="34">
        <v>0.72450980392156861</v>
      </c>
      <c r="T48" s="36"/>
    </row>
    <row r="49" spans="1:22" x14ac:dyDescent="0.25">
      <c r="A49" s="33">
        <v>4</v>
      </c>
      <c r="B49" s="34">
        <v>0.67028199566160518</v>
      </c>
      <c r="C49" s="34">
        <v>0.6835016835016835</v>
      </c>
      <c r="D49" s="34">
        <v>0.56780045351473918</v>
      </c>
      <c r="E49" s="34">
        <v>0.53028571428571425</v>
      </c>
      <c r="F49" s="34">
        <v>0.55685714285714283</v>
      </c>
      <c r="G49" s="34">
        <v>0.55686122171506258</v>
      </c>
      <c r="H49" s="34">
        <v>0.62581334369233754</v>
      </c>
      <c r="I49" s="34">
        <v>0.67333526626075191</v>
      </c>
      <c r="J49" s="34">
        <v>0.84</v>
      </c>
      <c r="K49" s="34">
        <v>0.63533464566929132</v>
      </c>
      <c r="L49" s="34">
        <v>0.87237093690248557</v>
      </c>
      <c r="M49" s="34">
        <v>0.77586872586872579</v>
      </c>
      <c r="N49" s="34">
        <v>0.69015444015444005</v>
      </c>
      <c r="O49" s="34">
        <v>0.60194931773879146</v>
      </c>
      <c r="P49" s="34">
        <v>0.80304471931493815</v>
      </c>
      <c r="Q49" s="34">
        <v>0.70720461095100862</v>
      </c>
      <c r="R49" s="34">
        <v>0.70000000000000007</v>
      </c>
      <c r="S49" s="34">
        <v>0.66352941176470581</v>
      </c>
      <c r="T49" s="36"/>
    </row>
    <row r="50" spans="1:22" x14ac:dyDescent="0.25">
      <c r="A50" s="33">
        <v>5.5</v>
      </c>
      <c r="B50" s="34">
        <v>0.61991889087993968</v>
      </c>
      <c r="C50" s="34">
        <v>0.60794216676569612</v>
      </c>
      <c r="D50" s="34">
        <v>0.53551020408163263</v>
      </c>
      <c r="E50" s="34">
        <v>0.44057142857142856</v>
      </c>
      <c r="F50" s="34">
        <v>0.50504761904761897</v>
      </c>
      <c r="G50" s="34">
        <v>0.49528989025929882</v>
      </c>
      <c r="H50" s="34">
        <v>0.54064290570068951</v>
      </c>
      <c r="I50" s="34">
        <v>0.60481298927225291</v>
      </c>
      <c r="J50" s="34">
        <v>0.79999999999999993</v>
      </c>
      <c r="K50" s="34">
        <v>0.57618110236220477</v>
      </c>
      <c r="L50" s="34">
        <v>0.83087954110898654</v>
      </c>
      <c r="M50" s="34">
        <v>0.71756756756756745</v>
      </c>
      <c r="N50" s="34">
        <v>0.62596525096525091</v>
      </c>
      <c r="O50" s="34">
        <v>0.54074074074074074</v>
      </c>
      <c r="P50" s="34">
        <v>0.76479543292102758</v>
      </c>
      <c r="Q50" s="34">
        <v>0.6538904899135447</v>
      </c>
      <c r="R50" s="34">
        <v>0.6412221144519884</v>
      </c>
      <c r="S50" s="34">
        <v>0.60186274509803916</v>
      </c>
      <c r="T50" s="36"/>
    </row>
    <row r="51" spans="1:22" x14ac:dyDescent="0.25">
      <c r="A51" s="33">
        <v>7.5</v>
      </c>
      <c r="B51" s="34">
        <v>0.57898707912854852</v>
      </c>
      <c r="C51" s="34">
        <v>0.55139631610219841</v>
      </c>
      <c r="D51" s="34">
        <v>0.45814058956916098</v>
      </c>
      <c r="E51" s="34">
        <v>0.38057142857142856</v>
      </c>
      <c r="F51" s="34">
        <v>0.41961904761904761</v>
      </c>
      <c r="G51" s="34">
        <v>0.41963678741380983</v>
      </c>
      <c r="H51" s="34">
        <v>0.45799747499271631</v>
      </c>
      <c r="I51" s="34">
        <v>0.53803034696047158</v>
      </c>
      <c r="J51" s="34">
        <v>0.75447619047619041</v>
      </c>
      <c r="K51" s="34">
        <v>0.50757874015748039</v>
      </c>
      <c r="L51" s="34">
        <v>0.79130019120458883</v>
      </c>
      <c r="M51" s="34">
        <v>0.65723938223938216</v>
      </c>
      <c r="N51" s="34">
        <v>0.55675675675675673</v>
      </c>
      <c r="O51" s="34">
        <v>0.47631578947368425</v>
      </c>
      <c r="P51" s="34">
        <v>0.72131303520456713</v>
      </c>
      <c r="Q51" s="34">
        <v>0.59894332372718551</v>
      </c>
      <c r="R51" s="34">
        <v>0.58157129000969943</v>
      </c>
      <c r="S51" s="34">
        <v>0.55127450980392156</v>
      </c>
      <c r="T51" s="36"/>
    </row>
    <row r="52" spans="1:22" x14ac:dyDescent="0.25">
      <c r="A52" s="33">
        <v>10</v>
      </c>
      <c r="B52" s="34">
        <v>0.50504574177119677</v>
      </c>
      <c r="C52" s="34">
        <v>0.50019805902158843</v>
      </c>
      <c r="D52" s="34">
        <v>0.37687074829931971</v>
      </c>
      <c r="E52" s="34">
        <v>0.29819047619047617</v>
      </c>
      <c r="F52" s="34">
        <v>0.35895238095238097</v>
      </c>
      <c r="G52" s="34">
        <v>0.35204428474312904</v>
      </c>
      <c r="H52" s="34">
        <v>0.3804991745168495</v>
      </c>
      <c r="I52" s="34">
        <v>0.46477239779646273</v>
      </c>
      <c r="J52" s="34">
        <v>0.69790476190476192</v>
      </c>
      <c r="K52" s="34">
        <v>0.44714566929133853</v>
      </c>
      <c r="L52" s="34">
        <v>0.73900573613766729</v>
      </c>
      <c r="M52" s="34">
        <v>0.60202702702702704</v>
      </c>
      <c r="N52" s="34">
        <v>0.49527027027027026</v>
      </c>
      <c r="O52" s="34">
        <v>0.41549707602339181</v>
      </c>
      <c r="P52" s="34">
        <v>0.67364414843006659</v>
      </c>
      <c r="Q52" s="34">
        <v>0.53794428434197894</v>
      </c>
      <c r="R52" s="34">
        <v>0.52240543161978659</v>
      </c>
      <c r="S52" s="34">
        <v>0.50990196078431371</v>
      </c>
      <c r="T52" s="36"/>
    </row>
    <row r="53" spans="1:22" x14ac:dyDescent="0.25">
      <c r="A53" s="33">
        <v>14</v>
      </c>
      <c r="B53" s="34">
        <v>0.39969819862303124</v>
      </c>
      <c r="C53" s="34">
        <v>0.3996831055654585</v>
      </c>
      <c r="D53" s="34">
        <v>0.29532879818594104</v>
      </c>
      <c r="E53" s="34">
        <v>0.26019047619047619</v>
      </c>
      <c r="F53" s="34">
        <v>0.26533333333333331</v>
      </c>
      <c r="G53" s="34">
        <v>0.26531999611537338</v>
      </c>
      <c r="H53" s="34">
        <v>0.29251238224725651</v>
      </c>
      <c r="I53" s="34">
        <v>0.37498791920363395</v>
      </c>
      <c r="J53" s="34">
        <v>0.64571428571428569</v>
      </c>
      <c r="K53" s="34">
        <v>0.39389763779527559</v>
      </c>
      <c r="L53" s="34">
        <v>0.6837476099426385</v>
      </c>
      <c r="M53" s="34">
        <v>0.53050193050193051</v>
      </c>
      <c r="N53" s="34">
        <v>0.42374517374517373</v>
      </c>
      <c r="O53" s="34">
        <v>0.34873294346978556</v>
      </c>
      <c r="P53" s="34">
        <v>0.6232159847764035</v>
      </c>
      <c r="Q53" s="34">
        <v>0.47396733909702216</v>
      </c>
      <c r="R53" s="34">
        <v>0.4469447138700291</v>
      </c>
      <c r="S53" s="34">
        <v>0.41960784313725491</v>
      </c>
      <c r="T53" s="36"/>
    </row>
    <row r="54" spans="1:22" x14ac:dyDescent="0.25">
      <c r="A54" s="33">
        <v>19</v>
      </c>
      <c r="B54" s="34">
        <v>0.32594548712628502</v>
      </c>
      <c r="C54" s="34">
        <v>0.33879999999999999</v>
      </c>
      <c r="D54" s="34">
        <v>0.18140589569160998</v>
      </c>
      <c r="E54" s="34">
        <v>0.17295238095238097</v>
      </c>
      <c r="F54" s="34">
        <v>0.2248</v>
      </c>
      <c r="G54" s="34">
        <v>0.23152374478003301</v>
      </c>
      <c r="H54" s="34">
        <v>0.248</v>
      </c>
      <c r="I54" s="34">
        <v>0.30578911761863342</v>
      </c>
      <c r="J54" s="34">
        <v>0.57447619047619036</v>
      </c>
      <c r="K54" s="34">
        <v>0.33062992125984253</v>
      </c>
      <c r="L54" s="34">
        <v>0.60841300191204584</v>
      </c>
      <c r="M54" s="34">
        <v>0.45830115830115831</v>
      </c>
      <c r="N54" s="34">
        <v>0.3488030888030888</v>
      </c>
      <c r="O54" s="34">
        <v>0.28693957115009744</v>
      </c>
      <c r="P54" s="34">
        <v>0.54919124643196959</v>
      </c>
      <c r="Q54" s="34">
        <v>0.40576368876080693</v>
      </c>
      <c r="R54" s="34">
        <v>0.38254122211445202</v>
      </c>
      <c r="S54" s="34">
        <v>0.35556862745098039</v>
      </c>
      <c r="T54" s="36"/>
    </row>
    <row r="55" spans="1:22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2"/>
    </row>
    <row r="56" spans="1:22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</row>
  </sheetData>
  <mergeCells count="3">
    <mergeCell ref="A3:C3"/>
    <mergeCell ref="A21:C21"/>
    <mergeCell ref="A39:C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0ADB-D38E-4C63-B35A-4DD31B29DA89}">
  <dimension ref="A1:O39"/>
  <sheetViews>
    <sheetView tabSelected="1" zoomScale="55" zoomScaleNormal="55" workbookViewId="0">
      <selection activeCell="I2" sqref="I2:O2"/>
    </sheetView>
  </sheetViews>
  <sheetFormatPr defaultColWidth="8.85546875" defaultRowHeight="15" x14ac:dyDescent="0.25"/>
  <cols>
    <col min="1" max="1" width="25.140625" customWidth="1"/>
    <col min="2" max="2" width="24.7109375" customWidth="1"/>
    <col min="3" max="3" width="27.7109375" customWidth="1"/>
    <col min="5" max="5" width="39.5703125" customWidth="1"/>
    <col min="6" max="6" width="55.140625" customWidth="1"/>
    <col min="7" max="7" width="115.42578125" customWidth="1"/>
    <col min="9" max="9" width="24.7109375" customWidth="1"/>
    <col min="10" max="10" width="28.85546875" customWidth="1"/>
    <col min="11" max="11" width="37.42578125" customWidth="1"/>
    <col min="13" max="13" width="36.42578125" customWidth="1"/>
    <col min="14" max="14" width="57" customWidth="1"/>
    <col min="15" max="15" width="66.140625" customWidth="1"/>
  </cols>
  <sheetData>
    <row r="1" spans="1:15" x14ac:dyDescent="0.25">
      <c r="A1" s="244"/>
      <c r="B1" s="245"/>
      <c r="C1" s="245"/>
      <c r="D1" s="245"/>
      <c r="E1" s="245"/>
      <c r="F1" s="245"/>
      <c r="G1" s="246"/>
      <c r="H1" s="244"/>
      <c r="I1" s="245"/>
      <c r="J1" s="245"/>
      <c r="K1" s="245"/>
      <c r="L1" s="245"/>
      <c r="M1" s="245"/>
      <c r="N1" s="245"/>
      <c r="O1" s="246"/>
    </row>
    <row r="2" spans="1:15" ht="31.5" x14ac:dyDescent="0.5">
      <c r="A2" s="168"/>
      <c r="B2" s="338" t="s">
        <v>377</v>
      </c>
      <c r="C2" s="338"/>
      <c r="D2" s="18"/>
      <c r="E2" s="18"/>
      <c r="F2" s="18"/>
      <c r="G2" s="169"/>
      <c r="H2" s="168"/>
      <c r="I2" s="305" t="s">
        <v>376</v>
      </c>
      <c r="J2" s="305"/>
      <c r="K2" s="305"/>
      <c r="L2" s="305"/>
      <c r="M2" s="305"/>
      <c r="N2" s="305"/>
      <c r="O2" s="339"/>
    </row>
    <row r="3" spans="1:15" x14ac:dyDescent="0.25">
      <c r="A3" s="168"/>
      <c r="B3" s="18"/>
      <c r="C3" s="18"/>
      <c r="D3" s="18"/>
      <c r="E3" s="18"/>
      <c r="F3" s="18"/>
      <c r="G3" s="169"/>
      <c r="H3" s="168"/>
      <c r="I3" s="18"/>
      <c r="J3" s="18"/>
      <c r="K3" s="18"/>
      <c r="L3" s="18"/>
      <c r="M3" s="18"/>
      <c r="N3" s="18"/>
      <c r="O3" s="169"/>
    </row>
    <row r="4" spans="1:15" ht="36" x14ac:dyDescent="0.25">
      <c r="A4" s="322" t="s">
        <v>0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4"/>
    </row>
    <row r="5" spans="1:15" ht="15.75" x14ac:dyDescent="0.25">
      <c r="A5" s="247" t="s">
        <v>235</v>
      </c>
      <c r="B5" s="325" t="s">
        <v>215</v>
      </c>
      <c r="C5" s="325"/>
      <c r="D5" s="248"/>
      <c r="E5" s="249" t="s">
        <v>235</v>
      </c>
      <c r="F5" s="326" t="s">
        <v>215</v>
      </c>
      <c r="G5" s="327"/>
      <c r="H5" s="250"/>
      <c r="I5" s="249" t="s">
        <v>236</v>
      </c>
      <c r="J5" s="328" t="s">
        <v>215</v>
      </c>
      <c r="K5" s="328"/>
      <c r="L5" s="248"/>
      <c r="M5" s="258" t="s">
        <v>236</v>
      </c>
      <c r="N5" s="329" t="s">
        <v>215</v>
      </c>
      <c r="O5" s="330"/>
    </row>
    <row r="6" spans="1:15" x14ac:dyDescent="0.25">
      <c r="A6" s="250" t="s">
        <v>237</v>
      </c>
      <c r="B6" s="251" t="s">
        <v>238</v>
      </c>
      <c r="C6" s="252" t="s">
        <v>239</v>
      </c>
      <c r="D6" s="248"/>
      <c r="E6" s="248" t="s">
        <v>240</v>
      </c>
      <c r="F6" s="253" t="s">
        <v>238</v>
      </c>
      <c r="G6" s="254" t="s">
        <v>239</v>
      </c>
      <c r="H6" s="250"/>
      <c r="I6" s="248" t="s">
        <v>237</v>
      </c>
      <c r="J6" s="259" t="s">
        <v>238</v>
      </c>
      <c r="K6" s="260" t="s">
        <v>239</v>
      </c>
      <c r="L6" s="248"/>
      <c r="M6" s="261" t="s">
        <v>240</v>
      </c>
      <c r="N6" s="261" t="s">
        <v>238</v>
      </c>
      <c r="O6" s="262" t="s">
        <v>239</v>
      </c>
    </row>
    <row r="7" spans="1:15" x14ac:dyDescent="0.25">
      <c r="A7" s="250" t="s">
        <v>241</v>
      </c>
      <c r="B7" s="251">
        <v>27769168796</v>
      </c>
      <c r="C7" s="252">
        <v>2915140804</v>
      </c>
      <c r="D7" s="248"/>
      <c r="E7" s="248" t="s">
        <v>241</v>
      </c>
      <c r="F7" s="253">
        <v>27003347568</v>
      </c>
      <c r="G7" s="254">
        <v>2850552430.5</v>
      </c>
      <c r="H7" s="250"/>
      <c r="I7" s="248" t="s">
        <v>242</v>
      </c>
      <c r="J7" s="259">
        <v>22388743223</v>
      </c>
      <c r="K7" s="260">
        <v>2132387668.8800001</v>
      </c>
      <c r="L7" s="248"/>
      <c r="M7" s="261" t="s">
        <v>242</v>
      </c>
      <c r="N7" s="261">
        <v>21876567409.619999</v>
      </c>
      <c r="O7" s="262">
        <v>2133627668.5</v>
      </c>
    </row>
    <row r="8" spans="1:15" x14ac:dyDescent="0.25">
      <c r="A8" s="250" t="s">
        <v>243</v>
      </c>
      <c r="B8" s="251">
        <v>24941966092.25</v>
      </c>
      <c r="C8" s="252">
        <v>2789303103.25</v>
      </c>
      <c r="D8" s="248"/>
      <c r="E8" s="248" t="s">
        <v>243</v>
      </c>
      <c r="F8" s="253">
        <v>24231854866.25</v>
      </c>
      <c r="G8" s="254">
        <v>2708209290.25</v>
      </c>
      <c r="H8" s="250"/>
      <c r="I8" s="248" t="s">
        <v>244</v>
      </c>
      <c r="J8" s="259">
        <v>21997275880</v>
      </c>
      <c r="K8" s="260">
        <v>1957420059.5</v>
      </c>
      <c r="L8" s="248"/>
      <c r="M8" s="261" t="s">
        <v>244</v>
      </c>
      <c r="N8" s="261">
        <v>21426708854.880001</v>
      </c>
      <c r="O8" s="262">
        <v>1856659404.1199999</v>
      </c>
    </row>
    <row r="9" spans="1:15" x14ac:dyDescent="0.25">
      <c r="A9" s="250" t="s">
        <v>245</v>
      </c>
      <c r="B9" s="251">
        <v>22207694617.119999</v>
      </c>
      <c r="C9" s="252">
        <v>2600011721.75</v>
      </c>
      <c r="D9" s="248"/>
      <c r="E9" s="248" t="s">
        <v>245</v>
      </c>
      <c r="F9" s="253">
        <v>21534648952.75</v>
      </c>
      <c r="G9" s="254">
        <v>2481081370.25</v>
      </c>
      <c r="H9" s="250"/>
      <c r="I9" s="248" t="s">
        <v>264</v>
      </c>
      <c r="J9" s="259">
        <v>21164105942.380001</v>
      </c>
      <c r="K9" s="260">
        <v>1789331903.75</v>
      </c>
      <c r="L9" s="248"/>
      <c r="M9" s="261" t="s">
        <v>264</v>
      </c>
      <c r="N9" s="261">
        <v>20656503132.5</v>
      </c>
      <c r="O9" s="262">
        <v>1852037660.25</v>
      </c>
    </row>
    <row r="10" spans="1:15" x14ac:dyDescent="0.25">
      <c r="A10" s="250" t="s">
        <v>247</v>
      </c>
      <c r="B10" s="251">
        <v>19348712317.119999</v>
      </c>
      <c r="C10" s="252">
        <v>2158434333.25</v>
      </c>
      <c r="D10" s="248"/>
      <c r="E10" s="248" t="s">
        <v>247</v>
      </c>
      <c r="F10" s="253">
        <v>18792656413</v>
      </c>
      <c r="G10" s="254">
        <v>2139081531.6199999</v>
      </c>
      <c r="H10" s="250"/>
      <c r="I10" s="248" t="s">
        <v>265</v>
      </c>
      <c r="J10" s="259">
        <v>20489435870.380001</v>
      </c>
      <c r="K10" s="260">
        <v>1751960427.8800001</v>
      </c>
      <c r="L10" s="248"/>
      <c r="M10" s="261" t="s">
        <v>265</v>
      </c>
      <c r="N10" s="261">
        <v>19941904146.119999</v>
      </c>
      <c r="O10" s="262">
        <v>1683087686.25</v>
      </c>
    </row>
    <row r="11" spans="1:15" x14ac:dyDescent="0.25">
      <c r="A11" s="250" t="s">
        <v>249</v>
      </c>
      <c r="B11" s="251">
        <v>16183071961</v>
      </c>
      <c r="C11" s="252">
        <v>1921340379.75</v>
      </c>
      <c r="D11" s="248"/>
      <c r="E11" s="248" t="s">
        <v>249</v>
      </c>
      <c r="F11" s="253">
        <v>15681121316.879999</v>
      </c>
      <c r="G11" s="254">
        <v>1815870552.5</v>
      </c>
      <c r="H11" s="250"/>
      <c r="I11" s="248" t="s">
        <v>266</v>
      </c>
      <c r="J11" s="259">
        <v>19646551065.380001</v>
      </c>
      <c r="K11" s="260">
        <v>1563876689.8800001</v>
      </c>
      <c r="L11" s="248"/>
      <c r="M11" s="261" t="s">
        <v>266</v>
      </c>
      <c r="N11" s="261">
        <v>19200988710.619999</v>
      </c>
      <c r="O11" s="262">
        <v>1717900096.25</v>
      </c>
    </row>
    <row r="12" spans="1:15" x14ac:dyDescent="0.25">
      <c r="A12" s="250" t="s">
        <v>251</v>
      </c>
      <c r="B12" s="251">
        <v>12552780173.5</v>
      </c>
      <c r="C12" s="252">
        <v>1483298787.3800001</v>
      </c>
      <c r="D12" s="248"/>
      <c r="E12" s="248" t="s">
        <v>251</v>
      </c>
      <c r="F12" s="253">
        <v>12147722558</v>
      </c>
      <c r="G12" s="254">
        <v>1287480628.5</v>
      </c>
      <c r="H12" s="250"/>
      <c r="I12" s="248" t="s">
        <v>267</v>
      </c>
      <c r="J12" s="259">
        <v>18867477208.75</v>
      </c>
      <c r="K12" s="260">
        <v>1501654851.3800001</v>
      </c>
      <c r="L12" s="248"/>
      <c r="M12" s="261" t="s">
        <v>267</v>
      </c>
      <c r="N12" s="261">
        <v>18373240135.75</v>
      </c>
      <c r="O12" s="262">
        <v>1522123759.1199999</v>
      </c>
    </row>
    <row r="13" spans="1:15" x14ac:dyDescent="0.25">
      <c r="A13" s="250" t="s">
        <v>253</v>
      </c>
      <c r="B13" s="251">
        <v>8642407050.8799992</v>
      </c>
      <c r="C13" s="252">
        <v>933567759.44000006</v>
      </c>
      <c r="D13" s="248"/>
      <c r="E13" s="248" t="s">
        <v>253</v>
      </c>
      <c r="F13" s="253">
        <v>8392388428.1199999</v>
      </c>
      <c r="G13" s="254">
        <v>900652630</v>
      </c>
      <c r="H13" s="250"/>
      <c r="I13" s="248" t="s">
        <v>268</v>
      </c>
      <c r="J13" s="259">
        <v>18031083220.119999</v>
      </c>
      <c r="K13" s="260">
        <v>1388611587.5</v>
      </c>
      <c r="L13" s="248"/>
      <c r="M13" s="261" t="s">
        <v>268</v>
      </c>
      <c r="N13" s="261">
        <v>17555192523.5</v>
      </c>
      <c r="O13" s="262">
        <v>1432637305.6199999</v>
      </c>
    </row>
    <row r="14" spans="1:15" x14ac:dyDescent="0.25">
      <c r="A14" s="250" t="s">
        <v>255</v>
      </c>
      <c r="B14" s="251">
        <v>5307226555.25</v>
      </c>
      <c r="C14" s="252">
        <v>533209760</v>
      </c>
      <c r="D14" s="248"/>
      <c r="E14" s="248" t="s">
        <v>255</v>
      </c>
      <c r="F14" s="253">
        <v>5179756563.4399996</v>
      </c>
      <c r="G14" s="254">
        <v>502920284.94</v>
      </c>
      <c r="H14" s="250"/>
      <c r="I14" s="248" t="s">
        <v>269</v>
      </c>
      <c r="J14" s="259">
        <v>16991171296.120001</v>
      </c>
      <c r="K14" s="260">
        <v>1295335621.6199999</v>
      </c>
      <c r="L14" s="248"/>
      <c r="M14" s="261" t="s">
        <v>269</v>
      </c>
      <c r="N14" s="261">
        <v>16557068548.25</v>
      </c>
      <c r="O14" s="262">
        <v>1413962320.3800001</v>
      </c>
    </row>
    <row r="15" spans="1:15" x14ac:dyDescent="0.25">
      <c r="A15" s="250" t="s">
        <v>257</v>
      </c>
      <c r="B15" s="251">
        <v>2960191892.5599999</v>
      </c>
      <c r="C15" s="252">
        <v>327727739.69</v>
      </c>
      <c r="D15" s="248"/>
      <c r="E15" s="248" t="s">
        <v>257</v>
      </c>
      <c r="F15" s="253">
        <v>2871457577</v>
      </c>
      <c r="G15" s="254">
        <v>264030670.34</v>
      </c>
      <c r="H15" s="250"/>
      <c r="I15" s="248" t="s">
        <v>270</v>
      </c>
      <c r="J15" s="259">
        <v>15857380010.5</v>
      </c>
      <c r="K15" s="260">
        <v>1198259670.5</v>
      </c>
      <c r="L15" s="248"/>
      <c r="M15" s="261" t="s">
        <v>270</v>
      </c>
      <c r="N15" s="261">
        <v>15319576243</v>
      </c>
      <c r="O15" s="262">
        <v>1059824940.75</v>
      </c>
    </row>
    <row r="16" spans="1:15" x14ac:dyDescent="0.25">
      <c r="A16" s="250" t="s">
        <v>259</v>
      </c>
      <c r="B16" s="251">
        <v>1473726116.0599999</v>
      </c>
      <c r="C16" s="252">
        <v>156242648.80000001</v>
      </c>
      <c r="D16" s="248"/>
      <c r="E16" s="248" t="s">
        <v>259</v>
      </c>
      <c r="F16" s="253">
        <v>1460711408.3499999</v>
      </c>
      <c r="G16" s="254">
        <v>183825353.09999999</v>
      </c>
      <c r="H16" s="250"/>
      <c r="I16" s="248" t="s">
        <v>271</v>
      </c>
      <c r="J16" s="259">
        <v>14685775105.25</v>
      </c>
      <c r="K16" s="260">
        <v>1058472188</v>
      </c>
      <c r="L16" s="248"/>
      <c r="M16" s="261" t="s">
        <v>271</v>
      </c>
      <c r="N16" s="261">
        <v>14187814817.120001</v>
      </c>
      <c r="O16" s="262">
        <v>997659772.5</v>
      </c>
    </row>
    <row r="17" spans="1:15" x14ac:dyDescent="0.25">
      <c r="A17" s="250"/>
      <c r="B17" s="251"/>
      <c r="C17" s="251"/>
      <c r="D17" s="248"/>
      <c r="E17" s="248"/>
      <c r="F17" s="253"/>
      <c r="G17" s="254"/>
      <c r="H17" s="250"/>
      <c r="I17" s="248" t="s">
        <v>272</v>
      </c>
      <c r="J17" s="259">
        <v>13216974838</v>
      </c>
      <c r="K17" s="260">
        <v>881565549</v>
      </c>
      <c r="L17" s="248"/>
      <c r="M17" s="261" t="s">
        <v>272</v>
      </c>
      <c r="N17" s="261">
        <v>12727859890</v>
      </c>
      <c r="O17" s="262">
        <v>928147383.20000005</v>
      </c>
    </row>
    <row r="18" spans="1:15" x14ac:dyDescent="0.25">
      <c r="A18" s="250"/>
      <c r="B18" s="251"/>
      <c r="C18" s="251"/>
      <c r="D18" s="248"/>
      <c r="E18" s="248"/>
      <c r="F18" s="253"/>
      <c r="G18" s="254"/>
      <c r="H18" s="250"/>
      <c r="I18" s="248" t="s">
        <v>273</v>
      </c>
      <c r="J18" s="259">
        <v>11730928792</v>
      </c>
      <c r="K18" s="260">
        <v>607731215.20000005</v>
      </c>
      <c r="L18" s="248"/>
      <c r="M18" s="261" t="s">
        <v>273</v>
      </c>
      <c r="N18" s="261">
        <v>11188324324</v>
      </c>
      <c r="O18" s="262">
        <v>667326444.39999998</v>
      </c>
    </row>
    <row r="19" spans="1:15" x14ac:dyDescent="0.25">
      <c r="A19" s="250"/>
      <c r="B19" s="251"/>
      <c r="C19" s="251"/>
      <c r="D19" s="248"/>
      <c r="E19" s="248"/>
      <c r="F19" s="253"/>
      <c r="G19" s="254"/>
      <c r="H19" s="250"/>
      <c r="I19" s="248"/>
      <c r="J19" s="259"/>
      <c r="K19" s="260"/>
      <c r="L19" s="248"/>
      <c r="M19" s="261"/>
      <c r="N19" s="261"/>
      <c r="O19" s="262"/>
    </row>
    <row r="20" spans="1:15" x14ac:dyDescent="0.25">
      <c r="A20" s="250"/>
      <c r="B20" s="251"/>
      <c r="C20" s="251"/>
      <c r="D20" s="248"/>
      <c r="E20" s="248"/>
      <c r="F20" s="253"/>
      <c r="G20" s="254"/>
      <c r="H20" s="250"/>
      <c r="I20" s="248"/>
      <c r="J20" s="259"/>
      <c r="K20" s="260"/>
      <c r="L20" s="248"/>
      <c r="M20" s="261"/>
      <c r="N20" s="261"/>
      <c r="O20" s="262"/>
    </row>
    <row r="21" spans="1:15" x14ac:dyDescent="0.25">
      <c r="A21" s="250"/>
      <c r="B21" s="251"/>
      <c r="C21" s="251"/>
      <c r="D21" s="248"/>
      <c r="E21" s="248"/>
      <c r="F21" s="253"/>
      <c r="G21" s="254"/>
      <c r="H21" s="250"/>
      <c r="I21" s="248"/>
      <c r="J21" s="259"/>
      <c r="K21" s="260"/>
      <c r="L21" s="248"/>
      <c r="M21" s="261"/>
      <c r="N21" s="261"/>
      <c r="O21" s="262"/>
    </row>
    <row r="22" spans="1:15" x14ac:dyDescent="0.25">
      <c r="A22" s="250"/>
      <c r="B22" s="251"/>
      <c r="C22" s="251"/>
      <c r="D22" s="248"/>
      <c r="E22" s="248"/>
      <c r="F22" s="253"/>
      <c r="G22" s="254"/>
      <c r="H22" s="250"/>
      <c r="I22" s="248"/>
      <c r="J22" s="259"/>
      <c r="K22" s="260"/>
      <c r="L22" s="248"/>
      <c r="M22" s="261"/>
      <c r="N22" s="261"/>
      <c r="O22" s="262"/>
    </row>
    <row r="23" spans="1:15" ht="15.75" x14ac:dyDescent="0.25">
      <c r="A23" s="255" t="s">
        <v>235</v>
      </c>
      <c r="B23" s="316" t="s">
        <v>219</v>
      </c>
      <c r="C23" s="316"/>
      <c r="D23" s="248"/>
      <c r="E23" s="106" t="s">
        <v>235</v>
      </c>
      <c r="F23" s="317" t="s">
        <v>219</v>
      </c>
      <c r="G23" s="318"/>
      <c r="H23" s="250"/>
      <c r="I23" s="106" t="s">
        <v>236</v>
      </c>
      <c r="J23" s="319" t="s">
        <v>219</v>
      </c>
      <c r="K23" s="319"/>
      <c r="L23" s="248"/>
      <c r="M23" s="239" t="s">
        <v>236</v>
      </c>
      <c r="N23" s="320" t="s">
        <v>219</v>
      </c>
      <c r="O23" s="321"/>
    </row>
    <row r="24" spans="1:15" x14ac:dyDescent="0.25">
      <c r="A24" s="256" t="s">
        <v>237</v>
      </c>
      <c r="B24" s="113" t="s">
        <v>238</v>
      </c>
      <c r="C24" s="113" t="s">
        <v>239</v>
      </c>
      <c r="D24" s="248"/>
      <c r="E24" s="107" t="s">
        <v>240</v>
      </c>
      <c r="F24" s="114" t="s">
        <v>238</v>
      </c>
      <c r="G24" s="257" t="s">
        <v>239</v>
      </c>
      <c r="H24" s="250"/>
      <c r="I24" s="107" t="s">
        <v>237</v>
      </c>
      <c r="J24" s="115" t="s">
        <v>238</v>
      </c>
      <c r="K24" s="116" t="s">
        <v>239</v>
      </c>
      <c r="L24" s="248"/>
      <c r="M24" s="117" t="s">
        <v>240</v>
      </c>
      <c r="N24" s="117" t="s">
        <v>238</v>
      </c>
      <c r="O24" s="263" t="s">
        <v>239</v>
      </c>
    </row>
    <row r="25" spans="1:15" x14ac:dyDescent="0.25">
      <c r="A25" s="256" t="s">
        <v>241</v>
      </c>
      <c r="B25" s="113">
        <f t="shared" ref="B25:B34" si="0">B7/27769168796</f>
        <v>1</v>
      </c>
      <c r="C25" s="113">
        <f t="shared" ref="C25:C34" si="1">C7/2915140804</f>
        <v>1</v>
      </c>
      <c r="D25" s="248"/>
      <c r="E25" s="107" t="s">
        <v>241</v>
      </c>
      <c r="F25" s="114">
        <f t="shared" ref="F25:F34" si="2">F7/27003347568</f>
        <v>1</v>
      </c>
      <c r="G25" s="257">
        <f t="shared" ref="G25:G34" si="3">G7/2850552430.5</f>
        <v>1</v>
      </c>
      <c r="H25" s="250"/>
      <c r="I25" s="248" t="s">
        <v>242</v>
      </c>
      <c r="J25" s="115">
        <f t="shared" ref="J25:J36" si="4">J7/22388743223</f>
        <v>1</v>
      </c>
      <c r="K25" s="116">
        <f t="shared" ref="K25:K36" si="5">K7/2132387668.88</f>
        <v>1</v>
      </c>
      <c r="L25" s="248"/>
      <c r="M25" s="261" t="s">
        <v>242</v>
      </c>
      <c r="N25" s="117">
        <f t="shared" ref="N25:N36" si="6">N7/21876567409.62</f>
        <v>1</v>
      </c>
      <c r="O25" s="263">
        <f t="shared" ref="O25:O36" si="7">O7/2133627668.5</f>
        <v>1</v>
      </c>
    </row>
    <row r="26" spans="1:15" x14ac:dyDescent="0.25">
      <c r="A26" s="256" t="s">
        <v>243</v>
      </c>
      <c r="B26" s="113">
        <f t="shared" si="0"/>
        <v>0.8981891491056353</v>
      </c>
      <c r="C26" s="113">
        <f t="shared" si="1"/>
        <v>0.95683306254801404</v>
      </c>
      <c r="D26" s="248"/>
      <c r="E26" s="107" t="s">
        <v>243</v>
      </c>
      <c r="F26" s="114">
        <f t="shared" si="2"/>
        <v>0.89736484727418298</v>
      </c>
      <c r="G26" s="257">
        <f t="shared" si="3"/>
        <v>0.95006471772735213</v>
      </c>
      <c r="H26" s="250"/>
      <c r="I26" s="248" t="s">
        <v>244</v>
      </c>
      <c r="J26" s="115">
        <f t="shared" si="4"/>
        <v>0.98251499250758101</v>
      </c>
      <c r="K26" s="116">
        <f t="shared" si="5"/>
        <v>0.91794756088047591</v>
      </c>
      <c r="L26" s="248"/>
      <c r="M26" s="261" t="s">
        <v>244</v>
      </c>
      <c r="N26" s="117">
        <f t="shared" si="6"/>
        <v>0.97943651093351247</v>
      </c>
      <c r="O26" s="263">
        <f t="shared" si="7"/>
        <v>0.87018903603986508</v>
      </c>
    </row>
    <row r="27" spans="1:15" x14ac:dyDescent="0.25">
      <c r="A27" s="256" t="s">
        <v>245</v>
      </c>
      <c r="B27" s="113">
        <f t="shared" si="0"/>
        <v>0.79972485961909301</v>
      </c>
      <c r="C27" s="113">
        <f t="shared" si="1"/>
        <v>0.89189918997477013</v>
      </c>
      <c r="D27" s="248"/>
      <c r="E27" s="107" t="s">
        <v>245</v>
      </c>
      <c r="F27" s="114">
        <f t="shared" si="2"/>
        <v>0.7974807159935009</v>
      </c>
      <c r="G27" s="257">
        <f t="shared" si="3"/>
        <v>0.8703861552249389</v>
      </c>
      <c r="H27" s="250"/>
      <c r="I27" s="248" t="s">
        <v>264</v>
      </c>
      <c r="J27" s="115">
        <f t="shared" si="4"/>
        <v>0.94530120478750557</v>
      </c>
      <c r="K27" s="116">
        <f t="shared" si="5"/>
        <v>0.83912129574910543</v>
      </c>
      <c r="L27" s="248"/>
      <c r="M27" s="261" t="s">
        <v>264</v>
      </c>
      <c r="N27" s="117">
        <f t="shared" si="6"/>
        <v>0.94422962916094921</v>
      </c>
      <c r="O27" s="263">
        <f t="shared" si="7"/>
        <v>0.86802289246278586</v>
      </c>
    </row>
    <row r="28" spans="1:15" x14ac:dyDescent="0.25">
      <c r="A28" s="256" t="s">
        <v>247</v>
      </c>
      <c r="B28" s="113">
        <f t="shared" si="0"/>
        <v>0.69676958857720928</v>
      </c>
      <c r="C28" s="113">
        <f t="shared" si="1"/>
        <v>0.74042198246078272</v>
      </c>
      <c r="D28" s="248"/>
      <c r="E28" s="107" t="s">
        <v>247</v>
      </c>
      <c r="F28" s="114">
        <f t="shared" si="2"/>
        <v>0.69593802641232594</v>
      </c>
      <c r="G28" s="257">
        <f t="shared" si="3"/>
        <v>0.7504094675588181</v>
      </c>
      <c r="H28" s="250"/>
      <c r="I28" s="248" t="s">
        <v>265</v>
      </c>
      <c r="J28" s="115">
        <f t="shared" si="4"/>
        <v>0.91516686159190763</v>
      </c>
      <c r="K28" s="116">
        <f t="shared" si="5"/>
        <v>0.82159564766203474</v>
      </c>
      <c r="L28" s="248"/>
      <c r="M28" s="261" t="s">
        <v>265</v>
      </c>
      <c r="N28" s="117">
        <f t="shared" si="6"/>
        <v>0.91156458747503266</v>
      </c>
      <c r="O28" s="263">
        <f t="shared" si="7"/>
        <v>0.78883851718761122</v>
      </c>
    </row>
    <row r="29" spans="1:15" x14ac:dyDescent="0.25">
      <c r="A29" s="256" t="s">
        <v>249</v>
      </c>
      <c r="B29" s="113">
        <f t="shared" si="0"/>
        <v>0.58277120499663948</v>
      </c>
      <c r="C29" s="113">
        <f t="shared" si="1"/>
        <v>0.65909007795220032</v>
      </c>
      <c r="D29" s="248"/>
      <c r="E29" s="107" t="s">
        <v>249</v>
      </c>
      <c r="F29" s="114">
        <f t="shared" si="2"/>
        <v>0.5807102722131654</v>
      </c>
      <c r="G29" s="257">
        <f t="shared" si="3"/>
        <v>0.63702408454963511</v>
      </c>
      <c r="H29" s="250"/>
      <c r="I29" s="248" t="s">
        <v>266</v>
      </c>
      <c r="J29" s="115">
        <f t="shared" si="4"/>
        <v>0.87751915637663214</v>
      </c>
      <c r="K29" s="116">
        <f t="shared" si="5"/>
        <v>0.73339229667436567</v>
      </c>
      <c r="L29" s="248"/>
      <c r="M29" s="261" t="s">
        <v>266</v>
      </c>
      <c r="N29" s="117">
        <f t="shared" si="6"/>
        <v>0.87769659431015479</v>
      </c>
      <c r="O29" s="263">
        <f t="shared" si="7"/>
        <v>0.80515458325384948</v>
      </c>
    </row>
    <row r="30" spans="1:15" x14ac:dyDescent="0.25">
      <c r="A30" s="256" t="s">
        <v>251</v>
      </c>
      <c r="B30" s="113">
        <f t="shared" si="0"/>
        <v>0.45204018405146362</v>
      </c>
      <c r="C30" s="113">
        <f t="shared" si="1"/>
        <v>0.50882577793316086</v>
      </c>
      <c r="D30" s="248"/>
      <c r="E30" s="107" t="s">
        <v>251</v>
      </c>
      <c r="F30" s="114">
        <f t="shared" si="2"/>
        <v>0.44985987486957046</v>
      </c>
      <c r="G30" s="257">
        <f t="shared" si="3"/>
        <v>0.45166004130440429</v>
      </c>
      <c r="H30" s="250"/>
      <c r="I30" s="248" t="s">
        <v>267</v>
      </c>
      <c r="J30" s="115">
        <f t="shared" si="4"/>
        <v>0.84272158650546336</v>
      </c>
      <c r="K30" s="116">
        <f t="shared" si="5"/>
        <v>0.70421287521734655</v>
      </c>
      <c r="L30" s="248"/>
      <c r="M30" s="261" t="s">
        <v>267</v>
      </c>
      <c r="N30" s="117">
        <f t="shared" si="6"/>
        <v>0.8398593706099684</v>
      </c>
      <c r="O30" s="263">
        <f t="shared" si="7"/>
        <v>0.71339708497035736</v>
      </c>
    </row>
    <row r="31" spans="1:15" x14ac:dyDescent="0.25">
      <c r="A31" s="256" t="s">
        <v>253</v>
      </c>
      <c r="B31" s="113">
        <f t="shared" si="0"/>
        <v>0.31122310913839424</v>
      </c>
      <c r="C31" s="113">
        <f t="shared" si="1"/>
        <v>0.32024791329427671</v>
      </c>
      <c r="D31" s="248"/>
      <c r="E31" s="107" t="s">
        <v>253</v>
      </c>
      <c r="F31" s="114">
        <f t="shared" si="2"/>
        <v>0.31079066797130372</v>
      </c>
      <c r="G31" s="257">
        <f t="shared" si="3"/>
        <v>0.31595722301519685</v>
      </c>
      <c r="H31" s="250"/>
      <c r="I31" s="248" t="s">
        <v>268</v>
      </c>
      <c r="J31" s="115">
        <f t="shared" si="4"/>
        <v>0.80536379557011628</v>
      </c>
      <c r="K31" s="116">
        <f t="shared" si="5"/>
        <v>0.65120034586832154</v>
      </c>
      <c r="L31" s="248"/>
      <c r="M31" s="261" t="s">
        <v>268</v>
      </c>
      <c r="N31" s="117">
        <f t="shared" si="6"/>
        <v>0.8024655877128275</v>
      </c>
      <c r="O31" s="263">
        <f t="shared" si="7"/>
        <v>0.67145609647403193</v>
      </c>
    </row>
    <row r="32" spans="1:15" x14ac:dyDescent="0.25">
      <c r="A32" s="256" t="s">
        <v>255</v>
      </c>
      <c r="B32" s="113">
        <f t="shared" si="0"/>
        <v>0.19111938834894035</v>
      </c>
      <c r="C32" s="113">
        <f t="shared" si="1"/>
        <v>0.18291046499996094</v>
      </c>
      <c r="D32" s="248"/>
      <c r="E32" s="107" t="s">
        <v>255</v>
      </c>
      <c r="F32" s="114">
        <f t="shared" si="2"/>
        <v>0.19181905318947232</v>
      </c>
      <c r="G32" s="257">
        <f t="shared" si="3"/>
        <v>0.17642905970046846</v>
      </c>
      <c r="H32" s="250"/>
      <c r="I32" s="248" t="s">
        <v>269</v>
      </c>
      <c r="J32" s="115">
        <f t="shared" si="4"/>
        <v>0.75891581438412037</v>
      </c>
      <c r="K32" s="116">
        <f t="shared" si="5"/>
        <v>0.60745784667773506</v>
      </c>
      <c r="L32" s="248"/>
      <c r="M32" s="261" t="s">
        <v>269</v>
      </c>
      <c r="N32" s="117">
        <f t="shared" si="6"/>
        <v>0.75684033231690617</v>
      </c>
      <c r="O32" s="263">
        <f t="shared" si="7"/>
        <v>0.66270340474824041</v>
      </c>
    </row>
    <row r="33" spans="1:15" x14ac:dyDescent="0.25">
      <c r="A33" s="256" t="s">
        <v>257</v>
      </c>
      <c r="B33" s="113">
        <f t="shared" si="0"/>
        <v>0.10659994594387714</v>
      </c>
      <c r="C33" s="113">
        <f t="shared" si="1"/>
        <v>0.11242261068155252</v>
      </c>
      <c r="D33" s="248"/>
      <c r="E33" s="107" t="s">
        <v>257</v>
      </c>
      <c r="F33" s="114">
        <f t="shared" si="2"/>
        <v>0.10633709653105332</v>
      </c>
      <c r="G33" s="257">
        <f t="shared" si="3"/>
        <v>9.2624386597824418E-2</v>
      </c>
      <c r="H33" s="250"/>
      <c r="I33" s="248" t="s">
        <v>270</v>
      </c>
      <c r="J33" s="115">
        <f t="shared" si="4"/>
        <v>0.70827468306526842</v>
      </c>
      <c r="K33" s="116">
        <f t="shared" si="5"/>
        <v>0.56193331446592221</v>
      </c>
      <c r="L33" s="248"/>
      <c r="M33" s="261" t="s">
        <v>270</v>
      </c>
      <c r="N33" s="117">
        <f t="shared" si="6"/>
        <v>0.70027330870305415</v>
      </c>
      <c r="O33" s="263">
        <f t="shared" si="7"/>
        <v>0.49672440810400936</v>
      </c>
    </row>
    <row r="34" spans="1:15" x14ac:dyDescent="0.25">
      <c r="A34" s="256" t="s">
        <v>259</v>
      </c>
      <c r="B34" s="113">
        <f t="shared" si="0"/>
        <v>5.3070587992258604E-2</v>
      </c>
      <c r="C34" s="113">
        <f t="shared" si="1"/>
        <v>5.3596947559312477E-2</v>
      </c>
      <c r="D34" s="248"/>
      <c r="E34" s="107" t="s">
        <v>259</v>
      </c>
      <c r="F34" s="114">
        <f t="shared" si="2"/>
        <v>5.4093715776224675E-2</v>
      </c>
      <c r="G34" s="257">
        <f t="shared" si="3"/>
        <v>6.4487623919184042E-2</v>
      </c>
      <c r="H34" s="250"/>
      <c r="I34" s="248" t="s">
        <v>271</v>
      </c>
      <c r="J34" s="115">
        <f t="shared" si="4"/>
        <v>0.65594459496785307</v>
      </c>
      <c r="K34" s="116">
        <f t="shared" si="5"/>
        <v>0.49637887305732936</v>
      </c>
      <c r="L34" s="248"/>
      <c r="M34" s="261" t="s">
        <v>271</v>
      </c>
      <c r="N34" s="117">
        <f t="shared" si="6"/>
        <v>0.64853935041386124</v>
      </c>
      <c r="O34" s="263">
        <f t="shared" si="7"/>
        <v>0.46758850535594282</v>
      </c>
    </row>
    <row r="35" spans="1:15" x14ac:dyDescent="0.25">
      <c r="A35" s="250"/>
      <c r="B35" s="251"/>
      <c r="C35" s="251"/>
      <c r="D35" s="248"/>
      <c r="E35" s="248"/>
      <c r="F35" s="253"/>
      <c r="G35" s="254"/>
      <c r="H35" s="250"/>
      <c r="I35" s="248" t="s">
        <v>272</v>
      </c>
      <c r="J35" s="115">
        <f t="shared" si="4"/>
        <v>0.59034018597444882</v>
      </c>
      <c r="K35" s="116">
        <f t="shared" si="5"/>
        <v>0.41341711071844039</v>
      </c>
      <c r="L35" s="248"/>
      <c r="M35" s="261" t="s">
        <v>272</v>
      </c>
      <c r="N35" s="117">
        <f t="shared" si="6"/>
        <v>0.58180333558193653</v>
      </c>
      <c r="O35" s="263">
        <f t="shared" si="7"/>
        <v>0.43500906784383503</v>
      </c>
    </row>
    <row r="36" spans="1:15" x14ac:dyDescent="0.25">
      <c r="A36" s="250"/>
      <c r="B36" s="251"/>
      <c r="C36" s="251"/>
      <c r="D36" s="248"/>
      <c r="E36" s="248"/>
      <c r="F36" s="253"/>
      <c r="G36" s="254"/>
      <c r="H36" s="250"/>
      <c r="I36" s="248" t="s">
        <v>273</v>
      </c>
      <c r="J36" s="115">
        <f t="shared" si="4"/>
        <v>0.523965489047585</v>
      </c>
      <c r="K36" s="116">
        <f t="shared" si="5"/>
        <v>0.28500034213722519</v>
      </c>
      <c r="L36" s="248"/>
      <c r="M36" s="261" t="s">
        <v>273</v>
      </c>
      <c r="N36" s="117">
        <f t="shared" si="6"/>
        <v>0.51142960933990256</v>
      </c>
      <c r="O36" s="263">
        <f t="shared" si="7"/>
        <v>0.31276611859329195</v>
      </c>
    </row>
    <row r="37" spans="1:15" x14ac:dyDescent="0.25">
      <c r="A37" s="168"/>
      <c r="B37" s="18"/>
      <c r="C37" s="18"/>
      <c r="D37" s="18"/>
      <c r="E37" s="18"/>
      <c r="F37" s="18"/>
      <c r="G37" s="169"/>
      <c r="H37" s="168"/>
      <c r="I37" s="18"/>
      <c r="J37" s="18"/>
      <c r="K37" s="18"/>
      <c r="L37" s="18"/>
      <c r="M37" s="18"/>
      <c r="N37" s="18"/>
      <c r="O37" s="169"/>
    </row>
    <row r="38" spans="1:15" x14ac:dyDescent="0.25">
      <c r="A38" s="168"/>
      <c r="B38" s="18"/>
      <c r="C38" s="18"/>
      <c r="D38" s="18"/>
      <c r="E38" s="18"/>
      <c r="F38" s="18"/>
      <c r="G38" s="169"/>
      <c r="H38" s="168"/>
      <c r="I38" s="18"/>
      <c r="J38" s="18"/>
      <c r="K38" s="18"/>
      <c r="L38" s="18"/>
      <c r="M38" s="18"/>
      <c r="N38" s="18"/>
      <c r="O38" s="169"/>
    </row>
    <row r="39" spans="1:15" ht="15.75" thickBot="1" x14ac:dyDescent="0.3">
      <c r="A39" s="181"/>
      <c r="B39" s="182"/>
      <c r="C39" s="182"/>
      <c r="D39" s="182"/>
      <c r="E39" s="182"/>
      <c r="F39" s="182"/>
      <c r="G39" s="183"/>
      <c r="H39" s="181"/>
      <c r="I39" s="182"/>
      <c r="J39" s="182"/>
      <c r="K39" s="182"/>
      <c r="L39" s="182"/>
      <c r="M39" s="182"/>
      <c r="N39" s="182"/>
      <c r="O39" s="183"/>
    </row>
  </sheetData>
  <mergeCells count="10">
    <mergeCell ref="I2:O2"/>
    <mergeCell ref="B23:C23"/>
    <mergeCell ref="F23:G23"/>
    <mergeCell ref="J23:K23"/>
    <mergeCell ref="N23:O23"/>
    <mergeCell ref="A4:O4"/>
    <mergeCell ref="B5:C5"/>
    <mergeCell ref="F5:G5"/>
    <mergeCell ref="J5:K5"/>
    <mergeCell ref="N5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E11C-7B25-4920-B886-E5088EF66820}">
  <dimension ref="A1:Q35"/>
  <sheetViews>
    <sheetView zoomScale="130" zoomScaleNormal="130" workbookViewId="0">
      <selection activeCell="G21" sqref="G21"/>
    </sheetView>
  </sheetViews>
  <sheetFormatPr defaultColWidth="8.85546875" defaultRowHeight="15" x14ac:dyDescent="0.25"/>
  <cols>
    <col min="1" max="1" width="10.85546875" customWidth="1"/>
    <col min="2" max="2" width="12.42578125" customWidth="1"/>
    <col min="3" max="3" width="12.85546875" customWidth="1"/>
    <col min="4" max="4" width="11.42578125" customWidth="1"/>
    <col min="5" max="5" width="11.140625" customWidth="1"/>
    <col min="6" max="8" width="9.28515625" bestFit="1" customWidth="1"/>
    <col min="11" max="11" width="18.5703125" style="105" bestFit="1" customWidth="1"/>
    <col min="12" max="12" width="10.140625" style="105" customWidth="1"/>
    <col min="13" max="13" width="15.140625" style="105" bestFit="1" customWidth="1"/>
    <col min="14" max="14" width="10.140625" style="105" customWidth="1"/>
    <col min="15" max="15" width="16.7109375" style="105" bestFit="1" customWidth="1"/>
    <col min="16" max="16" width="10.140625" style="105" customWidth="1"/>
    <col min="17" max="17" width="23.5703125" customWidth="1"/>
  </cols>
  <sheetData>
    <row r="1" spans="1:17" s="2" customFormat="1" ht="15.75" x14ac:dyDescent="0.25">
      <c r="C1" s="332" t="s">
        <v>74</v>
      </c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105"/>
    </row>
    <row r="2" spans="1:17" ht="15.75" x14ac:dyDescent="0.25">
      <c r="A2" s="333"/>
      <c r="B2" s="334"/>
      <c r="C2" s="337" t="s">
        <v>363</v>
      </c>
      <c r="D2" s="337"/>
      <c r="E2" s="337"/>
      <c r="F2" s="192"/>
      <c r="G2" s="192"/>
      <c r="H2" s="192"/>
      <c r="I2" s="8"/>
      <c r="K2" s="128"/>
      <c r="L2" s="336" t="s">
        <v>364</v>
      </c>
      <c r="M2" s="336"/>
      <c r="N2" s="336"/>
      <c r="O2" s="331"/>
      <c r="P2" s="331"/>
      <c r="Q2" s="335"/>
    </row>
    <row r="3" spans="1:17" x14ac:dyDescent="0.25">
      <c r="A3" s="193"/>
      <c r="B3" s="194"/>
      <c r="C3" s="194"/>
      <c r="D3" s="194"/>
      <c r="E3" s="194"/>
      <c r="F3" s="194"/>
      <c r="G3" s="194"/>
      <c r="H3" s="194"/>
      <c r="I3" s="11"/>
      <c r="K3" s="129"/>
      <c r="L3" s="243"/>
      <c r="M3" s="243"/>
      <c r="N3" s="243"/>
      <c r="O3" s="243"/>
      <c r="P3" s="243"/>
      <c r="Q3" s="274"/>
    </row>
    <row r="4" spans="1:17" x14ac:dyDescent="0.25">
      <c r="A4" s="278"/>
      <c r="B4" s="119" t="s">
        <v>0</v>
      </c>
      <c r="C4" s="279"/>
      <c r="D4" s="279"/>
      <c r="E4" s="279"/>
      <c r="F4" s="279"/>
      <c r="G4" s="279"/>
      <c r="H4" s="279"/>
      <c r="I4" s="11"/>
      <c r="K4" s="280" t="s">
        <v>274</v>
      </c>
      <c r="L4" s="243" t="s">
        <v>0</v>
      </c>
      <c r="M4" s="282" t="s">
        <v>274</v>
      </c>
      <c r="N4" s="243" t="s">
        <v>1</v>
      </c>
      <c r="O4" s="282" t="s">
        <v>274</v>
      </c>
      <c r="P4" s="130" t="s">
        <v>2</v>
      </c>
      <c r="Q4" s="274"/>
    </row>
    <row r="5" spans="1:17" x14ac:dyDescent="0.25">
      <c r="A5" s="278"/>
      <c r="B5" s="279" t="s">
        <v>56</v>
      </c>
      <c r="C5" s="279" t="s">
        <v>57</v>
      </c>
      <c r="D5" s="279" t="s">
        <v>56</v>
      </c>
      <c r="E5" s="279" t="s">
        <v>57</v>
      </c>
      <c r="F5" s="279"/>
      <c r="G5" s="279"/>
      <c r="H5" s="279"/>
      <c r="I5" s="11"/>
      <c r="K5" s="280"/>
      <c r="L5" s="243"/>
      <c r="M5" s="282"/>
      <c r="N5" s="243"/>
      <c r="O5" s="282"/>
      <c r="P5" s="130"/>
      <c r="Q5" s="274"/>
    </row>
    <row r="6" spans="1:17" x14ac:dyDescent="0.25">
      <c r="A6" s="278"/>
      <c r="B6" s="279" t="s">
        <v>53</v>
      </c>
      <c r="C6" s="279" t="s">
        <v>53</v>
      </c>
      <c r="D6" s="279" t="s">
        <v>54</v>
      </c>
      <c r="E6" s="279" t="s">
        <v>54</v>
      </c>
      <c r="F6" s="288" t="s">
        <v>323</v>
      </c>
      <c r="G6" s="288"/>
      <c r="H6" s="279"/>
      <c r="I6" s="11"/>
      <c r="K6" s="281" t="s">
        <v>355</v>
      </c>
      <c r="L6" s="130">
        <v>2.8</v>
      </c>
      <c r="M6" s="283" t="s">
        <v>360</v>
      </c>
      <c r="N6" s="130">
        <v>1.57</v>
      </c>
      <c r="O6" s="281" t="s">
        <v>355</v>
      </c>
      <c r="P6" s="130">
        <v>0</v>
      </c>
      <c r="Q6" s="275"/>
    </row>
    <row r="7" spans="1:17" x14ac:dyDescent="0.25">
      <c r="A7" s="278" t="s">
        <v>58</v>
      </c>
      <c r="B7" s="279">
        <v>418910000</v>
      </c>
      <c r="C7" s="279">
        <v>238580000</v>
      </c>
      <c r="D7" s="279">
        <v>0.9325</v>
      </c>
      <c r="E7" s="279">
        <v>0.63229999999999997</v>
      </c>
      <c r="F7" s="119">
        <f>D7+E7</f>
        <v>1.5648</v>
      </c>
      <c r="G7" s="279">
        <f>F7/F11</f>
        <v>0.61345460247765415</v>
      </c>
      <c r="H7" s="195">
        <v>61.3</v>
      </c>
      <c r="I7" s="11"/>
      <c r="K7" s="281" t="s">
        <v>355</v>
      </c>
      <c r="L7" s="130">
        <v>2.9</v>
      </c>
      <c r="M7" s="283" t="s">
        <v>361</v>
      </c>
      <c r="N7" s="130">
        <v>1.24</v>
      </c>
      <c r="O7" s="281" t="s">
        <v>355</v>
      </c>
      <c r="P7" s="130">
        <v>0</v>
      </c>
      <c r="Q7" s="274"/>
    </row>
    <row r="8" spans="1:17" x14ac:dyDescent="0.25">
      <c r="A8" s="278" t="s">
        <v>59</v>
      </c>
      <c r="B8" s="279">
        <v>331076000</v>
      </c>
      <c r="C8" s="279">
        <v>216768000</v>
      </c>
      <c r="D8" s="279">
        <v>0.20030000000000001</v>
      </c>
      <c r="E8" s="279">
        <v>0.14030000000000001</v>
      </c>
      <c r="F8" s="119">
        <f>D8+E8</f>
        <v>0.34060000000000001</v>
      </c>
      <c r="G8" s="279">
        <f>F8/F11</f>
        <v>0.13352673671005177</v>
      </c>
      <c r="H8" s="195">
        <v>13.4</v>
      </c>
      <c r="I8" s="11"/>
      <c r="K8" s="281" t="s">
        <v>356</v>
      </c>
      <c r="L8" s="130">
        <v>3.4</v>
      </c>
      <c r="M8" s="283" t="s">
        <v>362</v>
      </c>
      <c r="N8" s="130">
        <v>2.1</v>
      </c>
      <c r="O8" s="281" t="s">
        <v>359</v>
      </c>
      <c r="P8" s="130">
        <v>0</v>
      </c>
      <c r="Q8" s="274"/>
    </row>
    <row r="9" spans="1:17" x14ac:dyDescent="0.25">
      <c r="A9" s="278" t="s">
        <v>60</v>
      </c>
      <c r="B9" s="279">
        <v>137860000</v>
      </c>
      <c r="C9" s="279">
        <v>107100000</v>
      </c>
      <c r="D9" s="279">
        <v>0.30530000000000002</v>
      </c>
      <c r="E9" s="279">
        <v>0.34010000000000001</v>
      </c>
      <c r="F9" s="119">
        <f>D9+E9</f>
        <v>0.64539999999999997</v>
      </c>
      <c r="G9" s="279">
        <f>F9/F11</f>
        <v>0.25301866081229418</v>
      </c>
      <c r="H9" s="195">
        <v>25.3</v>
      </c>
      <c r="I9" s="11"/>
      <c r="K9" s="281" t="s">
        <v>357</v>
      </c>
      <c r="L9" s="130">
        <v>3</v>
      </c>
      <c r="M9" s="283"/>
      <c r="N9" s="130"/>
      <c r="O9" s="283"/>
      <c r="P9" s="130"/>
      <c r="Q9" s="274"/>
    </row>
    <row r="10" spans="1:17" x14ac:dyDescent="0.25">
      <c r="A10" s="278"/>
      <c r="B10" s="279"/>
      <c r="C10" s="279"/>
      <c r="D10" s="279"/>
      <c r="E10" s="279"/>
      <c r="F10" s="119"/>
      <c r="G10" s="279"/>
      <c r="H10" s="195"/>
      <c r="I10" s="11"/>
      <c r="K10" s="281" t="s">
        <v>358</v>
      </c>
      <c r="L10" s="130">
        <v>2.9</v>
      </c>
      <c r="M10" s="283"/>
      <c r="N10" s="130"/>
      <c r="O10" s="283"/>
      <c r="P10" s="130"/>
      <c r="Q10" s="274"/>
    </row>
    <row r="11" spans="1:17" x14ac:dyDescent="0.25">
      <c r="A11" s="278"/>
      <c r="B11" s="279"/>
      <c r="C11" s="279"/>
      <c r="D11" s="279"/>
      <c r="E11" s="279"/>
      <c r="F11" s="119">
        <f>F7+F8+F9</f>
        <v>2.5507999999999997</v>
      </c>
      <c r="G11" s="119"/>
      <c r="H11" s="195">
        <f>H7+H8+H9</f>
        <v>100</v>
      </c>
      <c r="I11" s="11" t="s">
        <v>352</v>
      </c>
      <c r="K11" s="281" t="s">
        <v>358</v>
      </c>
      <c r="L11" s="130">
        <v>2.6</v>
      </c>
      <c r="M11" s="283"/>
      <c r="N11" s="130"/>
      <c r="O11" s="283"/>
      <c r="P11" s="130"/>
      <c r="Q11" s="274"/>
    </row>
    <row r="12" spans="1:17" x14ac:dyDescent="0.25">
      <c r="A12" s="278"/>
      <c r="B12" s="279"/>
      <c r="C12" s="279"/>
      <c r="D12" s="279"/>
      <c r="E12" s="279"/>
      <c r="F12" s="279"/>
      <c r="G12" s="279"/>
      <c r="H12" s="195"/>
      <c r="I12" s="11"/>
      <c r="K12" s="281" t="s">
        <v>359</v>
      </c>
      <c r="L12" s="130">
        <v>2</v>
      </c>
      <c r="M12" s="283"/>
      <c r="N12" s="130"/>
      <c r="O12" s="283"/>
      <c r="P12" s="130"/>
      <c r="Q12" s="274"/>
    </row>
    <row r="13" spans="1:17" x14ac:dyDescent="0.25">
      <c r="A13" s="278"/>
      <c r="B13" s="119" t="s">
        <v>1</v>
      </c>
      <c r="C13" s="279"/>
      <c r="D13" s="279"/>
      <c r="E13" s="279"/>
      <c r="F13" s="279"/>
      <c r="G13" s="279"/>
      <c r="H13" s="195"/>
      <c r="I13" s="11"/>
      <c r="K13" s="242"/>
      <c r="L13" s="243"/>
      <c r="M13" s="243"/>
      <c r="N13" s="243"/>
      <c r="O13" s="243"/>
      <c r="P13" s="130"/>
      <c r="Q13" s="274"/>
    </row>
    <row r="14" spans="1:17" x14ac:dyDescent="0.25">
      <c r="A14" s="278"/>
      <c r="B14" s="279" t="s">
        <v>53</v>
      </c>
      <c r="C14" s="279" t="s">
        <v>53</v>
      </c>
      <c r="D14" s="279" t="s">
        <v>54</v>
      </c>
      <c r="E14" s="279" t="s">
        <v>54</v>
      </c>
      <c r="F14" s="288" t="s">
        <v>323</v>
      </c>
      <c r="G14" s="288"/>
      <c r="H14" s="196"/>
      <c r="I14" s="11"/>
      <c r="K14" s="242" t="s">
        <v>354</v>
      </c>
      <c r="L14" s="243">
        <v>2.8</v>
      </c>
      <c r="M14" s="243"/>
      <c r="N14" s="243">
        <v>1.6</v>
      </c>
      <c r="O14" s="243"/>
      <c r="P14" s="130">
        <v>0</v>
      </c>
      <c r="Q14" s="275"/>
    </row>
    <row r="15" spans="1:17" x14ac:dyDescent="0.25">
      <c r="A15" s="278" t="s">
        <v>58</v>
      </c>
      <c r="B15" s="120">
        <v>151100000</v>
      </c>
      <c r="C15" s="120">
        <v>278740000</v>
      </c>
      <c r="D15" s="279">
        <v>0.43240000000000001</v>
      </c>
      <c r="E15" s="279">
        <v>0.91300000000000003</v>
      </c>
      <c r="F15" s="119">
        <f>D15+E15</f>
        <v>1.3454000000000002</v>
      </c>
      <c r="G15" s="279">
        <f>F15/F18</f>
        <v>0.63630344305713205</v>
      </c>
      <c r="H15" s="195">
        <v>63.6</v>
      </c>
      <c r="I15" s="11"/>
      <c r="K15" s="126">
        <v>1</v>
      </c>
      <c r="L15" s="127" t="s">
        <v>275</v>
      </c>
      <c r="M15" s="127"/>
      <c r="N15" s="127" t="s">
        <v>276</v>
      </c>
      <c r="O15" s="127"/>
      <c r="P15" s="131" t="s">
        <v>277</v>
      </c>
      <c r="Q15" s="274"/>
    </row>
    <row r="16" spans="1:17" x14ac:dyDescent="0.25">
      <c r="A16" s="278" t="s">
        <v>59</v>
      </c>
      <c r="B16" s="120">
        <v>213000000</v>
      </c>
      <c r="C16" s="120">
        <v>88350000</v>
      </c>
      <c r="D16" s="279">
        <v>0.52129999999999999</v>
      </c>
      <c r="E16" s="279">
        <v>0.2477</v>
      </c>
      <c r="F16" s="119">
        <f>D16+E16</f>
        <v>0.76900000000000002</v>
      </c>
      <c r="G16" s="279">
        <f>F16/F18</f>
        <v>0.3636965569428679</v>
      </c>
      <c r="H16" s="195">
        <v>36.4</v>
      </c>
      <c r="I16" s="11"/>
      <c r="K16" s="242"/>
      <c r="L16" s="120"/>
      <c r="M16" s="120"/>
      <c r="N16" s="243"/>
      <c r="O16" s="243"/>
      <c r="P16" s="119"/>
      <c r="Q16" s="274"/>
    </row>
    <row r="17" spans="1:17" x14ac:dyDescent="0.25">
      <c r="A17" s="278"/>
      <c r="B17" s="279"/>
      <c r="C17" s="279"/>
      <c r="D17" s="279"/>
      <c r="E17" s="279"/>
      <c r="F17" s="119"/>
      <c r="G17" s="279"/>
      <c r="H17" s="195"/>
      <c r="I17" s="11"/>
      <c r="K17" s="242"/>
      <c r="L17" s="243"/>
      <c r="M17" s="243"/>
      <c r="N17" s="243"/>
      <c r="O17" s="243"/>
      <c r="P17" s="119"/>
      <c r="Q17" s="274"/>
    </row>
    <row r="18" spans="1:17" x14ac:dyDescent="0.25">
      <c r="A18" s="278"/>
      <c r="B18" s="279"/>
      <c r="C18" s="279"/>
      <c r="D18" s="279"/>
      <c r="E18" s="279"/>
      <c r="F18" s="119">
        <f>F15+F16</f>
        <v>2.1144000000000003</v>
      </c>
      <c r="G18" s="279"/>
      <c r="H18" s="197">
        <f>H16+H15</f>
        <v>100</v>
      </c>
      <c r="I18" s="11" t="s">
        <v>353</v>
      </c>
      <c r="K18" s="242"/>
      <c r="L18" s="243"/>
      <c r="M18" s="243"/>
      <c r="N18" s="243"/>
      <c r="O18" s="243"/>
      <c r="P18" s="119"/>
      <c r="Q18" s="274"/>
    </row>
    <row r="19" spans="1:17" x14ac:dyDescent="0.25">
      <c r="A19" s="278"/>
      <c r="B19" s="279"/>
      <c r="C19" s="279"/>
      <c r="D19" s="279"/>
      <c r="E19" s="279"/>
      <c r="F19" s="279"/>
      <c r="G19" s="279"/>
      <c r="H19" s="279"/>
      <c r="I19" s="11"/>
      <c r="K19" s="242"/>
      <c r="L19" s="243"/>
      <c r="M19" s="243"/>
      <c r="N19" s="243"/>
      <c r="O19" s="243"/>
      <c r="P19" s="243"/>
      <c r="Q19" s="274"/>
    </row>
    <row r="20" spans="1:17" x14ac:dyDescent="0.25">
      <c r="A20" s="278"/>
      <c r="B20" s="119" t="s">
        <v>2</v>
      </c>
      <c r="C20" s="279"/>
      <c r="D20" s="279"/>
      <c r="E20" s="279"/>
      <c r="F20" s="279"/>
      <c r="G20" s="279"/>
      <c r="H20" s="279"/>
      <c r="I20" s="11"/>
      <c r="K20" s="242"/>
      <c r="L20" s="119"/>
      <c r="M20" s="243"/>
      <c r="N20" s="243"/>
      <c r="O20" s="243"/>
      <c r="P20" s="243"/>
      <c r="Q20" s="274"/>
    </row>
    <row r="21" spans="1:17" x14ac:dyDescent="0.25">
      <c r="A21" s="286"/>
      <c r="B21" s="287"/>
      <c r="C21" s="287"/>
      <c r="D21" s="287"/>
      <c r="E21" s="287"/>
      <c r="F21" s="14"/>
      <c r="G21" s="14"/>
      <c r="H21" s="14"/>
      <c r="I21" s="11"/>
      <c r="K21" s="286"/>
      <c r="L21" s="287"/>
      <c r="M21" s="287"/>
      <c r="N21" s="287"/>
      <c r="O21" s="287"/>
      <c r="P21" s="243"/>
      <c r="Q21" s="274"/>
    </row>
    <row r="22" spans="1:17" x14ac:dyDescent="0.25">
      <c r="A22" s="12"/>
      <c r="B22" s="14"/>
      <c r="C22" s="14"/>
      <c r="D22" s="14"/>
      <c r="E22" s="14"/>
      <c r="F22" s="15"/>
      <c r="G22" s="15"/>
      <c r="H22" s="14"/>
      <c r="I22" s="11"/>
      <c r="K22" s="242"/>
      <c r="L22" s="243"/>
      <c r="M22" s="243"/>
      <c r="N22" s="243"/>
      <c r="O22" s="243"/>
      <c r="P22" s="241"/>
      <c r="Q22" s="276"/>
    </row>
    <row r="23" spans="1:17" x14ac:dyDescent="0.25">
      <c r="A23" s="12"/>
      <c r="B23" s="14"/>
      <c r="C23" s="14"/>
      <c r="D23" s="14"/>
      <c r="E23" s="14"/>
      <c r="F23" s="16"/>
      <c r="G23" s="14"/>
      <c r="H23" s="14"/>
      <c r="I23" s="11"/>
      <c r="K23" s="242"/>
      <c r="L23" s="243"/>
      <c r="M23" s="243"/>
      <c r="N23" s="243"/>
      <c r="O23" s="243"/>
      <c r="P23" s="121"/>
      <c r="Q23" s="274"/>
    </row>
    <row r="24" spans="1:17" x14ac:dyDescent="0.25">
      <c r="A24" s="12"/>
      <c r="B24" s="14"/>
      <c r="C24" s="14"/>
      <c r="D24" s="14"/>
      <c r="E24" s="14"/>
      <c r="F24" s="16"/>
      <c r="G24" s="14"/>
      <c r="H24" s="10"/>
      <c r="I24" s="11"/>
      <c r="K24" s="118"/>
      <c r="L24" s="243"/>
      <c r="M24" s="243"/>
      <c r="N24" s="241"/>
      <c r="O24" s="243"/>
      <c r="P24" s="241"/>
      <c r="Q24" s="276"/>
    </row>
    <row r="25" spans="1:17" x14ac:dyDescent="0.25">
      <c r="A25" s="12"/>
      <c r="B25" s="14"/>
      <c r="C25" s="14"/>
      <c r="D25" s="14"/>
      <c r="E25" s="14"/>
      <c r="F25" s="16"/>
      <c r="G25" s="14"/>
      <c r="H25" s="10"/>
      <c r="I25" s="11"/>
      <c r="K25" s="118"/>
      <c r="L25" s="243"/>
      <c r="M25" s="243"/>
      <c r="N25" s="243"/>
      <c r="O25" s="243"/>
      <c r="P25" s="243"/>
      <c r="Q25" s="275"/>
    </row>
    <row r="26" spans="1:17" x14ac:dyDescent="0.25">
      <c r="A26" s="12"/>
      <c r="B26" s="14"/>
      <c r="C26" s="14"/>
      <c r="D26" s="14"/>
      <c r="E26" s="14"/>
      <c r="F26" s="16"/>
      <c r="G26" s="13"/>
      <c r="H26" s="10"/>
      <c r="I26" s="11"/>
      <c r="K26" s="118"/>
      <c r="L26" s="243"/>
      <c r="M26" s="243"/>
      <c r="N26" s="120"/>
      <c r="O26" s="122"/>
      <c r="P26" s="243"/>
      <c r="Q26" s="285"/>
    </row>
    <row r="27" spans="1:17" x14ac:dyDescent="0.25">
      <c r="A27" s="9"/>
      <c r="B27" s="10"/>
      <c r="C27" s="10"/>
      <c r="D27" s="10"/>
      <c r="E27" s="10"/>
      <c r="F27" s="10"/>
      <c r="G27" s="10"/>
      <c r="H27" s="10"/>
      <c r="I27" s="11"/>
      <c r="K27" s="118"/>
      <c r="L27" s="243"/>
      <c r="M27" s="243"/>
      <c r="N27" s="120"/>
      <c r="O27" s="122"/>
      <c r="P27" s="243"/>
      <c r="Q27" s="285"/>
    </row>
    <row r="28" spans="1:17" x14ac:dyDescent="0.25">
      <c r="A28" s="17"/>
      <c r="B28" s="18"/>
      <c r="C28" s="18"/>
      <c r="D28" s="18"/>
      <c r="E28" s="18"/>
      <c r="F28" s="18"/>
      <c r="G28" s="18"/>
      <c r="H28" s="18"/>
      <c r="I28" s="19"/>
      <c r="K28" s="118"/>
      <c r="L28" s="243"/>
      <c r="M28" s="243"/>
      <c r="N28" s="120"/>
      <c r="O28" s="122"/>
      <c r="P28" s="243"/>
      <c r="Q28" s="285"/>
    </row>
    <row r="29" spans="1:17" x14ac:dyDescent="0.25">
      <c r="A29" s="17"/>
      <c r="B29" s="18"/>
      <c r="C29" s="18"/>
      <c r="D29" s="18"/>
      <c r="E29" s="18"/>
      <c r="F29" s="18"/>
      <c r="G29" s="18"/>
      <c r="H29" s="18"/>
      <c r="I29" s="19"/>
      <c r="K29" s="118"/>
      <c r="L29" s="243"/>
      <c r="M29" s="243"/>
      <c r="N29" s="120"/>
      <c r="O29" s="123"/>
      <c r="P29" s="243"/>
      <c r="Q29" s="285"/>
    </row>
    <row r="30" spans="1:17" x14ac:dyDescent="0.25">
      <c r="A30" s="17"/>
      <c r="B30" s="18"/>
      <c r="C30" s="18"/>
      <c r="D30" s="18"/>
      <c r="E30" s="18"/>
      <c r="F30" s="18"/>
      <c r="G30" s="18"/>
      <c r="H30" s="18"/>
      <c r="I30" s="19"/>
      <c r="K30" s="118"/>
      <c r="L30" s="243"/>
      <c r="M30" s="243"/>
      <c r="N30" s="120"/>
      <c r="O30" s="122"/>
      <c r="P30" s="243"/>
      <c r="Q30" s="277"/>
    </row>
    <row r="31" spans="1:17" x14ac:dyDescent="0.25">
      <c r="A31" s="17"/>
      <c r="B31" s="18"/>
      <c r="C31" s="18"/>
      <c r="D31" s="18"/>
      <c r="E31" s="18"/>
      <c r="F31" s="18"/>
      <c r="G31" s="18"/>
      <c r="H31" s="18"/>
      <c r="I31" s="19"/>
      <c r="K31" s="118"/>
      <c r="L31" s="243"/>
      <c r="M31" s="243"/>
      <c r="N31" s="120"/>
      <c r="O31" s="122"/>
      <c r="P31" s="243"/>
      <c r="Q31" s="277"/>
    </row>
    <row r="32" spans="1:17" x14ac:dyDescent="0.25">
      <c r="A32" s="17"/>
      <c r="B32" s="18"/>
      <c r="C32" s="18"/>
      <c r="D32" s="18"/>
      <c r="E32" s="18"/>
      <c r="F32" s="18"/>
      <c r="G32" s="18"/>
      <c r="H32" s="18"/>
      <c r="I32" s="19"/>
      <c r="K32" s="118"/>
      <c r="L32" s="243"/>
      <c r="M32" s="243"/>
      <c r="N32" s="120"/>
      <c r="O32" s="122"/>
      <c r="P32" s="243"/>
      <c r="Q32" s="277"/>
    </row>
    <row r="33" spans="1:17" x14ac:dyDescent="0.25">
      <c r="A33" s="17"/>
      <c r="B33" s="18"/>
      <c r="C33" s="18"/>
      <c r="D33" s="18"/>
      <c r="E33" s="18"/>
      <c r="F33" s="18"/>
      <c r="G33" s="18"/>
      <c r="H33" s="18"/>
      <c r="I33" s="19"/>
      <c r="K33" s="118"/>
      <c r="L33" s="243"/>
      <c r="M33" s="243"/>
      <c r="N33" s="243"/>
      <c r="O33" s="243"/>
      <c r="P33" s="243"/>
      <c r="Q33" s="277"/>
    </row>
    <row r="34" spans="1:17" x14ac:dyDescent="0.25">
      <c r="A34" s="17"/>
      <c r="B34" s="18"/>
      <c r="C34" s="18"/>
      <c r="D34" s="18"/>
      <c r="E34" s="18"/>
      <c r="F34" s="18"/>
      <c r="G34" s="18"/>
      <c r="H34" s="18"/>
      <c r="I34" s="19"/>
      <c r="K34" s="118"/>
      <c r="L34" s="243"/>
      <c r="M34" s="243"/>
      <c r="N34" s="120"/>
      <c r="O34" s="243"/>
      <c r="P34" s="243"/>
      <c r="Q34" s="277"/>
    </row>
    <row r="35" spans="1:17" x14ac:dyDescent="0.25">
      <c r="A35" s="20"/>
      <c r="B35" s="21"/>
      <c r="C35" s="21"/>
      <c r="D35" s="21"/>
      <c r="E35" s="21"/>
      <c r="F35" s="21"/>
      <c r="G35" s="21"/>
      <c r="H35" s="21"/>
      <c r="I35" s="22"/>
      <c r="K35" s="124"/>
      <c r="L35" s="125"/>
      <c r="M35" s="125"/>
      <c r="N35" s="125"/>
      <c r="O35" s="125"/>
      <c r="P35" s="125"/>
      <c r="Q35" s="22"/>
    </row>
  </sheetData>
  <mergeCells count="9">
    <mergeCell ref="C1:O1"/>
    <mergeCell ref="C2:E2"/>
    <mergeCell ref="L2:N2"/>
    <mergeCell ref="Q28:Q29"/>
    <mergeCell ref="A21:E21"/>
    <mergeCell ref="Q26:Q27"/>
    <mergeCell ref="K21:O21"/>
    <mergeCell ref="F6:G6"/>
    <mergeCell ref="F14:G14"/>
  </mergeCells>
  <phoneticPr fontId="5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8090-6F0E-4593-8864-2C6C2EE8E532}">
  <dimension ref="A1:P35"/>
  <sheetViews>
    <sheetView workbookViewId="0">
      <selection activeCell="I9" sqref="I9"/>
    </sheetView>
  </sheetViews>
  <sheetFormatPr defaultColWidth="8.85546875" defaultRowHeight="15" x14ac:dyDescent="0.25"/>
  <cols>
    <col min="1" max="1" width="22.28515625" customWidth="1"/>
    <col min="2" max="2" width="14.85546875" customWidth="1"/>
    <col min="3" max="3" width="15.85546875" customWidth="1"/>
    <col min="4" max="4" width="14.85546875" customWidth="1"/>
    <col min="5" max="5" width="9.7109375" customWidth="1"/>
    <col min="11" max="11" width="16" customWidth="1"/>
    <col min="12" max="12" width="13.42578125" customWidth="1"/>
    <col min="13" max="13" width="16.7109375" customWidth="1"/>
    <col min="14" max="14" width="15.5703125" customWidth="1"/>
    <col min="15" max="15" width="15.42578125" customWidth="1"/>
  </cols>
  <sheetData>
    <row r="1" spans="1:16" ht="15.75" x14ac:dyDescent="0.25">
      <c r="A1" s="5" t="s">
        <v>210</v>
      </c>
      <c r="B1" s="6"/>
      <c r="C1" s="23"/>
      <c r="D1" s="23"/>
      <c r="E1" s="23"/>
      <c r="F1" s="23"/>
      <c r="K1" s="5" t="s">
        <v>324</v>
      </c>
    </row>
    <row r="2" spans="1:16" x14ac:dyDescent="0.25">
      <c r="A2" s="23"/>
      <c r="B2" s="23"/>
      <c r="C2" s="23"/>
      <c r="D2" s="23"/>
      <c r="E2" s="23"/>
      <c r="F2" s="23"/>
    </row>
    <row r="3" spans="1:16" ht="15.75" x14ac:dyDescent="0.25">
      <c r="A3" s="187" t="s">
        <v>0</v>
      </c>
      <c r="B3" s="188"/>
      <c r="C3" s="188"/>
      <c r="D3" s="188"/>
      <c r="E3" s="188"/>
      <c r="F3" s="23"/>
      <c r="K3" s="105" t="s">
        <v>327</v>
      </c>
      <c r="L3" s="105" t="s">
        <v>66</v>
      </c>
      <c r="M3" s="105" t="s">
        <v>202</v>
      </c>
      <c r="N3" s="105" t="s">
        <v>70</v>
      </c>
      <c r="O3" s="105" t="s">
        <v>72</v>
      </c>
      <c r="P3" s="198" t="s">
        <v>328</v>
      </c>
    </row>
    <row r="4" spans="1:16" ht="15.75" x14ac:dyDescent="0.25">
      <c r="A4" s="190" t="s">
        <v>62</v>
      </c>
      <c r="B4" s="190" t="s">
        <v>63</v>
      </c>
      <c r="C4" s="190" t="s">
        <v>64</v>
      </c>
      <c r="D4" s="190" t="s">
        <v>65</v>
      </c>
      <c r="E4" s="220" t="s">
        <v>55</v>
      </c>
      <c r="F4" s="23"/>
      <c r="K4" s="187" t="s">
        <v>0</v>
      </c>
      <c r="L4" s="105">
        <v>19</v>
      </c>
      <c r="M4" s="105">
        <v>20</v>
      </c>
      <c r="N4" s="105">
        <v>42</v>
      </c>
      <c r="O4" s="105">
        <v>0</v>
      </c>
      <c r="P4" s="198">
        <f>SUM(L4:O4)</f>
        <v>81</v>
      </c>
    </row>
    <row r="5" spans="1:16" ht="15.75" x14ac:dyDescent="0.25">
      <c r="A5" s="191" t="s">
        <v>68</v>
      </c>
      <c r="B5" s="191">
        <v>0</v>
      </c>
      <c r="C5" s="191">
        <v>0</v>
      </c>
      <c r="D5" s="191">
        <v>4</v>
      </c>
      <c r="E5" s="221">
        <f t="shared" ref="E5:E10" si="0">B5+C5+D5</f>
        <v>4</v>
      </c>
      <c r="F5" s="23"/>
      <c r="K5" s="187" t="s">
        <v>2</v>
      </c>
      <c r="L5" s="105">
        <v>0</v>
      </c>
      <c r="M5" s="105">
        <v>22</v>
      </c>
      <c r="N5" s="105">
        <v>53</v>
      </c>
      <c r="O5" s="105">
        <v>2</v>
      </c>
      <c r="P5" s="198">
        <f t="shared" ref="P5:P8" si="1">SUM(L5:O5)</f>
        <v>77</v>
      </c>
    </row>
    <row r="6" spans="1:16" ht="15.75" x14ac:dyDescent="0.25">
      <c r="A6" s="191" t="s">
        <v>69</v>
      </c>
      <c r="B6" s="191">
        <v>8</v>
      </c>
      <c r="C6" s="191">
        <v>4</v>
      </c>
      <c r="D6" s="191">
        <v>8</v>
      </c>
      <c r="E6" s="221">
        <f t="shared" si="0"/>
        <v>20</v>
      </c>
      <c r="F6" s="23"/>
      <c r="K6" s="187" t="s">
        <v>1</v>
      </c>
      <c r="L6" s="105">
        <v>16</v>
      </c>
      <c r="M6" s="105">
        <v>15</v>
      </c>
      <c r="N6" s="105">
        <v>41</v>
      </c>
      <c r="O6" s="105">
        <v>0</v>
      </c>
      <c r="P6" s="198">
        <f t="shared" si="1"/>
        <v>72</v>
      </c>
    </row>
    <row r="7" spans="1:16" ht="15.75" x14ac:dyDescent="0.25">
      <c r="A7" s="191" t="s">
        <v>66</v>
      </c>
      <c r="B7" s="191">
        <v>4</v>
      </c>
      <c r="C7" s="191">
        <v>11</v>
      </c>
      <c r="D7" s="191">
        <v>4</v>
      </c>
      <c r="E7" s="221">
        <f t="shared" si="0"/>
        <v>19</v>
      </c>
      <c r="F7" s="23"/>
      <c r="K7" s="187" t="s">
        <v>325</v>
      </c>
      <c r="L7" s="105">
        <v>7</v>
      </c>
      <c r="M7" s="105">
        <v>8</v>
      </c>
      <c r="N7" s="105">
        <v>43</v>
      </c>
      <c r="O7" s="105">
        <v>0</v>
      </c>
      <c r="P7" s="198">
        <f t="shared" si="1"/>
        <v>58</v>
      </c>
    </row>
    <row r="8" spans="1:16" ht="15.75" x14ac:dyDescent="0.25">
      <c r="A8" s="191" t="s">
        <v>70</v>
      </c>
      <c r="B8" s="191">
        <v>22</v>
      </c>
      <c r="C8" s="191">
        <v>13</v>
      </c>
      <c r="D8" s="191">
        <v>7</v>
      </c>
      <c r="E8" s="221">
        <f t="shared" si="0"/>
        <v>42</v>
      </c>
      <c r="F8" s="23"/>
      <c r="K8" s="187" t="s">
        <v>326</v>
      </c>
      <c r="L8" s="105">
        <v>17</v>
      </c>
      <c r="M8" s="105">
        <v>6</v>
      </c>
      <c r="N8" s="105">
        <v>47</v>
      </c>
      <c r="O8" s="105">
        <v>0</v>
      </c>
      <c r="P8" s="198">
        <f t="shared" si="1"/>
        <v>70</v>
      </c>
    </row>
    <row r="9" spans="1:16" x14ac:dyDescent="0.25">
      <c r="A9" s="191" t="s">
        <v>71</v>
      </c>
      <c r="B9" s="191">
        <v>11</v>
      </c>
      <c r="C9" s="191">
        <v>1</v>
      </c>
      <c r="D9" s="191">
        <v>1</v>
      </c>
      <c r="E9" s="221">
        <f t="shared" si="0"/>
        <v>13</v>
      </c>
      <c r="F9" s="23"/>
      <c r="K9" s="105"/>
      <c r="L9" s="105"/>
      <c r="M9" s="105"/>
      <c r="N9" s="105"/>
      <c r="O9" s="105"/>
      <c r="P9" s="105"/>
    </row>
    <row r="10" spans="1:16" x14ac:dyDescent="0.25">
      <c r="A10" s="191" t="s">
        <v>67</v>
      </c>
      <c r="B10" s="191">
        <f>B5+B6+B7+B8+B9</f>
        <v>45</v>
      </c>
      <c r="C10" s="191">
        <f>C5+C6+C7+C8+C9</f>
        <v>29</v>
      </c>
      <c r="D10" s="191">
        <f>D5+D6+D7+D8+D9</f>
        <v>24</v>
      </c>
      <c r="E10" s="221">
        <f t="shared" si="0"/>
        <v>98</v>
      </c>
      <c r="F10" s="23"/>
      <c r="K10" s="105"/>
      <c r="L10" s="105"/>
      <c r="M10" s="105"/>
      <c r="N10" s="105"/>
      <c r="O10" s="105"/>
      <c r="P10" s="105"/>
    </row>
    <row r="11" spans="1:16" ht="15.75" x14ac:dyDescent="0.25">
      <c r="A11" s="188"/>
      <c r="B11" s="188"/>
      <c r="C11" s="188"/>
      <c r="D11" s="188"/>
      <c r="E11" s="222"/>
      <c r="F11" s="23"/>
      <c r="K11" s="105"/>
      <c r="L11" s="105"/>
      <c r="M11" s="105"/>
      <c r="N11" s="105"/>
      <c r="O11" s="105"/>
      <c r="P11" s="105"/>
    </row>
    <row r="12" spans="1:16" ht="15.75" x14ac:dyDescent="0.25">
      <c r="A12" s="187" t="s">
        <v>1</v>
      </c>
      <c r="B12" s="188"/>
      <c r="C12" s="188"/>
      <c r="D12" s="188"/>
      <c r="E12" s="223"/>
      <c r="F12" s="23"/>
      <c r="K12" s="217" t="s">
        <v>346</v>
      </c>
      <c r="L12" s="217" t="s">
        <v>66</v>
      </c>
      <c r="M12" s="217" t="s">
        <v>202</v>
      </c>
      <c r="N12" s="217" t="s">
        <v>70</v>
      </c>
      <c r="O12" s="217" t="s">
        <v>72</v>
      </c>
      <c r="P12" s="105"/>
    </row>
    <row r="13" spans="1:16" ht="15.75" x14ac:dyDescent="0.25">
      <c r="A13" s="190" t="s">
        <v>62</v>
      </c>
      <c r="B13" s="190" t="s">
        <v>63</v>
      </c>
      <c r="C13" s="190" t="s">
        <v>64</v>
      </c>
      <c r="D13" s="190" t="s">
        <v>65</v>
      </c>
      <c r="E13" s="220" t="s">
        <v>55</v>
      </c>
      <c r="F13" s="23"/>
      <c r="K13" s="218" t="s">
        <v>0</v>
      </c>
      <c r="L13" s="224">
        <f>L4*100/81</f>
        <v>23.456790123456791</v>
      </c>
      <c r="M13" s="224">
        <f t="shared" ref="M13:O13" si="2">M4*100/81</f>
        <v>24.691358024691358</v>
      </c>
      <c r="N13" s="224">
        <f t="shared" si="2"/>
        <v>51.851851851851855</v>
      </c>
      <c r="O13" s="219">
        <f t="shared" si="2"/>
        <v>0</v>
      </c>
      <c r="P13" s="105"/>
    </row>
    <row r="14" spans="1:16" ht="15.75" x14ac:dyDescent="0.25">
      <c r="A14" s="191" t="s">
        <v>68</v>
      </c>
      <c r="B14" s="191">
        <v>0</v>
      </c>
      <c r="C14" s="191">
        <v>3</v>
      </c>
      <c r="D14" s="191">
        <v>1</v>
      </c>
      <c r="E14" s="221">
        <f>B14+C14+D14</f>
        <v>4</v>
      </c>
      <c r="F14" s="23"/>
      <c r="K14" s="218" t="s">
        <v>2</v>
      </c>
      <c r="L14" s="224">
        <f>L5*100/77</f>
        <v>0</v>
      </c>
      <c r="M14" s="224">
        <f t="shared" ref="M14:O14" si="3">M5*100/77</f>
        <v>28.571428571428573</v>
      </c>
      <c r="N14" s="224">
        <f t="shared" si="3"/>
        <v>68.831168831168824</v>
      </c>
      <c r="O14" s="219">
        <f t="shared" si="3"/>
        <v>2.5974025974025974</v>
      </c>
      <c r="P14" s="105"/>
    </row>
    <row r="15" spans="1:16" ht="15.75" x14ac:dyDescent="0.25">
      <c r="A15" s="191" t="s">
        <v>69</v>
      </c>
      <c r="B15" s="191">
        <v>4</v>
      </c>
      <c r="C15" s="191">
        <v>5</v>
      </c>
      <c r="D15" s="191">
        <v>6</v>
      </c>
      <c r="E15" s="221">
        <f>B15+C15+D15</f>
        <v>15</v>
      </c>
      <c r="F15" s="23"/>
      <c r="K15" s="218" t="s">
        <v>1</v>
      </c>
      <c r="L15" s="224">
        <f>L6*100/72</f>
        <v>22.222222222222221</v>
      </c>
      <c r="M15" s="224">
        <f t="shared" ref="M15:O15" si="4">M6*100/72</f>
        <v>20.833333333333332</v>
      </c>
      <c r="N15" s="224">
        <f t="shared" si="4"/>
        <v>56.944444444444443</v>
      </c>
      <c r="O15" s="219">
        <f t="shared" si="4"/>
        <v>0</v>
      </c>
      <c r="P15" s="105"/>
    </row>
    <row r="16" spans="1:16" ht="15.75" x14ac:dyDescent="0.25">
      <c r="A16" s="191" t="s">
        <v>66</v>
      </c>
      <c r="B16" s="191">
        <v>2</v>
      </c>
      <c r="C16" s="191">
        <v>6</v>
      </c>
      <c r="D16" s="191">
        <v>8</v>
      </c>
      <c r="E16" s="221">
        <f>B16+C16+D16</f>
        <v>16</v>
      </c>
      <c r="F16" s="23"/>
      <c r="K16" s="218" t="s">
        <v>325</v>
      </c>
      <c r="L16" s="224">
        <f>L7*100/58</f>
        <v>12.068965517241379</v>
      </c>
      <c r="M16" s="224">
        <f t="shared" ref="M16:O16" si="5">M7*100/58</f>
        <v>13.793103448275861</v>
      </c>
      <c r="N16" s="224">
        <f t="shared" si="5"/>
        <v>74.137931034482762</v>
      </c>
      <c r="O16" s="219">
        <f t="shared" si="5"/>
        <v>0</v>
      </c>
      <c r="P16" s="105"/>
    </row>
    <row r="17" spans="1:16" ht="15.75" x14ac:dyDescent="0.25">
      <c r="A17" s="191" t="s">
        <v>70</v>
      </c>
      <c r="B17" s="191">
        <v>14</v>
      </c>
      <c r="C17" s="191">
        <v>17</v>
      </c>
      <c r="D17" s="191">
        <v>10</v>
      </c>
      <c r="E17" s="221">
        <f>B17+C17+D17</f>
        <v>41</v>
      </c>
      <c r="F17" s="23"/>
      <c r="K17" s="218" t="s">
        <v>326</v>
      </c>
      <c r="L17" s="224">
        <f>L8*100/70</f>
        <v>24.285714285714285</v>
      </c>
      <c r="M17" s="224">
        <f t="shared" ref="M17:O17" si="6">M8*100/70</f>
        <v>8.5714285714285712</v>
      </c>
      <c r="N17" s="224">
        <f t="shared" si="6"/>
        <v>67.142857142857139</v>
      </c>
      <c r="O17" s="219">
        <f t="shared" si="6"/>
        <v>0</v>
      </c>
      <c r="P17" s="105"/>
    </row>
    <row r="18" spans="1:16" x14ac:dyDescent="0.25">
      <c r="A18" s="191" t="s">
        <v>71</v>
      </c>
      <c r="B18" s="191">
        <v>2</v>
      </c>
      <c r="C18" s="191">
        <v>2</v>
      </c>
      <c r="D18" s="191">
        <v>0</v>
      </c>
      <c r="E18" s="221">
        <f>B18+C18+D18</f>
        <v>4</v>
      </c>
      <c r="F18" s="23"/>
    </row>
    <row r="19" spans="1:16" x14ac:dyDescent="0.25">
      <c r="A19" s="191" t="s">
        <v>67</v>
      </c>
      <c r="B19" s="191">
        <f>B14+B15+B16+B17+B18</f>
        <v>22</v>
      </c>
      <c r="C19" s="191">
        <f>C14+C15+C16+C17+C18</f>
        <v>33</v>
      </c>
      <c r="D19" s="191">
        <f>D14+D15+D16+D17+D18</f>
        <v>25</v>
      </c>
      <c r="E19" s="221">
        <f>E14+E15+E16+E17+E18</f>
        <v>80</v>
      </c>
      <c r="F19" s="23"/>
    </row>
    <row r="20" spans="1:16" x14ac:dyDescent="0.25">
      <c r="A20" s="189"/>
      <c r="B20" s="189"/>
      <c r="C20" s="189"/>
      <c r="D20" s="189"/>
      <c r="E20" s="222"/>
      <c r="F20" s="23"/>
    </row>
    <row r="21" spans="1:16" x14ac:dyDescent="0.25">
      <c r="A21" s="189"/>
      <c r="B21" s="189"/>
      <c r="C21" s="189"/>
      <c r="D21" s="189"/>
      <c r="E21" s="222"/>
      <c r="F21" s="23"/>
    </row>
    <row r="22" spans="1:16" ht="15.75" x14ac:dyDescent="0.25">
      <c r="A22" s="187" t="s">
        <v>2</v>
      </c>
      <c r="B22" s="188"/>
      <c r="C22" s="188"/>
      <c r="D22" s="188"/>
      <c r="E22" s="223"/>
      <c r="F22" s="23"/>
    </row>
    <row r="23" spans="1:16" x14ac:dyDescent="0.25">
      <c r="A23" s="190" t="s">
        <v>62</v>
      </c>
      <c r="B23" s="190" t="s">
        <v>63</v>
      </c>
      <c r="C23" s="190" t="s">
        <v>64</v>
      </c>
      <c r="D23" s="190" t="s">
        <v>65</v>
      </c>
      <c r="E23" s="220" t="s">
        <v>55</v>
      </c>
      <c r="F23" s="23"/>
    </row>
    <row r="24" spans="1:16" x14ac:dyDescent="0.25">
      <c r="A24" s="191" t="s">
        <v>68</v>
      </c>
      <c r="B24" s="191">
        <v>4</v>
      </c>
      <c r="C24" s="191">
        <v>2</v>
      </c>
      <c r="D24" s="191">
        <v>2</v>
      </c>
      <c r="E24" s="221">
        <f t="shared" ref="E24:E30" si="7">B24+C24+D24</f>
        <v>8</v>
      </c>
      <c r="F24" s="23"/>
    </row>
    <row r="25" spans="1:16" x14ac:dyDescent="0.25">
      <c r="A25" s="191" t="s">
        <v>69</v>
      </c>
      <c r="B25" s="191">
        <v>18</v>
      </c>
      <c r="C25" s="191">
        <v>1</v>
      </c>
      <c r="D25" s="191">
        <v>3</v>
      </c>
      <c r="E25" s="221">
        <f t="shared" si="7"/>
        <v>22</v>
      </c>
      <c r="F25" s="23"/>
    </row>
    <row r="26" spans="1:16" x14ac:dyDescent="0.25">
      <c r="A26" s="191" t="s">
        <v>66</v>
      </c>
      <c r="B26" s="191">
        <v>0</v>
      </c>
      <c r="C26" s="191">
        <v>0</v>
      </c>
      <c r="D26" s="191">
        <v>0</v>
      </c>
      <c r="E26" s="221">
        <f t="shared" si="7"/>
        <v>0</v>
      </c>
      <c r="F26" s="23"/>
    </row>
    <row r="27" spans="1:16" x14ac:dyDescent="0.25">
      <c r="A27" s="191" t="s">
        <v>70</v>
      </c>
      <c r="B27" s="191">
        <v>25</v>
      </c>
      <c r="C27" s="191">
        <v>5</v>
      </c>
      <c r="D27" s="191">
        <v>23</v>
      </c>
      <c r="E27" s="221">
        <f t="shared" si="7"/>
        <v>53</v>
      </c>
      <c r="F27" s="23"/>
    </row>
    <row r="28" spans="1:16" x14ac:dyDescent="0.25">
      <c r="A28" s="191" t="s">
        <v>72</v>
      </c>
      <c r="B28" s="191">
        <v>0</v>
      </c>
      <c r="C28" s="191">
        <v>1</v>
      </c>
      <c r="D28" s="191">
        <v>1</v>
      </c>
      <c r="E28" s="221">
        <f t="shared" si="7"/>
        <v>2</v>
      </c>
      <c r="F28" s="23"/>
    </row>
    <row r="29" spans="1:16" x14ac:dyDescent="0.25">
      <c r="A29" s="191" t="s">
        <v>73</v>
      </c>
      <c r="B29" s="191">
        <v>1</v>
      </c>
      <c r="C29" s="191">
        <v>0</v>
      </c>
      <c r="D29" s="191">
        <v>0</v>
      </c>
      <c r="E29" s="221">
        <f t="shared" si="7"/>
        <v>1</v>
      </c>
      <c r="F29" s="23"/>
    </row>
    <row r="30" spans="1:16" x14ac:dyDescent="0.25">
      <c r="A30" s="191" t="s">
        <v>71</v>
      </c>
      <c r="B30" s="191">
        <v>3</v>
      </c>
      <c r="C30" s="191">
        <v>0</v>
      </c>
      <c r="D30" s="191">
        <v>5</v>
      </c>
      <c r="E30" s="221">
        <f t="shared" si="7"/>
        <v>8</v>
      </c>
      <c r="F30" s="23"/>
    </row>
    <row r="31" spans="1:16" x14ac:dyDescent="0.25">
      <c r="A31" s="191" t="s">
        <v>67</v>
      </c>
      <c r="B31" s="191">
        <f>B24+B25+B26+B27+B28+B29+B30</f>
        <v>51</v>
      </c>
      <c r="C31" s="191">
        <f>C24+C25+C26+C27+C28+C29+C30</f>
        <v>9</v>
      </c>
      <c r="D31" s="191">
        <f>D24+D25+D26+D27+D28+D29+D30</f>
        <v>34</v>
      </c>
      <c r="E31" s="221">
        <f>E24+E25+E26+E27+E28+E29+E30</f>
        <v>94</v>
      </c>
      <c r="F31" s="23"/>
    </row>
    <row r="32" spans="1:16" x14ac:dyDescent="0.25">
      <c r="A32" s="23"/>
      <c r="B32" s="23"/>
      <c r="C32" s="23"/>
      <c r="D32" s="23"/>
      <c r="E32" s="23"/>
      <c r="F32" s="23"/>
    </row>
    <row r="33" spans="1:6" ht="15.75" x14ac:dyDescent="0.25">
      <c r="A33" s="6" t="s">
        <v>365</v>
      </c>
      <c r="B33" s="6"/>
      <c r="C33" s="6"/>
      <c r="D33" s="6"/>
      <c r="E33" s="23"/>
      <c r="F33" s="23"/>
    </row>
    <row r="34" spans="1:6" x14ac:dyDescent="0.25">
      <c r="A34" s="23"/>
      <c r="B34" s="23"/>
      <c r="C34" s="23"/>
      <c r="D34" s="23"/>
      <c r="E34" s="23"/>
      <c r="F34" s="23"/>
    </row>
    <row r="35" spans="1:6" x14ac:dyDescent="0.25">
      <c r="A35" s="23"/>
      <c r="B35" s="23"/>
      <c r="C35" s="23"/>
      <c r="D35" s="23"/>
      <c r="E35" s="23"/>
      <c r="F35" s="2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849A-F31D-4144-8DAE-23AD5C708DF7}">
  <dimension ref="A1:BG64"/>
  <sheetViews>
    <sheetView topLeftCell="L1" zoomScale="70" zoomScaleNormal="70" workbookViewId="0">
      <selection activeCell="BC34" sqref="BC34:BD37"/>
    </sheetView>
  </sheetViews>
  <sheetFormatPr defaultColWidth="9.140625" defaultRowHeight="15" x14ac:dyDescent="0.25"/>
  <cols>
    <col min="1" max="1" width="18.28515625" style="18" customWidth="1"/>
    <col min="2" max="2" width="22.28515625" style="18" customWidth="1"/>
    <col min="3" max="3" width="16.42578125" style="18" customWidth="1"/>
    <col min="4" max="5" width="9.140625" style="18"/>
    <col min="6" max="6" width="18.42578125" style="18" customWidth="1"/>
    <col min="7" max="7" width="22" style="18" customWidth="1"/>
    <col min="8" max="8" width="20.140625" style="18" customWidth="1"/>
    <col min="9" max="10" width="9.140625" style="18"/>
    <col min="11" max="11" width="18.28515625" style="18" customWidth="1"/>
    <col min="12" max="12" width="21.140625" style="18" customWidth="1"/>
    <col min="13" max="13" width="19.42578125" style="18" customWidth="1"/>
    <col min="14" max="18" width="9.140625" style="18"/>
    <col min="19" max="19" width="10.28515625" style="18" customWidth="1"/>
    <col min="20" max="20" width="16.42578125" style="18" customWidth="1"/>
    <col min="21" max="21" width="19.7109375" style="18" customWidth="1"/>
    <col min="22" max="22" width="14.140625" style="18" customWidth="1"/>
    <col min="23" max="23" width="25" style="18" customWidth="1"/>
    <col min="24" max="25" width="9.140625" style="18"/>
    <col min="26" max="26" width="11.140625" style="18" customWidth="1"/>
    <col min="27" max="27" width="9.85546875" style="18" customWidth="1"/>
    <col min="28" max="28" width="20.7109375" style="18" customWidth="1"/>
    <col min="29" max="29" width="11.5703125" style="18" customWidth="1"/>
    <col min="30" max="30" width="22.28515625" style="18" customWidth="1"/>
    <col min="31" max="32" width="9.140625" style="18"/>
    <col min="33" max="33" width="10.42578125" style="18" customWidth="1"/>
    <col min="34" max="34" width="11.7109375" style="18" customWidth="1"/>
    <col min="35" max="35" width="18.5703125" style="18" customWidth="1"/>
    <col min="36" max="36" width="10.7109375" style="18" customWidth="1"/>
    <col min="37" max="37" width="19.42578125" style="18" customWidth="1"/>
    <col min="38" max="43" width="9.140625" style="18"/>
    <col min="44" max="44" width="10.28515625" style="18" customWidth="1"/>
    <col min="45" max="45" width="14.85546875" style="18" customWidth="1"/>
    <col min="46" max="46" width="19.28515625" style="18" customWidth="1"/>
    <col min="47" max="48" width="9.140625" style="18"/>
    <col min="49" max="49" width="11.42578125" style="18" customWidth="1"/>
    <col min="50" max="50" width="9.140625" style="18"/>
    <col min="51" max="51" width="19.7109375" style="18" customWidth="1"/>
    <col min="52" max="53" width="9.140625" style="18"/>
    <col min="54" max="54" width="10.42578125" style="18" customWidth="1"/>
    <col min="55" max="55" width="9.140625" style="18"/>
    <col min="56" max="56" width="21.5703125" style="18" customWidth="1"/>
    <col min="57" max="16384" width="9.140625" style="18"/>
  </cols>
  <sheetData>
    <row r="1" spans="1:59" ht="20.25" x14ac:dyDescent="0.3">
      <c r="A1" s="295" t="s">
        <v>151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7"/>
      <c r="Q1" s="295" t="s">
        <v>282</v>
      </c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5" t="s">
        <v>306</v>
      </c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7"/>
    </row>
    <row r="2" spans="1:59" x14ac:dyDescent="0.25">
      <c r="A2" s="168"/>
      <c r="P2" s="169"/>
      <c r="Q2" s="168"/>
      <c r="AN2" s="168"/>
      <c r="BE2" s="169"/>
    </row>
    <row r="3" spans="1:59" ht="15.75" x14ac:dyDescent="0.25">
      <c r="A3" s="170" t="s">
        <v>279</v>
      </c>
      <c r="B3" s="150" t="s">
        <v>280</v>
      </c>
      <c r="C3" s="151" t="s">
        <v>7</v>
      </c>
      <c r="D3" s="152" t="s">
        <v>8</v>
      </c>
      <c r="E3" s="153" t="s">
        <v>214</v>
      </c>
      <c r="F3" s="154" t="s">
        <v>281</v>
      </c>
      <c r="P3" s="169"/>
      <c r="Q3" s="168"/>
      <c r="S3" s="164"/>
      <c r="T3" s="150" t="s">
        <v>212</v>
      </c>
      <c r="U3" s="152" t="s">
        <v>305</v>
      </c>
      <c r="V3" s="153" t="s">
        <v>214</v>
      </c>
      <c r="W3" s="154" t="s">
        <v>281</v>
      </c>
      <c r="AN3" s="168"/>
      <c r="AR3" s="164"/>
      <c r="AS3" s="150" t="s">
        <v>212</v>
      </c>
      <c r="AT3" s="152" t="s">
        <v>305</v>
      </c>
      <c r="AU3" s="153" t="s">
        <v>214</v>
      </c>
      <c r="AV3" s="154" t="s">
        <v>281</v>
      </c>
      <c r="BE3" s="169"/>
    </row>
    <row r="4" spans="1:59" x14ac:dyDescent="0.25">
      <c r="A4" s="168"/>
      <c r="P4" s="169"/>
      <c r="Q4" s="168"/>
      <c r="AN4" s="168"/>
      <c r="BE4" s="169"/>
    </row>
    <row r="5" spans="1:59" ht="18.75" x14ac:dyDescent="0.3">
      <c r="A5" s="298" t="s">
        <v>0</v>
      </c>
      <c r="B5" s="294"/>
      <c r="C5" s="294"/>
      <c r="D5" s="132"/>
      <c r="E5" s="132"/>
      <c r="F5" s="294" t="s">
        <v>1</v>
      </c>
      <c r="G5" s="294"/>
      <c r="H5" s="294"/>
      <c r="I5" s="132"/>
      <c r="J5" s="132"/>
      <c r="K5" s="294" t="s">
        <v>2</v>
      </c>
      <c r="L5" s="294"/>
      <c r="M5" s="294"/>
      <c r="P5" s="169"/>
      <c r="Q5" s="168"/>
      <c r="S5" s="289" t="s">
        <v>0</v>
      </c>
      <c r="T5" s="289"/>
      <c r="U5" s="289"/>
      <c r="V5" s="289"/>
      <c r="W5" s="289"/>
      <c r="X5" s="132"/>
      <c r="Y5" s="186"/>
      <c r="Z5" s="289" t="s">
        <v>1</v>
      </c>
      <c r="AA5" s="289"/>
      <c r="AB5" s="289"/>
      <c r="AC5" s="289"/>
      <c r="AD5" s="289"/>
      <c r="AF5" s="163"/>
      <c r="AG5" s="289" t="s">
        <v>2</v>
      </c>
      <c r="AH5" s="289"/>
      <c r="AI5" s="289"/>
      <c r="AJ5" s="289"/>
      <c r="AK5" s="289"/>
      <c r="AN5" s="168"/>
      <c r="AR5" s="289" t="s">
        <v>0</v>
      </c>
      <c r="AS5" s="289"/>
      <c r="AT5" s="289"/>
      <c r="AU5" s="167"/>
      <c r="AV5" s="167"/>
      <c r="AW5" s="289" t="s">
        <v>1</v>
      </c>
      <c r="AX5" s="289"/>
      <c r="AY5" s="289"/>
      <c r="AZ5" s="167"/>
      <c r="BA5" s="167"/>
      <c r="BB5" s="289" t="s">
        <v>2</v>
      </c>
      <c r="BC5" s="289"/>
      <c r="BD5" s="289"/>
      <c r="BE5" s="184"/>
      <c r="BF5" s="167"/>
      <c r="BG5" s="167"/>
    </row>
    <row r="6" spans="1:59" ht="15.75" x14ac:dyDescent="0.25">
      <c r="A6" s="171"/>
      <c r="B6" s="133" t="s">
        <v>278</v>
      </c>
      <c r="C6" s="133" t="s">
        <v>349</v>
      </c>
      <c r="D6" s="133"/>
      <c r="E6" s="133"/>
      <c r="F6" s="133"/>
      <c r="G6" s="133" t="s">
        <v>278</v>
      </c>
      <c r="H6" s="133" t="s">
        <v>349</v>
      </c>
      <c r="I6" s="133"/>
      <c r="J6" s="133"/>
      <c r="K6" s="133"/>
      <c r="L6" s="133" t="s">
        <v>278</v>
      </c>
      <c r="M6" s="133" t="s">
        <v>349</v>
      </c>
      <c r="P6" s="169"/>
      <c r="Q6" s="168"/>
      <c r="S6" s="162"/>
      <c r="T6" s="291" t="s">
        <v>283</v>
      </c>
      <c r="U6" s="291"/>
      <c r="V6" s="291" t="s">
        <v>284</v>
      </c>
      <c r="W6" s="291"/>
      <c r="X6" s="133"/>
      <c r="Y6" s="133"/>
      <c r="Z6" s="162"/>
      <c r="AA6" s="185" t="s">
        <v>283</v>
      </c>
      <c r="AB6" s="185"/>
      <c r="AC6" s="185" t="s">
        <v>284</v>
      </c>
      <c r="AD6" s="185"/>
      <c r="AF6" s="163"/>
      <c r="AG6" s="162"/>
      <c r="AH6" s="185" t="s">
        <v>283</v>
      </c>
      <c r="AI6" s="185"/>
      <c r="AJ6" s="185" t="s">
        <v>284</v>
      </c>
      <c r="AK6" s="185"/>
      <c r="AN6" s="168"/>
      <c r="AS6" s="166" t="s">
        <v>307</v>
      </c>
      <c r="AT6" s="133" t="s">
        <v>349</v>
      </c>
      <c r="AX6" s="166" t="s">
        <v>307</v>
      </c>
      <c r="AY6" s="133" t="s">
        <v>349</v>
      </c>
      <c r="BC6" s="166" t="s">
        <v>307</v>
      </c>
      <c r="BD6" s="133" t="s">
        <v>349</v>
      </c>
      <c r="BE6" s="169"/>
    </row>
    <row r="7" spans="1:59" ht="16.5" x14ac:dyDescent="0.25">
      <c r="A7" s="172" t="s">
        <v>75</v>
      </c>
      <c r="B7" s="155">
        <v>0.43630000000000002</v>
      </c>
      <c r="C7" s="135">
        <f>(B7-0.43982857)^2</f>
        <v>1.2450806244899669E-5</v>
      </c>
      <c r="D7" s="130"/>
      <c r="E7" s="130"/>
      <c r="F7" s="134" t="s">
        <v>75</v>
      </c>
      <c r="G7" s="155">
        <v>0.11020000000000001</v>
      </c>
      <c r="H7" s="135">
        <f>(G7-0.109438571)^2</f>
        <v>5.7977412204101204E-7</v>
      </c>
      <c r="I7" s="130"/>
      <c r="J7" s="130"/>
      <c r="K7" s="134" t="s">
        <v>75</v>
      </c>
      <c r="L7" s="155">
        <v>0.44059999999999999</v>
      </c>
      <c r="M7" s="135">
        <f>(L7-0.380714286)^2</f>
        <v>3.5862987412897934E-3</v>
      </c>
      <c r="P7" s="169"/>
      <c r="Q7" s="168"/>
      <c r="S7" s="163"/>
      <c r="T7" s="166" t="s">
        <v>285</v>
      </c>
      <c r="U7" s="133" t="s">
        <v>349</v>
      </c>
      <c r="V7" s="166" t="s">
        <v>285</v>
      </c>
      <c r="W7" s="133" t="s">
        <v>349</v>
      </c>
      <c r="Z7" s="163"/>
      <c r="AA7" s="166" t="s">
        <v>285</v>
      </c>
      <c r="AB7" s="133" t="s">
        <v>349</v>
      </c>
      <c r="AC7" s="166" t="s">
        <v>285</v>
      </c>
      <c r="AD7" s="133" t="s">
        <v>349</v>
      </c>
      <c r="AF7" s="163"/>
      <c r="AG7" s="163"/>
      <c r="AH7" s="166" t="s">
        <v>285</v>
      </c>
      <c r="AI7" s="133" t="s">
        <v>349</v>
      </c>
      <c r="AJ7" s="166" t="s">
        <v>285</v>
      </c>
      <c r="AK7" s="133" t="s">
        <v>349</v>
      </c>
      <c r="AN7" s="168"/>
      <c r="AR7" s="142" t="s">
        <v>286</v>
      </c>
      <c r="AS7" s="159">
        <v>16.8</v>
      </c>
      <c r="AT7" s="142">
        <f>(AS7-11.7)^2</f>
        <v>26.010000000000016</v>
      </c>
      <c r="AW7" s="142" t="s">
        <v>286</v>
      </c>
      <c r="AX7" s="159">
        <v>19.5</v>
      </c>
      <c r="AY7" s="142">
        <f>(AX7-14.3)^2</f>
        <v>27.039999999999992</v>
      </c>
      <c r="BB7" s="142" t="s">
        <v>308</v>
      </c>
      <c r="BC7" s="159">
        <v>8.3000000000000007</v>
      </c>
      <c r="BD7" s="142">
        <f>(BC7-10.04545)^2</f>
        <v>3.0465957024999999</v>
      </c>
      <c r="BE7" s="169"/>
    </row>
    <row r="8" spans="1:59" ht="16.5" x14ac:dyDescent="0.25">
      <c r="A8" s="172" t="s">
        <v>76</v>
      </c>
      <c r="B8" s="155">
        <v>0.42370000000000002</v>
      </c>
      <c r="C8" s="135">
        <f t="shared" ref="C8:C13" si="0">(B8-0.43982857)^2</f>
        <v>2.6013077024489848E-4</v>
      </c>
      <c r="D8" s="130"/>
      <c r="E8" s="130"/>
      <c r="F8" s="134" t="s">
        <v>76</v>
      </c>
      <c r="G8" s="155">
        <v>9.3369999999999995E-2</v>
      </c>
      <c r="H8" s="135">
        <f t="shared" ref="H8:H13" si="1">(G8-0.109438571)^2</f>
        <v>2.5819897398204113E-4</v>
      </c>
      <c r="I8" s="130"/>
      <c r="J8" s="130"/>
      <c r="K8" s="134" t="s">
        <v>76</v>
      </c>
      <c r="L8" s="155">
        <v>0.37319999999999998</v>
      </c>
      <c r="M8" s="135">
        <f t="shared" ref="M8:M13" si="2">(L8-0.380714286)^2</f>
        <v>5.6464494089796549E-5</v>
      </c>
      <c r="P8" s="169"/>
      <c r="Q8" s="168"/>
      <c r="S8" s="142" t="s">
        <v>286</v>
      </c>
      <c r="T8" s="159" t="s">
        <v>304</v>
      </c>
      <c r="U8" s="142" t="s">
        <v>304</v>
      </c>
      <c r="V8" s="159">
        <v>3.1</v>
      </c>
      <c r="W8" s="142">
        <f>(V8-2.3)^2</f>
        <v>0.64000000000000046</v>
      </c>
      <c r="Z8" s="142" t="s">
        <v>286</v>
      </c>
      <c r="AA8" s="159" t="s">
        <v>304</v>
      </c>
      <c r="AB8" s="142" t="s">
        <v>304</v>
      </c>
      <c r="AC8" s="159">
        <v>1.3</v>
      </c>
      <c r="AD8" s="142">
        <f>(AC8-2.38)^2</f>
        <v>1.1663999999999997</v>
      </c>
      <c r="AF8" s="163"/>
      <c r="AG8" s="142" t="s">
        <v>287</v>
      </c>
      <c r="AH8" s="159">
        <v>3.7</v>
      </c>
      <c r="AI8" s="142">
        <f>(AH8-3.38)^2</f>
        <v>0.10240000000000019</v>
      </c>
      <c r="AJ8" s="159" t="s">
        <v>304</v>
      </c>
      <c r="AK8" s="142" t="s">
        <v>304</v>
      </c>
      <c r="AN8" s="168"/>
      <c r="AR8" s="142" t="s">
        <v>311</v>
      </c>
      <c r="AS8" s="159">
        <v>10</v>
      </c>
      <c r="AT8" s="142">
        <f t="shared" ref="AT8:AT14" si="3">(AS8-11.7)^2</f>
        <v>2.8899999999999975</v>
      </c>
      <c r="AW8" s="142" t="s">
        <v>311</v>
      </c>
      <c r="AX8" s="159">
        <v>14</v>
      </c>
      <c r="AY8" s="142">
        <f t="shared" ref="AY8:AY11" si="4">(AX8-14.3)^2</f>
        <v>9.0000000000000427E-2</v>
      </c>
      <c r="BB8" s="142" t="s">
        <v>309</v>
      </c>
      <c r="BC8" s="159">
        <v>11.6</v>
      </c>
      <c r="BD8" s="142">
        <f t="shared" ref="BD8:BD17" si="5">(BC8-10.04545)^2</f>
        <v>2.4166257024999966</v>
      </c>
      <c r="BE8" s="169"/>
    </row>
    <row r="9" spans="1:59" ht="16.5" x14ac:dyDescent="0.25">
      <c r="A9" s="172" t="s">
        <v>77</v>
      </c>
      <c r="B9" s="155">
        <v>0.41549999999999998</v>
      </c>
      <c r="C9" s="135">
        <f t="shared" si="0"/>
        <v>5.9187931824489974E-4</v>
      </c>
      <c r="D9" s="130"/>
      <c r="E9" s="130"/>
      <c r="F9" s="134" t="s">
        <v>77</v>
      </c>
      <c r="G9" s="155">
        <v>0.10390000000000001</v>
      </c>
      <c r="H9" s="135">
        <f t="shared" si="1"/>
        <v>3.0675768722040911E-5</v>
      </c>
      <c r="I9" s="130"/>
      <c r="J9" s="130"/>
      <c r="K9" s="134" t="s">
        <v>77</v>
      </c>
      <c r="L9" s="155">
        <v>0.39190000000000003</v>
      </c>
      <c r="M9" s="135">
        <f t="shared" si="2"/>
        <v>1.251201976897963E-4</v>
      </c>
      <c r="P9" s="169"/>
      <c r="Q9" s="168"/>
      <c r="S9" s="142" t="s">
        <v>287</v>
      </c>
      <c r="T9" s="159">
        <v>4.5999999999999996</v>
      </c>
      <c r="U9" s="142">
        <f>(T9-4.62)^2</f>
        <v>4.0000000000001845E-4</v>
      </c>
      <c r="V9" s="159" t="s">
        <v>304</v>
      </c>
      <c r="W9" s="142" t="s">
        <v>304</v>
      </c>
      <c r="Z9" s="142" t="s">
        <v>287</v>
      </c>
      <c r="AA9" s="159">
        <v>4.2</v>
      </c>
      <c r="AB9" s="142">
        <f>(AA9-4.225)^2</f>
        <v>6.2499999999997334E-4</v>
      </c>
      <c r="AC9" s="159" t="s">
        <v>304</v>
      </c>
      <c r="AD9" s="142" t="s">
        <v>304</v>
      </c>
      <c r="AF9" s="163"/>
      <c r="AG9" s="142" t="s">
        <v>288</v>
      </c>
      <c r="AH9" s="159">
        <v>3.6</v>
      </c>
      <c r="AI9" s="142">
        <f t="shared" ref="AI9:AI12" si="6">(AH9-3.38)^2</f>
        <v>4.8400000000000089E-2</v>
      </c>
      <c r="AJ9" s="159">
        <v>2.4</v>
      </c>
      <c r="AK9" s="142">
        <f>(AJ9-2)^2</f>
        <v>0.15999999999999992</v>
      </c>
      <c r="AN9" s="168"/>
      <c r="AR9" s="142" t="s">
        <v>313</v>
      </c>
      <c r="AS9" s="159">
        <v>11.4</v>
      </c>
      <c r="AT9" s="142">
        <f t="shared" si="3"/>
        <v>8.9999999999999358E-2</v>
      </c>
      <c r="AW9" s="142" t="s">
        <v>313</v>
      </c>
      <c r="AX9" s="159">
        <v>13.8</v>
      </c>
      <c r="AY9" s="142">
        <f t="shared" si="4"/>
        <v>0.25</v>
      </c>
      <c r="BB9" s="142" t="s">
        <v>310</v>
      </c>
      <c r="BC9" s="159">
        <v>10.1</v>
      </c>
      <c r="BD9" s="142">
        <f t="shared" si="5"/>
        <v>2.9757024999998898E-3</v>
      </c>
      <c r="BE9" s="169"/>
    </row>
    <row r="10" spans="1:59" ht="16.5" x14ac:dyDescent="0.25">
      <c r="A10" s="172" t="s">
        <v>78</v>
      </c>
      <c r="B10" s="155">
        <v>0.4763</v>
      </c>
      <c r="C10" s="135">
        <f t="shared" si="0"/>
        <v>1.3301652062449019E-3</v>
      </c>
      <c r="D10" s="130"/>
      <c r="E10" s="130"/>
      <c r="F10" s="134" t="s">
        <v>78</v>
      </c>
      <c r="G10" s="155">
        <v>0.11799999999999999</v>
      </c>
      <c r="H10" s="135">
        <f t="shared" si="1"/>
        <v>7.3298066522040916E-5</v>
      </c>
      <c r="I10" s="130"/>
      <c r="J10" s="130"/>
      <c r="K10" s="134" t="s">
        <v>78</v>
      </c>
      <c r="L10" s="155">
        <v>0.41549999999999998</v>
      </c>
      <c r="M10" s="135">
        <f t="shared" si="2"/>
        <v>1.2100458984897937E-3</v>
      </c>
      <c r="P10" s="169"/>
      <c r="Q10" s="168"/>
      <c r="S10" s="142" t="s">
        <v>288</v>
      </c>
      <c r="T10" s="159">
        <v>4.7</v>
      </c>
      <c r="U10" s="142">
        <f t="shared" ref="U10:U13" si="7">(T10-4.62)^2</f>
        <v>6.4000000000000116E-3</v>
      </c>
      <c r="V10" s="159">
        <v>1.8</v>
      </c>
      <c r="W10" s="142">
        <f>(V10-2.3)^2</f>
        <v>0.24999999999999978</v>
      </c>
      <c r="Z10" s="142" t="s">
        <v>288</v>
      </c>
      <c r="AA10" s="159">
        <v>4.0999999999999996</v>
      </c>
      <c r="AB10" s="142">
        <f>(AA10-4.225)^2</f>
        <v>1.5625E-2</v>
      </c>
      <c r="AC10" s="159">
        <v>2.4</v>
      </c>
      <c r="AD10" s="142">
        <f>(AC10-2.38)^2</f>
        <v>4.0000000000000072E-4</v>
      </c>
      <c r="AF10" s="163"/>
      <c r="AG10" s="142" t="s">
        <v>291</v>
      </c>
      <c r="AH10" s="159">
        <v>2.9</v>
      </c>
      <c r="AI10" s="142">
        <f t="shared" si="6"/>
        <v>0.23039999999999999</v>
      </c>
      <c r="AJ10" s="159">
        <v>0.9</v>
      </c>
      <c r="AK10" s="142">
        <f t="shared" ref="AK10:AK12" si="8">(AJ10-2)^2</f>
        <v>1.2100000000000002</v>
      </c>
      <c r="AN10" s="168"/>
      <c r="AR10" s="142" t="s">
        <v>290</v>
      </c>
      <c r="AS10" s="159">
        <v>12</v>
      </c>
      <c r="AT10" s="142">
        <f t="shared" si="3"/>
        <v>9.0000000000000427E-2</v>
      </c>
      <c r="AW10" s="142" t="s">
        <v>315</v>
      </c>
      <c r="AX10" s="159">
        <v>9.1</v>
      </c>
      <c r="AY10" s="142">
        <f t="shared" si="4"/>
        <v>27.04000000000001</v>
      </c>
      <c r="BB10" s="142" t="s">
        <v>311</v>
      </c>
      <c r="BC10" s="159">
        <v>13</v>
      </c>
      <c r="BD10" s="142">
        <f t="shared" si="5"/>
        <v>8.7293657024999955</v>
      </c>
      <c r="BE10" s="169"/>
    </row>
    <row r="11" spans="1:59" ht="16.5" x14ac:dyDescent="0.25">
      <c r="A11" s="172" t="s">
        <v>79</v>
      </c>
      <c r="B11" s="155">
        <v>0.41959999999999997</v>
      </c>
      <c r="C11" s="135">
        <f t="shared" si="0"/>
        <v>4.0919504424490006E-4</v>
      </c>
      <c r="D11" s="130"/>
      <c r="E11" s="130"/>
      <c r="F11" s="134" t="s">
        <v>79</v>
      </c>
      <c r="G11" s="155">
        <v>0.1169</v>
      </c>
      <c r="H11" s="135">
        <f t="shared" si="1"/>
        <v>5.567292272204108E-5</v>
      </c>
      <c r="I11" s="130"/>
      <c r="J11" s="130"/>
      <c r="K11" s="134" t="s">
        <v>79</v>
      </c>
      <c r="L11" s="155">
        <v>0.36249999999999999</v>
      </c>
      <c r="M11" s="135">
        <f t="shared" si="2"/>
        <v>3.3176021448979686E-4</v>
      </c>
      <c r="P11" s="169"/>
      <c r="Q11" s="168"/>
      <c r="S11" s="142" t="s">
        <v>289</v>
      </c>
      <c r="T11" s="159">
        <v>4.5</v>
      </c>
      <c r="U11" s="142">
        <f t="shared" si="7"/>
        <v>1.4400000000000026E-2</v>
      </c>
      <c r="V11" s="159">
        <v>2.2000000000000002</v>
      </c>
      <c r="W11" s="142">
        <f t="shared" ref="W11:W13" si="9">(V11-2.3)^2</f>
        <v>9.9999999999999291E-3</v>
      </c>
      <c r="Z11" s="142" t="s">
        <v>289</v>
      </c>
      <c r="AA11" s="159" t="s">
        <v>304</v>
      </c>
      <c r="AB11" s="142" t="s">
        <v>304</v>
      </c>
      <c r="AC11" s="159">
        <v>2.7</v>
      </c>
      <c r="AD11" s="142">
        <f t="shared" ref="AD11:AD13" si="10">(AC11-2.38)^2</f>
        <v>0.10240000000000019</v>
      </c>
      <c r="AF11" s="163"/>
      <c r="AG11" s="142" t="s">
        <v>292</v>
      </c>
      <c r="AH11" s="159">
        <v>3.3</v>
      </c>
      <c r="AI11" s="142">
        <f t="shared" si="6"/>
        <v>6.4000000000000116E-3</v>
      </c>
      <c r="AJ11" s="159">
        <v>2.6</v>
      </c>
      <c r="AK11" s="142">
        <f t="shared" si="8"/>
        <v>0.3600000000000001</v>
      </c>
      <c r="AN11" s="168"/>
      <c r="AR11" s="142" t="s">
        <v>314</v>
      </c>
      <c r="AS11" s="159">
        <v>11.1</v>
      </c>
      <c r="AT11" s="142">
        <f t="shared" si="3"/>
        <v>0.3599999999999996</v>
      </c>
      <c r="AW11" s="142" t="s">
        <v>293</v>
      </c>
      <c r="AX11" s="159">
        <v>15.1</v>
      </c>
      <c r="AY11" s="142">
        <f t="shared" si="4"/>
        <v>0.63999999999999835</v>
      </c>
      <c r="BB11" s="142" t="s">
        <v>312</v>
      </c>
      <c r="BC11" s="159">
        <v>12.8</v>
      </c>
      <c r="BD11" s="142">
        <f t="shared" si="5"/>
        <v>7.5875457024999999</v>
      </c>
      <c r="BE11" s="169"/>
    </row>
    <row r="12" spans="1:59" ht="16.5" x14ac:dyDescent="0.25">
      <c r="A12" s="172" t="s">
        <v>80</v>
      </c>
      <c r="B12" s="155">
        <v>0.44929999999999998</v>
      </c>
      <c r="C12" s="135">
        <f t="shared" si="0"/>
        <v>8.9707986244900052E-5</v>
      </c>
      <c r="D12" s="130"/>
      <c r="E12" s="130"/>
      <c r="F12" s="134" t="s">
        <v>80</v>
      </c>
      <c r="G12" s="155">
        <v>0.1113</v>
      </c>
      <c r="H12" s="135">
        <f t="shared" si="1"/>
        <v>3.4649179220409918E-6</v>
      </c>
      <c r="I12" s="130"/>
      <c r="J12" s="130"/>
      <c r="K12" s="134" t="s">
        <v>80</v>
      </c>
      <c r="L12" s="155">
        <v>0.32240000000000002</v>
      </c>
      <c r="M12" s="135">
        <f t="shared" si="2"/>
        <v>3.4005559516897951E-3</v>
      </c>
      <c r="P12" s="169"/>
      <c r="Q12" s="168"/>
      <c r="S12" s="142" t="s">
        <v>290</v>
      </c>
      <c r="T12" s="159">
        <v>4.7</v>
      </c>
      <c r="U12" s="142">
        <f t="shared" si="7"/>
        <v>6.4000000000000116E-3</v>
      </c>
      <c r="V12" s="159">
        <v>1.9</v>
      </c>
      <c r="W12" s="142">
        <f t="shared" si="9"/>
        <v>0.15999999999999992</v>
      </c>
      <c r="Z12" s="142" t="s">
        <v>290</v>
      </c>
      <c r="AA12" s="159">
        <v>4.2</v>
      </c>
      <c r="AB12" s="142">
        <f>(AA12-4.225)^2</f>
        <v>6.2499999999997334E-4</v>
      </c>
      <c r="AC12" s="159">
        <v>2.7</v>
      </c>
      <c r="AD12" s="142">
        <f t="shared" si="10"/>
        <v>0.10240000000000019</v>
      </c>
      <c r="AF12" s="163"/>
      <c r="AG12" s="142" t="s">
        <v>293</v>
      </c>
      <c r="AH12" s="159">
        <v>3.4</v>
      </c>
      <c r="AI12" s="142">
        <f t="shared" si="6"/>
        <v>4.0000000000000072E-4</v>
      </c>
      <c r="AJ12" s="159">
        <v>2.1</v>
      </c>
      <c r="AK12" s="142">
        <f t="shared" si="8"/>
        <v>1.0000000000000018E-2</v>
      </c>
      <c r="AN12" s="168"/>
      <c r="AR12" s="142" t="s">
        <v>315</v>
      </c>
      <c r="AS12" s="159">
        <v>8</v>
      </c>
      <c r="AT12" s="142">
        <f t="shared" si="3"/>
        <v>13.689999999999994</v>
      </c>
      <c r="AW12" s="137" t="s">
        <v>318</v>
      </c>
      <c r="AX12" s="156">
        <v>36</v>
      </c>
      <c r="AY12" s="137">
        <f>(AX12-31.6)^2</f>
        <v>19.359999999999989</v>
      </c>
      <c r="BB12" s="142" t="s">
        <v>290</v>
      </c>
      <c r="BC12" s="159">
        <v>8</v>
      </c>
      <c r="BD12" s="142">
        <f t="shared" si="5"/>
        <v>4.183865702500003</v>
      </c>
      <c r="BE12" s="169"/>
    </row>
    <row r="13" spans="1:59" ht="18" x14ac:dyDescent="0.25">
      <c r="A13" s="172" t="s">
        <v>81</v>
      </c>
      <c r="B13" s="155">
        <v>0.45810000000000001</v>
      </c>
      <c r="C13" s="135">
        <f t="shared" si="0"/>
        <v>3.3384515424490118E-4</v>
      </c>
      <c r="D13" s="130"/>
      <c r="E13" s="130"/>
      <c r="F13" s="134" t="s">
        <v>81</v>
      </c>
      <c r="G13" s="155">
        <v>0.1124</v>
      </c>
      <c r="H13" s="135">
        <f t="shared" si="1"/>
        <v>8.7700617220410091E-6</v>
      </c>
      <c r="I13" s="130"/>
      <c r="J13" s="130"/>
      <c r="K13" s="134" t="s">
        <v>81</v>
      </c>
      <c r="L13" s="155">
        <v>0.3589</v>
      </c>
      <c r="M13" s="135">
        <f t="shared" si="2"/>
        <v>4.758630736897967E-4</v>
      </c>
      <c r="P13" s="169"/>
      <c r="Q13" s="168"/>
      <c r="S13" s="142" t="s">
        <v>293</v>
      </c>
      <c r="T13" s="159">
        <v>4.5999999999999996</v>
      </c>
      <c r="U13" s="142">
        <f t="shared" si="7"/>
        <v>4.0000000000001845E-4</v>
      </c>
      <c r="V13" s="159">
        <v>2.5</v>
      </c>
      <c r="W13" s="142">
        <f t="shared" si="9"/>
        <v>4.000000000000007E-2</v>
      </c>
      <c r="Z13" s="142" t="s">
        <v>293</v>
      </c>
      <c r="AA13" s="159">
        <v>4.4000000000000004</v>
      </c>
      <c r="AB13" s="142">
        <f>(AA13-4.225)^2</f>
        <v>3.0625000000000249E-2</v>
      </c>
      <c r="AC13" s="159">
        <v>2.8</v>
      </c>
      <c r="AD13" s="142">
        <f t="shared" si="10"/>
        <v>0.17639999999999995</v>
      </c>
      <c r="AF13" s="163"/>
      <c r="AG13" s="137" t="s">
        <v>299</v>
      </c>
      <c r="AH13" s="156">
        <v>3.45</v>
      </c>
      <c r="AI13" s="137">
        <f>(AH13-3.108)^2</f>
        <v>0.11696400000000005</v>
      </c>
      <c r="AJ13" s="156">
        <v>3.2</v>
      </c>
      <c r="AK13" s="137">
        <f>(AJ13-2.75)^2</f>
        <v>0.20250000000000015</v>
      </c>
      <c r="AN13" s="168"/>
      <c r="AR13" s="142" t="s">
        <v>317</v>
      </c>
      <c r="AS13" s="159">
        <v>10.1</v>
      </c>
      <c r="AT13" s="142">
        <f t="shared" si="3"/>
        <v>2.5599999999999987</v>
      </c>
      <c r="AW13" s="137" t="s">
        <v>294</v>
      </c>
      <c r="AX13" s="156">
        <v>43</v>
      </c>
      <c r="AY13" s="137">
        <f t="shared" ref="AY13:AY16" si="11">(AX13-31.6)^2</f>
        <v>129.95999999999998</v>
      </c>
      <c r="BB13" s="142" t="s">
        <v>291</v>
      </c>
      <c r="BC13" s="159">
        <v>8.9</v>
      </c>
      <c r="BD13" s="142">
        <f t="shared" si="5"/>
        <v>1.3120557025000006</v>
      </c>
      <c r="BE13" s="169"/>
    </row>
    <row r="14" spans="1:59" ht="18" x14ac:dyDescent="0.25">
      <c r="A14" s="173" t="s">
        <v>82</v>
      </c>
      <c r="B14" s="156">
        <v>0.5514</v>
      </c>
      <c r="C14" s="136">
        <f>(B14-0.535)^2</f>
        <v>2.6895999999999902E-4</v>
      </c>
      <c r="D14" s="130"/>
      <c r="E14" s="130"/>
      <c r="F14" s="136" t="s">
        <v>82</v>
      </c>
      <c r="G14" s="156">
        <v>0.1227</v>
      </c>
      <c r="H14" s="136">
        <f>(G14-0.112075)^2</f>
        <v>1.128906250000002E-4</v>
      </c>
      <c r="I14" s="130"/>
      <c r="J14" s="130"/>
      <c r="K14" s="136" t="s">
        <v>82</v>
      </c>
      <c r="L14" s="156">
        <v>0.46260000000000001</v>
      </c>
      <c r="M14" s="136">
        <f>(L14-0.428125)^2</f>
        <v>1.1885256250000022E-3</v>
      </c>
      <c r="P14" s="169"/>
      <c r="Q14" s="168"/>
      <c r="S14" s="137" t="s">
        <v>299</v>
      </c>
      <c r="T14" s="156">
        <v>4.0999999999999996</v>
      </c>
      <c r="U14" s="137">
        <f>(T14-3.84)^2</f>
        <v>6.7599999999999882E-2</v>
      </c>
      <c r="V14" s="156">
        <v>2.2999999999999998</v>
      </c>
      <c r="W14" s="137">
        <f>(V14-2.975)^2</f>
        <v>0.45562500000000034</v>
      </c>
      <c r="Z14" s="137" t="s">
        <v>299</v>
      </c>
      <c r="AA14" s="156">
        <v>4.0999999999999996</v>
      </c>
      <c r="AB14" s="137">
        <f>(AA14-3.78)^2</f>
        <v>0.10239999999999989</v>
      </c>
      <c r="AC14" s="156">
        <v>3.7</v>
      </c>
      <c r="AD14" s="137">
        <f>(AC14-3.625)^2</f>
        <v>5.6250000000000267E-3</v>
      </c>
      <c r="AF14" s="163"/>
      <c r="AG14" s="137" t="s">
        <v>294</v>
      </c>
      <c r="AH14" s="156">
        <v>3.97</v>
      </c>
      <c r="AI14" s="137">
        <f t="shared" ref="AI14:AI17" si="12">(AH14-3.108)^2</f>
        <v>0.74304400000000015</v>
      </c>
      <c r="AJ14" s="156">
        <v>3.9</v>
      </c>
      <c r="AK14" s="137">
        <f t="shared" ref="AK14:AK16" si="13">(AJ14-2.75)^2</f>
        <v>1.3224999999999998</v>
      </c>
      <c r="AN14" s="168"/>
      <c r="AR14" s="142" t="s">
        <v>293</v>
      </c>
      <c r="AS14" s="159">
        <v>14.2</v>
      </c>
      <c r="AT14" s="142">
        <f t="shared" si="3"/>
        <v>6.25</v>
      </c>
      <c r="AW14" s="137" t="s">
        <v>295</v>
      </c>
      <c r="AX14" s="156">
        <v>28</v>
      </c>
      <c r="AY14" s="137">
        <f t="shared" si="11"/>
        <v>12.96000000000001</v>
      </c>
      <c r="BB14" s="142" t="s">
        <v>292</v>
      </c>
      <c r="BC14" s="159">
        <v>8.8000000000000007</v>
      </c>
      <c r="BD14" s="142">
        <f t="shared" si="5"/>
        <v>1.5511457024999999</v>
      </c>
      <c r="BE14" s="169"/>
    </row>
    <row r="15" spans="1:59" ht="16.5" x14ac:dyDescent="0.25">
      <c r="A15" s="173" t="s">
        <v>83</v>
      </c>
      <c r="B15" s="156">
        <v>0.54610000000000003</v>
      </c>
      <c r="C15" s="136">
        <f t="shared" ref="C15:C17" si="14">(B15-0.535)^2</f>
        <v>1.2320999999999998E-4</v>
      </c>
      <c r="D15" s="130"/>
      <c r="E15" s="130"/>
      <c r="F15" s="136" t="s">
        <v>84</v>
      </c>
      <c r="G15" s="156">
        <v>0.1019</v>
      </c>
      <c r="H15" s="136">
        <f t="shared" ref="H15:H17" si="15">(G15-0.112075)^2</f>
        <v>1.0353062499999979E-4</v>
      </c>
      <c r="I15" s="130"/>
      <c r="J15" s="130"/>
      <c r="K15" s="136" t="s">
        <v>84</v>
      </c>
      <c r="L15" s="156">
        <v>0.35549999999999998</v>
      </c>
      <c r="M15" s="136">
        <f t="shared" ref="M15:M17" si="16">(L15-0.428125)^2</f>
        <v>5.2743906249999991E-3</v>
      </c>
      <c r="P15" s="169"/>
      <c r="Q15" s="168"/>
      <c r="S15" s="137" t="s">
        <v>294</v>
      </c>
      <c r="T15" s="156">
        <v>4.8</v>
      </c>
      <c r="U15" s="137">
        <f t="shared" ref="U15:U18" si="17">(T15-3.84)^2</f>
        <v>0.92159999999999997</v>
      </c>
      <c r="V15" s="156">
        <v>4.4000000000000004</v>
      </c>
      <c r="W15" s="137">
        <f t="shared" ref="W15:W17" si="18">(V15-2.975)^2</f>
        <v>2.0306250000000006</v>
      </c>
      <c r="Z15" s="137" t="s">
        <v>294</v>
      </c>
      <c r="AA15" s="156">
        <v>4.8</v>
      </c>
      <c r="AB15" s="137">
        <f t="shared" ref="AB15:AB18" si="19">(AA15-3.78)^2</f>
        <v>1.0404</v>
      </c>
      <c r="AC15" s="156">
        <v>4.3</v>
      </c>
      <c r="AD15" s="137">
        <f t="shared" ref="AD15:AD17" si="20">(AC15-3.625)^2</f>
        <v>0.45562499999999978</v>
      </c>
      <c r="AF15" s="163"/>
      <c r="AG15" s="137" t="s">
        <v>295</v>
      </c>
      <c r="AH15" s="156">
        <v>3.12</v>
      </c>
      <c r="AI15" s="137">
        <f t="shared" si="12"/>
        <v>1.4400000000000025E-4</v>
      </c>
      <c r="AJ15" s="156">
        <v>1.5</v>
      </c>
      <c r="AK15" s="137">
        <f t="shared" si="13"/>
        <v>1.5625</v>
      </c>
      <c r="AN15" s="168"/>
      <c r="AR15" s="137" t="s">
        <v>318</v>
      </c>
      <c r="AS15" s="156">
        <v>28.1</v>
      </c>
      <c r="AT15" s="137">
        <f>(AS15-25.42)^2</f>
        <v>7.1823999999999986</v>
      </c>
      <c r="AW15" s="137" t="s">
        <v>296</v>
      </c>
      <c r="AX15" s="156">
        <v>32</v>
      </c>
      <c r="AY15" s="137">
        <f t="shared" si="11"/>
        <v>0.15999999999999887</v>
      </c>
      <c r="BB15" s="142" t="s">
        <v>315</v>
      </c>
      <c r="BC15" s="159">
        <v>8.1999999999999993</v>
      </c>
      <c r="BD15" s="142">
        <f t="shared" si="5"/>
        <v>3.4056857025000049</v>
      </c>
      <c r="BE15" s="169"/>
    </row>
    <row r="16" spans="1:59" x14ac:dyDescent="0.25">
      <c r="A16" s="173" t="s">
        <v>85</v>
      </c>
      <c r="B16" s="156">
        <v>0.55679999999999996</v>
      </c>
      <c r="C16" s="136">
        <f t="shared" si="14"/>
        <v>4.7523999999999695E-4</v>
      </c>
      <c r="D16" s="130"/>
      <c r="E16" s="130"/>
      <c r="F16" s="136" t="s">
        <v>86</v>
      </c>
      <c r="G16" s="156">
        <v>0.1124</v>
      </c>
      <c r="H16" s="136">
        <f t="shared" si="15"/>
        <v>1.0562500000000379E-7</v>
      </c>
      <c r="I16" s="130"/>
      <c r="J16" s="130"/>
      <c r="K16" s="136" t="s">
        <v>86</v>
      </c>
      <c r="L16" s="156">
        <v>0.43630000000000002</v>
      </c>
      <c r="M16" s="136">
        <f t="shared" si="16"/>
        <v>6.683062500000071E-5</v>
      </c>
      <c r="P16" s="169"/>
      <c r="Q16" s="168"/>
      <c r="S16" s="137" t="s">
        <v>295</v>
      </c>
      <c r="T16" s="156">
        <v>3.9</v>
      </c>
      <c r="U16" s="137">
        <f t="shared" si="17"/>
        <v>3.6000000000000064E-3</v>
      </c>
      <c r="V16" s="156">
        <v>2.2999999999999998</v>
      </c>
      <c r="W16" s="137">
        <f t="shared" si="18"/>
        <v>0.45562500000000034</v>
      </c>
      <c r="Z16" s="137" t="s">
        <v>295</v>
      </c>
      <c r="AA16" s="156">
        <v>3.7</v>
      </c>
      <c r="AB16" s="137">
        <f t="shared" si="19"/>
        <v>6.3999999999999405E-3</v>
      </c>
      <c r="AC16" s="156">
        <v>3.1</v>
      </c>
      <c r="AD16" s="137">
        <f t="shared" si="20"/>
        <v>0.2756249999999999</v>
      </c>
      <c r="AF16" s="163"/>
      <c r="AG16" s="137" t="s">
        <v>296</v>
      </c>
      <c r="AH16" s="156">
        <v>3</v>
      </c>
      <c r="AI16" s="137">
        <f t="shared" si="12"/>
        <v>1.1664000000000022E-2</v>
      </c>
      <c r="AJ16" s="156">
        <v>2.4</v>
      </c>
      <c r="AK16" s="137">
        <f t="shared" si="13"/>
        <v>0.12250000000000007</v>
      </c>
      <c r="AN16" s="168"/>
      <c r="AR16" s="137" t="s">
        <v>294</v>
      </c>
      <c r="AS16" s="156">
        <v>35</v>
      </c>
      <c r="AT16" s="137">
        <f t="shared" ref="AT16:AT19" si="21">(AS16-25.42)^2</f>
        <v>91.776399999999967</v>
      </c>
      <c r="AW16" s="137" t="s">
        <v>297</v>
      </c>
      <c r="AX16" s="156">
        <v>19</v>
      </c>
      <c r="AY16" s="137">
        <f t="shared" si="11"/>
        <v>158.76000000000005</v>
      </c>
      <c r="BB16" s="142" t="s">
        <v>316</v>
      </c>
      <c r="BC16" s="159">
        <v>8.3000000000000007</v>
      </c>
      <c r="BD16" s="142">
        <f t="shared" si="5"/>
        <v>3.0465957024999999</v>
      </c>
      <c r="BE16" s="169"/>
    </row>
    <row r="17" spans="1:57" ht="16.5" x14ac:dyDescent="0.25">
      <c r="A17" s="173" t="s">
        <v>87</v>
      </c>
      <c r="B17" s="156">
        <v>0.48570000000000002</v>
      </c>
      <c r="C17" s="136">
        <f t="shared" si="14"/>
        <v>2.4304900000000009E-3</v>
      </c>
      <c r="D17" s="130"/>
      <c r="E17" s="130"/>
      <c r="F17" s="136" t="s">
        <v>87</v>
      </c>
      <c r="G17" s="156">
        <v>0.1113</v>
      </c>
      <c r="H17" s="136">
        <f t="shared" si="15"/>
        <v>6.0062499999999679E-7</v>
      </c>
      <c r="I17" s="130"/>
      <c r="J17" s="130"/>
      <c r="K17" s="136" t="s">
        <v>87</v>
      </c>
      <c r="L17" s="156">
        <v>0.45810000000000001</v>
      </c>
      <c r="M17" s="136">
        <f t="shared" si="16"/>
        <v>8.9850062500000172E-4</v>
      </c>
      <c r="P17" s="169"/>
      <c r="Q17" s="168"/>
      <c r="S17" s="137" t="s">
        <v>296</v>
      </c>
      <c r="T17" s="156">
        <v>3.7</v>
      </c>
      <c r="U17" s="137">
        <f t="shared" si="17"/>
        <v>1.9599999999999909E-2</v>
      </c>
      <c r="V17" s="156">
        <v>2.9</v>
      </c>
      <c r="W17" s="137">
        <f t="shared" si="18"/>
        <v>5.6250000000000267E-3</v>
      </c>
      <c r="Z17" s="137" t="s">
        <v>296</v>
      </c>
      <c r="AA17" s="156">
        <v>3.6</v>
      </c>
      <c r="AB17" s="137">
        <f t="shared" si="19"/>
        <v>3.2399999999999901E-2</v>
      </c>
      <c r="AC17" s="156">
        <v>3.4</v>
      </c>
      <c r="AD17" s="137">
        <f t="shared" si="20"/>
        <v>5.0625000000000038E-2</v>
      </c>
      <c r="AF17" s="163"/>
      <c r="AG17" s="137" t="s">
        <v>297</v>
      </c>
      <c r="AH17" s="156">
        <v>2</v>
      </c>
      <c r="AI17" s="137">
        <f t="shared" si="12"/>
        <v>1.2276640000000003</v>
      </c>
      <c r="AJ17" s="156" t="s">
        <v>304</v>
      </c>
      <c r="AK17" s="137" t="s">
        <v>304</v>
      </c>
      <c r="AN17" s="168"/>
      <c r="AR17" s="137" t="s">
        <v>295</v>
      </c>
      <c r="AS17" s="156">
        <v>22</v>
      </c>
      <c r="AT17" s="137">
        <f t="shared" si="21"/>
        <v>11.696400000000011</v>
      </c>
      <c r="AW17" s="140" t="s">
        <v>319</v>
      </c>
      <c r="AX17" s="158">
        <v>13</v>
      </c>
      <c r="AY17" s="140">
        <f>(AX17-15.375)^2</f>
        <v>5.640625</v>
      </c>
      <c r="BB17" s="142" t="s">
        <v>293</v>
      </c>
      <c r="BC17" s="159">
        <v>12.5</v>
      </c>
      <c r="BD17" s="142">
        <f t="shared" si="5"/>
        <v>6.0248157024999971</v>
      </c>
      <c r="BE17" s="169"/>
    </row>
    <row r="18" spans="1:57" ht="18" x14ac:dyDescent="0.25">
      <c r="A18" s="174" t="s">
        <v>88</v>
      </c>
      <c r="B18" s="157">
        <v>0.52010000000000001</v>
      </c>
      <c r="C18" s="138">
        <f>(B18-0.5486)^2</f>
        <v>8.122499999999983E-4</v>
      </c>
      <c r="D18" s="130"/>
      <c r="E18" s="130"/>
      <c r="F18" s="138" t="s">
        <v>88</v>
      </c>
      <c r="G18" s="157">
        <v>0.36249999999999999</v>
      </c>
      <c r="H18" s="138">
        <f>(G18-0.2988)^2</f>
        <v>4.0576899999999975E-3</v>
      </c>
      <c r="I18" s="130"/>
      <c r="J18" s="130"/>
      <c r="K18" s="138" t="s">
        <v>88</v>
      </c>
      <c r="L18" s="157">
        <v>0.66379999999999995</v>
      </c>
      <c r="M18" s="138">
        <f>(L18-0.553425)^2</f>
        <v>1.2182640624999999E-2</v>
      </c>
      <c r="P18" s="169"/>
      <c r="Q18" s="168"/>
      <c r="S18" s="137" t="s">
        <v>297</v>
      </c>
      <c r="T18" s="156">
        <v>2.7</v>
      </c>
      <c r="U18" s="137">
        <f t="shared" si="17"/>
        <v>1.2995999999999992</v>
      </c>
      <c r="V18" s="156" t="s">
        <v>304</v>
      </c>
      <c r="W18" s="137" t="s">
        <v>304</v>
      </c>
      <c r="Z18" s="137" t="s">
        <v>297</v>
      </c>
      <c r="AA18" s="156">
        <v>2.7</v>
      </c>
      <c r="AB18" s="137">
        <f t="shared" si="19"/>
        <v>1.1663999999999992</v>
      </c>
      <c r="AC18" s="156" t="s">
        <v>304</v>
      </c>
      <c r="AD18" s="137" t="s">
        <v>304</v>
      </c>
      <c r="AF18" s="163"/>
      <c r="AG18" s="140" t="s">
        <v>300</v>
      </c>
      <c r="AH18" s="158">
        <v>2.7</v>
      </c>
      <c r="AI18" s="140">
        <f>(AH18-2.3)^2</f>
        <v>0.16000000000000028</v>
      </c>
      <c r="AJ18" s="158">
        <v>1.7</v>
      </c>
      <c r="AK18" s="140">
        <f>(AJ18-1.2)^2</f>
        <v>0.25</v>
      </c>
      <c r="AN18" s="168"/>
      <c r="AR18" s="137" t="s">
        <v>296</v>
      </c>
      <c r="AS18" s="156">
        <v>26</v>
      </c>
      <c r="AT18" s="137">
        <f t="shared" si="21"/>
        <v>0.33639999999999803</v>
      </c>
      <c r="AW18" s="140" t="s">
        <v>321</v>
      </c>
      <c r="AX18" s="158">
        <v>17</v>
      </c>
      <c r="AY18" s="140">
        <f t="shared" ref="AY18:AY20" si="22">(AX18-15.375)^2</f>
        <v>2.640625</v>
      </c>
      <c r="BB18" s="137" t="s">
        <v>318</v>
      </c>
      <c r="BC18" s="156">
        <v>29</v>
      </c>
      <c r="BD18" s="137">
        <f>(BC18-25)^2</f>
        <v>16</v>
      </c>
      <c r="BE18" s="169"/>
    </row>
    <row r="19" spans="1:57" ht="18" x14ac:dyDescent="0.25">
      <c r="A19" s="174" t="s">
        <v>89</v>
      </c>
      <c r="B19" s="157">
        <v>0.5514</v>
      </c>
      <c r="C19" s="138">
        <f t="shared" ref="C19:C21" si="23">(B19-0.5486)^2</f>
        <v>7.8400000000001384E-6</v>
      </c>
      <c r="D19" s="130"/>
      <c r="E19" s="130"/>
      <c r="F19" s="138" t="s">
        <v>89</v>
      </c>
      <c r="G19" s="157">
        <v>0.42370000000000002</v>
      </c>
      <c r="H19" s="138">
        <f t="shared" ref="H19:H21" si="24">(G19-0.2988)^2</f>
        <v>1.5600010000000003E-2</v>
      </c>
      <c r="I19" s="130"/>
      <c r="J19" s="130"/>
      <c r="K19" s="138" t="s">
        <v>89</v>
      </c>
      <c r="L19" s="157">
        <v>0.4279</v>
      </c>
      <c r="M19" s="138">
        <f t="shared" ref="M19:M21" si="25">(L19-0.553425)^2</f>
        <v>1.5756525624999986E-2</v>
      </c>
      <c r="P19" s="169"/>
      <c r="Q19" s="168"/>
      <c r="S19" s="140" t="s">
        <v>300</v>
      </c>
      <c r="T19" s="158">
        <v>3.1</v>
      </c>
      <c r="U19" s="140">
        <f>(T19-3.28)^2</f>
        <v>3.2399999999999901E-2</v>
      </c>
      <c r="V19" s="158">
        <v>2.1</v>
      </c>
      <c r="W19" s="140">
        <f>(V19-1.7)^2</f>
        <v>0.16000000000000011</v>
      </c>
      <c r="Z19" s="140" t="s">
        <v>300</v>
      </c>
      <c r="AA19" s="158">
        <v>3.4</v>
      </c>
      <c r="AB19" s="140">
        <f>(AA19-3.646)^2</f>
        <v>6.0516E-2</v>
      </c>
      <c r="AC19" s="158">
        <v>2.2000000000000002</v>
      </c>
      <c r="AD19" s="140">
        <f>(AC19-1.92)^2</f>
        <v>7.8400000000000136E-2</v>
      </c>
      <c r="AF19" s="163"/>
      <c r="AG19" s="140" t="s">
        <v>301</v>
      </c>
      <c r="AH19" s="158">
        <v>2.8</v>
      </c>
      <c r="AI19" s="140">
        <f t="shared" ref="AI19:AI22" si="26">(AH19-2.3)^2</f>
        <v>0.25</v>
      </c>
      <c r="AJ19" s="158">
        <v>1.1000000000000001</v>
      </c>
      <c r="AK19" s="140">
        <f t="shared" ref="AK19:AK22" si="27">(AJ19-1.2)^2</f>
        <v>9.9999999999999742E-3</v>
      </c>
      <c r="AN19" s="168"/>
      <c r="AR19" s="137" t="s">
        <v>297</v>
      </c>
      <c r="AS19" s="156">
        <v>16</v>
      </c>
      <c r="AT19" s="137">
        <f t="shared" si="21"/>
        <v>88.736400000000032</v>
      </c>
      <c r="AW19" s="140" t="s">
        <v>322</v>
      </c>
      <c r="AX19" s="158">
        <v>12</v>
      </c>
      <c r="AY19" s="140">
        <f t="shared" si="22"/>
        <v>11.390625</v>
      </c>
      <c r="BB19" s="137" t="s">
        <v>294</v>
      </c>
      <c r="BC19" s="156">
        <v>35</v>
      </c>
      <c r="BD19" s="137">
        <f t="shared" ref="BD19:BD22" si="28">(BC19-25)^2</f>
        <v>100</v>
      </c>
      <c r="BE19" s="169"/>
    </row>
    <row r="20" spans="1:57" ht="18" x14ac:dyDescent="0.25">
      <c r="A20" s="174" t="s">
        <v>90</v>
      </c>
      <c r="B20" s="157">
        <v>0.65580000000000005</v>
      </c>
      <c r="C20" s="138">
        <f t="shared" si="23"/>
        <v>1.1491840000000015E-2</v>
      </c>
      <c r="D20" s="130"/>
      <c r="E20" s="130"/>
      <c r="F20" s="138" t="s">
        <v>91</v>
      </c>
      <c r="G20" s="157">
        <v>0.19600000000000001</v>
      </c>
      <c r="H20" s="138">
        <f t="shared" si="24"/>
        <v>1.056784E-2</v>
      </c>
      <c r="I20" s="130"/>
      <c r="J20" s="130"/>
      <c r="K20" s="138" t="s">
        <v>91</v>
      </c>
      <c r="L20" s="157">
        <v>0.55549999999999999</v>
      </c>
      <c r="M20" s="138">
        <f t="shared" si="25"/>
        <v>4.3056250000002033E-6</v>
      </c>
      <c r="P20" s="169"/>
      <c r="Q20" s="168"/>
      <c r="S20" s="140" t="s">
        <v>301</v>
      </c>
      <c r="T20" s="158">
        <v>3.7</v>
      </c>
      <c r="U20" s="140">
        <f t="shared" ref="U20:U23" si="29">(T20-3.28)^2</f>
        <v>0.17640000000000031</v>
      </c>
      <c r="V20" s="158">
        <v>1.4</v>
      </c>
      <c r="W20" s="140">
        <f t="shared" ref="W20:W23" si="30">(V20-1.7)^2</f>
        <v>9.0000000000000024E-2</v>
      </c>
      <c r="Z20" s="140" t="s">
        <v>301</v>
      </c>
      <c r="AA20" s="158">
        <v>3.7</v>
      </c>
      <c r="AB20" s="140">
        <f t="shared" ref="AB20:AB23" si="31">(AA20-3.646)^2</f>
        <v>2.9160000000000292E-3</v>
      </c>
      <c r="AC20" s="158">
        <v>2.1</v>
      </c>
      <c r="AD20" s="140">
        <f t="shared" ref="AD20:AD23" si="32">(AC20-1.92)^2</f>
        <v>3.2400000000000061E-2</v>
      </c>
      <c r="AF20" s="163"/>
      <c r="AG20" s="140" t="s">
        <v>302</v>
      </c>
      <c r="AH20" s="158">
        <v>2.5</v>
      </c>
      <c r="AI20" s="140">
        <f t="shared" si="26"/>
        <v>4.000000000000007E-2</v>
      </c>
      <c r="AJ20" s="158">
        <v>0.8</v>
      </c>
      <c r="AK20" s="140">
        <f t="shared" si="27"/>
        <v>0.15999999999999992</v>
      </c>
      <c r="AN20" s="168"/>
      <c r="AR20" s="140" t="s">
        <v>319</v>
      </c>
      <c r="AS20" s="158">
        <v>12.8</v>
      </c>
      <c r="AT20" s="140">
        <f>(AS20-14.125)^2</f>
        <v>1.7556249999999982</v>
      </c>
      <c r="AW20" s="140" t="s">
        <v>303</v>
      </c>
      <c r="AX20" s="158">
        <v>19.5</v>
      </c>
      <c r="AY20" s="140">
        <f t="shared" si="22"/>
        <v>17.015625</v>
      </c>
      <c r="BB20" s="137" t="s">
        <v>295</v>
      </c>
      <c r="BC20" s="156">
        <v>20</v>
      </c>
      <c r="BD20" s="137">
        <f t="shared" si="28"/>
        <v>25</v>
      </c>
      <c r="BE20" s="169"/>
    </row>
    <row r="21" spans="1:57" ht="18" x14ac:dyDescent="0.25">
      <c r="A21" s="174" t="s">
        <v>92</v>
      </c>
      <c r="B21" s="157">
        <v>0.46710000000000002</v>
      </c>
      <c r="C21" s="138">
        <f t="shared" si="23"/>
        <v>6.6422499999999936E-3</v>
      </c>
      <c r="D21" s="130"/>
      <c r="E21" s="130"/>
      <c r="F21" s="138" t="s">
        <v>93</v>
      </c>
      <c r="G21" s="157">
        <v>0.21299999999999999</v>
      </c>
      <c r="H21" s="138">
        <f t="shared" si="24"/>
        <v>7.3616400000000026E-3</v>
      </c>
      <c r="I21" s="130"/>
      <c r="J21" s="130"/>
      <c r="K21" s="138" t="s">
        <v>92</v>
      </c>
      <c r="L21" s="157">
        <v>0.5665</v>
      </c>
      <c r="M21" s="138">
        <f t="shared" si="25"/>
        <v>1.7095562500000155E-4</v>
      </c>
      <c r="P21" s="169"/>
      <c r="Q21" s="168"/>
      <c r="S21" s="140" t="s">
        <v>302</v>
      </c>
      <c r="T21" s="158">
        <v>3.6</v>
      </c>
      <c r="U21" s="140">
        <f t="shared" si="29"/>
        <v>0.10240000000000019</v>
      </c>
      <c r="V21" s="158">
        <v>1.2</v>
      </c>
      <c r="W21" s="140">
        <f t="shared" si="30"/>
        <v>0.25</v>
      </c>
      <c r="Z21" s="140" t="s">
        <v>302</v>
      </c>
      <c r="AA21" s="158">
        <v>3.6</v>
      </c>
      <c r="AB21" s="140">
        <f t="shared" si="31"/>
        <v>2.1159999999999833E-3</v>
      </c>
      <c r="AC21" s="158">
        <v>1.4</v>
      </c>
      <c r="AD21" s="140">
        <f t="shared" si="32"/>
        <v>0.27040000000000003</v>
      </c>
      <c r="AF21" s="163"/>
      <c r="AG21" s="140" t="s">
        <v>303</v>
      </c>
      <c r="AH21" s="158">
        <v>2.1</v>
      </c>
      <c r="AI21" s="140">
        <f t="shared" si="26"/>
        <v>3.9999999999999897E-2</v>
      </c>
      <c r="AJ21" s="158">
        <v>1.1000000000000001</v>
      </c>
      <c r="AK21" s="140">
        <f t="shared" si="27"/>
        <v>9.9999999999999742E-3</v>
      </c>
      <c r="AN21" s="168"/>
      <c r="AR21" s="140" t="s">
        <v>321</v>
      </c>
      <c r="AS21" s="158">
        <v>14.6</v>
      </c>
      <c r="AT21" s="140">
        <f t="shared" ref="AT21:AT23" si="33">(AS21-14.125)^2</f>
        <v>0.22562499999999966</v>
      </c>
      <c r="BB21" s="137" t="s">
        <v>296</v>
      </c>
      <c r="BC21" s="156">
        <v>26</v>
      </c>
      <c r="BD21" s="137">
        <f t="shared" si="28"/>
        <v>1</v>
      </c>
      <c r="BE21" s="169"/>
    </row>
    <row r="22" spans="1:57" ht="18" x14ac:dyDescent="0.25">
      <c r="A22" s="175" t="s">
        <v>94</v>
      </c>
      <c r="B22" s="158">
        <v>0.6784</v>
      </c>
      <c r="C22" s="139">
        <f>(B22-0.57404)^2</f>
        <v>1.0891009600000001E-2</v>
      </c>
      <c r="D22" s="130"/>
      <c r="E22" s="130"/>
      <c r="F22" s="139" t="s">
        <v>95</v>
      </c>
      <c r="G22" s="158">
        <v>0.23139999999999999</v>
      </c>
      <c r="H22" s="139">
        <f>(G22-0.25116)^2</f>
        <v>3.9045759999999997E-4</v>
      </c>
      <c r="I22" s="130"/>
      <c r="J22" s="130"/>
      <c r="K22" s="139" t="s">
        <v>95</v>
      </c>
      <c r="L22" s="158">
        <v>0.37690000000000001</v>
      </c>
      <c r="M22" s="139">
        <f>(L22-0.39994)^2</f>
        <v>5.308416000000002E-4</v>
      </c>
      <c r="P22" s="169"/>
      <c r="Q22" s="168"/>
      <c r="S22" s="140" t="s">
        <v>303</v>
      </c>
      <c r="T22" s="158">
        <v>3.9</v>
      </c>
      <c r="U22" s="140">
        <f t="shared" si="29"/>
        <v>0.38440000000000013</v>
      </c>
      <c r="V22" s="158">
        <v>2.2000000000000002</v>
      </c>
      <c r="W22" s="140">
        <f t="shared" si="30"/>
        <v>0.25000000000000022</v>
      </c>
      <c r="Z22" s="140" t="s">
        <v>303</v>
      </c>
      <c r="AA22" s="158">
        <v>4.7</v>
      </c>
      <c r="AB22" s="140">
        <f t="shared" si="31"/>
        <v>1.1109160000000005</v>
      </c>
      <c r="AC22" s="158">
        <v>1.5</v>
      </c>
      <c r="AD22" s="140">
        <f t="shared" si="32"/>
        <v>0.17639999999999995</v>
      </c>
      <c r="AF22" s="163"/>
      <c r="AG22" s="140" t="s">
        <v>298</v>
      </c>
      <c r="AH22" s="158">
        <v>1.4</v>
      </c>
      <c r="AI22" s="140">
        <f t="shared" si="26"/>
        <v>0.80999999999999983</v>
      </c>
      <c r="AJ22" s="158">
        <v>1.3</v>
      </c>
      <c r="AK22" s="140">
        <f t="shared" si="27"/>
        <v>1.0000000000000018E-2</v>
      </c>
      <c r="AN22" s="168"/>
      <c r="AR22" s="140" t="s">
        <v>322</v>
      </c>
      <c r="AS22" s="158">
        <v>11.5</v>
      </c>
      <c r="AT22" s="140">
        <f t="shared" si="33"/>
        <v>6.890625</v>
      </c>
      <c r="BB22" s="137" t="s">
        <v>297</v>
      </c>
      <c r="BC22" s="156">
        <v>15</v>
      </c>
      <c r="BD22" s="137">
        <f t="shared" si="28"/>
        <v>100</v>
      </c>
      <c r="BE22" s="169"/>
    </row>
    <row r="23" spans="1:57" ht="18" x14ac:dyDescent="0.25">
      <c r="A23" s="175" t="s">
        <v>96</v>
      </c>
      <c r="B23" s="158">
        <v>0.55840000000000001</v>
      </c>
      <c r="C23" s="139">
        <f t="shared" ref="C23:C26" si="34">(B23-0.57404)^2</f>
        <v>2.4460959999999962E-4</v>
      </c>
      <c r="D23" s="130"/>
      <c r="E23" s="130"/>
      <c r="F23" s="139" t="s">
        <v>96</v>
      </c>
      <c r="G23" s="158">
        <v>0.3891</v>
      </c>
      <c r="H23" s="139">
        <f t="shared" ref="H23:H26" si="35">(G23-0.25116)^2</f>
        <v>1.9027443600000003E-2</v>
      </c>
      <c r="I23" s="130"/>
      <c r="J23" s="130"/>
      <c r="K23" s="139" t="s">
        <v>96</v>
      </c>
      <c r="L23" s="158">
        <v>0.31690000000000002</v>
      </c>
      <c r="M23" s="139">
        <f t="shared" ref="M23:M26" si="36">(L23-0.39994)^2</f>
        <v>6.8956416000000003E-3</v>
      </c>
      <c r="P23" s="169"/>
      <c r="Q23" s="168"/>
      <c r="S23" s="140" t="s">
        <v>298</v>
      </c>
      <c r="T23" s="158">
        <v>2.1</v>
      </c>
      <c r="U23" s="140">
        <f t="shared" si="29"/>
        <v>1.3923999999999994</v>
      </c>
      <c r="V23" s="158">
        <v>1.6</v>
      </c>
      <c r="W23" s="140">
        <f t="shared" si="30"/>
        <v>9.9999999999999742E-3</v>
      </c>
      <c r="Z23" s="140" t="s">
        <v>298</v>
      </c>
      <c r="AA23" s="158">
        <v>2.83</v>
      </c>
      <c r="AB23" s="140">
        <f t="shared" si="31"/>
        <v>0.66585599999999978</v>
      </c>
      <c r="AC23" s="158">
        <v>2.4</v>
      </c>
      <c r="AD23" s="140">
        <f t="shared" si="32"/>
        <v>0.23039999999999999</v>
      </c>
      <c r="AF23" s="163"/>
      <c r="AG23" s="149" t="s">
        <v>51</v>
      </c>
      <c r="AH23" s="161">
        <v>2.2999999999999998</v>
      </c>
      <c r="AI23" s="149">
        <f>(AH23-2.3)^2</f>
        <v>0</v>
      </c>
      <c r="AJ23" s="161">
        <v>0.8</v>
      </c>
      <c r="AK23" s="149">
        <f>(AJ23-0.8)^2</f>
        <v>0</v>
      </c>
      <c r="AN23" s="168"/>
      <c r="AR23" s="140" t="s">
        <v>303</v>
      </c>
      <c r="AS23" s="158">
        <v>17.600000000000001</v>
      </c>
      <c r="AT23" s="140">
        <f t="shared" si="33"/>
        <v>12.075625000000009</v>
      </c>
      <c r="BB23" s="140" t="s">
        <v>319</v>
      </c>
      <c r="BC23" s="158">
        <v>12</v>
      </c>
      <c r="BD23" s="140">
        <f>(BC23-12.225)^2</f>
        <v>5.0624999999999837E-2</v>
      </c>
      <c r="BE23" s="169"/>
    </row>
    <row r="24" spans="1:57" ht="16.5" x14ac:dyDescent="0.25">
      <c r="A24" s="175" t="s">
        <v>97</v>
      </c>
      <c r="B24" s="158">
        <v>0.56230000000000002</v>
      </c>
      <c r="C24" s="139">
        <f t="shared" si="34"/>
        <v>1.3782759999999937E-4</v>
      </c>
      <c r="D24" s="130"/>
      <c r="E24" s="130"/>
      <c r="F24" s="139" t="s">
        <v>97</v>
      </c>
      <c r="G24" s="158">
        <v>0.14449999999999999</v>
      </c>
      <c r="H24" s="139">
        <f t="shared" si="35"/>
        <v>1.1376355600000001E-2</v>
      </c>
      <c r="I24" s="130"/>
      <c r="J24" s="130"/>
      <c r="K24" s="139" t="s">
        <v>97</v>
      </c>
      <c r="L24" s="158">
        <v>0.38429999999999997</v>
      </c>
      <c r="M24" s="139">
        <f t="shared" si="36"/>
        <v>2.4460960000000136E-4</v>
      </c>
      <c r="P24" s="169"/>
      <c r="Q24" s="168"/>
      <c r="AN24" s="168"/>
      <c r="BB24" s="140" t="s">
        <v>321</v>
      </c>
      <c r="BC24" s="158">
        <v>13.7</v>
      </c>
      <c r="BD24" s="140">
        <f t="shared" ref="BD24:BD26" si="37">(BC24-12.225)^2</f>
        <v>2.1756249999999988</v>
      </c>
      <c r="BE24" s="169"/>
    </row>
    <row r="25" spans="1:57" ht="16.5" x14ac:dyDescent="0.25">
      <c r="A25" s="175" t="s">
        <v>98</v>
      </c>
      <c r="B25" s="158">
        <v>0.53029999999999999</v>
      </c>
      <c r="C25" s="139">
        <f t="shared" si="34"/>
        <v>1.9131876E-3</v>
      </c>
      <c r="D25" s="130"/>
      <c r="E25" s="130"/>
      <c r="F25" s="139" t="s">
        <v>98</v>
      </c>
      <c r="G25" s="158">
        <v>0.30780000000000002</v>
      </c>
      <c r="H25" s="139">
        <f t="shared" si="35"/>
        <v>3.2080896000000027E-3</v>
      </c>
      <c r="I25" s="130"/>
      <c r="J25" s="130"/>
      <c r="K25" s="139" t="s">
        <v>98</v>
      </c>
      <c r="L25" s="158">
        <v>0.48099999999999998</v>
      </c>
      <c r="M25" s="139">
        <f t="shared" si="36"/>
        <v>6.5707235999999947E-3</v>
      </c>
      <c r="P25" s="169"/>
      <c r="Q25" s="168"/>
      <c r="AN25" s="168"/>
      <c r="AR25" s="165"/>
      <c r="AS25" s="165"/>
      <c r="BB25" s="140" t="s">
        <v>322</v>
      </c>
      <c r="BC25" s="158">
        <v>10.199999999999999</v>
      </c>
      <c r="BD25" s="140">
        <f t="shared" si="37"/>
        <v>4.1006250000000017</v>
      </c>
      <c r="BE25" s="169"/>
    </row>
    <row r="26" spans="1:57" ht="18" x14ac:dyDescent="0.25">
      <c r="A26" s="175" t="s">
        <v>99</v>
      </c>
      <c r="B26" s="158">
        <v>0.54079999999999995</v>
      </c>
      <c r="C26" s="139">
        <f t="shared" si="34"/>
        <v>1.1048976000000031E-3</v>
      </c>
      <c r="D26" s="130"/>
      <c r="E26" s="130"/>
      <c r="F26" s="139" t="s">
        <v>100</v>
      </c>
      <c r="G26" s="158">
        <v>0.183</v>
      </c>
      <c r="H26" s="139">
        <f t="shared" si="35"/>
        <v>4.6457855999999997E-3</v>
      </c>
      <c r="I26" s="130"/>
      <c r="J26" s="130"/>
      <c r="K26" s="139" t="s">
        <v>100</v>
      </c>
      <c r="L26" s="158">
        <v>0.44059999999999999</v>
      </c>
      <c r="M26" s="139">
        <f t="shared" si="36"/>
        <v>1.6532355999999979E-3</v>
      </c>
      <c r="P26" s="169"/>
      <c r="Q26" s="168"/>
      <c r="AN26" s="168"/>
      <c r="BB26" s="140" t="s">
        <v>303</v>
      </c>
      <c r="BC26" s="158">
        <v>13</v>
      </c>
      <c r="BD26" s="140">
        <f t="shared" si="37"/>
        <v>0.60062500000000052</v>
      </c>
      <c r="BE26" s="169"/>
    </row>
    <row r="27" spans="1:57" ht="18.75" x14ac:dyDescent="0.3">
      <c r="A27" s="176" t="s">
        <v>101</v>
      </c>
      <c r="B27" s="159">
        <v>0.50019999999999998</v>
      </c>
      <c r="C27" s="141">
        <f>(B27-0.491695239)^2</f>
        <v>7.2330959667120517E-5</v>
      </c>
      <c r="D27" s="130"/>
      <c r="E27" s="130"/>
      <c r="F27" s="141" t="s">
        <v>102</v>
      </c>
      <c r="G27" s="159">
        <v>0.15620000000000001</v>
      </c>
      <c r="H27" s="141">
        <f>(G27-0.162986957)^2</f>
        <v>4.6062785319848763E-5</v>
      </c>
      <c r="I27" s="130"/>
      <c r="J27" s="130"/>
      <c r="K27" s="141" t="s">
        <v>103</v>
      </c>
      <c r="L27" s="159">
        <v>0.37319999999999998</v>
      </c>
      <c r="M27" s="141">
        <f>(L27-0.466058333)^2</f>
        <v>8.6226700075388921E-3</v>
      </c>
      <c r="P27" s="169"/>
      <c r="Q27" s="168"/>
      <c r="S27" s="289" t="s">
        <v>0</v>
      </c>
      <c r="T27" s="289"/>
      <c r="U27" s="289"/>
      <c r="V27" s="289"/>
      <c r="W27" s="289"/>
      <c r="X27" s="132"/>
      <c r="Y27" s="186"/>
      <c r="Z27" s="289" t="s">
        <v>1</v>
      </c>
      <c r="AA27" s="289"/>
      <c r="AB27" s="289"/>
      <c r="AC27" s="289"/>
      <c r="AD27" s="289"/>
      <c r="AF27" s="163"/>
      <c r="AG27" s="289" t="s">
        <v>2</v>
      </c>
      <c r="AH27" s="289"/>
      <c r="AI27" s="289"/>
      <c r="AJ27" s="289"/>
      <c r="AK27" s="289"/>
      <c r="AN27" s="168"/>
      <c r="BB27" s="149" t="s">
        <v>320</v>
      </c>
      <c r="BC27" s="161">
        <v>10.4</v>
      </c>
      <c r="BD27" s="149">
        <f>(BC27-10.4)^2</f>
        <v>0</v>
      </c>
      <c r="BE27" s="169"/>
    </row>
    <row r="28" spans="1:57" ht="15.75" x14ac:dyDescent="0.25">
      <c r="A28" s="176" t="s">
        <v>104</v>
      </c>
      <c r="B28" s="159">
        <v>0.48099999999999998</v>
      </c>
      <c r="C28" s="141">
        <f t="shared" ref="C28:C47" si="38">(B28-0.491695239)^2</f>
        <v>1.1438813726712149E-4</v>
      </c>
      <c r="D28" s="130"/>
      <c r="E28" s="143"/>
      <c r="F28" s="141" t="s">
        <v>105</v>
      </c>
      <c r="G28" s="159">
        <v>0.2084</v>
      </c>
      <c r="H28" s="141">
        <f t="shared" ref="H28:H49" si="39">(G28-0.162986957)^2</f>
        <v>2.0623444745198503E-3</v>
      </c>
      <c r="I28" s="130"/>
      <c r="J28" s="130"/>
      <c r="K28" s="141" t="s">
        <v>106</v>
      </c>
      <c r="L28" s="159">
        <v>0.46710000000000002</v>
      </c>
      <c r="M28" s="141">
        <f t="shared" ref="M28:M38" si="40">(L28-0.466058333)^2</f>
        <v>1.0850701388890497E-6</v>
      </c>
      <c r="P28" s="169"/>
      <c r="Q28" s="168"/>
      <c r="S28" s="233"/>
      <c r="T28" s="290" t="s">
        <v>283</v>
      </c>
      <c r="U28" s="290"/>
      <c r="V28" s="290" t="s">
        <v>284</v>
      </c>
      <c r="W28" s="290"/>
      <c r="X28" s="133"/>
      <c r="Y28" s="133"/>
      <c r="Z28" s="233"/>
      <c r="AA28" s="290" t="s">
        <v>283</v>
      </c>
      <c r="AB28" s="290"/>
      <c r="AC28" s="290" t="s">
        <v>284</v>
      </c>
      <c r="AD28" s="290"/>
      <c r="AF28" s="163"/>
      <c r="AG28" s="233"/>
      <c r="AH28" s="290" t="s">
        <v>283</v>
      </c>
      <c r="AI28" s="290"/>
      <c r="AJ28" s="290" t="s">
        <v>284</v>
      </c>
      <c r="AK28" s="290"/>
      <c r="AN28" s="168"/>
      <c r="AW28" s="165"/>
      <c r="AX28" s="165"/>
      <c r="BE28" s="169"/>
    </row>
    <row r="29" spans="1:57" ht="15.75" x14ac:dyDescent="0.25">
      <c r="A29" s="176" t="s">
        <v>107</v>
      </c>
      <c r="B29" s="159">
        <v>0.6139</v>
      </c>
      <c r="C29" s="141">
        <f t="shared" si="38"/>
        <v>1.493400361106712E-2</v>
      </c>
      <c r="D29" s="130"/>
      <c r="E29" s="143"/>
      <c r="F29" s="141" t="s">
        <v>108</v>
      </c>
      <c r="G29" s="159">
        <v>0.1474</v>
      </c>
      <c r="H29" s="141">
        <f t="shared" si="39"/>
        <v>2.4295322851984851E-4</v>
      </c>
      <c r="I29" s="130"/>
      <c r="J29" s="130"/>
      <c r="K29" s="141" t="s">
        <v>109</v>
      </c>
      <c r="L29" s="159">
        <v>0.51880000000000004</v>
      </c>
      <c r="M29" s="141">
        <f t="shared" si="40"/>
        <v>2.781683437938894E-3</v>
      </c>
      <c r="P29" s="169"/>
      <c r="Q29" s="168"/>
      <c r="S29" s="231"/>
      <c r="T29" s="232" t="s">
        <v>348</v>
      </c>
      <c r="U29" s="232" t="s">
        <v>347</v>
      </c>
      <c r="V29" s="232" t="s">
        <v>348</v>
      </c>
      <c r="W29" s="232" t="s">
        <v>347</v>
      </c>
      <c r="X29" s="228"/>
      <c r="Y29" s="226"/>
      <c r="Z29" s="231"/>
      <c r="AA29" s="232" t="s">
        <v>348</v>
      </c>
      <c r="AB29" s="232" t="s">
        <v>347</v>
      </c>
      <c r="AC29" s="232" t="s">
        <v>348</v>
      </c>
      <c r="AD29" s="232" t="s">
        <v>347</v>
      </c>
      <c r="AE29" s="226"/>
      <c r="AF29" s="229"/>
      <c r="AG29" s="231"/>
      <c r="AH29" s="232" t="s">
        <v>348</v>
      </c>
      <c r="AI29" s="232" t="s">
        <v>347</v>
      </c>
      <c r="AJ29" s="232" t="s">
        <v>348</v>
      </c>
      <c r="AK29" s="232" t="s">
        <v>347</v>
      </c>
      <c r="AN29" s="168"/>
      <c r="BE29" s="169"/>
    </row>
    <row r="30" spans="1:57" ht="15.75" x14ac:dyDescent="0.25">
      <c r="A30" s="176" t="s">
        <v>110</v>
      </c>
      <c r="B30" s="159">
        <v>0.49049999999999999</v>
      </c>
      <c r="C30" s="141">
        <f t="shared" si="38"/>
        <v>1.428596267121035E-6</v>
      </c>
      <c r="D30" s="130"/>
      <c r="E30" s="143"/>
      <c r="F30" s="141" t="s">
        <v>111</v>
      </c>
      <c r="G30" s="159">
        <v>0.1366</v>
      </c>
      <c r="H30" s="141">
        <f t="shared" si="39"/>
        <v>6.9627149971984844E-4</v>
      </c>
      <c r="I30" s="130"/>
      <c r="J30" s="143"/>
      <c r="K30" s="141" t="s">
        <v>112</v>
      </c>
      <c r="L30" s="159">
        <v>0.52010000000000001</v>
      </c>
      <c r="M30" s="141">
        <f t="shared" si="40"/>
        <v>2.9205017721388908E-3</v>
      </c>
      <c r="P30" s="169"/>
      <c r="Q30" s="168"/>
      <c r="S30" s="232" t="s">
        <v>214</v>
      </c>
      <c r="T30" s="231">
        <f>SUM(T9:T13)/5</f>
        <v>4.62</v>
      </c>
      <c r="U30" s="231">
        <f>SQRT(SUM(U9:U13)/5)</f>
        <v>7.4833147735478944E-2</v>
      </c>
      <c r="V30" s="231">
        <f>SUM(V8:V13)/5</f>
        <v>2.2999999999999998</v>
      </c>
      <c r="W30" s="231">
        <f>SQRT(SUM(W8:W13)/5)</f>
        <v>0.46904157598234297</v>
      </c>
      <c r="X30" s="226"/>
      <c r="Y30" s="228"/>
      <c r="Z30" s="232" t="s">
        <v>214</v>
      </c>
      <c r="AA30" s="231">
        <f>SUM(AA8:AA13)/4</f>
        <v>4.2249999999999996</v>
      </c>
      <c r="AB30" s="231">
        <f>SQRT(SUM(AB8:AB13)/4)</f>
        <v>0.10897247358851707</v>
      </c>
      <c r="AC30" s="231">
        <f>SUM(AC8:AC13)/5</f>
        <v>2.3800000000000003</v>
      </c>
      <c r="AD30" s="231">
        <f>SQRT(SUM(AD8:AD13)/5)</f>
        <v>0.55641710972974223</v>
      </c>
      <c r="AE30" s="228"/>
      <c r="AF30" s="229"/>
      <c r="AG30" s="232" t="s">
        <v>214</v>
      </c>
      <c r="AH30" s="231">
        <f>SUM(AH8:AH12)/5</f>
        <v>3.38</v>
      </c>
      <c r="AI30" s="231">
        <f>SQRT(SUM(AI8:AI12)/5)</f>
        <v>0.27856776554368251</v>
      </c>
      <c r="AJ30" s="231">
        <f>SUM(AJ8:AJ12)/4</f>
        <v>2</v>
      </c>
      <c r="AK30" s="231">
        <f>SQRT(SUM(AK8:AK12)/4)</f>
        <v>0.65954529791364602</v>
      </c>
      <c r="AN30" s="168"/>
      <c r="BE30" s="169"/>
    </row>
    <row r="31" spans="1:57" ht="15.75" x14ac:dyDescent="0.25">
      <c r="A31" s="176" t="s">
        <v>111</v>
      </c>
      <c r="B31" s="159">
        <v>0.5252</v>
      </c>
      <c r="C31" s="141">
        <f t="shared" si="38"/>
        <v>1.1225690096671205E-3</v>
      </c>
      <c r="D31" s="130"/>
      <c r="E31" s="130"/>
      <c r="F31" s="141" t="s">
        <v>113</v>
      </c>
      <c r="G31" s="159">
        <v>0.14069999999999999</v>
      </c>
      <c r="H31" s="141">
        <f t="shared" si="39"/>
        <v>4.9670845231984879E-4</v>
      </c>
      <c r="I31" s="130"/>
      <c r="J31" s="143"/>
      <c r="K31" s="141" t="s">
        <v>114</v>
      </c>
      <c r="L31" s="159">
        <v>0.3957</v>
      </c>
      <c r="M31" s="141">
        <f t="shared" si="40"/>
        <v>4.9502950225388887E-3</v>
      </c>
      <c r="P31" s="169"/>
      <c r="Q31" s="168"/>
      <c r="S31" s="232" t="s">
        <v>212</v>
      </c>
      <c r="T31" s="231">
        <f>SUM(T14:T18)/5</f>
        <v>3.84</v>
      </c>
      <c r="U31" s="231">
        <f>SQRT(SUM(U14:U18)/5)</f>
        <v>0.67999999999999983</v>
      </c>
      <c r="V31" s="231">
        <f>SUM(V14:V17)/4</f>
        <v>2.9750000000000001</v>
      </c>
      <c r="W31" s="231">
        <f>SQRT(SUM(W14:W18)/4)</f>
        <v>0.85841423566947006</v>
      </c>
      <c r="X31" s="226"/>
      <c r="Y31" s="228"/>
      <c r="Z31" s="232" t="s">
        <v>212</v>
      </c>
      <c r="AA31" s="231">
        <f>SUM(AA14:AA18)/5</f>
        <v>3.78</v>
      </c>
      <c r="AB31" s="231">
        <f>SQRT(SUM(AB14:AB18)/5)</f>
        <v>0.6852736679604724</v>
      </c>
      <c r="AC31" s="231">
        <f>SUM(AC14:AC17)/4</f>
        <v>3.625</v>
      </c>
      <c r="AD31" s="231">
        <f>SQRT(SUM(AD14:AD18)/4)</f>
        <v>0.44370598373247111</v>
      </c>
      <c r="AE31" s="228"/>
      <c r="AF31" s="229"/>
      <c r="AG31" s="232" t="s">
        <v>212</v>
      </c>
      <c r="AH31" s="231">
        <f>SUM(AH13:AH17)/5</f>
        <v>3.1079999999999997</v>
      </c>
      <c r="AI31" s="231">
        <f>SQRT(SUM(AI13:AI17)/5)</f>
        <v>0.64799382713109244</v>
      </c>
      <c r="AJ31" s="231">
        <f>SUM(AJ13:AJ17)/4</f>
        <v>2.75</v>
      </c>
      <c r="AK31" s="231">
        <f>SQRT(SUM(AK13:AK17)/4)</f>
        <v>0.89582364335844589</v>
      </c>
      <c r="AN31" s="168"/>
      <c r="BE31" s="169"/>
    </row>
    <row r="32" spans="1:57" s="147" customFormat="1" ht="18.75" x14ac:dyDescent="0.25">
      <c r="A32" s="176" t="s">
        <v>115</v>
      </c>
      <c r="B32" s="159">
        <v>0.6139</v>
      </c>
      <c r="C32" s="141">
        <f t="shared" si="38"/>
        <v>1.493400361106712E-2</v>
      </c>
      <c r="D32" s="130"/>
      <c r="E32" s="143"/>
      <c r="F32" s="141" t="s">
        <v>116</v>
      </c>
      <c r="G32" s="159">
        <v>0.19889999999999999</v>
      </c>
      <c r="H32" s="141">
        <f t="shared" si="39"/>
        <v>1.2897466575198494E-3</v>
      </c>
      <c r="I32" s="130"/>
      <c r="J32" s="143"/>
      <c r="K32" s="141" t="s">
        <v>117</v>
      </c>
      <c r="L32" s="159">
        <v>0.35120000000000001</v>
      </c>
      <c r="M32" s="141">
        <f t="shared" si="40"/>
        <v>1.3192436659538884E-2</v>
      </c>
      <c r="P32" s="177"/>
      <c r="Q32" s="238"/>
      <c r="S32" s="232" t="s">
        <v>305</v>
      </c>
      <c r="T32" s="231">
        <f>SUM(T19:T23)/5</f>
        <v>3.2800000000000002</v>
      </c>
      <c r="U32" s="231">
        <f>SQRT(SUM(U19:U23)/5)</f>
        <v>0.64621977685614052</v>
      </c>
      <c r="V32" s="231">
        <f>SUM(V19:V23)/5</f>
        <v>1.7</v>
      </c>
      <c r="W32" s="231">
        <f>SQRT(SUM(W19:W23)/5)</f>
        <v>0.38987177379235866</v>
      </c>
      <c r="X32" s="226"/>
      <c r="Y32" s="228"/>
      <c r="Z32" s="232" t="s">
        <v>305</v>
      </c>
      <c r="AA32" s="231">
        <f>SUM(AA19:AA23)/5</f>
        <v>3.6459999999999995</v>
      </c>
      <c r="AB32" s="231">
        <f>SQRT(SUM(AB19:AB23)/5)</f>
        <v>0.6070123557226822</v>
      </c>
      <c r="AC32" s="231">
        <f>SUM(AC19:AC23)/5</f>
        <v>1.9200000000000004</v>
      </c>
      <c r="AD32" s="231">
        <f>SQRT(SUM(AD19:AD23)/5)</f>
        <v>0.3969886648255842</v>
      </c>
      <c r="AE32" s="228"/>
      <c r="AF32" s="230"/>
      <c r="AG32" s="232" t="s">
        <v>305</v>
      </c>
      <c r="AH32" s="231">
        <f>SUM(AH18:AH22)/5</f>
        <v>2.2999999999999998</v>
      </c>
      <c r="AI32" s="231">
        <f>SQRT(SUM(AI18:AI22)/5)</f>
        <v>0.50990195135927852</v>
      </c>
      <c r="AJ32" s="231">
        <f>SUM(AJ18:AJ22)/5</f>
        <v>1.1999999999999997</v>
      </c>
      <c r="AK32" s="231">
        <f>SQRT(SUM(AK18:AK22)/5)</f>
        <v>0.29664793948382645</v>
      </c>
      <c r="AN32" s="238"/>
      <c r="AR32" s="289" t="s">
        <v>0</v>
      </c>
      <c r="AS32" s="289"/>
      <c r="AT32" s="289"/>
      <c r="AU32" s="167"/>
      <c r="AV32" s="167"/>
      <c r="AW32" s="289" t="s">
        <v>1</v>
      </c>
      <c r="AX32" s="289"/>
      <c r="AY32" s="289"/>
      <c r="AZ32" s="167"/>
      <c r="BA32" s="167"/>
      <c r="BB32" s="289" t="s">
        <v>2</v>
      </c>
      <c r="BC32" s="289"/>
      <c r="BD32" s="289"/>
      <c r="BE32" s="177"/>
    </row>
    <row r="33" spans="1:57" ht="15.75" x14ac:dyDescent="0.25">
      <c r="A33" s="176" t="s">
        <v>118</v>
      </c>
      <c r="B33" s="159">
        <v>0.53549999999999998</v>
      </c>
      <c r="C33" s="141">
        <f t="shared" si="38"/>
        <v>1.9188570862671184E-3</v>
      </c>
      <c r="D33" s="130"/>
      <c r="E33" s="143"/>
      <c r="F33" s="141" t="s">
        <v>119</v>
      </c>
      <c r="G33" s="159">
        <v>0.1477</v>
      </c>
      <c r="H33" s="141">
        <f t="shared" si="39"/>
        <v>2.336910543198487E-4</v>
      </c>
      <c r="I33" s="130"/>
      <c r="J33" s="143"/>
      <c r="K33" s="141" t="s">
        <v>120</v>
      </c>
      <c r="L33" s="159">
        <v>0.51</v>
      </c>
      <c r="M33" s="141">
        <f t="shared" si="40"/>
        <v>1.9308700987388904E-3</v>
      </c>
      <c r="P33" s="169"/>
      <c r="Q33" s="168"/>
      <c r="S33" s="226"/>
      <c r="T33" s="228"/>
      <c r="U33" s="228"/>
      <c r="V33" s="228"/>
      <c r="W33" s="228"/>
      <c r="X33" s="226"/>
      <c r="Y33" s="228"/>
      <c r="Z33" s="228"/>
      <c r="AA33" s="229"/>
      <c r="AB33" s="229"/>
      <c r="AC33" s="226"/>
      <c r="AD33" s="228"/>
      <c r="AE33" s="228"/>
      <c r="AF33" s="229"/>
      <c r="AG33" s="234" t="s">
        <v>351</v>
      </c>
      <c r="AH33" s="231">
        <f>SUM(AH23)/1</f>
        <v>2.2999999999999998</v>
      </c>
      <c r="AI33" s="231">
        <f>SQRT(SUM(AI23)/1)</f>
        <v>0</v>
      </c>
      <c r="AJ33" s="231">
        <f>SUM(AJ23)/1</f>
        <v>0.8</v>
      </c>
      <c r="AK33" s="231">
        <f>SQRT(SUM(AK23)/1)</f>
        <v>0</v>
      </c>
      <c r="AN33" s="168"/>
      <c r="AR33" s="231"/>
      <c r="AS33" s="232" t="s">
        <v>348</v>
      </c>
      <c r="AT33" s="232" t="s">
        <v>347</v>
      </c>
      <c r="AW33" s="231"/>
      <c r="AX33" s="232" t="s">
        <v>348</v>
      </c>
      <c r="AY33" s="232" t="s">
        <v>347</v>
      </c>
      <c r="BB33" s="231"/>
      <c r="BC33" s="232" t="s">
        <v>348</v>
      </c>
      <c r="BD33" s="232" t="s">
        <v>347</v>
      </c>
      <c r="BE33" s="169"/>
    </row>
    <row r="34" spans="1:57" ht="15.75" x14ac:dyDescent="0.25">
      <c r="A34" s="178" t="s">
        <v>121</v>
      </c>
      <c r="B34" s="160">
        <v>0.49049999999999999</v>
      </c>
      <c r="C34" s="141">
        <f t="shared" si="38"/>
        <v>1.428596267121035E-6</v>
      </c>
      <c r="D34" s="145"/>
      <c r="E34" s="146"/>
      <c r="F34" s="144" t="s">
        <v>122</v>
      </c>
      <c r="G34" s="160">
        <v>0.10829999999999999</v>
      </c>
      <c r="H34" s="141">
        <f t="shared" si="39"/>
        <v>2.9906632659198484E-3</v>
      </c>
      <c r="I34" s="145"/>
      <c r="J34" s="146"/>
      <c r="K34" s="144" t="s">
        <v>123</v>
      </c>
      <c r="L34" s="160">
        <v>0.64459999999999995</v>
      </c>
      <c r="M34" s="141">
        <f t="shared" si="40"/>
        <v>3.1877126855138875E-2</v>
      </c>
      <c r="P34" s="169"/>
      <c r="Q34" s="168"/>
      <c r="S34" s="226"/>
      <c r="T34" s="228"/>
      <c r="U34" s="228"/>
      <c r="V34" s="228"/>
      <c r="W34" s="228"/>
      <c r="X34" s="226"/>
      <c r="Y34" s="228"/>
      <c r="Z34" s="228"/>
      <c r="AA34" s="229"/>
      <c r="AB34" s="229"/>
      <c r="AC34" s="226"/>
      <c r="AD34" s="228"/>
      <c r="AE34" s="228"/>
      <c r="AF34" s="229"/>
      <c r="AG34" s="229"/>
      <c r="AH34" s="229"/>
      <c r="AI34" s="229"/>
      <c r="AJ34" s="229"/>
      <c r="AK34" s="229"/>
      <c r="AN34" s="168"/>
      <c r="AR34" s="232" t="s">
        <v>214</v>
      </c>
      <c r="AS34" s="231">
        <f>SUM(AS7:AS14)/8</f>
        <v>11.700000000000001</v>
      </c>
      <c r="AT34" s="231">
        <f>SQRT(SUM(AT7:AT14)/8)</f>
        <v>2.5480384612481819</v>
      </c>
      <c r="AW34" s="232" t="s">
        <v>214</v>
      </c>
      <c r="AX34" s="231">
        <f>SUM(AX7:AX11)/5</f>
        <v>14.3</v>
      </c>
      <c r="AY34" s="231">
        <f>SQRT(SUM(AY7:AY11)/5)</f>
        <v>3.3184333653096005</v>
      </c>
      <c r="BB34" s="232" t="s">
        <v>214</v>
      </c>
      <c r="BC34" s="231">
        <f>SUM(BC7:BC17)/11</f>
        <v>10.045454545454545</v>
      </c>
      <c r="BD34" s="231">
        <f>SQRT(SUM(BD7:BD17)/11)</f>
        <v>1.9378355481286096</v>
      </c>
      <c r="BE34" s="169"/>
    </row>
    <row r="35" spans="1:57" x14ac:dyDescent="0.25">
      <c r="A35" s="176" t="s">
        <v>124</v>
      </c>
      <c r="B35" s="159">
        <v>0.45810000000000001</v>
      </c>
      <c r="C35" s="141">
        <f t="shared" si="38"/>
        <v>1.128640083467121E-3</v>
      </c>
      <c r="D35" s="130"/>
      <c r="E35" s="143"/>
      <c r="F35" s="141" t="s">
        <v>125</v>
      </c>
      <c r="G35" s="159">
        <v>0.14069999999999999</v>
      </c>
      <c r="H35" s="141">
        <f t="shared" si="39"/>
        <v>4.9670845231984879E-4</v>
      </c>
      <c r="I35" s="130"/>
      <c r="J35" s="143"/>
      <c r="K35" s="141" t="s">
        <v>126</v>
      </c>
      <c r="L35" s="159">
        <v>0.53549999999999998</v>
      </c>
      <c r="M35" s="141">
        <f t="shared" si="40"/>
        <v>4.8221451157388871E-3</v>
      </c>
      <c r="P35" s="169"/>
      <c r="Q35" s="168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6"/>
      <c r="AD35" s="228"/>
      <c r="AE35" s="228"/>
      <c r="AF35" s="229"/>
      <c r="AG35" s="229"/>
      <c r="AH35" s="229"/>
      <c r="AI35" s="229"/>
      <c r="AJ35" s="229"/>
      <c r="AK35" s="229"/>
      <c r="AN35" s="168"/>
      <c r="AR35" s="232" t="s">
        <v>212</v>
      </c>
      <c r="AS35" s="231">
        <f>SUM(AS15:AS19)/5</f>
        <v>25.419999999999998</v>
      </c>
      <c r="AT35" s="231">
        <f>SQRT(SUM(AT15:AT19)/5)</f>
        <v>6.3202531594865725</v>
      </c>
      <c r="AW35" s="232" t="s">
        <v>212</v>
      </c>
      <c r="AX35" s="231">
        <f>SUM(AX12:AX16)/5</f>
        <v>31.6</v>
      </c>
      <c r="AY35" s="231">
        <f>SQRT(SUM(AY12:AY16)/5)</f>
        <v>8.0149859638055521</v>
      </c>
      <c r="BB35" s="232" t="s">
        <v>212</v>
      </c>
      <c r="BC35" s="231">
        <f>SUM(BC18:BC22)/5</f>
        <v>25</v>
      </c>
      <c r="BD35" s="231">
        <f>SQRT(SUM(BD18:BD22)/5)</f>
        <v>6.9570108523704342</v>
      </c>
      <c r="BE35" s="169"/>
    </row>
    <row r="36" spans="1:57" x14ac:dyDescent="0.25">
      <c r="A36" s="176" t="s">
        <v>127</v>
      </c>
      <c r="B36" s="159">
        <v>0.44059999999999999</v>
      </c>
      <c r="C36" s="141">
        <f t="shared" si="38"/>
        <v>2.6107234484671225E-3</v>
      </c>
      <c r="D36" s="130"/>
      <c r="E36" s="143"/>
      <c r="F36" s="141" t="s">
        <v>128</v>
      </c>
      <c r="G36" s="159">
        <v>0.14069999999999999</v>
      </c>
      <c r="H36" s="141">
        <f t="shared" si="39"/>
        <v>4.9670845231984879E-4</v>
      </c>
      <c r="I36" s="130"/>
      <c r="J36" s="143"/>
      <c r="K36" s="142" t="s">
        <v>138</v>
      </c>
      <c r="L36" s="159">
        <v>0.44929999999999998</v>
      </c>
      <c r="M36" s="141">
        <f t="shared" si="40"/>
        <v>2.8084172493888945E-4</v>
      </c>
      <c r="P36" s="169"/>
      <c r="Q36" s="168"/>
      <c r="AN36" s="168"/>
      <c r="AR36" s="232" t="s">
        <v>305</v>
      </c>
      <c r="AS36" s="231">
        <f>SUM(AS20:AS23)/4</f>
        <v>14.125</v>
      </c>
      <c r="AT36" s="231">
        <f>SQRT(SUM(AT20:AT23)/4)</f>
        <v>2.2884219453588539</v>
      </c>
      <c r="AW36" s="232" t="s">
        <v>305</v>
      </c>
      <c r="AX36" s="231">
        <f>SUM(AX17:AX20)/4</f>
        <v>15.375</v>
      </c>
      <c r="AY36" s="231">
        <f>SQRT(SUM(AY17:AY20)/4)</f>
        <v>3.0285103598964294</v>
      </c>
      <c r="BB36" s="232" t="s">
        <v>305</v>
      </c>
      <c r="BC36" s="231">
        <f>SUM(BC23:BC26)/4</f>
        <v>12.225</v>
      </c>
      <c r="BD36" s="231">
        <f>SQRT(SUM(BD23:BD26)/4)</f>
        <v>1.3160072188251857</v>
      </c>
      <c r="BE36" s="169"/>
    </row>
    <row r="37" spans="1:57" ht="15.75" thickBot="1" x14ac:dyDescent="0.3">
      <c r="A37" s="176" t="s">
        <v>130</v>
      </c>
      <c r="B37" s="159">
        <v>0.47170000000000001</v>
      </c>
      <c r="C37" s="141">
        <f t="shared" si="38"/>
        <v>3.9980958266712093E-4</v>
      </c>
      <c r="D37" s="130"/>
      <c r="E37" s="143"/>
      <c r="F37" s="141" t="s">
        <v>131</v>
      </c>
      <c r="G37" s="159">
        <v>0.18260000000000001</v>
      </c>
      <c r="H37" s="141">
        <f t="shared" si="39"/>
        <v>3.8467145571984994E-4</v>
      </c>
      <c r="I37" s="130"/>
      <c r="J37" s="143"/>
      <c r="K37" s="142" t="s">
        <v>141</v>
      </c>
      <c r="L37" s="159">
        <v>0.40350000000000003</v>
      </c>
      <c r="M37" s="141">
        <f t="shared" si="40"/>
        <v>3.913545027738885E-3</v>
      </c>
      <c r="P37" s="169"/>
      <c r="Q37" s="181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68"/>
      <c r="BB37" s="234" t="s">
        <v>351</v>
      </c>
      <c r="BC37" s="231">
        <f>SUM(BC27)/1</f>
        <v>10.4</v>
      </c>
      <c r="BD37" s="231">
        <f>SQRT(SUM(BD27)/1)</f>
        <v>0</v>
      </c>
      <c r="BE37" s="169"/>
    </row>
    <row r="38" spans="1:57" x14ac:dyDescent="0.25">
      <c r="A38" s="176" t="s">
        <v>133</v>
      </c>
      <c r="B38" s="159">
        <v>0.51</v>
      </c>
      <c r="C38" s="141">
        <f t="shared" si="38"/>
        <v>3.350642752671211E-4</v>
      </c>
      <c r="D38" s="130"/>
      <c r="E38" s="143"/>
      <c r="F38" s="141" t="s">
        <v>134</v>
      </c>
      <c r="G38" s="159">
        <v>0.28120000000000001</v>
      </c>
      <c r="H38" s="141">
        <f t="shared" si="39"/>
        <v>1.3974323535319853E-2</v>
      </c>
      <c r="I38" s="130"/>
      <c r="J38" s="130"/>
      <c r="K38" s="142" t="s">
        <v>143</v>
      </c>
      <c r="L38" s="159">
        <v>0.42370000000000002</v>
      </c>
      <c r="M38" s="141">
        <f t="shared" si="40"/>
        <v>1.7942283745388864E-3</v>
      </c>
      <c r="P38" s="169"/>
      <c r="AN38" s="168"/>
      <c r="BE38" s="169"/>
    </row>
    <row r="39" spans="1:57" x14ac:dyDescent="0.25">
      <c r="A39" s="176" t="s">
        <v>136</v>
      </c>
      <c r="B39" s="159">
        <v>0.59619999999999995</v>
      </c>
      <c r="C39" s="141">
        <f t="shared" si="38"/>
        <v>1.0921245071667109E-2</v>
      </c>
      <c r="D39" s="130"/>
      <c r="E39" s="143"/>
      <c r="F39" s="141" t="s">
        <v>137</v>
      </c>
      <c r="G39" s="159">
        <v>0.15509999999999999</v>
      </c>
      <c r="H39" s="141">
        <f t="shared" si="39"/>
        <v>6.2204090719848994E-5</v>
      </c>
      <c r="I39" s="130"/>
      <c r="J39" s="130"/>
      <c r="K39" s="148" t="s">
        <v>129</v>
      </c>
      <c r="L39" s="161">
        <v>0.85540000000000005</v>
      </c>
      <c r="M39" s="148">
        <f>(L39-0.7569)^2</f>
        <v>9.702250000000006E-3</v>
      </c>
      <c r="P39" s="169"/>
      <c r="AN39" s="168"/>
      <c r="BE39" s="169"/>
    </row>
    <row r="40" spans="1:57" x14ac:dyDescent="0.25">
      <c r="A40" s="176" t="s">
        <v>139</v>
      </c>
      <c r="B40" s="159">
        <v>0.48099999999999998</v>
      </c>
      <c r="C40" s="141">
        <f t="shared" si="38"/>
        <v>1.1438813726712149E-4</v>
      </c>
      <c r="D40" s="130"/>
      <c r="E40" s="143"/>
      <c r="F40" s="141" t="s">
        <v>140</v>
      </c>
      <c r="G40" s="159">
        <v>0.2104</v>
      </c>
      <c r="H40" s="141">
        <f t="shared" si="39"/>
        <v>2.2479966465198506E-3</v>
      </c>
      <c r="I40" s="130"/>
      <c r="J40" s="130"/>
      <c r="K40" s="148" t="s">
        <v>132</v>
      </c>
      <c r="L40" s="161">
        <v>0.626</v>
      </c>
      <c r="M40" s="148">
        <f t="shared" ref="M40:M41" si="41">(L40-0.7569)^2</f>
        <v>1.7134810000000004E-2</v>
      </c>
      <c r="P40" s="169"/>
      <c r="AN40" s="168"/>
      <c r="BE40" s="169"/>
    </row>
    <row r="41" spans="1:57" ht="15.75" thickBot="1" x14ac:dyDescent="0.3">
      <c r="A41" s="176" t="s">
        <v>142</v>
      </c>
      <c r="B41" s="159">
        <v>0.49530000000000002</v>
      </c>
      <c r="C41" s="141">
        <f t="shared" si="38"/>
        <v>1.2994301867121085E-5</v>
      </c>
      <c r="D41" s="130"/>
      <c r="E41" s="143"/>
      <c r="F41" s="141" t="s">
        <v>126</v>
      </c>
      <c r="G41" s="159">
        <v>0.2104</v>
      </c>
      <c r="H41" s="141">
        <f t="shared" si="39"/>
        <v>2.2479966465198506E-3</v>
      </c>
      <c r="I41" s="130"/>
      <c r="J41" s="130"/>
      <c r="K41" s="148" t="s">
        <v>135</v>
      </c>
      <c r="L41" s="161">
        <v>0.7893</v>
      </c>
      <c r="M41" s="148">
        <f t="shared" si="41"/>
        <v>1.049759999999999E-3</v>
      </c>
      <c r="P41" s="169"/>
      <c r="AN41" s="181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3"/>
    </row>
    <row r="42" spans="1:57" x14ac:dyDescent="0.25">
      <c r="A42" s="176" t="s">
        <v>144</v>
      </c>
      <c r="B42" s="159">
        <v>0.51</v>
      </c>
      <c r="C42" s="141">
        <f t="shared" si="38"/>
        <v>3.350642752671211E-4</v>
      </c>
      <c r="D42" s="130"/>
      <c r="E42" s="143"/>
      <c r="F42" s="141" t="s">
        <v>136</v>
      </c>
      <c r="G42" s="159">
        <v>0.1701</v>
      </c>
      <c r="H42" s="141">
        <f t="shared" si="39"/>
        <v>5.0595380719849187E-5</v>
      </c>
      <c r="I42" s="130"/>
      <c r="J42" s="130"/>
      <c r="K42" s="143"/>
      <c r="L42" s="130"/>
      <c r="M42" s="225"/>
      <c r="P42" s="169"/>
    </row>
    <row r="43" spans="1:57" ht="15.75" x14ac:dyDescent="0.25">
      <c r="A43" s="179" t="s">
        <v>145</v>
      </c>
      <c r="B43" s="159">
        <v>0.41549999999999998</v>
      </c>
      <c r="C43" s="141">
        <f t="shared" si="38"/>
        <v>5.8057144462671248E-3</v>
      </c>
      <c r="D43" s="130"/>
      <c r="E43" s="143"/>
      <c r="F43" s="141" t="s">
        <v>146</v>
      </c>
      <c r="G43" s="159">
        <v>0.19600000000000001</v>
      </c>
      <c r="H43" s="141">
        <f t="shared" si="39"/>
        <v>1.0898610081198504E-3</v>
      </c>
      <c r="I43" s="130"/>
      <c r="J43" s="130"/>
      <c r="K43" s="143"/>
      <c r="L43" s="130"/>
      <c r="M43" s="225"/>
      <c r="P43" s="169"/>
    </row>
    <row r="44" spans="1:57" x14ac:dyDescent="0.25">
      <c r="A44" s="179" t="s">
        <v>138</v>
      </c>
      <c r="B44" s="159">
        <v>0.43209999999999998</v>
      </c>
      <c r="C44" s="141">
        <f t="shared" si="38"/>
        <v>3.5515925114671235E-3</v>
      </c>
      <c r="D44" s="130"/>
      <c r="E44" s="143"/>
      <c r="F44" s="141" t="s">
        <v>144</v>
      </c>
      <c r="G44" s="159">
        <v>0.1113</v>
      </c>
      <c r="H44" s="141">
        <f t="shared" si="39"/>
        <v>2.671541523919848E-3</v>
      </c>
      <c r="I44" s="130"/>
      <c r="J44" s="130"/>
      <c r="K44" s="143"/>
      <c r="L44" s="130"/>
      <c r="M44" s="225"/>
      <c r="P44" s="169"/>
    </row>
    <row r="45" spans="1:57" x14ac:dyDescent="0.25">
      <c r="A45" s="179" t="s">
        <v>147</v>
      </c>
      <c r="B45" s="159">
        <v>0.39960000000000001</v>
      </c>
      <c r="C45" s="141">
        <f t="shared" si="38"/>
        <v>8.4815330464671195E-3</v>
      </c>
      <c r="D45" s="130"/>
      <c r="E45" s="143"/>
      <c r="F45" s="142" t="s">
        <v>145</v>
      </c>
      <c r="G45" s="159">
        <v>0.12759999999999999</v>
      </c>
      <c r="H45" s="141">
        <f t="shared" si="39"/>
        <v>1.2522367257198487E-3</v>
      </c>
      <c r="I45" s="130"/>
      <c r="J45" s="130"/>
      <c r="K45" s="130"/>
      <c r="L45" s="130"/>
      <c r="M45" s="225"/>
      <c r="P45" s="169"/>
    </row>
    <row r="46" spans="1:57" x14ac:dyDescent="0.25">
      <c r="A46" s="179" t="s">
        <v>148</v>
      </c>
      <c r="B46" s="159">
        <v>0.44929999999999998</v>
      </c>
      <c r="C46" s="141">
        <f t="shared" si="38"/>
        <v>1.7973562898671235E-3</v>
      </c>
      <c r="D46" s="130"/>
      <c r="E46" s="143"/>
      <c r="F46" s="142" t="s">
        <v>138</v>
      </c>
      <c r="G46" s="159">
        <v>0.1366</v>
      </c>
      <c r="H46" s="141">
        <f t="shared" si="39"/>
        <v>6.9627149971984844E-4</v>
      </c>
      <c r="I46" s="130"/>
      <c r="J46" s="130"/>
      <c r="K46" s="130"/>
      <c r="L46" s="130"/>
      <c r="M46" s="225"/>
      <c r="P46" s="169"/>
    </row>
    <row r="47" spans="1:57" x14ac:dyDescent="0.25">
      <c r="A47" s="179" t="s">
        <v>149</v>
      </c>
      <c r="B47" s="159">
        <v>0.41549999999999998</v>
      </c>
      <c r="C47" s="141">
        <f t="shared" si="38"/>
        <v>5.8057144462671248E-3</v>
      </c>
      <c r="D47" s="130"/>
      <c r="E47" s="130"/>
      <c r="F47" s="142" t="s">
        <v>147</v>
      </c>
      <c r="G47" s="159">
        <v>0.1434</v>
      </c>
      <c r="H47" s="141">
        <f t="shared" si="39"/>
        <v>3.8364888451984853E-4</v>
      </c>
      <c r="I47" s="130"/>
      <c r="J47" s="130"/>
      <c r="K47" s="130"/>
      <c r="L47" s="130"/>
      <c r="M47" s="225"/>
      <c r="P47" s="169"/>
    </row>
    <row r="48" spans="1:57" x14ac:dyDescent="0.25">
      <c r="A48" s="180"/>
      <c r="B48" s="130"/>
      <c r="C48" s="130"/>
      <c r="D48" s="130"/>
      <c r="E48" s="130"/>
      <c r="F48" s="142" t="s">
        <v>150</v>
      </c>
      <c r="G48" s="159">
        <v>0.14480000000000001</v>
      </c>
      <c r="H48" s="141">
        <f t="shared" si="39"/>
        <v>3.3076540491984809E-4</v>
      </c>
      <c r="I48" s="130"/>
      <c r="J48" s="130"/>
      <c r="K48" s="130"/>
      <c r="L48" s="130"/>
      <c r="M48" s="130"/>
      <c r="P48" s="169"/>
    </row>
    <row r="49" spans="1:16" x14ac:dyDescent="0.25">
      <c r="A49" s="180"/>
      <c r="B49" s="130"/>
      <c r="C49" s="130"/>
      <c r="D49" s="130"/>
      <c r="E49" s="130"/>
      <c r="F49" s="142" t="s">
        <v>149</v>
      </c>
      <c r="G49" s="159">
        <v>0.15359999999999999</v>
      </c>
      <c r="H49" s="141">
        <f t="shared" si="39"/>
        <v>8.8114961719849025E-5</v>
      </c>
      <c r="I49" s="130"/>
      <c r="J49" s="130"/>
      <c r="K49" s="130"/>
      <c r="L49" s="130"/>
      <c r="M49" s="130"/>
      <c r="P49" s="169"/>
    </row>
    <row r="50" spans="1:16" x14ac:dyDescent="0.25">
      <c r="A50" s="168"/>
      <c r="P50" s="169"/>
    </row>
    <row r="51" spans="1:16" x14ac:dyDescent="0.25">
      <c r="A51" s="168"/>
      <c r="P51" s="169"/>
    </row>
    <row r="52" spans="1:16" x14ac:dyDescent="0.25">
      <c r="A52" s="168"/>
      <c r="P52" s="169"/>
    </row>
    <row r="53" spans="1:16" ht="18.75" x14ac:dyDescent="0.3">
      <c r="A53" s="292" t="s">
        <v>0</v>
      </c>
      <c r="B53" s="293"/>
      <c r="C53" s="293"/>
      <c r="D53" s="227"/>
      <c r="E53" s="227"/>
      <c r="F53" s="293" t="s">
        <v>1</v>
      </c>
      <c r="G53" s="293"/>
      <c r="H53" s="293"/>
      <c r="I53" s="132"/>
      <c r="J53" s="132"/>
      <c r="K53" s="293" t="s">
        <v>2</v>
      </c>
      <c r="L53" s="293"/>
      <c r="M53" s="293"/>
      <c r="P53" s="169"/>
    </row>
    <row r="54" spans="1:16" x14ac:dyDescent="0.25">
      <c r="A54" s="235"/>
      <c r="B54" s="232" t="s">
        <v>348</v>
      </c>
      <c r="C54" s="232" t="s">
        <v>347</v>
      </c>
      <c r="D54" s="227"/>
      <c r="E54" s="227"/>
      <c r="F54" s="231"/>
      <c r="G54" s="232" t="s">
        <v>348</v>
      </c>
      <c r="H54" s="232" t="s">
        <v>347</v>
      </c>
      <c r="I54" s="227"/>
      <c r="J54" s="227"/>
      <c r="K54" s="231"/>
      <c r="L54" s="232" t="s">
        <v>348</v>
      </c>
      <c r="M54" s="232" t="s">
        <v>347</v>
      </c>
      <c r="P54" s="169"/>
    </row>
    <row r="55" spans="1:16" x14ac:dyDescent="0.25">
      <c r="A55" s="236" t="s">
        <v>279</v>
      </c>
      <c r="B55" s="231">
        <f>SUM(B7:B13)/7</f>
        <v>0.43982857142857146</v>
      </c>
      <c r="C55" s="231">
        <f>SQRT(SUM(C7:C13)/7)</f>
        <v>2.079620255759038E-2</v>
      </c>
      <c r="D55" s="227"/>
      <c r="E55" s="227"/>
      <c r="F55" s="232" t="s">
        <v>279</v>
      </c>
      <c r="G55" s="231">
        <f>SUM(G7:G13)/7</f>
        <v>0.10943857142857143</v>
      </c>
      <c r="H55" s="231">
        <f>SQRT(SUM(H7:H13)/7)</f>
        <v>7.8436551766770338E-3</v>
      </c>
      <c r="I55" s="227"/>
      <c r="J55" s="227"/>
      <c r="K55" s="232" t="s">
        <v>279</v>
      </c>
      <c r="L55" s="231">
        <f>SUM(L7:L13)/7</f>
        <v>0.38071428571428573</v>
      </c>
      <c r="M55" s="231">
        <f>SQRT(SUM(M7:M13)/7)</f>
        <v>3.6225698398923874E-2</v>
      </c>
      <c r="P55" s="169"/>
    </row>
    <row r="56" spans="1:16" x14ac:dyDescent="0.25">
      <c r="A56" s="236" t="s">
        <v>280</v>
      </c>
      <c r="B56" s="231">
        <f>SUM(B14:B17)/4</f>
        <v>0.53500000000000003</v>
      </c>
      <c r="C56" s="231">
        <f>SQRT(SUM(C14:C17)/4)</f>
        <v>2.8713672701345595E-2</v>
      </c>
      <c r="D56" s="227"/>
      <c r="E56" s="227"/>
      <c r="F56" s="232" t="s">
        <v>280</v>
      </c>
      <c r="G56" s="231">
        <f>SUM(G14:G17)/4</f>
        <v>0.11207500000000001</v>
      </c>
      <c r="H56" s="231">
        <f>SQRT(SUM(H14:H17)/4)</f>
        <v>7.3676234295734734E-3</v>
      </c>
      <c r="I56" s="227"/>
      <c r="J56" s="227"/>
      <c r="K56" s="232" t="s">
        <v>280</v>
      </c>
      <c r="L56" s="231">
        <f>SUM(L14:L17)/4</f>
        <v>0.42812499999999998</v>
      </c>
      <c r="M56" s="231">
        <f>SQRT(SUM(M14:M17)/4)</f>
        <v>4.3093640772160352E-2</v>
      </c>
      <c r="P56" s="169"/>
    </row>
    <row r="57" spans="1:16" x14ac:dyDescent="0.25">
      <c r="A57" s="236" t="s">
        <v>7</v>
      </c>
      <c r="B57" s="231">
        <f>SUM(B18:B21)/4</f>
        <v>0.54859999999999998</v>
      </c>
      <c r="C57" s="231">
        <f>SQRT(SUM(C18:C21)/4)</f>
        <v>6.8837090292951819E-2</v>
      </c>
      <c r="D57" s="227"/>
      <c r="E57" s="227"/>
      <c r="F57" s="232" t="s">
        <v>7</v>
      </c>
      <c r="G57" s="231">
        <f>SUM(G18:G21)/4</f>
        <v>0.29880000000000001</v>
      </c>
      <c r="H57" s="231">
        <f>SQRT(SUM(H18:H21)/4)</f>
        <v>9.6937067213734088E-2</v>
      </c>
      <c r="I57" s="227"/>
      <c r="J57" s="227"/>
      <c r="K57" s="232" t="s">
        <v>7</v>
      </c>
      <c r="L57" s="231">
        <f>SUM(L18:L21)/4</f>
        <v>0.55342499999999994</v>
      </c>
      <c r="M57" s="231">
        <f>SQRT(SUM(M18:M21)/4)</f>
        <v>8.3836787122360534E-2</v>
      </c>
      <c r="P57" s="169"/>
    </row>
    <row r="58" spans="1:16" x14ac:dyDescent="0.25">
      <c r="A58" s="236" t="s">
        <v>8</v>
      </c>
      <c r="B58" s="231">
        <f>SUM(B22:B26)/5</f>
        <v>0.57403999999999999</v>
      </c>
      <c r="C58" s="231">
        <f>SQRT(SUM(C22:C26)/5)</f>
        <v>5.3463131221431474E-2</v>
      </c>
      <c r="D58" s="227"/>
      <c r="E58" s="227"/>
      <c r="F58" s="232" t="s">
        <v>8</v>
      </c>
      <c r="G58" s="231">
        <f>SUM(G22:G26)/5</f>
        <v>0.25115999999999999</v>
      </c>
      <c r="H58" s="231">
        <f>SQRT(SUM(H22:H26)/5)</f>
        <v>8.7918293886994889E-2</v>
      </c>
      <c r="I58" s="227"/>
      <c r="J58" s="227"/>
      <c r="K58" s="232" t="s">
        <v>8</v>
      </c>
      <c r="L58" s="231">
        <f>SUM(L22:L26)/5</f>
        <v>0.39993999999999996</v>
      </c>
      <c r="M58" s="231">
        <f>SQRT(SUM(M22:M26)/5)</f>
        <v>5.6382713662965878E-2</v>
      </c>
      <c r="P58" s="169"/>
    </row>
    <row r="59" spans="1:16" x14ac:dyDescent="0.25">
      <c r="A59" s="236" t="s">
        <v>214</v>
      </c>
      <c r="B59" s="231">
        <f>SUM(B27:B47)/21</f>
        <v>0.49169523809523802</v>
      </c>
      <c r="C59" s="231">
        <f>SQRT(SUM(C27:C47)/21)</f>
        <v>5.9521444524445521E-2</v>
      </c>
      <c r="D59" s="227"/>
      <c r="E59" s="227"/>
      <c r="F59" s="232" t="s">
        <v>214</v>
      </c>
      <c r="G59" s="231">
        <f>SUM(G27:G49)/23</f>
        <v>0.16298695652173917</v>
      </c>
      <c r="H59" s="231">
        <f>SQRT(SUM(H27:H49)/23)</f>
        <v>3.874783925922811E-2</v>
      </c>
      <c r="I59" s="227"/>
      <c r="J59" s="227"/>
      <c r="K59" s="232" t="s">
        <v>214</v>
      </c>
      <c r="L59" s="231">
        <f>SUM(L27:L38)/12</f>
        <v>0.46605833333333341</v>
      </c>
      <c r="M59" s="231">
        <f>SQRT(SUM(M27:M38)/12)</f>
        <v>8.0149562884369835E-2</v>
      </c>
      <c r="P59" s="169"/>
    </row>
    <row r="60" spans="1:16" x14ac:dyDescent="0.25">
      <c r="A60" s="237"/>
      <c r="B60" s="227"/>
      <c r="C60" s="227"/>
      <c r="D60" s="227"/>
      <c r="E60" s="227"/>
      <c r="F60" s="227"/>
      <c r="G60" s="227"/>
      <c r="H60" s="227"/>
      <c r="I60" s="227"/>
      <c r="J60" s="227"/>
      <c r="K60" s="232" t="s">
        <v>350</v>
      </c>
      <c r="L60" s="231">
        <f>SUM(L39:L41)/3</f>
        <v>0.75690000000000002</v>
      </c>
      <c r="M60" s="231">
        <f>SQRT(SUM(M39:M41)/3)</f>
        <v>9.6413726546932463E-2</v>
      </c>
      <c r="P60" s="169"/>
    </row>
    <row r="61" spans="1:16" x14ac:dyDescent="0.25">
      <c r="A61" s="168"/>
      <c r="P61" s="169"/>
    </row>
    <row r="62" spans="1:16" x14ac:dyDescent="0.25">
      <c r="A62" s="168"/>
      <c r="P62" s="169"/>
    </row>
    <row r="63" spans="1:16" x14ac:dyDescent="0.25">
      <c r="A63" s="168"/>
      <c r="P63" s="169"/>
    </row>
    <row r="64" spans="1:16" ht="15.75" thickBot="1" x14ac:dyDescent="0.3">
      <c r="A64" s="181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3"/>
    </row>
  </sheetData>
  <mergeCells count="29">
    <mergeCell ref="AN1:BE1"/>
    <mergeCell ref="A1:P1"/>
    <mergeCell ref="Q1:AM1"/>
    <mergeCell ref="A5:C5"/>
    <mergeCell ref="K5:M5"/>
    <mergeCell ref="Z5:AD5"/>
    <mergeCell ref="AG5:AK5"/>
    <mergeCell ref="AR5:AT5"/>
    <mergeCell ref="AW5:AY5"/>
    <mergeCell ref="BB5:BD5"/>
    <mergeCell ref="T6:U6"/>
    <mergeCell ref="V6:W6"/>
    <mergeCell ref="S5:W5"/>
    <mergeCell ref="A53:C53"/>
    <mergeCell ref="F5:H5"/>
    <mergeCell ref="F53:H53"/>
    <mergeCell ref="K53:M53"/>
    <mergeCell ref="AR32:AT32"/>
    <mergeCell ref="AW32:AY32"/>
    <mergeCell ref="BB32:BD32"/>
    <mergeCell ref="S27:W27"/>
    <mergeCell ref="Z27:AD27"/>
    <mergeCell ref="AG27:AK27"/>
    <mergeCell ref="T28:U28"/>
    <mergeCell ref="V28:W28"/>
    <mergeCell ref="AA28:AB28"/>
    <mergeCell ref="AC28:AD28"/>
    <mergeCell ref="AH28:AI28"/>
    <mergeCell ref="AJ28:AK2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D7BB-7919-416E-AEE9-9F023999DE5E}">
  <dimension ref="A1:O41"/>
  <sheetViews>
    <sheetView zoomScale="55" zoomScaleNormal="55" workbookViewId="0">
      <selection activeCell="I3" sqref="I3:O3"/>
    </sheetView>
  </sheetViews>
  <sheetFormatPr defaultColWidth="8.85546875" defaultRowHeight="15" x14ac:dyDescent="0.25"/>
  <cols>
    <col min="1" max="1" width="22.7109375" customWidth="1"/>
    <col min="2" max="3" width="29.140625" customWidth="1"/>
    <col min="5" max="5" width="23.28515625" customWidth="1"/>
    <col min="6" max="6" width="46.5703125" customWidth="1"/>
    <col min="7" max="7" width="111.28515625" customWidth="1"/>
    <col min="9" max="9" width="26" customWidth="1"/>
    <col min="10" max="10" width="29.7109375" customWidth="1"/>
    <col min="11" max="11" width="23.42578125" customWidth="1"/>
    <col min="13" max="13" width="19.5703125" customWidth="1"/>
    <col min="14" max="14" width="54.140625" customWidth="1"/>
    <col min="15" max="15" width="103.42578125" customWidth="1"/>
  </cols>
  <sheetData>
    <row r="1" spans="1:15" x14ac:dyDescent="0.25">
      <c r="A1" s="244"/>
      <c r="B1" s="245"/>
      <c r="C1" s="245"/>
      <c r="D1" s="245"/>
      <c r="E1" s="245"/>
      <c r="F1" s="245"/>
      <c r="G1" s="246"/>
      <c r="H1" s="244"/>
      <c r="I1" s="245"/>
      <c r="J1" s="245"/>
      <c r="K1" s="245"/>
      <c r="L1" s="245"/>
      <c r="M1" s="245"/>
      <c r="N1" s="245"/>
      <c r="O1" s="246"/>
    </row>
    <row r="2" spans="1:15" x14ac:dyDescent="0.25">
      <c r="A2" s="168"/>
      <c r="B2" s="18"/>
      <c r="C2" s="18"/>
      <c r="D2" s="18"/>
      <c r="E2" s="18"/>
      <c r="F2" s="18"/>
      <c r="G2" s="169"/>
      <c r="H2" s="168"/>
      <c r="I2" s="18"/>
      <c r="J2" s="18"/>
      <c r="K2" s="18"/>
      <c r="L2" s="18"/>
      <c r="M2" s="18"/>
      <c r="N2" s="18"/>
      <c r="O2" s="169"/>
    </row>
    <row r="3" spans="1:15" ht="31.5" x14ac:dyDescent="0.5">
      <c r="A3" s="168"/>
      <c r="B3" s="338" t="s">
        <v>367</v>
      </c>
      <c r="C3" s="338"/>
      <c r="D3" s="18"/>
      <c r="E3" s="18"/>
      <c r="F3" s="18"/>
      <c r="G3" s="169"/>
      <c r="H3" s="168"/>
      <c r="I3" s="305" t="s">
        <v>368</v>
      </c>
      <c r="J3" s="305"/>
      <c r="K3" s="305"/>
      <c r="L3" s="305"/>
      <c r="M3" s="305"/>
      <c r="N3" s="305"/>
      <c r="O3" s="339"/>
    </row>
    <row r="4" spans="1:15" x14ac:dyDescent="0.25">
      <c r="A4" s="168"/>
      <c r="B4" s="18"/>
      <c r="C4" s="18"/>
      <c r="D4" s="18"/>
      <c r="E4" s="18"/>
      <c r="F4" s="18"/>
      <c r="G4" s="169"/>
      <c r="H4" s="168"/>
      <c r="I4" s="18"/>
      <c r="J4" s="18"/>
      <c r="K4" s="18"/>
      <c r="L4" s="18"/>
      <c r="M4" s="18"/>
      <c r="N4" s="18"/>
      <c r="O4" s="169"/>
    </row>
    <row r="5" spans="1:15" x14ac:dyDescent="0.25">
      <c r="A5" s="168"/>
      <c r="B5" s="18"/>
      <c r="C5" s="18"/>
      <c r="D5" s="18"/>
      <c r="E5" s="18"/>
      <c r="F5" s="18"/>
      <c r="G5" s="169"/>
      <c r="H5" s="168"/>
      <c r="I5" s="18"/>
      <c r="J5" s="18"/>
      <c r="K5" s="18"/>
      <c r="L5" s="18"/>
      <c r="M5" s="18"/>
      <c r="N5" s="18"/>
      <c r="O5" s="169"/>
    </row>
    <row r="6" spans="1:15" ht="46.5" x14ac:dyDescent="0.25">
      <c r="A6" s="306" t="s">
        <v>2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8"/>
    </row>
    <row r="7" spans="1:15" ht="15.75" x14ac:dyDescent="0.25">
      <c r="A7" s="247" t="s">
        <v>235</v>
      </c>
      <c r="B7" s="309" t="s">
        <v>215</v>
      </c>
      <c r="C7" s="309"/>
      <c r="D7" s="248"/>
      <c r="E7" s="249" t="s">
        <v>235</v>
      </c>
      <c r="F7" s="310" t="s">
        <v>215</v>
      </c>
      <c r="G7" s="311"/>
      <c r="H7" s="250"/>
      <c r="I7" s="249" t="s">
        <v>236</v>
      </c>
      <c r="J7" s="312" t="s">
        <v>215</v>
      </c>
      <c r="K7" s="312"/>
      <c r="L7" s="248"/>
      <c r="M7" s="249" t="s">
        <v>236</v>
      </c>
      <c r="N7" s="313" t="s">
        <v>215</v>
      </c>
      <c r="O7" s="314"/>
    </row>
    <row r="8" spans="1:15" x14ac:dyDescent="0.25">
      <c r="A8" s="250" t="s">
        <v>237</v>
      </c>
      <c r="B8" s="264" t="s">
        <v>238</v>
      </c>
      <c r="C8" s="265" t="s">
        <v>239</v>
      </c>
      <c r="D8" s="248"/>
      <c r="E8" s="248" t="s">
        <v>240</v>
      </c>
      <c r="F8" s="266" t="s">
        <v>238</v>
      </c>
      <c r="G8" s="267" t="s">
        <v>239</v>
      </c>
      <c r="H8" s="250"/>
      <c r="I8" s="248" t="s">
        <v>237</v>
      </c>
      <c r="J8" s="269" t="s">
        <v>238</v>
      </c>
      <c r="K8" s="270" t="s">
        <v>239</v>
      </c>
      <c r="L8" s="248"/>
      <c r="M8" s="248" t="s">
        <v>240</v>
      </c>
      <c r="N8" s="271" t="s">
        <v>238</v>
      </c>
      <c r="O8" s="272" t="s">
        <v>239</v>
      </c>
    </row>
    <row r="9" spans="1:15" x14ac:dyDescent="0.25">
      <c r="A9" s="250" t="s">
        <v>241</v>
      </c>
      <c r="B9" s="264">
        <v>24896574325.75</v>
      </c>
      <c r="C9" s="265">
        <v>4002705859</v>
      </c>
      <c r="D9" s="248"/>
      <c r="E9" s="248" t="s">
        <v>241</v>
      </c>
      <c r="F9" s="266">
        <v>25331303648.75</v>
      </c>
      <c r="G9" s="267">
        <v>4687500169.75</v>
      </c>
      <c r="H9" s="250"/>
      <c r="I9" s="248" t="s">
        <v>242</v>
      </c>
      <c r="J9" s="269">
        <v>20138921533.619999</v>
      </c>
      <c r="K9" s="270">
        <v>3056253408</v>
      </c>
      <c r="L9" s="248"/>
      <c r="M9" s="248" t="s">
        <v>242</v>
      </c>
      <c r="N9" s="271">
        <v>19632808621</v>
      </c>
      <c r="O9" s="272">
        <v>3087534242.75</v>
      </c>
    </row>
    <row r="10" spans="1:15" x14ac:dyDescent="0.25">
      <c r="A10" s="250" t="s">
        <v>243</v>
      </c>
      <c r="B10" s="264">
        <v>21401041486.380001</v>
      </c>
      <c r="C10" s="265">
        <v>3788470341.6199999</v>
      </c>
      <c r="D10" s="248"/>
      <c r="E10" s="248" t="s">
        <v>243</v>
      </c>
      <c r="F10" s="266">
        <v>21563467851</v>
      </c>
      <c r="G10" s="267">
        <v>4318994979.1199999</v>
      </c>
      <c r="H10" s="250"/>
      <c r="I10" s="248" t="s">
        <v>244</v>
      </c>
      <c r="J10" s="269">
        <v>19460099626.380001</v>
      </c>
      <c r="K10" s="270">
        <v>2888836700.25</v>
      </c>
      <c r="L10" s="248"/>
      <c r="M10" s="248" t="s">
        <v>244</v>
      </c>
      <c r="N10" s="271">
        <v>18980683979.380001</v>
      </c>
      <c r="O10" s="272">
        <v>3053577104.75</v>
      </c>
    </row>
    <row r="11" spans="1:15" x14ac:dyDescent="0.25">
      <c r="A11" s="250" t="s">
        <v>245</v>
      </c>
      <c r="B11" s="264">
        <v>18122219012.380001</v>
      </c>
      <c r="C11" s="265">
        <v>3293088552.1199999</v>
      </c>
      <c r="D11" s="248"/>
      <c r="E11" s="248" t="s">
        <v>245</v>
      </c>
      <c r="F11" s="266">
        <v>18306662853.5</v>
      </c>
      <c r="G11" s="267">
        <v>3797970820.25</v>
      </c>
      <c r="H11" s="250"/>
      <c r="I11" s="248" t="s">
        <v>246</v>
      </c>
      <c r="J11" s="269">
        <v>18842305970.119999</v>
      </c>
      <c r="K11" s="270">
        <v>2762607257.25</v>
      </c>
      <c r="L11" s="248"/>
      <c r="M11" s="248" t="s">
        <v>246</v>
      </c>
      <c r="N11" s="271">
        <v>18445425841.380001</v>
      </c>
      <c r="O11" s="272">
        <v>2886220847.6199999</v>
      </c>
    </row>
    <row r="12" spans="1:15" x14ac:dyDescent="0.25">
      <c r="A12" s="250" t="s">
        <v>247</v>
      </c>
      <c r="B12" s="264">
        <v>15202532230</v>
      </c>
      <c r="C12" s="265">
        <v>2808976796.25</v>
      </c>
      <c r="D12" s="248"/>
      <c r="E12" s="248" t="s">
        <v>247</v>
      </c>
      <c r="F12" s="266">
        <v>15358449178.879999</v>
      </c>
      <c r="G12" s="267">
        <v>3221060901.3800001</v>
      </c>
      <c r="H12" s="250"/>
      <c r="I12" s="248" t="s">
        <v>248</v>
      </c>
      <c r="J12" s="269">
        <v>17706266144.619999</v>
      </c>
      <c r="K12" s="270">
        <v>2564462316.75</v>
      </c>
      <c r="L12" s="248"/>
      <c r="M12" s="248" t="s">
        <v>248</v>
      </c>
      <c r="N12" s="271">
        <v>17458811360.880001</v>
      </c>
      <c r="O12" s="272">
        <v>2719259163.3800001</v>
      </c>
    </row>
    <row r="13" spans="1:15" x14ac:dyDescent="0.25">
      <c r="A13" s="250" t="s">
        <v>249</v>
      </c>
      <c r="B13" s="264">
        <v>12122852398.620001</v>
      </c>
      <c r="C13" s="265">
        <v>2221046361.6199999</v>
      </c>
      <c r="D13" s="248"/>
      <c r="E13" s="248" t="s">
        <v>249</v>
      </c>
      <c r="F13" s="266">
        <v>12270304161.379999</v>
      </c>
      <c r="G13" s="267">
        <v>2543185234.8800001</v>
      </c>
      <c r="H13" s="250"/>
      <c r="I13" s="248" t="s">
        <v>250</v>
      </c>
      <c r="J13" s="269">
        <v>16776453954.75</v>
      </c>
      <c r="K13" s="270">
        <v>2364328704.3800001</v>
      </c>
      <c r="L13" s="248"/>
      <c r="M13" s="248" t="s">
        <v>250</v>
      </c>
      <c r="N13" s="271">
        <v>16643316140.120001</v>
      </c>
      <c r="O13" s="272">
        <v>2530602823.5</v>
      </c>
    </row>
    <row r="14" spans="1:15" x14ac:dyDescent="0.25">
      <c r="A14" s="250" t="s">
        <v>251</v>
      </c>
      <c r="B14" s="264">
        <v>8919555445.8799992</v>
      </c>
      <c r="C14" s="265">
        <v>1604788264.4400001</v>
      </c>
      <c r="D14" s="248"/>
      <c r="E14" s="248" t="s">
        <v>251</v>
      </c>
      <c r="F14" s="266">
        <v>9063571908.6200008</v>
      </c>
      <c r="G14" s="267">
        <v>1839446313.8800001</v>
      </c>
      <c r="H14" s="250"/>
      <c r="I14" s="248" t="s">
        <v>252</v>
      </c>
      <c r="J14" s="269">
        <v>15751595773.75</v>
      </c>
      <c r="K14" s="270">
        <v>2120108828.25</v>
      </c>
      <c r="L14" s="248"/>
      <c r="M14" s="248" t="s">
        <v>252</v>
      </c>
      <c r="N14" s="271">
        <v>15688345339.120001</v>
      </c>
      <c r="O14" s="272">
        <v>2282751320.75</v>
      </c>
    </row>
    <row r="15" spans="1:15" x14ac:dyDescent="0.25">
      <c r="A15" s="250" t="s">
        <v>253</v>
      </c>
      <c r="B15" s="264">
        <v>5719238555.3800001</v>
      </c>
      <c r="C15" s="265">
        <v>1003906789.66</v>
      </c>
      <c r="D15" s="248"/>
      <c r="E15" s="248" t="s">
        <v>253</v>
      </c>
      <c r="F15" s="266">
        <v>5831979722.9399996</v>
      </c>
      <c r="G15" s="267">
        <v>1125165551.28</v>
      </c>
      <c r="H15" s="250"/>
      <c r="I15" s="248" t="s">
        <v>254</v>
      </c>
      <c r="J15" s="269">
        <v>14860955458.5</v>
      </c>
      <c r="K15" s="270">
        <v>1989558727.25</v>
      </c>
      <c r="L15" s="248"/>
      <c r="M15" s="248" t="s">
        <v>254</v>
      </c>
      <c r="N15" s="271">
        <v>14875793202.5</v>
      </c>
      <c r="O15" s="272">
        <v>2178479205.25</v>
      </c>
    </row>
    <row r="16" spans="1:15" x14ac:dyDescent="0.25">
      <c r="A16" s="250" t="s">
        <v>255</v>
      </c>
      <c r="B16" s="264">
        <v>3184487327.1599998</v>
      </c>
      <c r="C16" s="265">
        <v>519315483.94</v>
      </c>
      <c r="D16" s="248"/>
      <c r="E16" s="248" t="s">
        <v>255</v>
      </c>
      <c r="F16" s="266">
        <v>3287973280.2800002</v>
      </c>
      <c r="G16" s="267">
        <v>604889205.05999994</v>
      </c>
      <c r="H16" s="250"/>
      <c r="I16" s="248" t="s">
        <v>256</v>
      </c>
      <c r="J16" s="269">
        <v>13909533784</v>
      </c>
      <c r="K16" s="270">
        <v>1738092738</v>
      </c>
      <c r="L16" s="248"/>
      <c r="M16" s="248" t="s">
        <v>256</v>
      </c>
      <c r="N16" s="271">
        <v>14008185289.879999</v>
      </c>
      <c r="O16" s="272">
        <v>1978397474.75</v>
      </c>
    </row>
    <row r="17" spans="1:15" x14ac:dyDescent="0.25">
      <c r="A17" s="250" t="s">
        <v>257</v>
      </c>
      <c r="B17" s="264">
        <v>1565601592.3900001</v>
      </c>
      <c r="C17" s="265">
        <v>245716800.94</v>
      </c>
      <c r="D17" s="248"/>
      <c r="E17" s="248" t="s">
        <v>257</v>
      </c>
      <c r="F17" s="266">
        <v>1638058323.78</v>
      </c>
      <c r="G17" s="267">
        <v>289567190.23000002</v>
      </c>
      <c r="H17" s="250"/>
      <c r="I17" s="248" t="s">
        <v>258</v>
      </c>
      <c r="J17" s="269">
        <v>12788243275.120001</v>
      </c>
      <c r="K17" s="270">
        <v>1527474269</v>
      </c>
      <c r="L17" s="248"/>
      <c r="M17" s="248" t="s">
        <v>258</v>
      </c>
      <c r="N17" s="271">
        <v>12957250377.5</v>
      </c>
      <c r="O17" s="272">
        <v>1771878135.8800001</v>
      </c>
    </row>
    <row r="18" spans="1:15" x14ac:dyDescent="0.25">
      <c r="A18" s="250" t="s">
        <v>259</v>
      </c>
      <c r="B18" s="264">
        <v>674058041.86000001</v>
      </c>
      <c r="C18" s="265">
        <v>88079193.489999995</v>
      </c>
      <c r="D18" s="248"/>
      <c r="E18" s="248" t="s">
        <v>259</v>
      </c>
      <c r="F18" s="266">
        <v>719901819.94000006</v>
      </c>
      <c r="G18" s="267">
        <v>107946458.09999999</v>
      </c>
      <c r="H18" s="250"/>
      <c r="I18" s="248" t="s">
        <v>260</v>
      </c>
      <c r="J18" s="269">
        <v>11610795697.5</v>
      </c>
      <c r="K18" s="270">
        <v>1260604701.3800001</v>
      </c>
      <c r="L18" s="248"/>
      <c r="M18" s="248" t="s">
        <v>260</v>
      </c>
      <c r="N18" s="271">
        <v>11792113461.809999</v>
      </c>
      <c r="O18" s="272">
        <v>1447822209.8800001</v>
      </c>
    </row>
    <row r="19" spans="1:15" x14ac:dyDescent="0.25">
      <c r="A19" s="250"/>
      <c r="B19" s="264"/>
      <c r="C19" s="264"/>
      <c r="D19" s="248"/>
      <c r="E19" s="248"/>
      <c r="F19" s="266"/>
      <c r="G19" s="267"/>
      <c r="H19" s="250"/>
      <c r="I19" s="248" t="s">
        <v>261</v>
      </c>
      <c r="J19" s="269">
        <v>10492855124</v>
      </c>
      <c r="K19" s="270">
        <v>1147844157.4400001</v>
      </c>
      <c r="L19" s="248"/>
      <c r="M19" s="248" t="s">
        <v>261</v>
      </c>
      <c r="N19" s="271">
        <v>10721361015.75</v>
      </c>
      <c r="O19" s="272">
        <v>1322661593.1199999</v>
      </c>
    </row>
    <row r="20" spans="1:15" x14ac:dyDescent="0.25">
      <c r="A20" s="250"/>
      <c r="B20" s="264"/>
      <c r="C20" s="264"/>
      <c r="D20" s="248"/>
      <c r="E20" s="248"/>
      <c r="F20" s="266"/>
      <c r="G20" s="267"/>
      <c r="H20" s="250"/>
      <c r="I20" s="248" t="s">
        <v>262</v>
      </c>
      <c r="J20" s="269">
        <v>9025486196</v>
      </c>
      <c r="K20" s="270">
        <v>838746460.39999998</v>
      </c>
      <c r="L20" s="248"/>
      <c r="M20" s="248" t="s">
        <v>262</v>
      </c>
      <c r="N20" s="271">
        <v>9269578000</v>
      </c>
      <c r="O20" s="272">
        <v>945168964.39999998</v>
      </c>
    </row>
    <row r="21" spans="1:15" x14ac:dyDescent="0.25">
      <c r="A21" s="250"/>
      <c r="B21" s="264"/>
      <c r="C21" s="264"/>
      <c r="D21" s="248"/>
      <c r="E21" s="248"/>
      <c r="F21" s="266"/>
      <c r="G21" s="267"/>
      <c r="H21" s="250"/>
      <c r="I21" s="248" t="s">
        <v>263</v>
      </c>
      <c r="J21" s="269">
        <v>7665303196</v>
      </c>
      <c r="K21" s="270">
        <v>647650649.60000002</v>
      </c>
      <c r="L21" s="248"/>
      <c r="M21" s="248" t="s">
        <v>263</v>
      </c>
      <c r="N21" s="271">
        <v>7967370428</v>
      </c>
      <c r="O21" s="272">
        <v>851499954.39999998</v>
      </c>
    </row>
    <row r="22" spans="1:15" x14ac:dyDescent="0.25">
      <c r="A22" s="250"/>
      <c r="B22" s="264"/>
      <c r="C22" s="264"/>
      <c r="D22" s="248"/>
      <c r="E22" s="248"/>
      <c r="F22" s="266"/>
      <c r="G22" s="267"/>
      <c r="H22" s="250"/>
      <c r="I22" s="248"/>
      <c r="J22" s="269"/>
      <c r="K22" s="270"/>
      <c r="L22" s="248"/>
      <c r="M22" s="248"/>
      <c r="N22" s="271"/>
      <c r="O22" s="272"/>
    </row>
    <row r="23" spans="1:15" x14ac:dyDescent="0.25">
      <c r="A23" s="250"/>
      <c r="B23" s="264"/>
      <c r="C23" s="264"/>
      <c r="D23" s="248"/>
      <c r="E23" s="248"/>
      <c r="F23" s="266"/>
      <c r="G23" s="267"/>
      <c r="H23" s="250"/>
      <c r="I23" s="248"/>
      <c r="J23" s="269"/>
      <c r="K23" s="270"/>
      <c r="L23" s="248"/>
      <c r="M23" s="248"/>
      <c r="N23" s="271"/>
      <c r="O23" s="272"/>
    </row>
    <row r="24" spans="1:15" x14ac:dyDescent="0.25">
      <c r="A24" s="250"/>
      <c r="B24" s="264"/>
      <c r="C24" s="264"/>
      <c r="D24" s="248"/>
      <c r="E24" s="248"/>
      <c r="F24" s="266"/>
      <c r="G24" s="267"/>
      <c r="H24" s="250"/>
      <c r="I24" s="248"/>
      <c r="J24" s="269"/>
      <c r="K24" s="270"/>
      <c r="L24" s="248"/>
      <c r="M24" s="248"/>
      <c r="N24" s="271"/>
      <c r="O24" s="272"/>
    </row>
    <row r="25" spans="1:15" ht="15.75" x14ac:dyDescent="0.25">
      <c r="A25" s="255" t="s">
        <v>235</v>
      </c>
      <c r="B25" s="299" t="s">
        <v>219</v>
      </c>
      <c r="C25" s="299"/>
      <c r="D25" s="248"/>
      <c r="E25" s="106" t="s">
        <v>235</v>
      </c>
      <c r="F25" s="300" t="s">
        <v>219</v>
      </c>
      <c r="G25" s="301"/>
      <c r="H25" s="250"/>
      <c r="I25" s="106" t="s">
        <v>236</v>
      </c>
      <c r="J25" s="302" t="s">
        <v>219</v>
      </c>
      <c r="K25" s="302"/>
      <c r="L25" s="248"/>
      <c r="M25" s="106" t="s">
        <v>236</v>
      </c>
      <c r="N25" s="303" t="s">
        <v>219</v>
      </c>
      <c r="O25" s="304"/>
    </row>
    <row r="26" spans="1:15" x14ac:dyDescent="0.25">
      <c r="A26" s="256" t="s">
        <v>237</v>
      </c>
      <c r="B26" s="108" t="s">
        <v>238</v>
      </c>
      <c r="C26" s="108" t="s">
        <v>239</v>
      </c>
      <c r="D26" s="248"/>
      <c r="E26" s="107" t="s">
        <v>240</v>
      </c>
      <c r="F26" s="109" t="s">
        <v>238</v>
      </c>
      <c r="G26" s="268" t="s">
        <v>239</v>
      </c>
      <c r="H26" s="250"/>
      <c r="I26" s="107" t="s">
        <v>237</v>
      </c>
      <c r="J26" s="110" t="s">
        <v>238</v>
      </c>
      <c r="K26" s="111" t="s">
        <v>239</v>
      </c>
      <c r="L26" s="248"/>
      <c r="M26" s="107" t="s">
        <v>240</v>
      </c>
      <c r="N26" s="112" t="s">
        <v>238</v>
      </c>
      <c r="O26" s="273" t="s">
        <v>239</v>
      </c>
    </row>
    <row r="27" spans="1:15" x14ac:dyDescent="0.25">
      <c r="A27" s="256" t="s">
        <v>241</v>
      </c>
      <c r="B27" s="108">
        <f t="shared" ref="B27:B36" si="0">B9/24896574326</f>
        <v>0.99999999998995848</v>
      </c>
      <c r="C27" s="108">
        <f t="shared" ref="C27:C36" si="1">C9/4002705859</f>
        <v>1</v>
      </c>
      <c r="D27" s="248"/>
      <c r="E27" s="107" t="s">
        <v>241</v>
      </c>
      <c r="F27" s="109">
        <f t="shared" ref="F27:F36" si="2">F9/25331303649</f>
        <v>0.99999999999013078</v>
      </c>
      <c r="G27" s="268">
        <f t="shared" ref="G27:G36" si="3">G9/4687500170</f>
        <v>0.99999999994666666</v>
      </c>
      <c r="H27" s="250"/>
      <c r="I27" s="107" t="s">
        <v>242</v>
      </c>
      <c r="J27" s="110">
        <f t="shared" ref="J27:J39" si="4">J9/20138921533.62</f>
        <v>1</v>
      </c>
      <c r="K27" s="111">
        <f t="shared" ref="K27:K39" si="5">K9/3056253408</f>
        <v>1</v>
      </c>
      <c r="L27" s="248"/>
      <c r="M27" s="107" t="s">
        <v>242</v>
      </c>
      <c r="N27" s="112">
        <f t="shared" ref="N27:N39" si="6">N9/19632808621</f>
        <v>1</v>
      </c>
      <c r="O27" s="273">
        <f t="shared" ref="O27:O39" si="7">O9/3087534242.75</f>
        <v>1</v>
      </c>
    </row>
    <row r="28" spans="1:15" x14ac:dyDescent="0.25">
      <c r="A28" s="256" t="s">
        <v>243</v>
      </c>
      <c r="B28" s="108">
        <f t="shared" si="0"/>
        <v>0.85959783888944341</v>
      </c>
      <c r="C28" s="108">
        <f t="shared" si="1"/>
        <v>0.94647732685670716</v>
      </c>
      <c r="D28" s="248"/>
      <c r="E28" s="107" t="s">
        <v>243</v>
      </c>
      <c r="F28" s="109">
        <f t="shared" si="2"/>
        <v>0.85125772245248255</v>
      </c>
      <c r="G28" s="268">
        <f t="shared" si="3"/>
        <v>0.92138556213001688</v>
      </c>
      <c r="H28" s="250"/>
      <c r="I28" s="107" t="s">
        <v>244</v>
      </c>
      <c r="J28" s="110">
        <f t="shared" si="4"/>
        <v>0.96629303579604453</v>
      </c>
      <c r="K28" s="111">
        <f t="shared" si="5"/>
        <v>0.9452215881995345</v>
      </c>
      <c r="L28" s="248"/>
      <c r="M28" s="107" t="s">
        <v>244</v>
      </c>
      <c r="N28" s="112">
        <f t="shared" si="6"/>
        <v>0.966783935288685</v>
      </c>
      <c r="O28" s="273">
        <f t="shared" si="7"/>
        <v>0.98900185865800949</v>
      </c>
    </row>
    <row r="29" spans="1:15" x14ac:dyDescent="0.25">
      <c r="A29" s="256" t="s">
        <v>245</v>
      </c>
      <c r="B29" s="108">
        <f t="shared" si="0"/>
        <v>0.72790010284485596</v>
      </c>
      <c r="C29" s="108">
        <f t="shared" si="1"/>
        <v>0.82271559992737398</v>
      </c>
      <c r="D29" s="248"/>
      <c r="E29" s="107" t="s">
        <v>245</v>
      </c>
      <c r="F29" s="109">
        <f t="shared" si="2"/>
        <v>0.72268932965961619</v>
      </c>
      <c r="G29" s="268">
        <f t="shared" si="3"/>
        <v>0.81023374560218953</v>
      </c>
      <c r="H29" s="250"/>
      <c r="I29" s="107" t="s">
        <v>246</v>
      </c>
      <c r="J29" s="110">
        <f t="shared" si="4"/>
        <v>0.93561643500445524</v>
      </c>
      <c r="K29" s="111">
        <f t="shared" si="5"/>
        <v>0.9039195670158251</v>
      </c>
      <c r="L29" s="248"/>
      <c r="M29" s="107" t="s">
        <v>246</v>
      </c>
      <c r="N29" s="112">
        <f t="shared" si="6"/>
        <v>0.93952048315950432</v>
      </c>
      <c r="O29" s="273">
        <f t="shared" si="7"/>
        <v>0.93479800406984481</v>
      </c>
    </row>
    <row r="30" spans="1:15" x14ac:dyDescent="0.25">
      <c r="A30" s="256" t="s">
        <v>247</v>
      </c>
      <c r="B30" s="108">
        <f t="shared" si="0"/>
        <v>0.61062747151216246</v>
      </c>
      <c r="C30" s="108">
        <f t="shared" si="1"/>
        <v>0.70176947674885348</v>
      </c>
      <c r="D30" s="248"/>
      <c r="E30" s="107" t="s">
        <v>247</v>
      </c>
      <c r="F30" s="109">
        <f t="shared" si="2"/>
        <v>0.60630314932434604</v>
      </c>
      <c r="G30" s="268">
        <f t="shared" si="3"/>
        <v>0.68715963404007729</v>
      </c>
      <c r="H30" s="250"/>
      <c r="I30" s="107" t="s">
        <v>248</v>
      </c>
      <c r="J30" s="110">
        <f t="shared" si="4"/>
        <v>0.87920627304004761</v>
      </c>
      <c r="K30" s="111">
        <f t="shared" si="5"/>
        <v>0.83908693894207353</v>
      </c>
      <c r="L30" s="248"/>
      <c r="M30" s="107" t="s">
        <v>248</v>
      </c>
      <c r="N30" s="112">
        <f t="shared" si="6"/>
        <v>0.88926712921784357</v>
      </c>
      <c r="O30" s="273">
        <f t="shared" si="7"/>
        <v>0.88072194495177958</v>
      </c>
    </row>
    <row r="31" spans="1:15" x14ac:dyDescent="0.25">
      <c r="A31" s="256" t="s">
        <v>249</v>
      </c>
      <c r="B31" s="108">
        <f t="shared" si="0"/>
        <v>0.4869285324109775</v>
      </c>
      <c r="C31" s="108">
        <f t="shared" si="1"/>
        <v>0.55488622943052979</v>
      </c>
      <c r="D31" s="248"/>
      <c r="E31" s="107" t="s">
        <v>249</v>
      </c>
      <c r="F31" s="109">
        <f t="shared" si="2"/>
        <v>0.48439292076720231</v>
      </c>
      <c r="G31" s="268">
        <f t="shared" si="3"/>
        <v>0.54254616376472586</v>
      </c>
      <c r="H31" s="250"/>
      <c r="I31" s="107" t="s">
        <v>250</v>
      </c>
      <c r="J31" s="110">
        <f t="shared" si="4"/>
        <v>0.83303636328009512</v>
      </c>
      <c r="K31" s="111">
        <f t="shared" si="5"/>
        <v>0.77360362141148742</v>
      </c>
      <c r="L31" s="248"/>
      <c r="M31" s="107" t="s">
        <v>250</v>
      </c>
      <c r="N31" s="112">
        <f t="shared" si="6"/>
        <v>0.84772975998541933</v>
      </c>
      <c r="O31" s="273">
        <f t="shared" si="7"/>
        <v>0.81961935464918012</v>
      </c>
    </row>
    <row r="32" spans="1:15" x14ac:dyDescent="0.25">
      <c r="A32" s="256" t="s">
        <v>251</v>
      </c>
      <c r="B32" s="108">
        <f t="shared" si="0"/>
        <v>0.35826436718103527</v>
      </c>
      <c r="C32" s="108">
        <f t="shared" si="1"/>
        <v>0.40092585390247132</v>
      </c>
      <c r="D32" s="248"/>
      <c r="E32" s="107" t="s">
        <v>251</v>
      </c>
      <c r="F32" s="109">
        <f t="shared" si="2"/>
        <v>0.35780124206034702</v>
      </c>
      <c r="G32" s="268">
        <f t="shared" si="3"/>
        <v>0.39241519939614211</v>
      </c>
      <c r="H32" s="250"/>
      <c r="I32" s="107" t="s">
        <v>252</v>
      </c>
      <c r="J32" s="110">
        <f t="shared" si="4"/>
        <v>0.78214693609358477</v>
      </c>
      <c r="K32" s="111">
        <f t="shared" si="5"/>
        <v>0.69369536658852859</v>
      </c>
      <c r="L32" s="248"/>
      <c r="M32" s="107" t="s">
        <v>252</v>
      </c>
      <c r="N32" s="112">
        <f t="shared" si="6"/>
        <v>0.79908818152177929</v>
      </c>
      <c r="O32" s="273">
        <f t="shared" si="7"/>
        <v>0.73934445459519915</v>
      </c>
    </row>
    <row r="33" spans="1:15" x14ac:dyDescent="0.25">
      <c r="A33" s="256" t="s">
        <v>253</v>
      </c>
      <c r="B33" s="108">
        <f t="shared" si="0"/>
        <v>0.22971989963323117</v>
      </c>
      <c r="C33" s="108">
        <f t="shared" si="1"/>
        <v>0.25080703529656984</v>
      </c>
      <c r="D33" s="248"/>
      <c r="E33" s="107" t="s">
        <v>253</v>
      </c>
      <c r="F33" s="109">
        <f t="shared" si="2"/>
        <v>0.23022817158366926</v>
      </c>
      <c r="G33" s="268">
        <f t="shared" si="3"/>
        <v>0.24003530890111946</v>
      </c>
      <c r="H33" s="250"/>
      <c r="I33" s="107" t="s">
        <v>254</v>
      </c>
      <c r="J33" s="110">
        <f t="shared" si="4"/>
        <v>0.7379221093687196</v>
      </c>
      <c r="K33" s="111">
        <f t="shared" si="5"/>
        <v>0.65097963475219789</v>
      </c>
      <c r="L33" s="248"/>
      <c r="M33" s="107" t="s">
        <v>254</v>
      </c>
      <c r="N33" s="112">
        <f t="shared" si="6"/>
        <v>0.75770071871368849</v>
      </c>
      <c r="O33" s="273">
        <f t="shared" si="7"/>
        <v>0.70557248405111639</v>
      </c>
    </row>
    <row r="34" spans="1:15" x14ac:dyDescent="0.25">
      <c r="A34" s="256" t="s">
        <v>255</v>
      </c>
      <c r="B34" s="108">
        <f t="shared" si="0"/>
        <v>0.12790865463905912</v>
      </c>
      <c r="C34" s="108">
        <f t="shared" si="1"/>
        <v>0.12974110570036768</v>
      </c>
      <c r="D34" s="248"/>
      <c r="E34" s="107" t="s">
        <v>255</v>
      </c>
      <c r="F34" s="109">
        <f t="shared" si="2"/>
        <v>0.12979881832531737</v>
      </c>
      <c r="G34" s="268">
        <f t="shared" si="3"/>
        <v>0.1290430257328396</v>
      </c>
      <c r="H34" s="250"/>
      <c r="I34" s="107" t="s">
        <v>256</v>
      </c>
      <c r="J34" s="110">
        <f t="shared" si="4"/>
        <v>0.69067917866303652</v>
      </c>
      <c r="K34" s="111">
        <f t="shared" si="5"/>
        <v>0.5687004662147439</v>
      </c>
      <c r="L34" s="248"/>
      <c r="M34" s="107" t="s">
        <v>256</v>
      </c>
      <c r="N34" s="112">
        <f t="shared" si="6"/>
        <v>0.71350898184258316</v>
      </c>
      <c r="O34" s="273">
        <f t="shared" si="7"/>
        <v>0.64076940341490241</v>
      </c>
    </row>
    <row r="35" spans="1:15" x14ac:dyDescent="0.25">
      <c r="A35" s="256" t="s">
        <v>257</v>
      </c>
      <c r="B35" s="108">
        <f t="shared" si="0"/>
        <v>6.2884217398335412E-2</v>
      </c>
      <c r="C35" s="108">
        <f t="shared" si="1"/>
        <v>6.1387673637699591E-2</v>
      </c>
      <c r="D35" s="248"/>
      <c r="E35" s="107" t="s">
        <v>257</v>
      </c>
      <c r="F35" s="109">
        <f t="shared" si="2"/>
        <v>6.4665377924387452E-2</v>
      </c>
      <c r="G35" s="268">
        <f t="shared" si="3"/>
        <v>6.1774331675384243E-2</v>
      </c>
      <c r="H35" s="250"/>
      <c r="I35" s="107" t="s">
        <v>258</v>
      </c>
      <c r="J35" s="110">
        <f t="shared" si="4"/>
        <v>0.6350013953712097</v>
      </c>
      <c r="K35" s="111">
        <f t="shared" si="5"/>
        <v>0.49978652457342304</v>
      </c>
      <c r="L35" s="248"/>
      <c r="M35" s="107" t="s">
        <v>258</v>
      </c>
      <c r="N35" s="112">
        <f t="shared" si="6"/>
        <v>0.65997945722551543</v>
      </c>
      <c r="O35" s="273">
        <f t="shared" si="7"/>
        <v>0.57388129056078951</v>
      </c>
    </row>
    <row r="36" spans="1:15" x14ac:dyDescent="0.25">
      <c r="A36" s="256" t="s">
        <v>259</v>
      </c>
      <c r="B36" s="108">
        <f t="shared" si="0"/>
        <v>2.70743289029956E-2</v>
      </c>
      <c r="C36" s="108">
        <f t="shared" si="1"/>
        <v>2.2004912824647303E-2</v>
      </c>
      <c r="D36" s="248"/>
      <c r="E36" s="107" t="s">
        <v>259</v>
      </c>
      <c r="F36" s="109">
        <f t="shared" si="2"/>
        <v>2.841945404449879E-2</v>
      </c>
      <c r="G36" s="268">
        <f t="shared" si="3"/>
        <v>2.3028576892830277E-2</v>
      </c>
      <c r="H36" s="250"/>
      <c r="I36" s="107" t="s">
        <v>260</v>
      </c>
      <c r="J36" s="110">
        <f t="shared" si="4"/>
        <v>0.57653512766892157</v>
      </c>
      <c r="K36" s="111">
        <f t="shared" si="5"/>
        <v>0.41246733601351948</v>
      </c>
      <c r="L36" s="248"/>
      <c r="M36" s="107" t="s">
        <v>260</v>
      </c>
      <c r="N36" s="112">
        <f t="shared" si="6"/>
        <v>0.60063303674221658</v>
      </c>
      <c r="O36" s="273">
        <f t="shared" si="7"/>
        <v>0.46892506966674358</v>
      </c>
    </row>
    <row r="37" spans="1:15" x14ac:dyDescent="0.25">
      <c r="A37" s="250"/>
      <c r="B37" s="264"/>
      <c r="C37" s="264"/>
      <c r="D37" s="248"/>
      <c r="E37" s="248"/>
      <c r="F37" s="266"/>
      <c r="G37" s="267"/>
      <c r="H37" s="250"/>
      <c r="I37" s="107" t="s">
        <v>261</v>
      </c>
      <c r="J37" s="110">
        <f t="shared" si="4"/>
        <v>0.52102368572632773</v>
      </c>
      <c r="K37" s="111">
        <f t="shared" si="5"/>
        <v>0.3755723116530264</v>
      </c>
      <c r="L37" s="248"/>
      <c r="M37" s="107" t="s">
        <v>261</v>
      </c>
      <c r="N37" s="112">
        <f t="shared" si="6"/>
        <v>0.54609410312704942</v>
      </c>
      <c r="O37" s="273">
        <f t="shared" si="7"/>
        <v>0.42838766767552794</v>
      </c>
    </row>
    <row r="38" spans="1:15" x14ac:dyDescent="0.25">
      <c r="A38" s="250"/>
      <c r="B38" s="264"/>
      <c r="C38" s="264"/>
      <c r="D38" s="248"/>
      <c r="E38" s="248"/>
      <c r="F38" s="266"/>
      <c r="G38" s="267"/>
      <c r="H38" s="250"/>
      <c r="I38" s="107" t="s">
        <v>262</v>
      </c>
      <c r="J38" s="110">
        <f t="shared" si="4"/>
        <v>0.44816134672022112</v>
      </c>
      <c r="K38" s="111">
        <f t="shared" si="5"/>
        <v>0.27443616363895434</v>
      </c>
      <c r="L38" s="248"/>
      <c r="M38" s="107" t="s">
        <v>262</v>
      </c>
      <c r="N38" s="112">
        <f t="shared" si="6"/>
        <v>0.47214732129996451</v>
      </c>
      <c r="O38" s="273">
        <f t="shared" si="7"/>
        <v>0.30612420465275825</v>
      </c>
    </row>
    <row r="39" spans="1:15" x14ac:dyDescent="0.25">
      <c r="A39" s="250"/>
      <c r="B39" s="264"/>
      <c r="C39" s="264"/>
      <c r="D39" s="248"/>
      <c r="E39" s="248"/>
      <c r="F39" s="266"/>
      <c r="G39" s="267"/>
      <c r="H39" s="250"/>
      <c r="I39" s="107" t="s">
        <v>263</v>
      </c>
      <c r="J39" s="110">
        <f t="shared" si="4"/>
        <v>0.38062133482190252</v>
      </c>
      <c r="K39" s="111">
        <f t="shared" si="5"/>
        <v>0.21190999669880778</v>
      </c>
      <c r="L39" s="248"/>
      <c r="M39" s="107" t="s">
        <v>263</v>
      </c>
      <c r="N39" s="112">
        <f t="shared" si="6"/>
        <v>0.40581918674018941</v>
      </c>
      <c r="O39" s="273">
        <f t="shared" si="7"/>
        <v>0.27578640023165779</v>
      </c>
    </row>
    <row r="40" spans="1:15" x14ac:dyDescent="0.25">
      <c r="A40" s="168"/>
      <c r="B40" s="18"/>
      <c r="C40" s="18"/>
      <c r="D40" s="18"/>
      <c r="E40" s="18"/>
      <c r="F40" s="18"/>
      <c r="G40" s="169"/>
      <c r="H40" s="168"/>
      <c r="I40" s="18"/>
      <c r="J40" s="18"/>
      <c r="K40" s="18"/>
      <c r="L40" s="18"/>
      <c r="M40" s="18"/>
      <c r="N40" s="18"/>
      <c r="O40" s="169"/>
    </row>
    <row r="41" spans="1:15" ht="15.75" thickBot="1" x14ac:dyDescent="0.3">
      <c r="A41" s="181"/>
      <c r="B41" s="182"/>
      <c r="C41" s="182"/>
      <c r="D41" s="182"/>
      <c r="E41" s="182"/>
      <c r="F41" s="182"/>
      <c r="G41" s="183"/>
      <c r="H41" s="181"/>
      <c r="I41" s="182"/>
      <c r="J41" s="182"/>
      <c r="K41" s="182"/>
      <c r="L41" s="182"/>
      <c r="M41" s="182"/>
      <c r="N41" s="182"/>
      <c r="O41" s="183"/>
    </row>
  </sheetData>
  <mergeCells count="10">
    <mergeCell ref="I3:O3"/>
    <mergeCell ref="B25:C25"/>
    <mergeCell ref="F25:G25"/>
    <mergeCell ref="J25:K25"/>
    <mergeCell ref="N25:O25"/>
    <mergeCell ref="A6:O6"/>
    <mergeCell ref="B7:C7"/>
    <mergeCell ref="F7:G7"/>
    <mergeCell ref="J7:K7"/>
    <mergeCell ref="N7:O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4053-2BBC-4F5F-AB2B-2D7F77228A9C}">
  <dimension ref="A1:AM92"/>
  <sheetViews>
    <sheetView zoomScaleNormal="100" workbookViewId="0"/>
  </sheetViews>
  <sheetFormatPr defaultColWidth="8.85546875" defaultRowHeight="15" x14ac:dyDescent="0.25"/>
  <cols>
    <col min="2" max="2" width="11.42578125" customWidth="1"/>
  </cols>
  <sheetData>
    <row r="1" spans="1:39" s="2" customFormat="1" ht="21" x14ac:dyDescent="0.35">
      <c r="A1" s="340" t="s">
        <v>369</v>
      </c>
    </row>
    <row r="2" spans="1:39" s="2" customFormat="1" x14ac:dyDescent="0.25"/>
    <row r="3" spans="1:39" ht="15.75" x14ac:dyDescent="0.25">
      <c r="A3" s="7" t="s">
        <v>211</v>
      </c>
      <c r="B3" s="23"/>
      <c r="C3" s="54"/>
      <c r="D3" s="7" t="s">
        <v>0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 t="s">
        <v>2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7" t="s">
        <v>1</v>
      </c>
      <c r="AE3" s="23"/>
      <c r="AF3" s="23"/>
      <c r="AG3" s="23"/>
      <c r="AH3" s="23"/>
      <c r="AI3" s="23"/>
      <c r="AJ3" s="23"/>
      <c r="AK3" s="23"/>
      <c r="AL3" s="23"/>
      <c r="AM3" s="23"/>
    </row>
    <row r="4" spans="1:39" x14ac:dyDescent="0.25">
      <c r="A4" s="23"/>
      <c r="B4" s="23"/>
      <c r="C4" s="54"/>
      <c r="D4" s="55" t="s">
        <v>212</v>
      </c>
      <c r="E4" s="55"/>
      <c r="F4" s="55"/>
      <c r="G4" s="56" t="s">
        <v>213</v>
      </c>
      <c r="H4" s="56"/>
      <c r="I4" s="57" t="s">
        <v>9</v>
      </c>
      <c r="J4" s="57"/>
      <c r="K4" s="57"/>
      <c r="L4" s="58" t="s">
        <v>214</v>
      </c>
      <c r="M4" s="58"/>
      <c r="N4" s="23"/>
      <c r="O4" s="23"/>
      <c r="P4" s="23"/>
      <c r="Q4" s="55" t="s">
        <v>212</v>
      </c>
      <c r="R4" s="55"/>
      <c r="S4" s="55"/>
      <c r="T4" s="56" t="s">
        <v>213</v>
      </c>
      <c r="U4" s="56"/>
      <c r="V4" s="57" t="s">
        <v>9</v>
      </c>
      <c r="W4" s="57"/>
      <c r="X4" s="57"/>
      <c r="Y4" s="58" t="s">
        <v>214</v>
      </c>
      <c r="Z4" s="58"/>
      <c r="AA4" s="23"/>
      <c r="AB4" s="23"/>
      <c r="AC4" s="23"/>
      <c r="AD4" s="55" t="s">
        <v>212</v>
      </c>
      <c r="AE4" s="55"/>
      <c r="AF4" s="55"/>
      <c r="AG4" s="56" t="s">
        <v>213</v>
      </c>
      <c r="AH4" s="56"/>
      <c r="AI4" s="57" t="s">
        <v>9</v>
      </c>
      <c r="AJ4" s="57"/>
      <c r="AK4" s="57"/>
      <c r="AL4" s="58" t="s">
        <v>214</v>
      </c>
      <c r="AM4" s="58"/>
    </row>
    <row r="5" spans="1:39" ht="15.75" x14ac:dyDescent="0.25">
      <c r="A5" s="59" t="s">
        <v>215</v>
      </c>
      <c r="B5" s="60"/>
      <c r="C5" s="61" t="s">
        <v>216</v>
      </c>
      <c r="D5" s="55">
        <v>89</v>
      </c>
      <c r="E5" s="55">
        <v>84</v>
      </c>
      <c r="F5" s="55">
        <v>65</v>
      </c>
      <c r="G5" s="56">
        <v>105</v>
      </c>
      <c r="H5" s="56">
        <v>62</v>
      </c>
      <c r="I5" s="57">
        <v>102</v>
      </c>
      <c r="J5" s="57">
        <v>82</v>
      </c>
      <c r="K5" s="57">
        <v>78</v>
      </c>
      <c r="L5" s="58">
        <v>111</v>
      </c>
      <c r="M5" s="58">
        <v>116</v>
      </c>
      <c r="N5" s="60"/>
      <c r="O5" s="60"/>
      <c r="P5" s="60" t="s">
        <v>216</v>
      </c>
      <c r="Q5" s="55">
        <v>89</v>
      </c>
      <c r="R5" s="55">
        <v>84</v>
      </c>
      <c r="S5" s="55">
        <v>65</v>
      </c>
      <c r="T5" s="56">
        <v>105</v>
      </c>
      <c r="U5" s="56">
        <v>62</v>
      </c>
      <c r="V5" s="57">
        <v>102</v>
      </c>
      <c r="W5" s="57">
        <v>82</v>
      </c>
      <c r="X5" s="57">
        <v>78</v>
      </c>
      <c r="Y5" s="58">
        <v>111</v>
      </c>
      <c r="Z5" s="58">
        <v>116</v>
      </c>
      <c r="AA5" s="60"/>
      <c r="AB5" s="60"/>
      <c r="AC5" s="60" t="s">
        <v>216</v>
      </c>
      <c r="AD5" s="55">
        <v>89</v>
      </c>
      <c r="AE5" s="55">
        <v>84</v>
      </c>
      <c r="AF5" s="55">
        <v>65</v>
      </c>
      <c r="AG5" s="56">
        <v>105</v>
      </c>
      <c r="AH5" s="56">
        <v>62</v>
      </c>
      <c r="AI5" s="57">
        <v>102</v>
      </c>
      <c r="AJ5" s="57">
        <v>82</v>
      </c>
      <c r="AK5" s="57">
        <v>78</v>
      </c>
      <c r="AL5" s="58">
        <v>111</v>
      </c>
      <c r="AM5" s="58">
        <v>116</v>
      </c>
    </row>
    <row r="6" spans="1:39" x14ac:dyDescent="0.25">
      <c r="A6" s="60"/>
      <c r="B6" s="60"/>
      <c r="C6" s="62">
        <v>0</v>
      </c>
      <c r="D6" s="63">
        <v>15</v>
      </c>
      <c r="E6" s="63">
        <v>15</v>
      </c>
      <c r="F6" s="63">
        <v>15</v>
      </c>
      <c r="G6" s="63">
        <v>15</v>
      </c>
      <c r="H6" s="63">
        <v>15</v>
      </c>
      <c r="I6" s="63">
        <v>15</v>
      </c>
      <c r="J6" s="63">
        <v>15</v>
      </c>
      <c r="K6" s="63">
        <v>15</v>
      </c>
      <c r="L6" s="63">
        <v>15</v>
      </c>
      <c r="M6" s="63">
        <v>15</v>
      </c>
      <c r="N6" s="63"/>
      <c r="O6" s="63"/>
      <c r="P6" s="63">
        <v>0</v>
      </c>
      <c r="Q6" s="63">
        <v>15</v>
      </c>
      <c r="R6" s="63">
        <v>15</v>
      </c>
      <c r="S6" s="63">
        <v>15</v>
      </c>
      <c r="T6" s="63">
        <v>15</v>
      </c>
      <c r="U6" s="63">
        <v>15</v>
      </c>
      <c r="V6" s="63">
        <v>15</v>
      </c>
      <c r="W6" s="63">
        <v>15</v>
      </c>
      <c r="X6" s="63">
        <v>15</v>
      </c>
      <c r="Y6" s="63">
        <v>15</v>
      </c>
      <c r="Z6" s="63">
        <v>15</v>
      </c>
      <c r="AA6" s="63"/>
      <c r="AB6" s="63"/>
      <c r="AC6" s="63">
        <v>0</v>
      </c>
      <c r="AD6" s="63">
        <v>15</v>
      </c>
      <c r="AE6" s="63">
        <v>15</v>
      </c>
      <c r="AF6" s="63">
        <v>15</v>
      </c>
      <c r="AG6" s="63">
        <v>15</v>
      </c>
      <c r="AH6" s="63">
        <v>15</v>
      </c>
      <c r="AI6" s="63">
        <v>15</v>
      </c>
      <c r="AJ6" s="63">
        <v>15</v>
      </c>
      <c r="AK6" s="63">
        <v>15</v>
      </c>
      <c r="AL6" s="63">
        <v>15</v>
      </c>
      <c r="AM6" s="63">
        <v>15</v>
      </c>
    </row>
    <row r="7" spans="1:39" x14ac:dyDescent="0.25">
      <c r="A7" s="60"/>
      <c r="B7" s="60"/>
      <c r="C7" s="62">
        <v>11.111000000000001</v>
      </c>
      <c r="D7" s="63">
        <v>13.03</v>
      </c>
      <c r="E7" s="63">
        <v>13.17</v>
      </c>
      <c r="F7" s="63">
        <v>12.11</v>
      </c>
      <c r="G7" s="63">
        <v>13.24</v>
      </c>
      <c r="H7" s="63">
        <v>12.89</v>
      </c>
      <c r="I7" s="63">
        <v>13.35</v>
      </c>
      <c r="J7" s="63">
        <v>13.1</v>
      </c>
      <c r="K7" s="63">
        <v>13.11</v>
      </c>
      <c r="L7" s="63">
        <v>12.51</v>
      </c>
      <c r="M7" s="63">
        <v>12.4</v>
      </c>
      <c r="N7" s="63"/>
      <c r="O7" s="63"/>
      <c r="P7" s="63">
        <v>11.111000000000001</v>
      </c>
      <c r="Q7" s="63">
        <v>13.09</v>
      </c>
      <c r="R7" s="63">
        <v>13.11</v>
      </c>
      <c r="S7" s="63">
        <v>12.17</v>
      </c>
      <c r="T7" s="63">
        <v>13.25</v>
      </c>
      <c r="U7" s="63">
        <v>13.12</v>
      </c>
      <c r="V7" s="63">
        <v>13.63</v>
      </c>
      <c r="W7" s="63">
        <v>13.2</v>
      </c>
      <c r="X7" s="63">
        <v>13.25</v>
      </c>
      <c r="Y7" s="63">
        <v>13.02</v>
      </c>
      <c r="Z7" s="63">
        <v>13.37</v>
      </c>
      <c r="AA7" s="63"/>
      <c r="AB7" s="63"/>
      <c r="AC7" s="63">
        <v>11.111000000000001</v>
      </c>
      <c r="AD7" s="63">
        <v>13.19</v>
      </c>
      <c r="AE7" s="63">
        <v>13.13</v>
      </c>
      <c r="AF7" s="63">
        <v>12.14</v>
      </c>
      <c r="AG7" s="63">
        <v>13.28</v>
      </c>
      <c r="AH7" s="63">
        <v>13.08</v>
      </c>
      <c r="AI7" s="63">
        <v>13.62</v>
      </c>
      <c r="AJ7" s="63">
        <v>13.24</v>
      </c>
      <c r="AK7" s="63">
        <v>13.34</v>
      </c>
      <c r="AL7" s="63">
        <v>12.76</v>
      </c>
      <c r="AM7" s="63">
        <v>13.09</v>
      </c>
    </row>
    <row r="8" spans="1:39" x14ac:dyDescent="0.25">
      <c r="A8" s="60"/>
      <c r="B8" s="60"/>
      <c r="C8" s="62">
        <v>22.222000000000001</v>
      </c>
      <c r="D8" s="63">
        <v>10.93</v>
      </c>
      <c r="E8" s="63">
        <v>10.99</v>
      </c>
      <c r="F8" s="63">
        <v>9.2200000000000006</v>
      </c>
      <c r="G8" s="63">
        <v>11.28</v>
      </c>
      <c r="H8" s="63">
        <v>10.65</v>
      </c>
      <c r="I8" s="63">
        <v>11.68</v>
      </c>
      <c r="J8" s="63">
        <v>11.04</v>
      </c>
      <c r="K8" s="63">
        <v>11.22</v>
      </c>
      <c r="L8" s="63">
        <v>10.71</v>
      </c>
      <c r="M8" s="63">
        <v>10.67</v>
      </c>
      <c r="N8" s="63"/>
      <c r="O8" s="63"/>
      <c r="P8" s="63">
        <v>22.222000000000001</v>
      </c>
      <c r="Q8" s="63">
        <v>10.98</v>
      </c>
      <c r="R8" s="63">
        <v>11.06</v>
      </c>
      <c r="S8" s="63">
        <v>9.3529999999999998</v>
      </c>
      <c r="T8" s="63">
        <v>11.3</v>
      </c>
      <c r="U8" s="63">
        <v>11.05</v>
      </c>
      <c r="V8" s="63">
        <v>12.09</v>
      </c>
      <c r="W8" s="63">
        <v>11.41</v>
      </c>
      <c r="X8" s="63">
        <v>11.71</v>
      </c>
      <c r="Y8" s="63">
        <v>11.23</v>
      </c>
      <c r="Z8" s="63">
        <v>11.22</v>
      </c>
      <c r="AA8" s="63"/>
      <c r="AB8" s="63"/>
      <c r="AC8" s="63">
        <v>22.222000000000001</v>
      </c>
      <c r="AD8" s="63">
        <v>11.07</v>
      </c>
      <c r="AE8" s="63">
        <v>11.05</v>
      </c>
      <c r="AF8" s="63">
        <v>9.1549999999999994</v>
      </c>
      <c r="AG8" s="63">
        <v>11.32</v>
      </c>
      <c r="AH8" s="63">
        <v>11.02</v>
      </c>
      <c r="AI8" s="63">
        <v>11.91</v>
      </c>
      <c r="AJ8" s="63">
        <v>11.19</v>
      </c>
      <c r="AK8" s="63">
        <v>11.39</v>
      </c>
      <c r="AL8" s="63">
        <v>10.86</v>
      </c>
      <c r="AM8" s="63">
        <v>10.88</v>
      </c>
    </row>
    <row r="9" spans="1:39" x14ac:dyDescent="0.25">
      <c r="A9" s="60"/>
      <c r="B9" s="60"/>
      <c r="C9" s="62">
        <v>33.332999999999998</v>
      </c>
      <c r="D9" s="63">
        <v>8.7409999999999997</v>
      </c>
      <c r="E9" s="63">
        <v>8.74</v>
      </c>
      <c r="F9" s="63">
        <v>6.4269999999999996</v>
      </c>
      <c r="G9" s="63">
        <v>9.0939999999999994</v>
      </c>
      <c r="H9" s="63">
        <v>8.5079999999999991</v>
      </c>
      <c r="I9" s="63">
        <v>9.5030000000000001</v>
      </c>
      <c r="J9" s="63">
        <v>8.8580000000000005</v>
      </c>
      <c r="K9" s="63">
        <v>8.8759999999999994</v>
      </c>
      <c r="L9" s="63">
        <v>8.3070000000000004</v>
      </c>
      <c r="M9" s="63">
        <v>8.1460000000000008</v>
      </c>
      <c r="N9" s="63"/>
      <c r="O9" s="63"/>
      <c r="P9" s="63">
        <v>33.332999999999998</v>
      </c>
      <c r="Q9" s="63">
        <v>8.7439999999999998</v>
      </c>
      <c r="R9" s="63">
        <v>8.9039999999999999</v>
      </c>
      <c r="S9" s="63">
        <v>6.6360000000000001</v>
      </c>
      <c r="T9" s="63">
        <v>9.1219999999999999</v>
      </c>
      <c r="U9" s="63">
        <v>8.9619999999999997</v>
      </c>
      <c r="V9" s="63">
        <v>10.130000000000001</v>
      </c>
      <c r="W9" s="63">
        <v>9.3420000000000005</v>
      </c>
      <c r="X9" s="63">
        <v>9.6549999999999994</v>
      </c>
      <c r="Y9" s="63">
        <v>9.2040000000000006</v>
      </c>
      <c r="Z9" s="63">
        <v>9.2720000000000002</v>
      </c>
      <c r="AA9" s="63"/>
      <c r="AB9" s="63"/>
      <c r="AC9" s="63">
        <v>33.332999999999998</v>
      </c>
      <c r="AD9" s="63">
        <v>8.8190000000000008</v>
      </c>
      <c r="AE9" s="63">
        <v>8.8010000000000002</v>
      </c>
      <c r="AF9" s="63">
        <v>6.4050000000000002</v>
      </c>
      <c r="AG9" s="63">
        <v>9.1929999999999996</v>
      </c>
      <c r="AH9" s="63">
        <v>9.0129999999999999</v>
      </c>
      <c r="AI9" s="63">
        <v>10.050000000000001</v>
      </c>
      <c r="AJ9" s="63">
        <v>8.9580000000000002</v>
      </c>
      <c r="AK9" s="63">
        <v>9.1880000000000006</v>
      </c>
      <c r="AL9" s="63">
        <v>8.5350000000000001</v>
      </c>
      <c r="AM9" s="63">
        <v>8.641</v>
      </c>
    </row>
    <row r="10" spans="1:39" x14ac:dyDescent="0.25">
      <c r="A10" s="60"/>
      <c r="B10" s="60"/>
      <c r="C10" s="62">
        <v>44.444000000000003</v>
      </c>
      <c r="D10" s="63">
        <v>7.6239999999999997</v>
      </c>
      <c r="E10" s="63">
        <v>7.6959999999999997</v>
      </c>
      <c r="F10" s="63">
        <v>5.14</v>
      </c>
      <c r="G10" s="63">
        <v>8.0429999999999993</v>
      </c>
      <c r="H10" s="63">
        <v>7.3170000000000002</v>
      </c>
      <c r="I10" s="63">
        <v>8.5399999999999991</v>
      </c>
      <c r="J10" s="63">
        <v>7.7990000000000004</v>
      </c>
      <c r="K10" s="63">
        <v>7.9269999999999996</v>
      </c>
      <c r="L10" s="63">
        <v>7.3680000000000003</v>
      </c>
      <c r="M10" s="63">
        <v>7.4080000000000004</v>
      </c>
      <c r="N10" s="63"/>
      <c r="O10" s="63"/>
      <c r="P10" s="63">
        <v>44.444000000000003</v>
      </c>
      <c r="Q10" s="63">
        <v>7.61</v>
      </c>
      <c r="R10" s="63">
        <v>7.8470000000000004</v>
      </c>
      <c r="S10" s="63">
        <v>5.5010000000000003</v>
      </c>
      <c r="T10" s="63">
        <v>8.1340000000000003</v>
      </c>
      <c r="U10" s="63">
        <v>8.093</v>
      </c>
      <c r="V10" s="63">
        <v>9.3109999999999999</v>
      </c>
      <c r="W10" s="63">
        <v>8.2859999999999996</v>
      </c>
      <c r="X10" s="63">
        <v>8.7089999999999996</v>
      </c>
      <c r="Y10" s="63">
        <v>8.3550000000000004</v>
      </c>
      <c r="Z10" s="63">
        <v>8.6150000000000002</v>
      </c>
      <c r="AA10" s="63"/>
      <c r="AB10" s="63"/>
      <c r="AC10" s="63">
        <v>44.444000000000003</v>
      </c>
      <c r="AD10" s="63">
        <v>7.72</v>
      </c>
      <c r="AE10" s="63">
        <v>7.702</v>
      </c>
      <c r="AF10" s="63">
        <v>5.1349999999999998</v>
      </c>
      <c r="AG10" s="63">
        <v>8.0749999999999993</v>
      </c>
      <c r="AH10" s="63">
        <v>7.9059999999999997</v>
      </c>
      <c r="AI10" s="63">
        <v>9.0660000000000007</v>
      </c>
      <c r="AJ10" s="63">
        <v>7.9420000000000002</v>
      </c>
      <c r="AK10" s="63">
        <v>8.109</v>
      </c>
      <c r="AL10" s="63">
        <v>7.52</v>
      </c>
      <c r="AM10" s="63">
        <v>7.9169999999999998</v>
      </c>
    </row>
    <row r="11" spans="1:39" x14ac:dyDescent="0.25">
      <c r="A11" s="60"/>
      <c r="B11" s="60"/>
      <c r="C11" s="62">
        <v>55.555</v>
      </c>
      <c r="D11" s="63">
        <v>6.6150000000000002</v>
      </c>
      <c r="E11" s="63">
        <v>6.8239999999999998</v>
      </c>
      <c r="F11" s="63">
        <v>4.1829999999999998</v>
      </c>
      <c r="G11" s="63">
        <v>7.194</v>
      </c>
      <c r="H11" s="63">
        <v>6.45</v>
      </c>
      <c r="I11" s="63">
        <v>7.5010000000000003</v>
      </c>
      <c r="J11" s="63">
        <v>6.9589999999999996</v>
      </c>
      <c r="K11" s="63">
        <v>7.1070000000000002</v>
      </c>
      <c r="L11" s="63">
        <v>6.8390000000000004</v>
      </c>
      <c r="M11" s="63">
        <v>6.1289999999999996</v>
      </c>
      <c r="N11" s="63"/>
      <c r="O11" s="63"/>
      <c r="P11" s="63">
        <v>55.555</v>
      </c>
      <c r="Q11" s="63">
        <v>6.7169999999999996</v>
      </c>
      <c r="R11" s="63">
        <v>6.8289999999999997</v>
      </c>
      <c r="S11" s="63">
        <v>4.5410000000000004</v>
      </c>
      <c r="T11" s="63">
        <v>7.1989999999999998</v>
      </c>
      <c r="U11" s="63">
        <v>7.28</v>
      </c>
      <c r="V11" s="63">
        <v>8.4710000000000001</v>
      </c>
      <c r="W11" s="63">
        <v>7.5469999999999997</v>
      </c>
      <c r="X11" s="63">
        <v>7.931</v>
      </c>
      <c r="Y11" s="63">
        <v>7.6070000000000002</v>
      </c>
      <c r="Z11" s="63">
        <v>7.8049999999999997</v>
      </c>
      <c r="AA11" s="63"/>
      <c r="AB11" s="63"/>
      <c r="AC11" s="63">
        <v>55.555</v>
      </c>
      <c r="AD11" s="63">
        <v>6.8239999999999998</v>
      </c>
      <c r="AE11" s="63">
        <v>6.79</v>
      </c>
      <c r="AF11" s="63">
        <v>4.1079999999999997</v>
      </c>
      <c r="AG11" s="63">
        <v>7.1529999999999996</v>
      </c>
      <c r="AH11" s="63">
        <v>7.0910000000000002</v>
      </c>
      <c r="AI11" s="63">
        <v>8.0920000000000005</v>
      </c>
      <c r="AJ11" s="63">
        <v>6.8849999999999998</v>
      </c>
      <c r="AK11" s="63">
        <v>7.2489999999999997</v>
      </c>
      <c r="AL11" s="63">
        <v>6.5609999999999999</v>
      </c>
      <c r="AM11" s="63">
        <v>7.1319999999999997</v>
      </c>
    </row>
    <row r="12" spans="1:39" x14ac:dyDescent="0.25">
      <c r="A12" s="60"/>
      <c r="B12" s="60"/>
      <c r="C12" s="62">
        <v>66.665999999999997</v>
      </c>
      <c r="D12" s="63">
        <v>6.742</v>
      </c>
      <c r="E12" s="63">
        <v>6.8040000000000003</v>
      </c>
      <c r="F12" s="63">
        <v>4.04</v>
      </c>
      <c r="G12" s="63">
        <v>7.2220000000000004</v>
      </c>
      <c r="H12" s="63">
        <v>6.3170000000000002</v>
      </c>
      <c r="I12" s="63">
        <v>7.3840000000000003</v>
      </c>
      <c r="J12" s="63">
        <v>6.9619999999999997</v>
      </c>
      <c r="K12" s="63">
        <v>7.1319999999999997</v>
      </c>
      <c r="L12" s="63">
        <v>7.1139999999999999</v>
      </c>
      <c r="M12" s="63">
        <v>7.6340000000000003</v>
      </c>
      <c r="N12" s="63"/>
      <c r="O12" s="63"/>
      <c r="P12" s="63">
        <v>66.665999999999997</v>
      </c>
      <c r="Q12" s="63">
        <v>6.7110000000000003</v>
      </c>
      <c r="R12" s="63">
        <v>6.9139999999999997</v>
      </c>
      <c r="S12" s="63">
        <v>4.4039999999999999</v>
      </c>
      <c r="T12" s="63">
        <v>7.1429999999999998</v>
      </c>
      <c r="U12" s="63">
        <v>7.0780000000000003</v>
      </c>
      <c r="V12" s="63">
        <v>8.3930000000000007</v>
      </c>
      <c r="W12" s="63">
        <v>7.3879999999999999</v>
      </c>
      <c r="X12" s="63">
        <v>7.9649999999999999</v>
      </c>
      <c r="Y12" s="63">
        <v>7.4980000000000002</v>
      </c>
      <c r="Z12" s="63">
        <v>8.1159999999999997</v>
      </c>
      <c r="AA12" s="63"/>
      <c r="AB12" s="63"/>
      <c r="AC12" s="63">
        <v>66.665999999999997</v>
      </c>
      <c r="AD12" s="63">
        <v>6.9329999999999998</v>
      </c>
      <c r="AE12" s="63">
        <v>6.8559999999999999</v>
      </c>
      <c r="AF12" s="63">
        <v>4.0229999999999997</v>
      </c>
      <c r="AG12" s="63">
        <v>7.22</v>
      </c>
      <c r="AH12" s="63">
        <v>6.867</v>
      </c>
      <c r="AI12" s="63">
        <v>7.9329999999999998</v>
      </c>
      <c r="AJ12" s="63">
        <v>6.9329999999999998</v>
      </c>
      <c r="AK12" s="63">
        <v>7.327</v>
      </c>
      <c r="AL12" s="63">
        <v>7.2290000000000001</v>
      </c>
      <c r="AM12" s="63">
        <v>7.3849999999999998</v>
      </c>
    </row>
    <row r="13" spans="1:39" x14ac:dyDescent="0.25">
      <c r="A13" s="60"/>
      <c r="B13" s="60"/>
      <c r="C13" s="62">
        <v>77.777000000000001</v>
      </c>
      <c r="D13" s="63">
        <v>6.8140000000000001</v>
      </c>
      <c r="E13" s="63">
        <v>6.8090000000000002</v>
      </c>
      <c r="F13" s="63">
        <v>3.8660000000000001</v>
      </c>
      <c r="G13" s="63">
        <v>7.077</v>
      </c>
      <c r="H13" s="63">
        <v>6.08</v>
      </c>
      <c r="I13" s="63">
        <v>7.1349999999999998</v>
      </c>
      <c r="J13" s="63">
        <v>6.9619999999999997</v>
      </c>
      <c r="K13" s="63">
        <v>7.2880000000000003</v>
      </c>
      <c r="L13" s="63">
        <v>7.298</v>
      </c>
      <c r="M13" s="63">
        <v>8.2260000000000009</v>
      </c>
      <c r="N13" s="63"/>
      <c r="O13" s="63"/>
      <c r="P13" s="63">
        <v>77.777000000000001</v>
      </c>
      <c r="Q13" s="63">
        <v>6.6479999999999997</v>
      </c>
      <c r="R13" s="63">
        <v>6.9269999999999996</v>
      </c>
      <c r="S13" s="63">
        <v>4.173</v>
      </c>
      <c r="T13" s="63">
        <v>7.0060000000000002</v>
      </c>
      <c r="U13" s="63">
        <v>6.8630000000000004</v>
      </c>
      <c r="V13" s="63">
        <v>8.1080000000000005</v>
      </c>
      <c r="W13" s="63">
        <v>7.4530000000000003</v>
      </c>
      <c r="X13" s="63">
        <v>7.99</v>
      </c>
      <c r="Y13" s="63">
        <v>7.3330000000000002</v>
      </c>
      <c r="Z13" s="63">
        <v>8.0990000000000002</v>
      </c>
      <c r="AA13" s="63"/>
      <c r="AB13" s="63"/>
      <c r="AC13" s="63">
        <v>77.777000000000001</v>
      </c>
      <c r="AD13" s="63">
        <v>6.7119999999999997</v>
      </c>
      <c r="AE13" s="63">
        <v>6.74</v>
      </c>
      <c r="AF13" s="63">
        <v>3.7879999999999998</v>
      </c>
      <c r="AG13" s="63">
        <v>6.9880000000000004</v>
      </c>
      <c r="AH13" s="63">
        <v>6.61</v>
      </c>
      <c r="AI13" s="63">
        <v>7.6310000000000002</v>
      </c>
      <c r="AJ13" s="63">
        <v>6.8490000000000002</v>
      </c>
      <c r="AK13" s="63">
        <v>7.3929999999999998</v>
      </c>
      <c r="AL13" s="63">
        <v>6.9470000000000001</v>
      </c>
      <c r="AM13" s="63">
        <v>7.5049999999999999</v>
      </c>
    </row>
    <row r="14" spans="1:39" x14ac:dyDescent="0.25">
      <c r="A14" s="60"/>
      <c r="B14" s="60"/>
      <c r="C14" s="62">
        <v>88.888000000000005</v>
      </c>
      <c r="D14" s="63">
        <v>7.5069999999999997</v>
      </c>
      <c r="E14" s="63">
        <v>7.5839999999999996</v>
      </c>
      <c r="F14" s="63">
        <v>4.7329999999999997</v>
      </c>
      <c r="G14" s="63">
        <v>7.86</v>
      </c>
      <c r="H14" s="63">
        <v>6.7</v>
      </c>
      <c r="I14" s="63">
        <v>7.6769999999999996</v>
      </c>
      <c r="J14" s="63">
        <v>7.7610000000000001</v>
      </c>
      <c r="K14" s="63">
        <v>8.0350000000000001</v>
      </c>
      <c r="L14" s="63">
        <v>8.0489999999999995</v>
      </c>
      <c r="M14" s="63">
        <v>8.2460000000000004</v>
      </c>
      <c r="N14" s="63"/>
      <c r="O14" s="63"/>
      <c r="P14" s="63">
        <v>88.888000000000005</v>
      </c>
      <c r="Q14" s="63">
        <v>7.3920000000000003</v>
      </c>
      <c r="R14" s="63">
        <v>7.6529999999999996</v>
      </c>
      <c r="S14" s="63">
        <v>5.0819999999999999</v>
      </c>
      <c r="T14" s="63">
        <v>7.798</v>
      </c>
      <c r="U14" s="63">
        <v>7.6</v>
      </c>
      <c r="V14" s="63">
        <v>8.7040000000000006</v>
      </c>
      <c r="W14" s="63">
        <v>8.1039999999999992</v>
      </c>
      <c r="X14" s="63">
        <v>8.5440000000000005</v>
      </c>
      <c r="Y14" s="63">
        <v>7.9139999999999997</v>
      </c>
      <c r="Z14" s="63">
        <v>8.7780000000000005</v>
      </c>
      <c r="AA14" s="63"/>
      <c r="AB14" s="63"/>
      <c r="AC14" s="63">
        <v>88.888000000000005</v>
      </c>
      <c r="AD14" s="63">
        <v>7.601</v>
      </c>
      <c r="AE14" s="63">
        <v>7.5860000000000003</v>
      </c>
      <c r="AF14" s="63">
        <v>4.742</v>
      </c>
      <c r="AG14" s="63">
        <v>7.8570000000000002</v>
      </c>
      <c r="AH14" s="63">
        <v>7.1970000000000001</v>
      </c>
      <c r="AI14" s="63">
        <v>8.2720000000000002</v>
      </c>
      <c r="AJ14" s="63">
        <v>7.7249999999999996</v>
      </c>
      <c r="AK14" s="63">
        <v>8.2840000000000007</v>
      </c>
      <c r="AL14" s="63">
        <v>7.8760000000000003</v>
      </c>
      <c r="AM14" s="63">
        <v>8.5350000000000001</v>
      </c>
    </row>
    <row r="15" spans="1:39" x14ac:dyDescent="0.25">
      <c r="A15" s="60"/>
      <c r="B15" s="60"/>
      <c r="C15" s="62">
        <v>99.998999999999995</v>
      </c>
      <c r="D15" s="63">
        <v>8.9440000000000008</v>
      </c>
      <c r="E15" s="63">
        <v>8.9740000000000002</v>
      </c>
      <c r="F15" s="63">
        <v>6.2220000000000004</v>
      </c>
      <c r="G15" s="63">
        <v>9.17</v>
      </c>
      <c r="H15" s="63">
        <v>7.91</v>
      </c>
      <c r="I15" s="63">
        <v>8.9819999999999993</v>
      </c>
      <c r="J15" s="63">
        <v>8.9269999999999996</v>
      </c>
      <c r="K15" s="63">
        <v>9.2469999999999999</v>
      </c>
      <c r="L15" s="63">
        <v>9.4700000000000006</v>
      </c>
      <c r="M15" s="63">
        <v>8.7850000000000001</v>
      </c>
      <c r="N15" s="63"/>
      <c r="O15" s="63"/>
      <c r="P15" s="63">
        <v>99.998999999999995</v>
      </c>
      <c r="Q15" s="63">
        <v>8.5660000000000007</v>
      </c>
      <c r="R15" s="63">
        <v>8.7720000000000002</v>
      </c>
      <c r="S15" s="63">
        <v>6.4950000000000001</v>
      </c>
      <c r="T15" s="63">
        <v>9</v>
      </c>
      <c r="U15" s="63">
        <v>8.7110000000000003</v>
      </c>
      <c r="V15" s="63">
        <v>9.7609999999999992</v>
      </c>
      <c r="W15" s="63">
        <v>9.1300000000000008</v>
      </c>
      <c r="X15" s="63">
        <v>9.42</v>
      </c>
      <c r="Y15" s="63">
        <v>8.5090000000000003</v>
      </c>
      <c r="Z15" s="63">
        <v>9.4770000000000003</v>
      </c>
      <c r="AA15" s="63"/>
      <c r="AB15" s="63"/>
      <c r="AC15" s="63">
        <v>99.998999999999995</v>
      </c>
      <c r="AD15" s="63">
        <v>9.0449999999999999</v>
      </c>
      <c r="AE15" s="63">
        <v>9</v>
      </c>
      <c r="AF15" s="63">
        <v>6.1550000000000002</v>
      </c>
      <c r="AG15" s="63">
        <v>9.2110000000000003</v>
      </c>
      <c r="AH15" s="63">
        <v>8.4440000000000008</v>
      </c>
      <c r="AI15" s="63">
        <v>9.2929999999999993</v>
      </c>
      <c r="AJ15" s="63">
        <v>9.0139999999999993</v>
      </c>
      <c r="AK15" s="63">
        <v>9.4390000000000001</v>
      </c>
      <c r="AL15" s="63">
        <v>9.0660000000000007</v>
      </c>
      <c r="AM15" s="63">
        <v>9.4749999999999996</v>
      </c>
    </row>
    <row r="16" spans="1:39" x14ac:dyDescent="0.25">
      <c r="A16" s="60"/>
      <c r="B16" s="60"/>
      <c r="C16" s="62">
        <v>111.11</v>
      </c>
      <c r="D16" s="63">
        <v>11</v>
      </c>
      <c r="E16" s="63">
        <v>10.91</v>
      </c>
      <c r="F16" s="63">
        <v>8.6820000000000004</v>
      </c>
      <c r="G16" s="63">
        <v>11.17</v>
      </c>
      <c r="H16" s="63">
        <v>9.9290000000000003</v>
      </c>
      <c r="I16" s="63">
        <v>10.83</v>
      </c>
      <c r="J16" s="63">
        <v>10.97</v>
      </c>
      <c r="K16" s="63">
        <v>10.99</v>
      </c>
      <c r="L16" s="63">
        <v>10.47</v>
      </c>
      <c r="M16" s="63">
        <v>11.17</v>
      </c>
      <c r="N16" s="63"/>
      <c r="O16" s="63"/>
      <c r="P16" s="63">
        <v>111.11</v>
      </c>
      <c r="Q16" s="63">
        <v>10.25</v>
      </c>
      <c r="R16" s="63">
        <v>10.33</v>
      </c>
      <c r="S16" s="63">
        <v>8.7490000000000006</v>
      </c>
      <c r="T16" s="63">
        <v>10.83</v>
      </c>
      <c r="U16" s="63">
        <v>10.4</v>
      </c>
      <c r="V16" s="63">
        <v>10.87</v>
      </c>
      <c r="W16" s="63">
        <v>10.57</v>
      </c>
      <c r="X16" s="63">
        <v>10.64</v>
      </c>
      <c r="Y16" s="63">
        <v>9.0890000000000004</v>
      </c>
      <c r="Z16" s="63">
        <v>9.9209999999999994</v>
      </c>
      <c r="AA16" s="63"/>
      <c r="AB16" s="63"/>
      <c r="AC16" s="63">
        <v>111.11</v>
      </c>
      <c r="AD16" s="63">
        <v>10.96</v>
      </c>
      <c r="AE16" s="63">
        <v>11</v>
      </c>
      <c r="AF16" s="63">
        <v>8.7590000000000003</v>
      </c>
      <c r="AG16" s="63">
        <v>11.22</v>
      </c>
      <c r="AH16" s="63">
        <v>10.37</v>
      </c>
      <c r="AI16" s="63">
        <v>11.24</v>
      </c>
      <c r="AJ16" s="63">
        <v>11.08</v>
      </c>
      <c r="AK16" s="63">
        <v>11.27</v>
      </c>
      <c r="AL16" s="63">
        <v>10.56</v>
      </c>
      <c r="AM16" s="63">
        <v>10.91</v>
      </c>
    </row>
    <row r="17" spans="1:39" x14ac:dyDescent="0.25">
      <c r="A17" s="60"/>
      <c r="B17" s="60"/>
      <c r="C17" s="62">
        <v>122.221</v>
      </c>
      <c r="D17" s="63">
        <v>13.44</v>
      </c>
      <c r="E17" s="63">
        <v>13.29</v>
      </c>
      <c r="F17" s="63">
        <v>12.21</v>
      </c>
      <c r="G17" s="63">
        <v>13.51</v>
      </c>
      <c r="H17" s="63">
        <v>12.81</v>
      </c>
      <c r="I17" s="63">
        <v>12.56</v>
      </c>
      <c r="J17" s="63">
        <v>13.03</v>
      </c>
      <c r="K17" s="63">
        <v>12.79</v>
      </c>
      <c r="L17" s="63">
        <v>12.89</v>
      </c>
      <c r="M17" s="63">
        <v>12.39</v>
      </c>
      <c r="N17" s="63"/>
      <c r="O17" s="63"/>
      <c r="P17" s="63">
        <v>122.221</v>
      </c>
      <c r="Q17" s="63">
        <v>12.97</v>
      </c>
      <c r="R17" s="63">
        <v>12.92</v>
      </c>
      <c r="S17" s="63">
        <v>12.42</v>
      </c>
      <c r="T17" s="63">
        <v>13.32</v>
      </c>
      <c r="U17" s="63">
        <v>13.11</v>
      </c>
      <c r="V17" s="63">
        <v>13</v>
      </c>
      <c r="W17" s="63">
        <v>12.89</v>
      </c>
      <c r="X17" s="63">
        <v>12.3</v>
      </c>
      <c r="Y17" s="63">
        <v>12.16</v>
      </c>
      <c r="Z17" s="63">
        <v>12.34</v>
      </c>
      <c r="AA17" s="63"/>
      <c r="AB17" s="63"/>
      <c r="AC17" s="63">
        <v>122.221</v>
      </c>
      <c r="AD17" s="63">
        <v>13.45</v>
      </c>
      <c r="AE17" s="63">
        <v>13.38</v>
      </c>
      <c r="AF17" s="63">
        <v>12.16</v>
      </c>
      <c r="AG17" s="63">
        <v>13.57</v>
      </c>
      <c r="AH17" s="63">
        <v>13.03</v>
      </c>
      <c r="AI17" s="63">
        <v>12.79</v>
      </c>
      <c r="AJ17" s="63">
        <v>13.19</v>
      </c>
      <c r="AK17" s="63">
        <v>12.91</v>
      </c>
      <c r="AL17" s="63">
        <v>13.02</v>
      </c>
      <c r="AM17" s="63">
        <v>13.21</v>
      </c>
    </row>
    <row r="18" spans="1:39" x14ac:dyDescent="0.25">
      <c r="A18" s="60"/>
      <c r="B18" s="60"/>
      <c r="C18" s="62">
        <v>133.333</v>
      </c>
      <c r="D18" s="63">
        <v>14.34</v>
      </c>
      <c r="E18" s="63">
        <v>14.15</v>
      </c>
      <c r="F18" s="63">
        <v>13.39</v>
      </c>
      <c r="G18" s="63">
        <v>14.38</v>
      </c>
      <c r="H18" s="63">
        <v>13.76</v>
      </c>
      <c r="I18" s="63">
        <v>13.66</v>
      </c>
      <c r="J18" s="63">
        <v>13.86</v>
      </c>
      <c r="K18" s="63">
        <v>13.59</v>
      </c>
      <c r="L18" s="63">
        <v>13.68</v>
      </c>
      <c r="M18" s="63">
        <v>13.86</v>
      </c>
      <c r="N18" s="63"/>
      <c r="O18" s="63"/>
      <c r="P18" s="63">
        <v>133.333</v>
      </c>
      <c r="Q18" s="63">
        <v>13.79</v>
      </c>
      <c r="R18" s="63">
        <v>13.8</v>
      </c>
      <c r="S18" s="63">
        <v>13.51</v>
      </c>
      <c r="T18" s="63">
        <v>14.18</v>
      </c>
      <c r="U18" s="63">
        <v>13.97</v>
      </c>
      <c r="V18" s="63">
        <v>13.67</v>
      </c>
      <c r="W18" s="63">
        <v>13.62</v>
      </c>
      <c r="X18" s="63">
        <v>12.91</v>
      </c>
      <c r="Y18" s="63">
        <v>13.05</v>
      </c>
      <c r="Z18" s="63">
        <v>13.06</v>
      </c>
      <c r="AA18" s="63"/>
      <c r="AB18" s="63"/>
      <c r="AC18" s="63">
        <v>133.333</v>
      </c>
      <c r="AD18" s="63">
        <v>14.36</v>
      </c>
      <c r="AE18" s="63">
        <v>14.22</v>
      </c>
      <c r="AF18" s="63">
        <v>13.32</v>
      </c>
      <c r="AG18" s="63">
        <v>14.43</v>
      </c>
      <c r="AH18" s="63">
        <v>13.86</v>
      </c>
      <c r="AI18" s="63">
        <v>13.83</v>
      </c>
      <c r="AJ18" s="63">
        <v>14.09</v>
      </c>
      <c r="AK18" s="63">
        <v>13.76</v>
      </c>
      <c r="AL18" s="63">
        <v>13.98</v>
      </c>
      <c r="AM18" s="63">
        <v>13.44</v>
      </c>
    </row>
    <row r="19" spans="1:39" x14ac:dyDescent="0.25">
      <c r="A19" s="23"/>
      <c r="B19" s="23"/>
      <c r="C19" s="54"/>
      <c r="D19" s="23"/>
      <c r="E19" s="23"/>
      <c r="F19" s="23"/>
      <c r="G19" s="23"/>
      <c r="H19" s="23"/>
      <c r="I19" s="23"/>
      <c r="J19" s="23" t="s">
        <v>217</v>
      </c>
      <c r="K19" s="23" t="s">
        <v>217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 x14ac:dyDescent="0.25">
      <c r="A20" s="23"/>
      <c r="B20" s="23"/>
      <c r="C20" s="5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 ht="15.75" x14ac:dyDescent="0.25">
      <c r="A21" s="64" t="s">
        <v>218</v>
      </c>
      <c r="B21" s="65"/>
      <c r="C21" s="66">
        <v>0</v>
      </c>
      <c r="D21" s="65">
        <v>155</v>
      </c>
      <c r="E21" s="65">
        <v>161</v>
      </c>
      <c r="F21" s="65">
        <v>262</v>
      </c>
      <c r="G21" s="65">
        <v>373</v>
      </c>
      <c r="H21" s="65">
        <v>213</v>
      </c>
      <c r="I21" s="65">
        <v>98</v>
      </c>
      <c r="J21" s="65">
        <v>140</v>
      </c>
      <c r="K21" s="65">
        <v>146</v>
      </c>
      <c r="L21" s="65"/>
      <c r="M21" s="65"/>
      <c r="N21" s="65"/>
      <c r="O21" s="65"/>
      <c r="P21" s="65">
        <v>0</v>
      </c>
      <c r="Q21" s="65">
        <v>167</v>
      </c>
      <c r="R21" s="65">
        <v>194</v>
      </c>
      <c r="S21" s="65">
        <v>298</v>
      </c>
      <c r="T21" s="65">
        <v>399</v>
      </c>
      <c r="U21" s="65">
        <v>376</v>
      </c>
      <c r="V21" s="65">
        <v>135</v>
      </c>
      <c r="W21" s="65">
        <v>174</v>
      </c>
      <c r="X21" s="65">
        <v>176</v>
      </c>
      <c r="Y21" s="65"/>
      <c r="Z21" s="65"/>
      <c r="AA21" s="65"/>
      <c r="AB21" s="65"/>
      <c r="AC21" s="65">
        <v>0</v>
      </c>
      <c r="AD21" s="65">
        <v>286</v>
      </c>
      <c r="AE21" s="65">
        <v>279</v>
      </c>
      <c r="AF21" s="65">
        <v>459</v>
      </c>
      <c r="AG21" s="65">
        <v>659</v>
      </c>
      <c r="AH21" s="65">
        <v>345</v>
      </c>
      <c r="AI21" s="65">
        <v>197</v>
      </c>
      <c r="AJ21" s="65">
        <v>200</v>
      </c>
      <c r="AK21" s="65">
        <v>215</v>
      </c>
      <c r="AL21" s="65"/>
      <c r="AM21" s="65"/>
    </row>
    <row r="22" spans="1:39" x14ac:dyDescent="0.25">
      <c r="A22" s="65"/>
      <c r="B22" s="65"/>
      <c r="C22" s="66">
        <v>66.665999999999997</v>
      </c>
      <c r="D22" s="65">
        <v>71</v>
      </c>
      <c r="E22" s="65">
        <v>75</v>
      </c>
      <c r="F22" s="65">
        <v>72</v>
      </c>
      <c r="G22" s="65">
        <v>183</v>
      </c>
      <c r="H22" s="65">
        <v>104</v>
      </c>
      <c r="I22" s="65">
        <v>44</v>
      </c>
      <c r="J22" s="65">
        <v>66</v>
      </c>
      <c r="K22" s="65">
        <v>77</v>
      </c>
      <c r="L22" s="65"/>
      <c r="M22" s="65"/>
      <c r="N22" s="65"/>
      <c r="O22" s="65"/>
      <c r="P22" s="65">
        <v>66.665999999999997</v>
      </c>
      <c r="Q22" s="65">
        <v>103</v>
      </c>
      <c r="R22" s="65">
        <v>124</v>
      </c>
      <c r="S22" s="65">
        <v>122</v>
      </c>
      <c r="T22" s="65">
        <v>261</v>
      </c>
      <c r="U22" s="65">
        <v>265</v>
      </c>
      <c r="V22" s="65">
        <v>112</v>
      </c>
      <c r="W22" s="65">
        <v>115</v>
      </c>
      <c r="X22" s="65">
        <v>118</v>
      </c>
      <c r="Y22" s="65"/>
      <c r="Z22" s="65"/>
      <c r="AA22" s="65"/>
      <c r="AB22" s="65"/>
      <c r="AC22" s="65">
        <v>66.665999999999997</v>
      </c>
      <c r="AD22" s="65">
        <v>111</v>
      </c>
      <c r="AE22" s="65">
        <v>108</v>
      </c>
      <c r="AF22" s="65">
        <v>106</v>
      </c>
      <c r="AG22" s="65">
        <v>267</v>
      </c>
      <c r="AH22" s="65">
        <v>137</v>
      </c>
      <c r="AI22" s="65">
        <v>66</v>
      </c>
      <c r="AJ22" s="65">
        <v>77</v>
      </c>
      <c r="AK22" s="65">
        <v>88</v>
      </c>
      <c r="AL22" s="65"/>
      <c r="AM22" s="65"/>
    </row>
    <row r="23" spans="1:39" x14ac:dyDescent="0.25">
      <c r="A23" s="23"/>
      <c r="B23" s="23"/>
      <c r="C23" s="5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x14ac:dyDescent="0.25">
      <c r="A24" s="23"/>
      <c r="B24" s="23"/>
      <c r="C24" s="54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ht="15.75" x14ac:dyDescent="0.25">
      <c r="A25" s="67" t="s">
        <v>219</v>
      </c>
      <c r="B25" s="57"/>
      <c r="C25" s="68">
        <v>0</v>
      </c>
      <c r="D25" s="69">
        <f>D6/15</f>
        <v>1</v>
      </c>
      <c r="E25" s="69">
        <f t="shared" ref="E25:M25" si="0">E6/15</f>
        <v>1</v>
      </c>
      <c r="F25" s="69">
        <f t="shared" si="0"/>
        <v>1</v>
      </c>
      <c r="G25" s="69">
        <f t="shared" si="0"/>
        <v>1</v>
      </c>
      <c r="H25" s="69">
        <f t="shared" si="0"/>
        <v>1</v>
      </c>
      <c r="I25" s="69">
        <f t="shared" si="0"/>
        <v>1</v>
      </c>
      <c r="J25" s="69">
        <f t="shared" si="0"/>
        <v>1</v>
      </c>
      <c r="K25" s="69">
        <f t="shared" si="0"/>
        <v>1</v>
      </c>
      <c r="L25" s="69">
        <f t="shared" si="0"/>
        <v>1</v>
      </c>
      <c r="M25" s="69">
        <f t="shared" si="0"/>
        <v>1</v>
      </c>
      <c r="N25" s="69"/>
      <c r="O25" s="69"/>
      <c r="P25" s="69">
        <v>0</v>
      </c>
      <c r="Q25" s="69">
        <f>Q6/15</f>
        <v>1</v>
      </c>
      <c r="R25" s="69">
        <f t="shared" ref="R25:Z25" si="1">R6/15</f>
        <v>1</v>
      </c>
      <c r="S25" s="69">
        <f t="shared" si="1"/>
        <v>1</v>
      </c>
      <c r="T25" s="69">
        <f t="shared" si="1"/>
        <v>1</v>
      </c>
      <c r="U25" s="69">
        <f t="shared" si="1"/>
        <v>1</v>
      </c>
      <c r="V25" s="69">
        <f t="shared" si="1"/>
        <v>1</v>
      </c>
      <c r="W25" s="69">
        <f t="shared" si="1"/>
        <v>1</v>
      </c>
      <c r="X25" s="69">
        <f t="shared" si="1"/>
        <v>1</v>
      </c>
      <c r="Y25" s="69">
        <f t="shared" si="1"/>
        <v>1</v>
      </c>
      <c r="Z25" s="69">
        <f t="shared" si="1"/>
        <v>1</v>
      </c>
      <c r="AA25" s="69"/>
      <c r="AB25" s="69"/>
      <c r="AC25" s="69">
        <v>0</v>
      </c>
      <c r="AD25" s="69">
        <f>AD6/15</f>
        <v>1</v>
      </c>
      <c r="AE25" s="69">
        <f t="shared" ref="AE25:AM25" si="2">AE6/15</f>
        <v>1</v>
      </c>
      <c r="AF25" s="69">
        <f t="shared" si="2"/>
        <v>1</v>
      </c>
      <c r="AG25" s="69">
        <f t="shared" si="2"/>
        <v>1</v>
      </c>
      <c r="AH25" s="69">
        <f t="shared" si="2"/>
        <v>1</v>
      </c>
      <c r="AI25" s="69">
        <f t="shared" si="2"/>
        <v>1</v>
      </c>
      <c r="AJ25" s="69">
        <f t="shared" si="2"/>
        <v>1</v>
      </c>
      <c r="AK25" s="69">
        <f t="shared" si="2"/>
        <v>1</v>
      </c>
      <c r="AL25" s="69">
        <f t="shared" si="2"/>
        <v>1</v>
      </c>
      <c r="AM25" s="69">
        <f t="shared" si="2"/>
        <v>1</v>
      </c>
    </row>
    <row r="26" spans="1:39" x14ac:dyDescent="0.25">
      <c r="A26" s="57"/>
      <c r="B26" s="57"/>
      <c r="C26" s="68">
        <v>11.111000000000001</v>
      </c>
      <c r="D26" s="69">
        <f t="shared" ref="D26:M37" si="3">D7/15</f>
        <v>0.86866666666666659</v>
      </c>
      <c r="E26" s="69">
        <f t="shared" si="3"/>
        <v>0.878</v>
      </c>
      <c r="F26" s="69">
        <f t="shared" si="3"/>
        <v>0.80733333333333335</v>
      </c>
      <c r="G26" s="69">
        <f t="shared" si="3"/>
        <v>0.88266666666666671</v>
      </c>
      <c r="H26" s="69">
        <f t="shared" si="3"/>
        <v>0.85933333333333339</v>
      </c>
      <c r="I26" s="69">
        <f t="shared" si="3"/>
        <v>0.89</v>
      </c>
      <c r="J26" s="69">
        <f t="shared" si="3"/>
        <v>0.87333333333333329</v>
      </c>
      <c r="K26" s="69">
        <f t="shared" si="3"/>
        <v>0.874</v>
      </c>
      <c r="L26" s="69">
        <f t="shared" si="3"/>
        <v>0.83399999999999996</v>
      </c>
      <c r="M26" s="69">
        <f t="shared" si="3"/>
        <v>0.82666666666666666</v>
      </c>
      <c r="N26" s="69"/>
      <c r="O26" s="69"/>
      <c r="P26" s="69">
        <v>11.111000000000001</v>
      </c>
      <c r="Q26" s="69">
        <f t="shared" ref="Q26:Z37" si="4">Q7/15</f>
        <v>0.8726666666666667</v>
      </c>
      <c r="R26" s="69">
        <f t="shared" si="4"/>
        <v>0.874</v>
      </c>
      <c r="S26" s="69">
        <f t="shared" si="4"/>
        <v>0.81133333333333335</v>
      </c>
      <c r="T26" s="69">
        <f t="shared" si="4"/>
        <v>0.8833333333333333</v>
      </c>
      <c r="U26" s="69">
        <f t="shared" si="4"/>
        <v>0.87466666666666659</v>
      </c>
      <c r="V26" s="69">
        <f t="shared" si="4"/>
        <v>0.90866666666666673</v>
      </c>
      <c r="W26" s="69">
        <f t="shared" si="4"/>
        <v>0.88</v>
      </c>
      <c r="X26" s="69">
        <f t="shared" si="4"/>
        <v>0.8833333333333333</v>
      </c>
      <c r="Y26" s="69">
        <f t="shared" si="4"/>
        <v>0.86799999999999999</v>
      </c>
      <c r="Z26" s="69">
        <f t="shared" si="4"/>
        <v>0.89133333333333331</v>
      </c>
      <c r="AA26" s="69"/>
      <c r="AB26" s="69"/>
      <c r="AC26" s="69">
        <v>11.111000000000001</v>
      </c>
      <c r="AD26" s="69">
        <f t="shared" ref="AD26:AM37" si="5">AD7/15</f>
        <v>0.8793333333333333</v>
      </c>
      <c r="AE26" s="69">
        <f t="shared" si="5"/>
        <v>0.87533333333333341</v>
      </c>
      <c r="AF26" s="69">
        <f t="shared" si="5"/>
        <v>0.80933333333333335</v>
      </c>
      <c r="AG26" s="69">
        <f t="shared" si="5"/>
        <v>0.88533333333333331</v>
      </c>
      <c r="AH26" s="69">
        <f t="shared" si="5"/>
        <v>0.872</v>
      </c>
      <c r="AI26" s="69">
        <f t="shared" si="5"/>
        <v>0.90799999999999992</v>
      </c>
      <c r="AJ26" s="69">
        <f t="shared" si="5"/>
        <v>0.88266666666666671</v>
      </c>
      <c r="AK26" s="69">
        <f t="shared" si="5"/>
        <v>0.88933333333333331</v>
      </c>
      <c r="AL26" s="69">
        <f t="shared" si="5"/>
        <v>0.85066666666666668</v>
      </c>
      <c r="AM26" s="69">
        <f t="shared" si="5"/>
        <v>0.8726666666666667</v>
      </c>
    </row>
    <row r="27" spans="1:39" x14ac:dyDescent="0.25">
      <c r="A27" s="57"/>
      <c r="B27" s="57"/>
      <c r="C27" s="68">
        <v>22.222000000000001</v>
      </c>
      <c r="D27" s="69">
        <f t="shared" si="3"/>
        <v>0.72866666666666668</v>
      </c>
      <c r="E27" s="69">
        <f t="shared" si="3"/>
        <v>0.73266666666666669</v>
      </c>
      <c r="F27" s="69">
        <f t="shared" si="3"/>
        <v>0.61466666666666669</v>
      </c>
      <c r="G27" s="69">
        <f t="shared" si="3"/>
        <v>0.752</v>
      </c>
      <c r="H27" s="69">
        <f t="shared" si="3"/>
        <v>0.71000000000000008</v>
      </c>
      <c r="I27" s="69">
        <f t="shared" si="3"/>
        <v>0.77866666666666662</v>
      </c>
      <c r="J27" s="69">
        <f t="shared" si="3"/>
        <v>0.73599999999999999</v>
      </c>
      <c r="K27" s="69">
        <f t="shared" si="3"/>
        <v>0.748</v>
      </c>
      <c r="L27" s="69">
        <f t="shared" si="3"/>
        <v>0.71400000000000008</v>
      </c>
      <c r="M27" s="69">
        <f t="shared" si="3"/>
        <v>0.71133333333333337</v>
      </c>
      <c r="N27" s="69"/>
      <c r="O27" s="69"/>
      <c r="P27" s="69">
        <v>22.222000000000001</v>
      </c>
      <c r="Q27" s="69">
        <f t="shared" si="4"/>
        <v>0.73199999999999998</v>
      </c>
      <c r="R27" s="69">
        <f t="shared" si="4"/>
        <v>0.7373333333333334</v>
      </c>
      <c r="S27" s="69">
        <f t="shared" si="4"/>
        <v>0.62353333333333327</v>
      </c>
      <c r="T27" s="69">
        <f t="shared" si="4"/>
        <v>0.75333333333333341</v>
      </c>
      <c r="U27" s="69">
        <f t="shared" si="4"/>
        <v>0.73666666666666669</v>
      </c>
      <c r="V27" s="69">
        <f t="shared" si="4"/>
        <v>0.80599999999999994</v>
      </c>
      <c r="W27" s="69">
        <f t="shared" si="4"/>
        <v>0.76066666666666671</v>
      </c>
      <c r="X27" s="69">
        <f t="shared" si="4"/>
        <v>0.78066666666666673</v>
      </c>
      <c r="Y27" s="69">
        <f t="shared" si="4"/>
        <v>0.7486666666666667</v>
      </c>
      <c r="Z27" s="69">
        <f t="shared" si="4"/>
        <v>0.748</v>
      </c>
      <c r="AA27" s="69"/>
      <c r="AB27" s="69"/>
      <c r="AC27" s="69">
        <v>22.222000000000001</v>
      </c>
      <c r="AD27" s="69">
        <f t="shared" si="5"/>
        <v>0.73799999999999999</v>
      </c>
      <c r="AE27" s="69">
        <f t="shared" si="5"/>
        <v>0.73666666666666669</v>
      </c>
      <c r="AF27" s="69">
        <f t="shared" si="5"/>
        <v>0.61033333333333328</v>
      </c>
      <c r="AG27" s="69">
        <f t="shared" si="5"/>
        <v>0.75466666666666671</v>
      </c>
      <c r="AH27" s="69">
        <f t="shared" si="5"/>
        <v>0.73466666666666669</v>
      </c>
      <c r="AI27" s="69">
        <f t="shared" si="5"/>
        <v>0.79400000000000004</v>
      </c>
      <c r="AJ27" s="69">
        <f t="shared" si="5"/>
        <v>0.746</v>
      </c>
      <c r="AK27" s="69">
        <f t="shared" si="5"/>
        <v>0.75933333333333342</v>
      </c>
      <c r="AL27" s="69">
        <f t="shared" si="5"/>
        <v>0.72399999999999998</v>
      </c>
      <c r="AM27" s="69">
        <f t="shared" si="5"/>
        <v>0.72533333333333339</v>
      </c>
    </row>
    <row r="28" spans="1:39" x14ac:dyDescent="0.25">
      <c r="A28" s="57"/>
      <c r="B28" s="57"/>
      <c r="C28" s="68">
        <v>33.332999999999998</v>
      </c>
      <c r="D28" s="69">
        <f t="shared" si="3"/>
        <v>0.58273333333333333</v>
      </c>
      <c r="E28" s="69">
        <f t="shared" si="3"/>
        <v>0.58266666666666667</v>
      </c>
      <c r="F28" s="69">
        <f t="shared" si="3"/>
        <v>0.42846666666666666</v>
      </c>
      <c r="G28" s="69">
        <f t="shared" si="3"/>
        <v>0.60626666666666662</v>
      </c>
      <c r="H28" s="69">
        <f t="shared" si="3"/>
        <v>0.56719999999999993</v>
      </c>
      <c r="I28" s="69">
        <f t="shared" si="3"/>
        <v>0.63353333333333339</v>
      </c>
      <c r="J28" s="69">
        <f t="shared" si="3"/>
        <v>0.59053333333333335</v>
      </c>
      <c r="K28" s="69">
        <f t="shared" si="3"/>
        <v>0.59173333333333333</v>
      </c>
      <c r="L28" s="69">
        <f t="shared" si="3"/>
        <v>0.55380000000000007</v>
      </c>
      <c r="M28" s="69">
        <f t="shared" si="3"/>
        <v>0.5430666666666667</v>
      </c>
      <c r="N28" s="69"/>
      <c r="O28" s="69"/>
      <c r="P28" s="69">
        <v>33.332999999999998</v>
      </c>
      <c r="Q28" s="69">
        <f t="shared" si="4"/>
        <v>0.5829333333333333</v>
      </c>
      <c r="R28" s="69">
        <f t="shared" si="4"/>
        <v>0.59360000000000002</v>
      </c>
      <c r="S28" s="69">
        <f t="shared" si="4"/>
        <v>0.44240000000000002</v>
      </c>
      <c r="T28" s="69">
        <f t="shared" si="4"/>
        <v>0.6081333333333333</v>
      </c>
      <c r="U28" s="69">
        <f t="shared" si="4"/>
        <v>0.5974666666666667</v>
      </c>
      <c r="V28" s="69">
        <f t="shared" si="4"/>
        <v>0.67533333333333334</v>
      </c>
      <c r="W28" s="69">
        <f t="shared" si="4"/>
        <v>0.62280000000000002</v>
      </c>
      <c r="X28" s="69">
        <f t="shared" si="4"/>
        <v>0.64366666666666661</v>
      </c>
      <c r="Y28" s="69">
        <f t="shared" si="4"/>
        <v>0.61360000000000003</v>
      </c>
      <c r="Z28" s="69">
        <f t="shared" si="4"/>
        <v>0.61813333333333331</v>
      </c>
      <c r="AA28" s="69"/>
      <c r="AB28" s="69"/>
      <c r="AC28" s="69">
        <v>33.332999999999998</v>
      </c>
      <c r="AD28" s="69">
        <f t="shared" si="5"/>
        <v>0.58793333333333342</v>
      </c>
      <c r="AE28" s="69">
        <f t="shared" si="5"/>
        <v>0.58673333333333333</v>
      </c>
      <c r="AF28" s="69">
        <f t="shared" si="5"/>
        <v>0.42699999999999999</v>
      </c>
      <c r="AG28" s="69">
        <f t="shared" si="5"/>
        <v>0.61286666666666667</v>
      </c>
      <c r="AH28" s="69">
        <f t="shared" si="5"/>
        <v>0.60086666666666666</v>
      </c>
      <c r="AI28" s="69">
        <f t="shared" si="5"/>
        <v>0.67</v>
      </c>
      <c r="AJ28" s="69">
        <f t="shared" si="5"/>
        <v>0.59720000000000006</v>
      </c>
      <c r="AK28" s="69">
        <f t="shared" si="5"/>
        <v>0.61253333333333337</v>
      </c>
      <c r="AL28" s="69">
        <f t="shared" si="5"/>
        <v>0.56900000000000006</v>
      </c>
      <c r="AM28" s="69">
        <f t="shared" si="5"/>
        <v>0.57606666666666662</v>
      </c>
    </row>
    <row r="29" spans="1:39" x14ac:dyDescent="0.25">
      <c r="A29" s="57"/>
      <c r="B29" s="57"/>
      <c r="C29" s="68">
        <v>44.444000000000003</v>
      </c>
      <c r="D29" s="69">
        <f t="shared" si="3"/>
        <v>0.50826666666666664</v>
      </c>
      <c r="E29" s="69">
        <f t="shared" si="3"/>
        <v>0.51306666666666667</v>
      </c>
      <c r="F29" s="69">
        <f t="shared" si="3"/>
        <v>0.34266666666666662</v>
      </c>
      <c r="G29" s="69">
        <f t="shared" si="3"/>
        <v>0.5361999999999999</v>
      </c>
      <c r="H29" s="69">
        <f t="shared" si="3"/>
        <v>0.48780000000000001</v>
      </c>
      <c r="I29" s="69">
        <f t="shared" si="3"/>
        <v>0.56933333333333325</v>
      </c>
      <c r="J29" s="69">
        <f t="shared" si="3"/>
        <v>0.51993333333333336</v>
      </c>
      <c r="K29" s="69">
        <f t="shared" si="3"/>
        <v>0.52846666666666664</v>
      </c>
      <c r="L29" s="69">
        <f t="shared" si="3"/>
        <v>0.49120000000000003</v>
      </c>
      <c r="M29" s="69">
        <f t="shared" si="3"/>
        <v>0.49386666666666668</v>
      </c>
      <c r="N29" s="69"/>
      <c r="O29" s="69"/>
      <c r="P29" s="69">
        <v>44.444000000000003</v>
      </c>
      <c r="Q29" s="69">
        <f t="shared" si="4"/>
        <v>0.5073333333333333</v>
      </c>
      <c r="R29" s="69">
        <f t="shared" si="4"/>
        <v>0.52313333333333334</v>
      </c>
      <c r="S29" s="69">
        <f t="shared" si="4"/>
        <v>0.36673333333333336</v>
      </c>
      <c r="T29" s="69">
        <f t="shared" si="4"/>
        <v>0.54226666666666667</v>
      </c>
      <c r="U29" s="69">
        <f t="shared" si="4"/>
        <v>0.53953333333333331</v>
      </c>
      <c r="V29" s="69">
        <f t="shared" si="4"/>
        <v>0.62073333333333336</v>
      </c>
      <c r="W29" s="69">
        <f t="shared" si="4"/>
        <v>0.5524</v>
      </c>
      <c r="X29" s="69">
        <f t="shared" si="4"/>
        <v>0.5806</v>
      </c>
      <c r="Y29" s="69">
        <f t="shared" si="4"/>
        <v>0.55700000000000005</v>
      </c>
      <c r="Z29" s="69">
        <f t="shared" si="4"/>
        <v>0.57433333333333336</v>
      </c>
      <c r="AA29" s="69"/>
      <c r="AB29" s="69"/>
      <c r="AC29" s="69">
        <v>44.444000000000003</v>
      </c>
      <c r="AD29" s="69">
        <f t="shared" si="5"/>
        <v>0.51466666666666661</v>
      </c>
      <c r="AE29" s="69">
        <f t="shared" si="5"/>
        <v>0.51346666666666663</v>
      </c>
      <c r="AF29" s="69">
        <f t="shared" si="5"/>
        <v>0.34233333333333332</v>
      </c>
      <c r="AG29" s="69">
        <f t="shared" si="5"/>
        <v>0.53833333333333333</v>
      </c>
      <c r="AH29" s="69">
        <f t="shared" si="5"/>
        <v>0.52706666666666668</v>
      </c>
      <c r="AI29" s="69">
        <f t="shared" si="5"/>
        <v>0.60440000000000005</v>
      </c>
      <c r="AJ29" s="69">
        <f t="shared" si="5"/>
        <v>0.52946666666666664</v>
      </c>
      <c r="AK29" s="69">
        <f t="shared" si="5"/>
        <v>0.54059999999999997</v>
      </c>
      <c r="AL29" s="69">
        <f t="shared" si="5"/>
        <v>0.5013333333333333</v>
      </c>
      <c r="AM29" s="69">
        <f t="shared" si="5"/>
        <v>0.52779999999999994</v>
      </c>
    </row>
    <row r="30" spans="1:39" x14ac:dyDescent="0.25">
      <c r="A30" s="57"/>
      <c r="B30" s="57"/>
      <c r="C30" s="68">
        <v>55.555</v>
      </c>
      <c r="D30" s="69">
        <f t="shared" si="3"/>
        <v>0.441</v>
      </c>
      <c r="E30" s="69">
        <f t="shared" si="3"/>
        <v>0.4549333333333333</v>
      </c>
      <c r="F30" s="69">
        <f t="shared" si="3"/>
        <v>0.27886666666666665</v>
      </c>
      <c r="G30" s="69">
        <f t="shared" si="3"/>
        <v>0.47959999999999997</v>
      </c>
      <c r="H30" s="69">
        <f t="shared" si="3"/>
        <v>0.43</v>
      </c>
      <c r="I30" s="69">
        <f t="shared" si="3"/>
        <v>0.50006666666666666</v>
      </c>
      <c r="J30" s="69">
        <f t="shared" si="3"/>
        <v>0.46393333333333331</v>
      </c>
      <c r="K30" s="69">
        <f t="shared" si="3"/>
        <v>0.4738</v>
      </c>
      <c r="L30" s="69">
        <f t="shared" si="3"/>
        <v>0.45593333333333336</v>
      </c>
      <c r="M30" s="69">
        <f t="shared" si="3"/>
        <v>0.40859999999999996</v>
      </c>
      <c r="N30" s="69"/>
      <c r="O30" s="69"/>
      <c r="P30" s="69">
        <v>55.555</v>
      </c>
      <c r="Q30" s="69">
        <f t="shared" si="4"/>
        <v>0.44779999999999998</v>
      </c>
      <c r="R30" s="69">
        <f t="shared" si="4"/>
        <v>0.45526666666666665</v>
      </c>
      <c r="S30" s="69">
        <f t="shared" si="4"/>
        <v>0.30273333333333335</v>
      </c>
      <c r="T30" s="69">
        <f t="shared" si="4"/>
        <v>0.47993333333333332</v>
      </c>
      <c r="U30" s="69">
        <f t="shared" si="4"/>
        <v>0.48533333333333334</v>
      </c>
      <c r="V30" s="69">
        <f t="shared" si="4"/>
        <v>0.56473333333333331</v>
      </c>
      <c r="W30" s="69">
        <f t="shared" si="4"/>
        <v>0.50313333333333332</v>
      </c>
      <c r="X30" s="69">
        <f t="shared" si="4"/>
        <v>0.52873333333333339</v>
      </c>
      <c r="Y30" s="69">
        <f t="shared" si="4"/>
        <v>0.50713333333333332</v>
      </c>
      <c r="Z30" s="69">
        <f t="shared" si="4"/>
        <v>0.52033333333333331</v>
      </c>
      <c r="AA30" s="69"/>
      <c r="AB30" s="69"/>
      <c r="AC30" s="69">
        <v>55.555</v>
      </c>
      <c r="AD30" s="69">
        <f t="shared" si="5"/>
        <v>0.4549333333333333</v>
      </c>
      <c r="AE30" s="69">
        <f t="shared" si="5"/>
        <v>0.45266666666666666</v>
      </c>
      <c r="AF30" s="69">
        <f t="shared" si="5"/>
        <v>0.27386666666666665</v>
      </c>
      <c r="AG30" s="69">
        <f t="shared" si="5"/>
        <v>0.47686666666666666</v>
      </c>
      <c r="AH30" s="69">
        <f t="shared" si="5"/>
        <v>0.47273333333333334</v>
      </c>
      <c r="AI30" s="69">
        <f t="shared" si="5"/>
        <v>0.53946666666666665</v>
      </c>
      <c r="AJ30" s="69">
        <f t="shared" si="5"/>
        <v>0.45899999999999996</v>
      </c>
      <c r="AK30" s="69">
        <f t="shared" si="5"/>
        <v>0.48326666666666662</v>
      </c>
      <c r="AL30" s="69">
        <f t="shared" si="5"/>
        <v>0.43740000000000001</v>
      </c>
      <c r="AM30" s="69">
        <f t="shared" si="5"/>
        <v>0.47546666666666665</v>
      </c>
    </row>
    <row r="31" spans="1:39" x14ac:dyDescent="0.25">
      <c r="A31" s="70"/>
      <c r="B31" s="70"/>
      <c r="C31" s="71">
        <v>66.665999999999997</v>
      </c>
      <c r="D31" s="72">
        <f t="shared" si="3"/>
        <v>0.44946666666666668</v>
      </c>
      <c r="E31" s="72">
        <f t="shared" si="3"/>
        <v>0.4536</v>
      </c>
      <c r="F31" s="72">
        <f t="shared" si="3"/>
        <v>0.26933333333333331</v>
      </c>
      <c r="G31" s="72">
        <f t="shared" si="3"/>
        <v>0.48146666666666671</v>
      </c>
      <c r="H31" s="72">
        <f t="shared" si="3"/>
        <v>0.42113333333333336</v>
      </c>
      <c r="I31" s="72">
        <f t="shared" si="3"/>
        <v>0.49226666666666669</v>
      </c>
      <c r="J31" s="72">
        <f t="shared" si="3"/>
        <v>0.46413333333333334</v>
      </c>
      <c r="K31" s="72">
        <f t="shared" si="3"/>
        <v>0.47546666666666665</v>
      </c>
      <c r="L31" s="72">
        <f t="shared" si="3"/>
        <v>0.47426666666666667</v>
      </c>
      <c r="M31" s="72">
        <f t="shared" si="3"/>
        <v>0.50893333333333335</v>
      </c>
      <c r="N31" s="72"/>
      <c r="O31" s="72"/>
      <c r="P31" s="72">
        <v>66.665999999999997</v>
      </c>
      <c r="Q31" s="72">
        <f t="shared" si="4"/>
        <v>0.44740000000000002</v>
      </c>
      <c r="R31" s="72">
        <f t="shared" si="4"/>
        <v>0.46093333333333331</v>
      </c>
      <c r="S31" s="72">
        <f t="shared" si="4"/>
        <v>0.29359999999999997</v>
      </c>
      <c r="T31" s="72">
        <f t="shared" si="4"/>
        <v>0.47620000000000001</v>
      </c>
      <c r="U31" s="72">
        <f t="shared" si="4"/>
        <v>0.47186666666666671</v>
      </c>
      <c r="V31" s="72">
        <f t="shared" si="4"/>
        <v>0.55953333333333333</v>
      </c>
      <c r="W31" s="72">
        <f t="shared" si="4"/>
        <v>0.49253333333333332</v>
      </c>
      <c r="X31" s="72">
        <f t="shared" si="4"/>
        <v>0.53100000000000003</v>
      </c>
      <c r="Y31" s="72">
        <f t="shared" si="4"/>
        <v>0.49986666666666668</v>
      </c>
      <c r="Z31" s="72">
        <f t="shared" si="4"/>
        <v>0.5410666666666667</v>
      </c>
      <c r="AA31" s="72"/>
      <c r="AB31" s="72"/>
      <c r="AC31" s="72">
        <v>66.665999999999997</v>
      </c>
      <c r="AD31" s="72">
        <f t="shared" si="5"/>
        <v>0.4622</v>
      </c>
      <c r="AE31" s="72">
        <f t="shared" si="5"/>
        <v>0.45706666666666668</v>
      </c>
      <c r="AF31" s="72">
        <f t="shared" si="5"/>
        <v>0.26819999999999999</v>
      </c>
      <c r="AG31" s="72">
        <f t="shared" si="5"/>
        <v>0.48133333333333334</v>
      </c>
      <c r="AH31" s="72">
        <f t="shared" si="5"/>
        <v>0.45779999999999998</v>
      </c>
      <c r="AI31" s="72">
        <f t="shared" si="5"/>
        <v>0.52886666666666671</v>
      </c>
      <c r="AJ31" s="72">
        <f t="shared" si="5"/>
        <v>0.4622</v>
      </c>
      <c r="AK31" s="72">
        <f t="shared" si="5"/>
        <v>0.48846666666666666</v>
      </c>
      <c r="AL31" s="72">
        <f t="shared" si="5"/>
        <v>0.48193333333333332</v>
      </c>
      <c r="AM31" s="72">
        <f t="shared" si="5"/>
        <v>0.49233333333333335</v>
      </c>
    </row>
    <row r="32" spans="1:39" x14ac:dyDescent="0.25">
      <c r="A32" s="57"/>
      <c r="B32" s="57"/>
      <c r="C32" s="68">
        <v>77.777000000000001</v>
      </c>
      <c r="D32" s="69">
        <f t="shared" si="3"/>
        <v>0.45426666666666665</v>
      </c>
      <c r="E32" s="69">
        <f t="shared" si="3"/>
        <v>0.45393333333333336</v>
      </c>
      <c r="F32" s="69">
        <f t="shared" si="3"/>
        <v>0.25773333333333331</v>
      </c>
      <c r="G32" s="69">
        <f t="shared" si="3"/>
        <v>0.4718</v>
      </c>
      <c r="H32" s="69">
        <f t="shared" si="3"/>
        <v>0.40533333333333332</v>
      </c>
      <c r="I32" s="69">
        <f t="shared" si="3"/>
        <v>0.47566666666666663</v>
      </c>
      <c r="J32" s="69">
        <f t="shared" si="3"/>
        <v>0.46413333333333334</v>
      </c>
      <c r="K32" s="69">
        <f t="shared" si="3"/>
        <v>0.48586666666666667</v>
      </c>
      <c r="L32" s="69">
        <f t="shared" si="3"/>
        <v>0.48653333333333332</v>
      </c>
      <c r="M32" s="69">
        <f t="shared" si="3"/>
        <v>0.54840000000000011</v>
      </c>
      <c r="N32" s="69"/>
      <c r="O32" s="69"/>
      <c r="P32" s="69">
        <v>77.777000000000001</v>
      </c>
      <c r="Q32" s="69">
        <f t="shared" si="4"/>
        <v>0.44319999999999998</v>
      </c>
      <c r="R32" s="69">
        <f t="shared" si="4"/>
        <v>0.46179999999999999</v>
      </c>
      <c r="S32" s="69">
        <f t="shared" si="4"/>
        <v>0.2782</v>
      </c>
      <c r="T32" s="69">
        <f t="shared" si="4"/>
        <v>0.46706666666666669</v>
      </c>
      <c r="U32" s="69">
        <f t="shared" si="4"/>
        <v>0.45753333333333335</v>
      </c>
      <c r="V32" s="69">
        <f t="shared" si="4"/>
        <v>0.54053333333333342</v>
      </c>
      <c r="W32" s="69">
        <f t="shared" si="4"/>
        <v>0.49686666666666668</v>
      </c>
      <c r="X32" s="69">
        <f t="shared" si="4"/>
        <v>0.53266666666666673</v>
      </c>
      <c r="Y32" s="69">
        <f t="shared" si="4"/>
        <v>0.48886666666666667</v>
      </c>
      <c r="Z32" s="69">
        <f t="shared" si="4"/>
        <v>0.53993333333333338</v>
      </c>
      <c r="AA32" s="69"/>
      <c r="AB32" s="69"/>
      <c r="AC32" s="69">
        <v>77.777000000000001</v>
      </c>
      <c r="AD32" s="69">
        <f t="shared" si="5"/>
        <v>0.44746666666666662</v>
      </c>
      <c r="AE32" s="69">
        <f t="shared" si="5"/>
        <v>0.44933333333333336</v>
      </c>
      <c r="AF32" s="69">
        <f t="shared" si="5"/>
        <v>0.25253333333333333</v>
      </c>
      <c r="AG32" s="69">
        <f t="shared" si="5"/>
        <v>0.46586666666666671</v>
      </c>
      <c r="AH32" s="69">
        <f t="shared" si="5"/>
        <v>0.44066666666666671</v>
      </c>
      <c r="AI32" s="69">
        <f t="shared" si="5"/>
        <v>0.50873333333333337</v>
      </c>
      <c r="AJ32" s="69">
        <f t="shared" si="5"/>
        <v>0.45660000000000001</v>
      </c>
      <c r="AK32" s="69">
        <f t="shared" si="5"/>
        <v>0.49286666666666668</v>
      </c>
      <c r="AL32" s="69">
        <f t="shared" si="5"/>
        <v>0.46313333333333334</v>
      </c>
      <c r="AM32" s="69">
        <f t="shared" si="5"/>
        <v>0.5003333333333333</v>
      </c>
    </row>
    <row r="33" spans="1:39" x14ac:dyDescent="0.25">
      <c r="A33" s="57"/>
      <c r="B33" s="57"/>
      <c r="C33" s="68">
        <v>88.888000000000005</v>
      </c>
      <c r="D33" s="69">
        <f t="shared" si="3"/>
        <v>0.50046666666666662</v>
      </c>
      <c r="E33" s="69">
        <f t="shared" si="3"/>
        <v>0.50559999999999994</v>
      </c>
      <c r="F33" s="69">
        <f t="shared" si="3"/>
        <v>0.31553333333333333</v>
      </c>
      <c r="G33" s="69">
        <f t="shared" si="3"/>
        <v>0.52400000000000002</v>
      </c>
      <c r="H33" s="69">
        <f t="shared" si="3"/>
        <v>0.44666666666666666</v>
      </c>
      <c r="I33" s="69">
        <f t="shared" si="3"/>
        <v>0.51179999999999992</v>
      </c>
      <c r="J33" s="69">
        <f t="shared" si="3"/>
        <v>0.51739999999999997</v>
      </c>
      <c r="K33" s="69">
        <f t="shared" si="3"/>
        <v>0.53566666666666662</v>
      </c>
      <c r="L33" s="69">
        <f t="shared" si="3"/>
        <v>0.53659999999999997</v>
      </c>
      <c r="M33" s="69">
        <f t="shared" si="3"/>
        <v>0.54973333333333341</v>
      </c>
      <c r="N33" s="69"/>
      <c r="O33" s="69"/>
      <c r="P33" s="69">
        <v>88.888000000000005</v>
      </c>
      <c r="Q33" s="69">
        <f t="shared" si="4"/>
        <v>0.49280000000000002</v>
      </c>
      <c r="R33" s="69">
        <f t="shared" si="4"/>
        <v>0.51019999999999999</v>
      </c>
      <c r="S33" s="69">
        <f t="shared" si="4"/>
        <v>0.33879999999999999</v>
      </c>
      <c r="T33" s="69">
        <f t="shared" si="4"/>
        <v>0.5198666666666667</v>
      </c>
      <c r="U33" s="69">
        <f t="shared" si="4"/>
        <v>0.5066666666666666</v>
      </c>
      <c r="V33" s="69">
        <f t="shared" si="4"/>
        <v>0.58026666666666671</v>
      </c>
      <c r="W33" s="69">
        <f t="shared" si="4"/>
        <v>0.54026666666666656</v>
      </c>
      <c r="X33" s="69">
        <f t="shared" si="4"/>
        <v>0.5696</v>
      </c>
      <c r="Y33" s="69">
        <f t="shared" si="4"/>
        <v>0.52759999999999996</v>
      </c>
      <c r="Z33" s="69">
        <f t="shared" si="4"/>
        <v>0.58520000000000005</v>
      </c>
      <c r="AA33" s="69"/>
      <c r="AB33" s="69"/>
      <c r="AC33" s="69">
        <v>88.888000000000005</v>
      </c>
      <c r="AD33" s="69">
        <f t="shared" si="5"/>
        <v>0.50673333333333337</v>
      </c>
      <c r="AE33" s="69">
        <f t="shared" si="5"/>
        <v>0.50573333333333337</v>
      </c>
      <c r="AF33" s="69">
        <f t="shared" si="5"/>
        <v>0.31613333333333332</v>
      </c>
      <c r="AG33" s="69">
        <f t="shared" si="5"/>
        <v>0.52380000000000004</v>
      </c>
      <c r="AH33" s="69">
        <f t="shared" si="5"/>
        <v>0.4798</v>
      </c>
      <c r="AI33" s="69">
        <f t="shared" si="5"/>
        <v>0.55146666666666666</v>
      </c>
      <c r="AJ33" s="69">
        <f t="shared" si="5"/>
        <v>0.51500000000000001</v>
      </c>
      <c r="AK33" s="69">
        <f t="shared" si="5"/>
        <v>0.55226666666666668</v>
      </c>
      <c r="AL33" s="69">
        <f t="shared" si="5"/>
        <v>0.52506666666666668</v>
      </c>
      <c r="AM33" s="69">
        <f t="shared" si="5"/>
        <v>0.56900000000000006</v>
      </c>
    </row>
    <row r="34" spans="1:39" x14ac:dyDescent="0.25">
      <c r="A34" s="57"/>
      <c r="B34" s="57"/>
      <c r="C34" s="68">
        <v>99.998999999999995</v>
      </c>
      <c r="D34" s="69">
        <f t="shared" si="3"/>
        <v>0.59626666666666672</v>
      </c>
      <c r="E34" s="69">
        <f t="shared" si="3"/>
        <v>0.59826666666666672</v>
      </c>
      <c r="F34" s="69">
        <f t="shared" si="3"/>
        <v>0.4148</v>
      </c>
      <c r="G34" s="69">
        <f t="shared" si="3"/>
        <v>0.61133333333333328</v>
      </c>
      <c r="H34" s="69">
        <f t="shared" si="3"/>
        <v>0.52733333333333332</v>
      </c>
      <c r="I34" s="69">
        <f t="shared" si="3"/>
        <v>0.5988</v>
      </c>
      <c r="J34" s="69">
        <f t="shared" si="3"/>
        <v>0.59513333333333329</v>
      </c>
      <c r="K34" s="69">
        <f t="shared" si="3"/>
        <v>0.61646666666666661</v>
      </c>
      <c r="L34" s="69">
        <f t="shared" si="3"/>
        <v>0.63133333333333341</v>
      </c>
      <c r="M34" s="69">
        <f t="shared" si="3"/>
        <v>0.58566666666666667</v>
      </c>
      <c r="N34" s="69"/>
      <c r="O34" s="69"/>
      <c r="P34" s="69">
        <v>99.998999999999995</v>
      </c>
      <c r="Q34" s="69">
        <f t="shared" si="4"/>
        <v>0.57106666666666672</v>
      </c>
      <c r="R34" s="69">
        <f t="shared" si="4"/>
        <v>0.58479999999999999</v>
      </c>
      <c r="S34" s="69">
        <f t="shared" si="4"/>
        <v>0.433</v>
      </c>
      <c r="T34" s="69">
        <f t="shared" si="4"/>
        <v>0.6</v>
      </c>
      <c r="U34" s="69">
        <f t="shared" si="4"/>
        <v>0.58073333333333332</v>
      </c>
      <c r="V34" s="69">
        <f t="shared" si="4"/>
        <v>0.65073333333333327</v>
      </c>
      <c r="W34" s="69">
        <f t="shared" si="4"/>
        <v>0.60866666666666669</v>
      </c>
      <c r="X34" s="69">
        <f t="shared" si="4"/>
        <v>0.628</v>
      </c>
      <c r="Y34" s="69">
        <f t="shared" si="4"/>
        <v>0.5672666666666667</v>
      </c>
      <c r="Z34" s="69">
        <f t="shared" si="4"/>
        <v>0.63180000000000003</v>
      </c>
      <c r="AA34" s="69"/>
      <c r="AB34" s="69"/>
      <c r="AC34" s="69">
        <v>99.998999999999995</v>
      </c>
      <c r="AD34" s="69">
        <f t="shared" si="5"/>
        <v>0.60299999999999998</v>
      </c>
      <c r="AE34" s="69">
        <f t="shared" si="5"/>
        <v>0.6</v>
      </c>
      <c r="AF34" s="69">
        <f t="shared" si="5"/>
        <v>0.41033333333333333</v>
      </c>
      <c r="AG34" s="69">
        <f t="shared" si="5"/>
        <v>0.61406666666666665</v>
      </c>
      <c r="AH34" s="69">
        <f t="shared" si="5"/>
        <v>0.5629333333333334</v>
      </c>
      <c r="AI34" s="69">
        <f t="shared" si="5"/>
        <v>0.61953333333333327</v>
      </c>
      <c r="AJ34" s="69">
        <f t="shared" si="5"/>
        <v>0.60093333333333332</v>
      </c>
      <c r="AK34" s="69">
        <f t="shared" si="5"/>
        <v>0.62926666666666664</v>
      </c>
      <c r="AL34" s="69">
        <f t="shared" si="5"/>
        <v>0.60440000000000005</v>
      </c>
      <c r="AM34" s="69">
        <f t="shared" si="5"/>
        <v>0.6316666666666666</v>
      </c>
    </row>
    <row r="35" spans="1:39" x14ac:dyDescent="0.25">
      <c r="A35" s="57"/>
      <c r="B35" s="57"/>
      <c r="C35" s="68">
        <v>111.11</v>
      </c>
      <c r="D35" s="69">
        <f t="shared" si="3"/>
        <v>0.73333333333333328</v>
      </c>
      <c r="E35" s="69">
        <f t="shared" si="3"/>
        <v>0.72733333333333339</v>
      </c>
      <c r="F35" s="69">
        <f t="shared" si="3"/>
        <v>0.57879999999999998</v>
      </c>
      <c r="G35" s="69">
        <f t="shared" si="3"/>
        <v>0.7446666666666667</v>
      </c>
      <c r="H35" s="69">
        <f t="shared" si="3"/>
        <v>0.66193333333333337</v>
      </c>
      <c r="I35" s="69">
        <f t="shared" si="3"/>
        <v>0.72199999999999998</v>
      </c>
      <c r="J35" s="69">
        <f t="shared" si="3"/>
        <v>0.73133333333333339</v>
      </c>
      <c r="K35" s="69">
        <f t="shared" si="3"/>
        <v>0.73266666666666669</v>
      </c>
      <c r="L35" s="69">
        <f t="shared" si="3"/>
        <v>0.69800000000000006</v>
      </c>
      <c r="M35" s="69">
        <f t="shared" si="3"/>
        <v>0.7446666666666667</v>
      </c>
      <c r="N35" s="69"/>
      <c r="O35" s="69"/>
      <c r="P35" s="69">
        <v>111.11</v>
      </c>
      <c r="Q35" s="69">
        <f t="shared" si="4"/>
        <v>0.68333333333333335</v>
      </c>
      <c r="R35" s="69">
        <f t="shared" si="4"/>
        <v>0.68866666666666665</v>
      </c>
      <c r="S35" s="69">
        <f t="shared" si="4"/>
        <v>0.58326666666666671</v>
      </c>
      <c r="T35" s="69">
        <f t="shared" si="4"/>
        <v>0.72199999999999998</v>
      </c>
      <c r="U35" s="69">
        <f t="shared" si="4"/>
        <v>0.69333333333333336</v>
      </c>
      <c r="V35" s="69">
        <f t="shared" si="4"/>
        <v>0.72466666666666657</v>
      </c>
      <c r="W35" s="69">
        <f t="shared" si="4"/>
        <v>0.70466666666666666</v>
      </c>
      <c r="X35" s="69">
        <f t="shared" si="4"/>
        <v>0.70933333333333337</v>
      </c>
      <c r="Y35" s="69">
        <f t="shared" si="4"/>
        <v>0.60593333333333332</v>
      </c>
      <c r="Z35" s="69">
        <f t="shared" si="4"/>
        <v>0.66139999999999999</v>
      </c>
      <c r="AA35" s="69"/>
      <c r="AB35" s="69"/>
      <c r="AC35" s="69">
        <v>111.11</v>
      </c>
      <c r="AD35" s="69">
        <f t="shared" si="5"/>
        <v>0.73066666666666669</v>
      </c>
      <c r="AE35" s="69">
        <f t="shared" si="5"/>
        <v>0.73333333333333328</v>
      </c>
      <c r="AF35" s="69">
        <f t="shared" si="5"/>
        <v>0.5839333333333333</v>
      </c>
      <c r="AG35" s="69">
        <f t="shared" si="5"/>
        <v>0.748</v>
      </c>
      <c r="AH35" s="69">
        <f t="shared" si="5"/>
        <v>0.69133333333333324</v>
      </c>
      <c r="AI35" s="69">
        <f t="shared" si="5"/>
        <v>0.7493333333333333</v>
      </c>
      <c r="AJ35" s="69">
        <f t="shared" si="5"/>
        <v>0.73866666666666669</v>
      </c>
      <c r="AK35" s="69">
        <f t="shared" si="5"/>
        <v>0.7513333333333333</v>
      </c>
      <c r="AL35" s="69">
        <f t="shared" si="5"/>
        <v>0.70400000000000007</v>
      </c>
      <c r="AM35" s="69">
        <f t="shared" si="5"/>
        <v>0.72733333333333339</v>
      </c>
    </row>
    <row r="36" spans="1:39" x14ac:dyDescent="0.25">
      <c r="A36" s="57"/>
      <c r="B36" s="57"/>
      <c r="C36" s="68">
        <v>122.221</v>
      </c>
      <c r="D36" s="69">
        <f t="shared" si="3"/>
        <v>0.89600000000000002</v>
      </c>
      <c r="E36" s="69">
        <f t="shared" si="3"/>
        <v>0.8859999999999999</v>
      </c>
      <c r="F36" s="69">
        <f t="shared" si="3"/>
        <v>0.81400000000000006</v>
      </c>
      <c r="G36" s="69">
        <f t="shared" si="3"/>
        <v>0.90066666666666662</v>
      </c>
      <c r="H36" s="69">
        <f t="shared" si="3"/>
        <v>0.85399999999999998</v>
      </c>
      <c r="I36" s="69">
        <f t="shared" si="3"/>
        <v>0.83733333333333337</v>
      </c>
      <c r="J36" s="69">
        <f t="shared" si="3"/>
        <v>0.86866666666666659</v>
      </c>
      <c r="K36" s="69">
        <f t="shared" si="3"/>
        <v>0.85266666666666657</v>
      </c>
      <c r="L36" s="69">
        <f t="shared" si="3"/>
        <v>0.85933333333333339</v>
      </c>
      <c r="M36" s="69">
        <f t="shared" si="3"/>
        <v>0.82600000000000007</v>
      </c>
      <c r="N36" s="69"/>
      <c r="O36" s="69"/>
      <c r="P36" s="69">
        <v>122.221</v>
      </c>
      <c r="Q36" s="69">
        <f t="shared" si="4"/>
        <v>0.86466666666666669</v>
      </c>
      <c r="R36" s="69">
        <f t="shared" si="4"/>
        <v>0.86133333333333328</v>
      </c>
      <c r="S36" s="69">
        <f t="shared" si="4"/>
        <v>0.82799999999999996</v>
      </c>
      <c r="T36" s="69">
        <f t="shared" si="4"/>
        <v>0.88800000000000001</v>
      </c>
      <c r="U36" s="69">
        <f t="shared" si="4"/>
        <v>0.874</v>
      </c>
      <c r="V36" s="69">
        <f t="shared" si="4"/>
        <v>0.8666666666666667</v>
      </c>
      <c r="W36" s="69">
        <f t="shared" si="4"/>
        <v>0.85933333333333339</v>
      </c>
      <c r="X36" s="69">
        <f t="shared" si="4"/>
        <v>0.82000000000000006</v>
      </c>
      <c r="Y36" s="69">
        <f t="shared" si="4"/>
        <v>0.81066666666666665</v>
      </c>
      <c r="Z36" s="69">
        <f t="shared" si="4"/>
        <v>0.82266666666666666</v>
      </c>
      <c r="AA36" s="69"/>
      <c r="AB36" s="69"/>
      <c r="AC36" s="69">
        <v>122.221</v>
      </c>
      <c r="AD36" s="69">
        <f t="shared" si="5"/>
        <v>0.89666666666666661</v>
      </c>
      <c r="AE36" s="69">
        <f t="shared" si="5"/>
        <v>0.89200000000000002</v>
      </c>
      <c r="AF36" s="69">
        <f t="shared" si="5"/>
        <v>0.81066666666666665</v>
      </c>
      <c r="AG36" s="69">
        <f t="shared" si="5"/>
        <v>0.90466666666666673</v>
      </c>
      <c r="AH36" s="69">
        <f t="shared" si="5"/>
        <v>0.86866666666666659</v>
      </c>
      <c r="AI36" s="69">
        <f t="shared" si="5"/>
        <v>0.85266666666666657</v>
      </c>
      <c r="AJ36" s="69">
        <f t="shared" si="5"/>
        <v>0.8793333333333333</v>
      </c>
      <c r="AK36" s="69">
        <f t="shared" si="5"/>
        <v>0.86066666666666669</v>
      </c>
      <c r="AL36" s="69">
        <f t="shared" si="5"/>
        <v>0.86799999999999999</v>
      </c>
      <c r="AM36" s="69">
        <f t="shared" si="5"/>
        <v>0.88066666666666671</v>
      </c>
    </row>
    <row r="37" spans="1:39" x14ac:dyDescent="0.25">
      <c r="A37" s="57"/>
      <c r="B37" s="57"/>
      <c r="C37" s="68">
        <v>133.333</v>
      </c>
      <c r="D37" s="69">
        <f t="shared" si="3"/>
        <v>0.95599999999999996</v>
      </c>
      <c r="E37" s="69">
        <f t="shared" si="3"/>
        <v>0.94333333333333336</v>
      </c>
      <c r="F37" s="69">
        <f t="shared" si="3"/>
        <v>0.89266666666666672</v>
      </c>
      <c r="G37" s="69">
        <f t="shared" si="3"/>
        <v>0.95866666666666667</v>
      </c>
      <c r="H37" s="69">
        <f t="shared" si="3"/>
        <v>0.91733333333333333</v>
      </c>
      <c r="I37" s="69">
        <f t="shared" si="3"/>
        <v>0.91066666666666662</v>
      </c>
      <c r="J37" s="69">
        <f t="shared" si="3"/>
        <v>0.92399999999999993</v>
      </c>
      <c r="K37" s="69">
        <f t="shared" si="3"/>
        <v>0.90600000000000003</v>
      </c>
      <c r="L37" s="69">
        <f t="shared" si="3"/>
        <v>0.91200000000000003</v>
      </c>
      <c r="M37" s="69">
        <f t="shared" si="3"/>
        <v>0.92399999999999993</v>
      </c>
      <c r="N37" s="69"/>
      <c r="O37" s="69"/>
      <c r="P37" s="69">
        <v>133.333</v>
      </c>
      <c r="Q37" s="69">
        <f t="shared" si="4"/>
        <v>0.91933333333333322</v>
      </c>
      <c r="R37" s="69">
        <f t="shared" si="4"/>
        <v>0.92</v>
      </c>
      <c r="S37" s="69">
        <f t="shared" si="4"/>
        <v>0.90066666666666662</v>
      </c>
      <c r="T37" s="69">
        <f t="shared" si="4"/>
        <v>0.94533333333333336</v>
      </c>
      <c r="U37" s="69">
        <f t="shared" si="4"/>
        <v>0.93133333333333335</v>
      </c>
      <c r="V37" s="69">
        <f t="shared" si="4"/>
        <v>0.91133333333333333</v>
      </c>
      <c r="W37" s="69">
        <f t="shared" si="4"/>
        <v>0.90799999999999992</v>
      </c>
      <c r="X37" s="69">
        <f t="shared" si="4"/>
        <v>0.86066666666666669</v>
      </c>
      <c r="Y37" s="69">
        <f t="shared" si="4"/>
        <v>0.87</v>
      </c>
      <c r="Z37" s="69">
        <f t="shared" si="4"/>
        <v>0.8706666666666667</v>
      </c>
      <c r="AA37" s="69"/>
      <c r="AB37" s="69"/>
      <c r="AC37" s="69">
        <v>133.333</v>
      </c>
      <c r="AD37" s="69">
        <f t="shared" si="5"/>
        <v>0.95733333333333326</v>
      </c>
      <c r="AE37" s="69">
        <f t="shared" si="5"/>
        <v>0.94800000000000006</v>
      </c>
      <c r="AF37" s="69">
        <f t="shared" si="5"/>
        <v>0.88800000000000001</v>
      </c>
      <c r="AG37" s="69">
        <f t="shared" si="5"/>
        <v>0.96199999999999997</v>
      </c>
      <c r="AH37" s="69">
        <f t="shared" si="5"/>
        <v>0.92399999999999993</v>
      </c>
      <c r="AI37" s="69">
        <f t="shared" si="5"/>
        <v>0.92200000000000004</v>
      </c>
      <c r="AJ37" s="69">
        <f t="shared" si="5"/>
        <v>0.93933333333333335</v>
      </c>
      <c r="AK37" s="69">
        <f t="shared" si="5"/>
        <v>0.91733333333333333</v>
      </c>
      <c r="AL37" s="69">
        <f t="shared" si="5"/>
        <v>0.93200000000000005</v>
      </c>
      <c r="AM37" s="69">
        <f t="shared" si="5"/>
        <v>0.89600000000000002</v>
      </c>
    </row>
    <row r="38" spans="1:39" x14ac:dyDescent="0.25">
      <c r="A38" s="23"/>
      <c r="B38" s="23"/>
      <c r="C38" s="54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 x14ac:dyDescent="0.25">
      <c r="A39" s="23"/>
      <c r="B39" s="23"/>
      <c r="C39" s="54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ht="15.75" x14ac:dyDescent="0.25">
      <c r="A40" s="73" t="s">
        <v>220</v>
      </c>
      <c r="B40" s="74"/>
      <c r="C40" s="75">
        <v>66.665999999999997</v>
      </c>
      <c r="D40" s="76">
        <f>D31*SQRT(1/(D21^2)+1/(D22^2))</f>
        <v>6.9630590281349125E-3</v>
      </c>
      <c r="E40" s="76">
        <f t="shared" ref="E40:K40" si="6">E31*SQRT(1/(E21^2)+1/(E22^2))</f>
        <v>6.6720310072581907E-3</v>
      </c>
      <c r="F40" s="76">
        <f t="shared" si="6"/>
        <v>3.879420622120335E-3</v>
      </c>
      <c r="G40" s="76">
        <f t="shared" si="6"/>
        <v>2.9305514046367403E-3</v>
      </c>
      <c r="H40" s="76">
        <f t="shared" si="6"/>
        <v>4.5062664526442676E-3</v>
      </c>
      <c r="I40" s="76">
        <f t="shared" si="6"/>
        <v>1.2263786497308211E-2</v>
      </c>
      <c r="J40" s="76">
        <f t="shared" si="6"/>
        <v>7.7745979749432054E-3</v>
      </c>
      <c r="K40" s="76">
        <f t="shared" si="6"/>
        <v>6.981036369981747E-3</v>
      </c>
      <c r="L40" s="76"/>
      <c r="M40" s="76"/>
      <c r="N40" s="76"/>
      <c r="O40" s="76"/>
      <c r="P40" s="76">
        <v>66.665999999999997</v>
      </c>
      <c r="Q40" s="76">
        <f>Q31*SQRT(1/(Q21^2)+1/(Q22^2))</f>
        <v>5.1034206666351854E-3</v>
      </c>
      <c r="R40" s="76">
        <f t="shared" ref="R40:X40" si="7">R31*SQRT(1/(R21^2)+1/(R22^2))</f>
        <v>4.4116575729089705E-3</v>
      </c>
      <c r="S40" s="76">
        <f t="shared" si="7"/>
        <v>2.600424237674571E-3</v>
      </c>
      <c r="T40" s="76">
        <f t="shared" si="7"/>
        <v>2.1802019423394141E-3</v>
      </c>
      <c r="U40" s="76">
        <f t="shared" si="7"/>
        <v>2.1784341586171358E-3</v>
      </c>
      <c r="V40" s="76">
        <f t="shared" si="7"/>
        <v>6.4912877880840408E-3</v>
      </c>
      <c r="W40" s="76">
        <f t="shared" si="7"/>
        <v>5.1337907057146968E-3</v>
      </c>
      <c r="X40" s="76">
        <f t="shared" si="7"/>
        <v>5.4178005938566431E-3</v>
      </c>
      <c r="Y40" s="76"/>
      <c r="Z40" s="76"/>
      <c r="AA40" s="76"/>
      <c r="AB40" s="76"/>
      <c r="AC40" s="76">
        <v>66.665999999999997</v>
      </c>
      <c r="AD40" s="76">
        <f>AD31*SQRT(1/(AD21^2)+1/(AD22^2))</f>
        <v>4.4665784575014036E-3</v>
      </c>
      <c r="AE40" s="76">
        <f t="shared" ref="AE40:AK40" si="8">AE31*SQRT(1/(AE21^2)+1/(AE22^2))</f>
        <v>4.5381123086501388E-3</v>
      </c>
      <c r="AF40" s="76">
        <f t="shared" si="8"/>
        <v>2.596782101443481E-3</v>
      </c>
      <c r="AG40" s="76">
        <f t="shared" si="8"/>
        <v>1.945090936938653E-3</v>
      </c>
      <c r="AH40" s="76">
        <f t="shared" si="8"/>
        <v>3.5954336590466401E-3</v>
      </c>
      <c r="AI40" s="76">
        <f t="shared" si="8"/>
        <v>8.4508794406504377E-3</v>
      </c>
      <c r="AJ40" s="76">
        <f t="shared" si="8"/>
        <v>6.4320989247421472E-3</v>
      </c>
      <c r="AK40" s="76">
        <f t="shared" si="8"/>
        <v>5.9977172215957648E-3</v>
      </c>
      <c r="AL40" s="76"/>
      <c r="AM40" s="76"/>
    </row>
    <row r="41" spans="1:39" x14ac:dyDescent="0.25">
      <c r="A41" s="23"/>
      <c r="B41" s="23"/>
      <c r="C41" s="54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 x14ac:dyDescent="0.25">
      <c r="A42" s="23"/>
      <c r="B42" s="23"/>
      <c r="C42" s="5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 ht="15.75" x14ac:dyDescent="0.25">
      <c r="A43" s="73" t="s">
        <v>221</v>
      </c>
      <c r="B43" s="74"/>
      <c r="C43" s="77" t="s">
        <v>221</v>
      </c>
      <c r="D43" s="76">
        <f>-133/LN(D37)</f>
        <v>2955.7285687505832</v>
      </c>
      <c r="E43" s="76">
        <f t="shared" ref="E43:M43" si="9">-133/LN(E37)</f>
        <v>2279.9123075519519</v>
      </c>
      <c r="F43" s="76">
        <f t="shared" si="9"/>
        <v>1171.3722807966039</v>
      </c>
      <c r="G43" s="76">
        <f t="shared" si="9"/>
        <v>3150.774101386151</v>
      </c>
      <c r="H43" s="76">
        <f t="shared" si="9"/>
        <v>1541.4147679653418</v>
      </c>
      <c r="I43" s="76">
        <f t="shared" si="9"/>
        <v>1421.2689614774604</v>
      </c>
      <c r="J43" s="76">
        <f t="shared" si="9"/>
        <v>1682.6240289965167</v>
      </c>
      <c r="K43" s="76">
        <f t="shared" si="9"/>
        <v>1347.2996926441967</v>
      </c>
      <c r="L43" s="76">
        <f t="shared" si="9"/>
        <v>1443.8428362648267</v>
      </c>
      <c r="M43" s="76">
        <f t="shared" si="9"/>
        <v>1682.6240289965167</v>
      </c>
      <c r="N43" s="76"/>
      <c r="O43" s="76"/>
      <c r="P43" s="77" t="s">
        <v>221</v>
      </c>
      <c r="Q43" s="76">
        <f t="shared" ref="Q43:Z43" si="10">-133/LN(Q37)</f>
        <v>1581.3282599845622</v>
      </c>
      <c r="R43" s="76">
        <f t="shared" si="10"/>
        <v>1595.075960901861</v>
      </c>
      <c r="S43" s="76">
        <f t="shared" si="10"/>
        <v>1271.266847089747</v>
      </c>
      <c r="T43" s="76">
        <f t="shared" si="10"/>
        <v>2365.8037827991266</v>
      </c>
      <c r="U43" s="76">
        <f t="shared" si="10"/>
        <v>1869.6048239007846</v>
      </c>
      <c r="V43" s="76">
        <f t="shared" si="10"/>
        <v>1432.4710985514434</v>
      </c>
      <c r="W43" s="76">
        <f t="shared" si="10"/>
        <v>1378.0826774505852</v>
      </c>
      <c r="X43" s="76">
        <f t="shared" si="10"/>
        <v>886.38304628890126</v>
      </c>
      <c r="Y43" s="76">
        <f t="shared" si="10"/>
        <v>955.03393383848652</v>
      </c>
      <c r="Z43" s="76">
        <f t="shared" si="10"/>
        <v>960.31600776787161</v>
      </c>
      <c r="AA43" s="76"/>
      <c r="AB43" s="76"/>
      <c r="AC43" s="77" t="s">
        <v>221</v>
      </c>
      <c r="AD43" s="76">
        <f t="shared" ref="AD43:AM43" si="11">-133/LN(AD37)</f>
        <v>3050.2042416644936</v>
      </c>
      <c r="AE43" s="76">
        <f t="shared" si="11"/>
        <v>2490.6004772111664</v>
      </c>
      <c r="AF43" s="76">
        <f t="shared" si="11"/>
        <v>1119.683791962834</v>
      </c>
      <c r="AG43" s="76">
        <f t="shared" si="11"/>
        <v>3433.0706332263062</v>
      </c>
      <c r="AH43" s="76">
        <f t="shared" si="11"/>
        <v>1682.6240289965167</v>
      </c>
      <c r="AI43" s="76">
        <f t="shared" si="11"/>
        <v>1637.7282259330564</v>
      </c>
      <c r="AJ43" s="76">
        <f t="shared" si="11"/>
        <v>2125.1140885522759</v>
      </c>
      <c r="AK43" s="76">
        <f t="shared" si="11"/>
        <v>1541.4147679653418</v>
      </c>
      <c r="AL43" s="76">
        <f t="shared" si="11"/>
        <v>1888.6019018014338</v>
      </c>
      <c r="AM43" s="76">
        <f t="shared" si="11"/>
        <v>1211.1292836369887</v>
      </c>
    </row>
    <row r="44" spans="1:39" x14ac:dyDescent="0.25">
      <c r="A44" s="55" t="s">
        <v>222</v>
      </c>
      <c r="B44" s="55"/>
      <c r="C44" s="78">
        <v>0</v>
      </c>
      <c r="D44" s="79">
        <f>EXP(-C44/2955.729)</f>
        <v>1</v>
      </c>
      <c r="E44" s="79">
        <f>EXP(-C44/2279.912)</f>
        <v>1</v>
      </c>
      <c r="F44" s="79">
        <f>EXP(-C44/1171.372)</f>
        <v>1</v>
      </c>
      <c r="G44" s="79">
        <f>EXP(-C44/3150.774)</f>
        <v>1</v>
      </c>
      <c r="H44" s="79">
        <f>EXP(-C44/1541.415)</f>
        <v>1</v>
      </c>
      <c r="I44" s="79">
        <f>EXP(-C44/1421.269)</f>
        <v>1</v>
      </c>
      <c r="J44" s="79">
        <f>EXP(-C44/1682.624)</f>
        <v>1</v>
      </c>
      <c r="K44" s="79">
        <f>EXP(-C44/1347.3)</f>
        <v>1</v>
      </c>
      <c r="L44" s="79">
        <f>EXP(-C44/1443.843)</f>
        <v>1</v>
      </c>
      <c r="M44" s="79">
        <f>EXP(-C44/1682.624)</f>
        <v>1</v>
      </c>
      <c r="N44" s="79"/>
      <c r="O44" s="79"/>
      <c r="P44" s="78">
        <v>0</v>
      </c>
      <c r="Q44" s="79">
        <f>EXP(-P44/1581.328)</f>
        <v>1</v>
      </c>
      <c r="R44" s="79">
        <f>EXP(-P44/1595.076)</f>
        <v>1</v>
      </c>
      <c r="S44" s="79">
        <f>EXP(-P44/1271.267)</f>
        <v>1</v>
      </c>
      <c r="T44" s="79">
        <f>EXP(-P44/2365.804)</f>
        <v>1</v>
      </c>
      <c r="U44" s="79">
        <f>EXP(-P44/1869.605)</f>
        <v>1</v>
      </c>
      <c r="V44" s="79">
        <f>EXP(-P44/1432.471)</f>
        <v>1</v>
      </c>
      <c r="W44" s="79">
        <f>EXP(-P44/1378.083)</f>
        <v>1</v>
      </c>
      <c r="X44" s="79">
        <f>EXP(-P44/886.383)</f>
        <v>1</v>
      </c>
      <c r="Y44" s="79">
        <f>EXP(-P44/955.034)</f>
        <v>1</v>
      </c>
      <c r="Z44" s="79">
        <f>EXP(-P44/960.316)</f>
        <v>1</v>
      </c>
      <c r="AA44" s="79"/>
      <c r="AB44" s="79"/>
      <c r="AC44" s="78">
        <v>0</v>
      </c>
      <c r="AD44" s="79">
        <f>EXP(-AC44/3050.204)</f>
        <v>1</v>
      </c>
      <c r="AE44" s="79">
        <f>EXP(-AC44/2490.6)</f>
        <v>1</v>
      </c>
      <c r="AF44" s="79">
        <f>EXP(-AC44/1119.684)</f>
        <v>1</v>
      </c>
      <c r="AG44" s="79">
        <f>EXP(-AC44/3433.071)</f>
        <v>1</v>
      </c>
      <c r="AH44" s="79">
        <f>EXP(-AC44/1682.624)</f>
        <v>1</v>
      </c>
      <c r="AI44" s="79">
        <f>EXP(-AC44/1637.728)</f>
        <v>1</v>
      </c>
      <c r="AJ44" s="79">
        <f>EXP(-AC44/2125.114)</f>
        <v>1</v>
      </c>
      <c r="AK44" s="79">
        <f>EXP(-AC44/1541.415)</f>
        <v>1</v>
      </c>
      <c r="AL44" s="79">
        <f>EXP(-AC44/1888.602)</f>
        <v>1</v>
      </c>
      <c r="AM44" s="79">
        <f>EXP(-AC44/1211.129)</f>
        <v>1</v>
      </c>
    </row>
    <row r="45" spans="1:39" x14ac:dyDescent="0.25">
      <c r="A45" s="55"/>
      <c r="B45" s="55"/>
      <c r="C45" s="78">
        <v>11.111000000000001</v>
      </c>
      <c r="D45" s="79">
        <f t="shared" ref="D45:D56" si="12">EXP(-C45/2955.729)</f>
        <v>0.99624791642265009</v>
      </c>
      <c r="E45" s="79">
        <f t="shared" ref="E45:E56" si="13">EXP(-C45/2279.912)</f>
        <v>0.99513842219910953</v>
      </c>
      <c r="F45" s="79">
        <f t="shared" ref="F45:F56" si="14">EXP(-C45/1171.372)</f>
        <v>0.99055938697528989</v>
      </c>
      <c r="G45" s="79">
        <f t="shared" ref="G45:G56" si="15">EXP(-C45/3150.774)</f>
        <v>0.99647977547787137</v>
      </c>
      <c r="H45" s="79">
        <f t="shared" ref="H45:H56" si="16">EXP(-C45/1541.415)</f>
        <v>0.99281760572511524</v>
      </c>
      <c r="I45" s="79">
        <f t="shared" ref="I45:I56" si="17">EXP(-C45/1421.269)</f>
        <v>0.99221281690039087</v>
      </c>
      <c r="J45" s="79">
        <f t="shared" ref="J45:J56" si="18">EXP(-C45/1682.624)</f>
        <v>0.99341837775021591</v>
      </c>
      <c r="K45" s="79">
        <f t="shared" ref="K45:K56" si="19">EXP(-C45/1347.3)</f>
        <v>0.99178704799831341</v>
      </c>
      <c r="L45" s="79">
        <f t="shared" ref="L45:L56" si="20">EXP(-C45/1443.843)</f>
        <v>0.99233409902247882</v>
      </c>
      <c r="M45" s="79">
        <f t="shared" ref="M45:M56" si="21">EXP(-C45/1682.624)</f>
        <v>0.99341837775021591</v>
      </c>
      <c r="N45" s="79"/>
      <c r="O45" s="79"/>
      <c r="P45" s="78">
        <v>11.111000000000001</v>
      </c>
      <c r="Q45" s="79">
        <f t="shared" ref="Q45:Q56" si="22">EXP(-P45/1581.328)</f>
        <v>0.99299825447310286</v>
      </c>
      <c r="R45" s="79">
        <f t="shared" ref="R45:R56" si="23">EXP(-P45/1595.076)</f>
        <v>0.99305839274790997</v>
      </c>
      <c r="S45" s="79">
        <f t="shared" ref="S45:S56" si="24">EXP(-P45/1271.267)</f>
        <v>0.99129798419269399</v>
      </c>
      <c r="T45" s="79">
        <f t="shared" ref="T45:T56" si="25">EXP(-P45/2365.804)</f>
        <v>0.99531451067421983</v>
      </c>
      <c r="U45" s="79">
        <f t="shared" ref="U45:U56" si="26">EXP(-P45/1869.605)</f>
        <v>0.99407465793211403</v>
      </c>
      <c r="V45" s="79">
        <f t="shared" ref="V45:V56" si="27">EXP(-P45/1432.471)</f>
        <v>0.99227347722106651</v>
      </c>
      <c r="W45" s="79">
        <f t="shared" ref="W45:W56" si="28">EXP(-P45/1378.083)</f>
        <v>0.99196976663223002</v>
      </c>
      <c r="X45" s="79">
        <f t="shared" ref="X45:X56" si="29">EXP(-P45/886.383)</f>
        <v>0.98754302519992521</v>
      </c>
      <c r="Y45" s="79">
        <f t="shared" ref="Y45:Y56" si="30">EXP(-P45/955.034)</f>
        <v>0.98843327415021909</v>
      </c>
      <c r="Z45" s="79">
        <f t="shared" ref="Z45:Z56" si="31">EXP(-P45/960.316)</f>
        <v>0.98849652695660772</v>
      </c>
      <c r="AA45" s="79"/>
      <c r="AB45" s="79"/>
      <c r="AC45" s="78">
        <v>11.111000000000001</v>
      </c>
      <c r="AD45" s="79">
        <f t="shared" ref="AD45:AD56" si="32">EXP(-AC45/3050.204)</f>
        <v>0.99636391943277181</v>
      </c>
      <c r="AE45" s="79">
        <f t="shared" ref="AE45:AE56" si="33">EXP(-AC45/2490.6)</f>
        <v>0.99554876224121935</v>
      </c>
      <c r="AF45" s="79">
        <f t="shared" ref="AF45:AF56" si="34">EXP(-AC45/1119.684)</f>
        <v>0.99012573832180784</v>
      </c>
      <c r="AG45" s="79">
        <f t="shared" ref="AG45:AG56" si="35">EXP(-AC45/3433.071)</f>
        <v>0.99676877081096205</v>
      </c>
      <c r="AH45" s="79">
        <f t="shared" ref="AH45:AH56" si="36">EXP(-AC45/1682.624)</f>
        <v>0.99341837775021591</v>
      </c>
      <c r="AI45" s="79">
        <f t="shared" ref="AI45:AI56" si="37">EXP(-AC45/1637.728)</f>
        <v>0.9932385632021985</v>
      </c>
      <c r="AJ45" s="79">
        <f t="shared" ref="AJ45:AJ56" si="38">EXP(-AC45/2125.114)</f>
        <v>0.99478521903335682</v>
      </c>
      <c r="AK45" s="79">
        <f t="shared" ref="AK45:AK56" si="39">EXP(-AC45/1541.415)</f>
        <v>0.99281760572511524</v>
      </c>
      <c r="AL45" s="79">
        <f t="shared" ref="AL45:AL56" si="40">EXP(-AC45/1888.602)</f>
        <v>0.99413408439035678</v>
      </c>
      <c r="AM45" s="79">
        <f t="shared" ref="AM45:AM56" si="41">EXP(-AC45/1211.129)</f>
        <v>0.99086786884538447</v>
      </c>
    </row>
    <row r="46" spans="1:39" x14ac:dyDescent="0.25">
      <c r="A46" s="55"/>
      <c r="B46" s="55"/>
      <c r="C46" s="78">
        <v>22.222000000000001</v>
      </c>
      <c r="D46" s="79">
        <f t="shared" si="12"/>
        <v>0.99250991097647157</v>
      </c>
      <c r="E46" s="79">
        <f t="shared" si="13"/>
        <v>0.99030047933693321</v>
      </c>
      <c r="F46" s="79">
        <f t="shared" si="14"/>
        <v>0.98120789912486206</v>
      </c>
      <c r="G46" s="79">
        <f t="shared" si="15"/>
        <v>0.99297194293642899</v>
      </c>
      <c r="H46" s="79">
        <f t="shared" si="16"/>
        <v>0.98568679823775041</v>
      </c>
      <c r="I46" s="79">
        <f t="shared" si="17"/>
        <v>0.98448627402140854</v>
      </c>
      <c r="J46" s="79">
        <f t="shared" si="18"/>
        <v>0.98688007325187077</v>
      </c>
      <c r="K46" s="79">
        <f t="shared" si="19"/>
        <v>0.98364154857720887</v>
      </c>
      <c r="L46" s="79">
        <f t="shared" si="20"/>
        <v>0.98472696408275473</v>
      </c>
      <c r="M46" s="79">
        <f t="shared" si="21"/>
        <v>0.98688007325187077</v>
      </c>
      <c r="N46" s="79"/>
      <c r="O46" s="79"/>
      <c r="P46" s="78">
        <v>22.222000000000001</v>
      </c>
      <c r="Q46" s="79">
        <f t="shared" si="22"/>
        <v>0.98604553338662926</v>
      </c>
      <c r="R46" s="79">
        <f t="shared" si="23"/>
        <v>0.98616497140706227</v>
      </c>
      <c r="S46" s="79">
        <f t="shared" si="24"/>
        <v>0.98267169346449856</v>
      </c>
      <c r="T46" s="79">
        <f t="shared" si="25"/>
        <v>0.99065097515866152</v>
      </c>
      <c r="U46" s="79">
        <f t="shared" si="26"/>
        <v>0.98818442554284958</v>
      </c>
      <c r="V46" s="79">
        <f t="shared" si="27"/>
        <v>0.98460665359638644</v>
      </c>
      <c r="W46" s="79">
        <f t="shared" si="28"/>
        <v>0.98400401791240077</v>
      </c>
      <c r="X46" s="79">
        <f t="shared" si="29"/>
        <v>0.97524122662102009</v>
      </c>
      <c r="Y46" s="79">
        <f t="shared" si="30"/>
        <v>0.97700033744732206</v>
      </c>
      <c r="Z46" s="79">
        <f t="shared" si="31"/>
        <v>0.97712538380527558</v>
      </c>
      <c r="AA46" s="79"/>
      <c r="AB46" s="79"/>
      <c r="AC46" s="78">
        <v>22.222000000000001</v>
      </c>
      <c r="AD46" s="79">
        <f t="shared" si="32"/>
        <v>0.99274105994743511</v>
      </c>
      <c r="AE46" s="79">
        <f t="shared" si="33"/>
        <v>0.991117338000024</v>
      </c>
      <c r="AF46" s="79">
        <f t="shared" si="34"/>
        <v>0.98034897768730522</v>
      </c>
      <c r="AG46" s="79">
        <f t="shared" si="35"/>
        <v>0.99354798246399612</v>
      </c>
      <c r="AH46" s="79">
        <f t="shared" si="36"/>
        <v>0.98688007325187077</v>
      </c>
      <c r="AI46" s="79">
        <f t="shared" si="37"/>
        <v>0.98652284343196761</v>
      </c>
      <c r="AJ46" s="79">
        <f t="shared" si="38"/>
        <v>0.9895976320072436</v>
      </c>
      <c r="AK46" s="79">
        <f t="shared" si="39"/>
        <v>0.98568679823775041</v>
      </c>
      <c r="AL46" s="79">
        <f t="shared" si="40"/>
        <v>0.98830257774665298</v>
      </c>
      <c r="AM46" s="79">
        <f t="shared" si="41"/>
        <v>0.98181913351019412</v>
      </c>
    </row>
    <row r="47" spans="1:39" x14ac:dyDescent="0.25">
      <c r="A47" s="55"/>
      <c r="B47" s="55"/>
      <c r="C47" s="78">
        <v>33.332999999999998</v>
      </c>
      <c r="D47" s="79">
        <f t="shared" si="12"/>
        <v>0.98878593083913968</v>
      </c>
      <c r="E47" s="79">
        <f t="shared" si="13"/>
        <v>0.98548605651037757</v>
      </c>
      <c r="F47" s="79">
        <f t="shared" si="14"/>
        <v>0.97194469505243541</v>
      </c>
      <c r="G47" s="79">
        <f t="shared" si="15"/>
        <v>0.9894764587531184</v>
      </c>
      <c r="H47" s="79">
        <f t="shared" si="16"/>
        <v>0.97860720702125814</v>
      </c>
      <c r="I47" s="79">
        <f t="shared" si="17"/>
        <v>0.97681989914655176</v>
      </c>
      <c r="J47" s="79">
        <f t="shared" si="18"/>
        <v>0.98038480140388773</v>
      </c>
      <c r="K47" s="79">
        <f t="shared" si="19"/>
        <v>0.97556294775187968</v>
      </c>
      <c r="L47" s="79">
        <f t="shared" si="20"/>
        <v>0.97717814468620123</v>
      </c>
      <c r="M47" s="79">
        <f t="shared" si="21"/>
        <v>0.98038480140388773</v>
      </c>
      <c r="N47" s="79"/>
      <c r="O47" s="79"/>
      <c r="P47" s="78">
        <v>33.332999999999998</v>
      </c>
      <c r="Q47" s="79">
        <f t="shared" si="22"/>
        <v>0.97914149348392254</v>
      </c>
      <c r="R47" s="79">
        <f t="shared" si="23"/>
        <v>0.97931940148978591</v>
      </c>
      <c r="S47" s="79">
        <f t="shared" si="24"/>
        <v>0.97412046885457837</v>
      </c>
      <c r="T47" s="79">
        <f t="shared" si="25"/>
        <v>0.9860092905889819</v>
      </c>
      <c r="U47" s="79">
        <f t="shared" si="26"/>
        <v>0.9823290947953508</v>
      </c>
      <c r="V47" s="79">
        <f t="shared" si="27"/>
        <v>0.97699906785908441</v>
      </c>
      <c r="W47" s="79">
        <f t="shared" si="28"/>
        <v>0.9761022360137408</v>
      </c>
      <c r="X47" s="79">
        <f t="shared" si="29"/>
        <v>0.96309267123700804</v>
      </c>
      <c r="Y47" s="79">
        <f t="shared" si="30"/>
        <v>0.96569964238892536</v>
      </c>
      <c r="Z47" s="79">
        <f t="shared" si="31"/>
        <v>0.96588504829265731</v>
      </c>
      <c r="AA47" s="79"/>
      <c r="AB47" s="79"/>
      <c r="AC47" s="78">
        <v>33.332999999999998</v>
      </c>
      <c r="AD47" s="79">
        <f t="shared" si="32"/>
        <v>0.98913137347107072</v>
      </c>
      <c r="AE47" s="79">
        <f t="shared" si="33"/>
        <v>0.98670563908173614</v>
      </c>
      <c r="AF47" s="79">
        <f t="shared" si="34"/>
        <v>0.97066875534567265</v>
      </c>
      <c r="AG47" s="79">
        <f t="shared" si="35"/>
        <v>0.9903376012223486</v>
      </c>
      <c r="AH47" s="79">
        <f t="shared" si="36"/>
        <v>0.98038480140388773</v>
      </c>
      <c r="AI47" s="79">
        <f t="shared" si="37"/>
        <v>0.97985253157651486</v>
      </c>
      <c r="AJ47" s="79">
        <f t="shared" si="38"/>
        <v>0.98443709711121696</v>
      </c>
      <c r="AK47" s="79">
        <f t="shared" si="39"/>
        <v>0.97860720702125814</v>
      </c>
      <c r="AL47" s="79">
        <f t="shared" si="40"/>
        <v>0.9825052782287983</v>
      </c>
      <c r="AM47" s="79">
        <f t="shared" si="41"/>
        <v>0.97285303241286802</v>
      </c>
    </row>
    <row r="48" spans="1:39" x14ac:dyDescent="0.25">
      <c r="A48" s="55"/>
      <c r="B48" s="55"/>
      <c r="C48" s="78">
        <v>44.444000000000003</v>
      </c>
      <c r="D48" s="79">
        <f t="shared" si="12"/>
        <v>0.9850759233865235</v>
      </c>
      <c r="E48" s="79">
        <f t="shared" si="13"/>
        <v>0.98069503937495961</v>
      </c>
      <c r="F48" s="79">
        <f t="shared" si="14"/>
        <v>0.96276894130502555</v>
      </c>
      <c r="G48" s="79">
        <f t="shared" si="15"/>
        <v>0.98599327945894666</v>
      </c>
      <c r="H48" s="79">
        <f t="shared" si="16"/>
        <v>0.97157846422018768</v>
      </c>
      <c r="I48" s="79">
        <f t="shared" si="17"/>
        <v>0.96921322373655583</v>
      </c>
      <c r="J48" s="79">
        <f t="shared" si="18"/>
        <v>0.97393227898161783</v>
      </c>
      <c r="K48" s="79">
        <f t="shared" si="19"/>
        <v>0.96755069608736965</v>
      </c>
      <c r="L48" s="79">
        <f t="shared" si="20"/>
        <v>0.96968719379163881</v>
      </c>
      <c r="M48" s="79">
        <f t="shared" si="21"/>
        <v>0.97393227898161783</v>
      </c>
      <c r="N48" s="79"/>
      <c r="O48" s="79"/>
      <c r="P48" s="78">
        <v>44.444000000000003</v>
      </c>
      <c r="Q48" s="79">
        <f t="shared" si="22"/>
        <v>0.97228579391172221</v>
      </c>
      <c r="R48" s="79">
        <f t="shared" si="23"/>
        <v>0.97252135083029201</v>
      </c>
      <c r="S48" s="79">
        <f t="shared" si="24"/>
        <v>0.96564365713638556</v>
      </c>
      <c r="T48" s="79">
        <f t="shared" si="25"/>
        <v>0.98138935458280707</v>
      </c>
      <c r="U48" s="79">
        <f t="shared" si="26"/>
        <v>0.97650845888545157</v>
      </c>
      <c r="V48" s="79">
        <f t="shared" si="27"/>
        <v>0.96945026230627451</v>
      </c>
      <c r="W48" s="79">
        <f t="shared" si="28"/>
        <v>0.96826390726774836</v>
      </c>
      <c r="X48" s="79">
        <f t="shared" si="29"/>
        <v>0.95109545010127194</v>
      </c>
      <c r="Y48" s="79">
        <f t="shared" si="30"/>
        <v>0.95452965937218115</v>
      </c>
      <c r="Z48" s="79">
        <f t="shared" si="31"/>
        <v>0.95477401567660714</v>
      </c>
      <c r="AA48" s="79"/>
      <c r="AB48" s="79"/>
      <c r="AC48" s="78">
        <v>44.444000000000003</v>
      </c>
      <c r="AD48" s="79">
        <f t="shared" si="32"/>
        <v>0.98553481210555693</v>
      </c>
      <c r="AE48" s="79">
        <f t="shared" si="33"/>
        <v>0.98231357768425376</v>
      </c>
      <c r="AF48" s="79">
        <f t="shared" si="34"/>
        <v>0.96108411805254446</v>
      </c>
      <c r="AG48" s="79">
        <f t="shared" si="35"/>
        <v>0.98713759345827712</v>
      </c>
      <c r="AH48" s="79">
        <f t="shared" si="36"/>
        <v>0.97393227898161783</v>
      </c>
      <c r="AI48" s="79">
        <f t="shared" si="37"/>
        <v>0.97322732061309447</v>
      </c>
      <c r="AJ48" s="79">
        <f t="shared" si="38"/>
        <v>0.97930347327434386</v>
      </c>
      <c r="AK48" s="79">
        <f t="shared" si="39"/>
        <v>0.97157846422018768</v>
      </c>
      <c r="AL48" s="79">
        <f t="shared" si="40"/>
        <v>0.97674198518067912</v>
      </c>
      <c r="AM48" s="79">
        <f t="shared" si="41"/>
        <v>0.96396881092670827</v>
      </c>
    </row>
    <row r="49" spans="1:39" x14ac:dyDescent="0.25">
      <c r="A49" s="55"/>
      <c r="B49" s="55"/>
      <c r="C49" s="78">
        <v>55.555</v>
      </c>
      <c r="D49" s="79">
        <f t="shared" si="12"/>
        <v>0.98137983619194213</v>
      </c>
      <c r="E49" s="79">
        <f t="shared" si="13"/>
        <v>0.97592731414209088</v>
      </c>
      <c r="F49" s="79">
        <f t="shared" si="14"/>
        <v>0.95367981229795495</v>
      </c>
      <c r="G49" s="79">
        <f t="shared" si="15"/>
        <v>0.98252236173794127</v>
      </c>
      <c r="H49" s="79">
        <f t="shared" si="16"/>
        <v>0.96460020462117124</v>
      </c>
      <c r="I49" s="79">
        <f t="shared" si="17"/>
        <v>0.96166578290075677</v>
      </c>
      <c r="J49" s="79">
        <f t="shared" si="18"/>
        <v>0.96752222462448956</v>
      </c>
      <c r="K49" s="79">
        <f t="shared" si="19"/>
        <v>0.95960424866120564</v>
      </c>
      <c r="L49" s="79">
        <f t="shared" si="20"/>
        <v>0.96225366778486177</v>
      </c>
      <c r="M49" s="79">
        <f t="shared" si="21"/>
        <v>0.96752222462448956</v>
      </c>
      <c r="N49" s="79"/>
      <c r="O49" s="79"/>
      <c r="P49" s="78">
        <v>55.555</v>
      </c>
      <c r="Q49" s="79">
        <f t="shared" si="22"/>
        <v>0.96547809620333525</v>
      </c>
      <c r="R49" s="79">
        <f t="shared" si="23"/>
        <v>0.96577048956855616</v>
      </c>
      <c r="S49" s="79">
        <f t="shared" si="24"/>
        <v>0.9572406107677599</v>
      </c>
      <c r="T49" s="79">
        <f t="shared" si="25"/>
        <v>0.97679106523747494</v>
      </c>
      <c r="U49" s="79">
        <f t="shared" si="26"/>
        <v>0.97072231223437111</v>
      </c>
      <c r="V49" s="79">
        <f t="shared" si="27"/>
        <v>0.96195978277152205</v>
      </c>
      <c r="W49" s="79">
        <f t="shared" si="28"/>
        <v>0.96048852213079949</v>
      </c>
      <c r="X49" s="79">
        <f t="shared" si="29"/>
        <v>0.93924767804689457</v>
      </c>
      <c r="Y49" s="79">
        <f t="shared" si="30"/>
        <v>0.94348887648673829</v>
      </c>
      <c r="Z49" s="79">
        <f t="shared" si="31"/>
        <v>0.9437907985247399</v>
      </c>
      <c r="AA49" s="79"/>
      <c r="AB49" s="79"/>
      <c r="AC49" s="78">
        <v>55.555</v>
      </c>
      <c r="AD49" s="79">
        <f t="shared" si="32"/>
        <v>0.98195132812693309</v>
      </c>
      <c r="AE49" s="79">
        <f t="shared" si="33"/>
        <v>0.97794106639630274</v>
      </c>
      <c r="AF49" s="79">
        <f t="shared" si="34"/>
        <v>0.95159412197613913</v>
      </c>
      <c r="AG49" s="79">
        <f t="shared" si="35"/>
        <v>0.98394792565269795</v>
      </c>
      <c r="AH49" s="79">
        <f t="shared" si="36"/>
        <v>0.96752222462448956</v>
      </c>
      <c r="AI49" s="79">
        <f t="shared" si="37"/>
        <v>0.96664690559487532</v>
      </c>
      <c r="AJ49" s="79">
        <f t="shared" si="38"/>
        <v>0.97419662016134523</v>
      </c>
      <c r="AK49" s="79">
        <f t="shared" si="39"/>
        <v>0.96460020462117124</v>
      </c>
      <c r="AL49" s="79">
        <f t="shared" si="40"/>
        <v>0.97101249912321386</v>
      </c>
      <c r="AM49" s="79">
        <f t="shared" si="41"/>
        <v>0.95516572131636679</v>
      </c>
    </row>
    <row r="50" spans="1:39" x14ac:dyDescent="0.25">
      <c r="A50" s="55"/>
      <c r="B50" s="55"/>
      <c r="C50" s="78">
        <v>66.665999999999997</v>
      </c>
      <c r="D50" s="79">
        <f t="shared" si="12"/>
        <v>0.9776976170254239</v>
      </c>
      <c r="E50" s="79">
        <f t="shared" si="13"/>
        <v>0.97118276757637512</v>
      </c>
      <c r="F50" s="79">
        <f t="shared" si="14"/>
        <v>0.94467649024057176</v>
      </c>
      <c r="G50" s="79">
        <f t="shared" si="15"/>
        <v>0.97906366242661169</v>
      </c>
      <c r="H50" s="79">
        <f t="shared" si="16"/>
        <v>0.95767206563394747</v>
      </c>
      <c r="I50" s="79">
        <f t="shared" si="17"/>
        <v>0.95417711536867966</v>
      </c>
      <c r="J50" s="79">
        <f t="shared" si="18"/>
        <v>0.96115435882374045</v>
      </c>
      <c r="K50" s="79">
        <f t="shared" si="19"/>
        <v>0.95172306502633663</v>
      </c>
      <c r="L50" s="79">
        <f t="shared" si="20"/>
        <v>0.95487712645236633</v>
      </c>
      <c r="M50" s="79">
        <f t="shared" si="21"/>
        <v>0.96115435882374045</v>
      </c>
      <c r="N50" s="79"/>
      <c r="O50" s="79"/>
      <c r="P50" s="78">
        <v>66.665999999999997</v>
      </c>
      <c r="Q50" s="79">
        <f t="shared" si="22"/>
        <v>0.95871806426192641</v>
      </c>
      <c r="R50" s="79">
        <f t="shared" si="23"/>
        <v>0.95906649013431255</v>
      </c>
      <c r="S50" s="79">
        <f t="shared" si="24"/>
        <v>0.9489106878414636</v>
      </c>
      <c r="T50" s="79">
        <f t="shared" si="25"/>
        <v>0.97221432112778727</v>
      </c>
      <c r="U50" s="79">
        <f t="shared" si="26"/>
        <v>0.96497045048145336</v>
      </c>
      <c r="V50" s="79">
        <f t="shared" si="27"/>
        <v>0.9545271785975199</v>
      </c>
      <c r="W50" s="79">
        <f t="shared" si="28"/>
        <v>0.95277557515102462</v>
      </c>
      <c r="X50" s="79">
        <f t="shared" si="29"/>
        <v>0.92754749339043563</v>
      </c>
      <c r="Y50" s="79">
        <f t="shared" si="30"/>
        <v>0.93257579931009837</v>
      </c>
      <c r="Z50" s="79">
        <f t="shared" si="31"/>
        <v>0.93293392651530893</v>
      </c>
      <c r="AA50" s="79"/>
      <c r="AB50" s="79"/>
      <c r="AC50" s="78">
        <v>66.665999999999997</v>
      </c>
      <c r="AD50" s="79">
        <f t="shared" si="32"/>
        <v>0.97838087398476681</v>
      </c>
      <c r="AE50" s="79">
        <f t="shared" si="33"/>
        <v>0.97358801819569729</v>
      </c>
      <c r="AF50" s="79">
        <f t="shared" si="34"/>
        <v>0.94219783260431722</v>
      </c>
      <c r="AG50" s="79">
        <f t="shared" si="35"/>
        <v>0.98076856439483562</v>
      </c>
      <c r="AH50" s="79">
        <f t="shared" si="36"/>
        <v>0.96115435882374045</v>
      </c>
      <c r="AI50" s="79">
        <f t="shared" si="37"/>
        <v>0.96011098363690506</v>
      </c>
      <c r="AJ50" s="79">
        <f t="shared" si="38"/>
        <v>0.96911639816875972</v>
      </c>
      <c r="AK50" s="79">
        <f t="shared" si="39"/>
        <v>0.95767206563394747</v>
      </c>
      <c r="AL50" s="79">
        <f t="shared" si="40"/>
        <v>0.96531662174744826</v>
      </c>
      <c r="AM50" s="79">
        <f t="shared" si="41"/>
        <v>0.94644302267491287</v>
      </c>
    </row>
    <row r="51" spans="1:39" x14ac:dyDescent="0.25">
      <c r="A51" s="55"/>
      <c r="B51" s="55"/>
      <c r="C51" s="78">
        <v>77.777000000000001</v>
      </c>
      <c r="D51" s="79">
        <f t="shared" si="12"/>
        <v>0.9740292138529687</v>
      </c>
      <c r="E51" s="79">
        <f t="shared" si="13"/>
        <v>0.96646128699291844</v>
      </c>
      <c r="F51" s="79">
        <f t="shared" si="14"/>
        <v>0.93575816506266918</v>
      </c>
      <c r="G51" s="79">
        <f t="shared" si="15"/>
        <v>0.97561713851341247</v>
      </c>
      <c r="H51" s="79">
        <f t="shared" si="16"/>
        <v>0.95079368727252123</v>
      </c>
      <c r="I51" s="79">
        <f t="shared" si="17"/>
        <v>0.94674676346184683</v>
      </c>
      <c r="J51" s="79">
        <f t="shared" si="18"/>
        <v>0.95482840391022916</v>
      </c>
      <c r="K51" s="79">
        <f t="shared" si="19"/>
        <v>0.9439066091743773</v>
      </c>
      <c r="L51" s="79">
        <f t="shared" si="20"/>
        <v>0.94755713295528254</v>
      </c>
      <c r="M51" s="79">
        <f t="shared" si="21"/>
        <v>0.95482840391022916</v>
      </c>
      <c r="N51" s="79"/>
      <c r="O51" s="79"/>
      <c r="P51" s="78">
        <v>77.777000000000001</v>
      </c>
      <c r="Q51" s="79">
        <f t="shared" si="22"/>
        <v>0.95200536434392502</v>
      </c>
      <c r="R51" s="79">
        <f t="shared" si="23"/>
        <v>0.95240902723115972</v>
      </c>
      <c r="S51" s="79">
        <f t="shared" si="24"/>
        <v>0.94065325203614558</v>
      </c>
      <c r="T51" s="79">
        <f t="shared" si="25"/>
        <v>0.96765902130377235</v>
      </c>
      <c r="U51" s="79">
        <f t="shared" si="26"/>
        <v>0.95925267047694873</v>
      </c>
      <c r="V51" s="79">
        <f t="shared" si="27"/>
        <v>0.94715200260897503</v>
      </c>
      <c r="W51" s="79">
        <f t="shared" si="28"/>
        <v>0.94512456493545061</v>
      </c>
      <c r="X51" s="79">
        <f t="shared" si="29"/>
        <v>0.91599305763939842</v>
      </c>
      <c r="Y51" s="79">
        <f t="shared" si="30"/>
        <v>0.92178895070533817</v>
      </c>
      <c r="Z51" s="79">
        <f t="shared" si="31"/>
        <v>0.92220194624037399</v>
      </c>
      <c r="AA51" s="79"/>
      <c r="AB51" s="79"/>
      <c r="AC51" s="78">
        <v>77.777000000000001</v>
      </c>
      <c r="AD51" s="79">
        <f t="shared" si="32"/>
        <v>0.9748234023015232</v>
      </c>
      <c r="AE51" s="79">
        <f t="shared" si="33"/>
        <v>0.96925434644760822</v>
      </c>
      <c r="AF51" s="79">
        <f t="shared" si="34"/>
        <v>0.93289432465255673</v>
      </c>
      <c r="AG51" s="79">
        <f t="shared" si="35"/>
        <v>0.97759947638187217</v>
      </c>
      <c r="AH51" s="79">
        <f t="shared" si="36"/>
        <v>0.95482840391022916</v>
      </c>
      <c r="AI51" s="79">
        <f t="shared" si="37"/>
        <v>0.95361925390216906</v>
      </c>
      <c r="AJ51" s="79">
        <f t="shared" si="38"/>
        <v>0.96406266842112742</v>
      </c>
      <c r="AK51" s="79">
        <f t="shared" si="39"/>
        <v>0.95079368727252123</v>
      </c>
      <c r="AL51" s="79">
        <f t="shared" si="40"/>
        <v>0.95965415590769187</v>
      </c>
      <c r="AM51" s="79">
        <f t="shared" si="41"/>
        <v>0.93779998086147476</v>
      </c>
    </row>
    <row r="52" spans="1:39" x14ac:dyDescent="0.25">
      <c r="A52" s="55"/>
      <c r="B52" s="55"/>
      <c r="C52" s="78">
        <v>88.888000000000005</v>
      </c>
      <c r="D52" s="79">
        <f t="shared" si="12"/>
        <v>0.97037457483581191</v>
      </c>
      <c r="E52" s="79">
        <f t="shared" si="13"/>
        <v>0.96176276025465357</v>
      </c>
      <c r="F52" s="79">
        <f t="shared" si="14"/>
        <v>0.92692403434159965</v>
      </c>
      <c r="G52" s="79">
        <f t="shared" si="15"/>
        <v>0.97218274713820851</v>
      </c>
      <c r="H52" s="79">
        <f t="shared" si="16"/>
        <v>0.94396471213645849</v>
      </c>
      <c r="I52" s="79">
        <f t="shared" si="17"/>
        <v>0.93937427306580701</v>
      </c>
      <c r="J52" s="79">
        <f t="shared" si="18"/>
        <v>0.94854408404232782</v>
      </c>
      <c r="K52" s="79">
        <f t="shared" si="19"/>
        <v>0.93615434949915344</v>
      </c>
      <c r="L52" s="79">
        <f t="shared" si="20"/>
        <v>0.94029325380350337</v>
      </c>
      <c r="M52" s="79">
        <f t="shared" si="21"/>
        <v>0.94854408404232782</v>
      </c>
      <c r="N52" s="79"/>
      <c r="O52" s="79"/>
      <c r="P52" s="78">
        <v>88.888000000000005</v>
      </c>
      <c r="Q52" s="79">
        <f t="shared" si="22"/>
        <v>0.94533966504254785</v>
      </c>
      <c r="R52" s="79">
        <f t="shared" si="23"/>
        <v>0.9457977778207759</v>
      </c>
      <c r="S52" s="79">
        <f t="shared" si="24"/>
        <v>0.93246767256773333</v>
      </c>
      <c r="T52" s="79">
        <f t="shared" si="25"/>
        <v>0.96312506528845865</v>
      </c>
      <c r="U52" s="79">
        <f t="shared" si="26"/>
        <v>0.95356877027483966</v>
      </c>
      <c r="V52" s="79">
        <f t="shared" si="27"/>
        <v>0.93983381108570441</v>
      </c>
      <c r="W52" s="79">
        <f t="shared" si="28"/>
        <v>0.93753499411740682</v>
      </c>
      <c r="X52" s="79">
        <f t="shared" si="29"/>
        <v>0.90458255520334097</v>
      </c>
      <c r="Y52" s="79">
        <f t="shared" si="30"/>
        <v>0.91112687062117226</v>
      </c>
      <c r="Z52" s="79">
        <f t="shared" si="31"/>
        <v>0.91159342101123397</v>
      </c>
      <c r="AA52" s="79"/>
      <c r="AB52" s="79"/>
      <c r="AC52" s="78">
        <v>88.888000000000005</v>
      </c>
      <c r="AD52" s="79">
        <f t="shared" si="32"/>
        <v>0.97127886587193535</v>
      </c>
      <c r="AE52" s="79">
        <f t="shared" si="33"/>
        <v>0.9649399649028384</v>
      </c>
      <c r="AF52" s="79">
        <f t="shared" si="34"/>
        <v>0.92368268197283709</v>
      </c>
      <c r="AG52" s="79">
        <f t="shared" si="35"/>
        <v>0.9744406284185988</v>
      </c>
      <c r="AH52" s="79">
        <f t="shared" si="36"/>
        <v>0.94854408404232782</v>
      </c>
      <c r="AI52" s="79">
        <f t="shared" si="37"/>
        <v>0.94717141758774293</v>
      </c>
      <c r="AJ52" s="79">
        <f t="shared" si="38"/>
        <v>0.95903529276719357</v>
      </c>
      <c r="AK52" s="79">
        <f t="shared" si="39"/>
        <v>0.94396471213645849</v>
      </c>
      <c r="AL52" s="79">
        <f t="shared" si="40"/>
        <v>0.95402490561469389</v>
      </c>
      <c r="AM52" s="79">
        <f t="shared" si="41"/>
        <v>0.92923586843945194</v>
      </c>
    </row>
    <row r="53" spans="1:39" x14ac:dyDescent="0.25">
      <c r="A53" s="80" t="s">
        <v>223</v>
      </c>
      <c r="B53" s="55"/>
      <c r="C53" s="78">
        <v>99.998999999999995</v>
      </c>
      <c r="D53" s="79">
        <f t="shared" si="12"/>
        <v>0.96673364832969255</v>
      </c>
      <c r="E53" s="79">
        <f t="shared" si="13"/>
        <v>0.95708707576967644</v>
      </c>
      <c r="F53" s="79">
        <f t="shared" si="14"/>
        <v>0.91817330323007751</v>
      </c>
      <c r="G53" s="79">
        <f t="shared" si="15"/>
        <v>0.96876044559174224</v>
      </c>
      <c r="H53" s="79">
        <f t="shared" si="16"/>
        <v>0.93718478539231631</v>
      </c>
      <c r="I53" s="79">
        <f t="shared" si="17"/>
        <v>0.93205919360238143</v>
      </c>
      <c r="J53" s="79">
        <f t="shared" si="18"/>
        <v>0.94230112519389386</v>
      </c>
      <c r="K53" s="79">
        <f t="shared" si="19"/>
        <v>0.92846575876054682</v>
      </c>
      <c r="L53" s="79">
        <f t="shared" si="20"/>
        <v>0.93308505883001447</v>
      </c>
      <c r="M53" s="79">
        <f t="shared" si="21"/>
        <v>0.94230112519389386</v>
      </c>
      <c r="N53" s="79"/>
      <c r="O53" s="79"/>
      <c r="P53" s="78">
        <v>99.998999999999995</v>
      </c>
      <c r="Q53" s="79">
        <f t="shared" si="22"/>
        <v>0.93872063727143784</v>
      </c>
      <c r="R53" s="79">
        <f t="shared" si="23"/>
        <v>0.9392324211072447</v>
      </c>
      <c r="S53" s="79">
        <f t="shared" si="24"/>
        <v>0.92435332414124705</v>
      </c>
      <c r="T53" s="79">
        <f t="shared" si="25"/>
        <v>0.95861235307565817</v>
      </c>
      <c r="U53" s="79">
        <f t="shared" si="26"/>
        <v>0.94791854912570794</v>
      </c>
      <c r="V53" s="79">
        <f t="shared" si="27"/>
        <v>0.93257216373593876</v>
      </c>
      <c r="W53" s="79">
        <f t="shared" si="28"/>
        <v>0.93000636932419312</v>
      </c>
      <c r="X53" s="79">
        <f t="shared" si="29"/>
        <v>0.89331419310858573</v>
      </c>
      <c r="Y53" s="79">
        <f t="shared" si="30"/>
        <v>0.9005881158943283</v>
      </c>
      <c r="Z53" s="79">
        <f t="shared" si="31"/>
        <v>0.90110693066609748</v>
      </c>
      <c r="AA53" s="79"/>
      <c r="AB53" s="79"/>
      <c r="AC53" s="78">
        <v>99.998999999999995</v>
      </c>
      <c r="AD53" s="79">
        <f t="shared" si="32"/>
        <v>0.96774721766237903</v>
      </c>
      <c r="AE53" s="79">
        <f t="shared" si="33"/>
        <v>0.96064478769610639</v>
      </c>
      <c r="AF53" s="79">
        <f t="shared" si="34"/>
        <v>0.91456199746342304</v>
      </c>
      <c r="AG53" s="79">
        <f t="shared" si="35"/>
        <v>0.97129198741706801</v>
      </c>
      <c r="AH53" s="79">
        <f t="shared" si="36"/>
        <v>0.94230112519389386</v>
      </c>
      <c r="AI53" s="79">
        <f t="shared" si="37"/>
        <v>0.94076717791103937</v>
      </c>
      <c r="AJ53" s="79">
        <f t="shared" si="38"/>
        <v>0.95403413377613211</v>
      </c>
      <c r="AK53" s="79">
        <f t="shared" si="39"/>
        <v>0.93718478539231631</v>
      </c>
      <c r="AL53" s="79">
        <f t="shared" si="40"/>
        <v>0.94842867602886027</v>
      </c>
      <c r="AM53" s="79">
        <f t="shared" si="41"/>
        <v>0.9207499646152898</v>
      </c>
    </row>
    <row r="54" spans="1:39" x14ac:dyDescent="0.25">
      <c r="A54" s="55" t="s">
        <v>224</v>
      </c>
      <c r="B54" s="55"/>
      <c r="C54" s="78">
        <v>111.11</v>
      </c>
      <c r="D54" s="79">
        <f t="shared" si="12"/>
        <v>0.96310638288412309</v>
      </c>
      <c r="E54" s="79">
        <f t="shared" si="13"/>
        <v>0.95243412248859538</v>
      </c>
      <c r="F54" s="79">
        <f t="shared" si="14"/>
        <v>0.90950518438466255</v>
      </c>
      <c r="G54" s="79">
        <f t="shared" si="15"/>
        <v>0.96535019131510191</v>
      </c>
      <c r="H54" s="79">
        <f t="shared" si="16"/>
        <v>0.93045355475520541</v>
      </c>
      <c r="I54" s="79">
        <f t="shared" si="17"/>
        <v>0.92480107800212552</v>
      </c>
      <c r="J54" s="79">
        <f t="shared" si="18"/>
        <v>0.93609925514232117</v>
      </c>
      <c r="K54" s="79">
        <f t="shared" si="19"/>
        <v>0.92084031404863698</v>
      </c>
      <c r="L54" s="79">
        <f t="shared" si="20"/>
        <v>0.92593212116541901</v>
      </c>
      <c r="M54" s="79">
        <f t="shared" si="21"/>
        <v>0.93609925514232117</v>
      </c>
      <c r="N54" s="79"/>
      <c r="O54" s="79"/>
      <c r="P54" s="78">
        <v>111.11</v>
      </c>
      <c r="Q54" s="79">
        <f t="shared" si="22"/>
        <v>0.93214795424841657</v>
      </c>
      <c r="R54" s="79">
        <f t="shared" si="23"/>
        <v>0.93271263852148856</v>
      </c>
      <c r="S54" s="79">
        <f t="shared" si="24"/>
        <v>0.9163095869030341</v>
      </c>
      <c r="T54" s="79">
        <f t="shared" si="25"/>
        <v>0.95412078512776111</v>
      </c>
      <c r="U54" s="79">
        <f t="shared" si="26"/>
        <v>0.94230180746964398</v>
      </c>
      <c r="V54" s="79">
        <f t="shared" si="27"/>
        <v>0.9253666236698338</v>
      </c>
      <c r="W54" s="79">
        <f t="shared" si="28"/>
        <v>0.92253820114500729</v>
      </c>
      <c r="X54" s="79">
        <f t="shared" si="29"/>
        <v>0.8821862007164829</v>
      </c>
      <c r="Y54" s="79">
        <f t="shared" si="30"/>
        <v>0.89017126005420777</v>
      </c>
      <c r="Z54" s="79">
        <f t="shared" si="31"/>
        <v>0.89074107137996617</v>
      </c>
      <c r="AA54" s="79"/>
      <c r="AB54" s="79"/>
      <c r="AC54" s="78">
        <v>111.11</v>
      </c>
      <c r="AD54" s="79">
        <f t="shared" si="32"/>
        <v>0.96422841081024779</v>
      </c>
      <c r="AE54" s="79">
        <f t="shared" si="33"/>
        <v>0.9563687293443377</v>
      </c>
      <c r="AF54" s="79">
        <f t="shared" si="34"/>
        <v>0.90553137297953912</v>
      </c>
      <c r="AG54" s="79">
        <f t="shared" si="35"/>
        <v>0.96815352039624725</v>
      </c>
      <c r="AH54" s="79">
        <f t="shared" si="36"/>
        <v>0.93609925514232117</v>
      </c>
      <c r="AI54" s="79">
        <f t="shared" si="37"/>
        <v>0.9344062400961477</v>
      </c>
      <c r="AJ54" s="79">
        <f t="shared" si="38"/>
        <v>0.94905905473378838</v>
      </c>
      <c r="AK54" s="79">
        <f t="shared" si="39"/>
        <v>0.93045355475520541</v>
      </c>
      <c r="AL54" s="79">
        <f t="shared" si="40"/>
        <v>0.94286527345350934</v>
      </c>
      <c r="AM54" s="79">
        <f t="shared" si="41"/>
        <v>0.91234155517781534</v>
      </c>
    </row>
    <row r="55" spans="1:39" x14ac:dyDescent="0.25">
      <c r="A55" s="55" t="s">
        <v>225</v>
      </c>
      <c r="B55" s="55"/>
      <c r="C55" s="78">
        <v>122.221</v>
      </c>
      <c r="D55" s="79">
        <f t="shared" si="12"/>
        <v>0.95949272724166268</v>
      </c>
      <c r="E55" s="79">
        <f t="shared" si="13"/>
        <v>0.94780378990189429</v>
      </c>
      <c r="F55" s="79">
        <f t="shared" si="14"/>
        <v>0.9009188978949193</v>
      </c>
      <c r="G55" s="79">
        <f t="shared" si="15"/>
        <v>0.96195194189919297</v>
      </c>
      <c r="H55" s="79">
        <f t="shared" si="16"/>
        <v>0.92377067047048556</v>
      </c>
      <c r="I55" s="79">
        <f t="shared" si="17"/>
        <v>0.91759948267700708</v>
      </c>
      <c r="J55" s="79">
        <f t="shared" si="18"/>
        <v>0.92993820345667022</v>
      </c>
      <c r="K55" s="79">
        <f t="shared" si="19"/>
        <v>0.91327749674813752</v>
      </c>
      <c r="L55" s="79">
        <f t="shared" si="20"/>
        <v>0.91883401721265878</v>
      </c>
      <c r="M55" s="79">
        <f t="shared" si="21"/>
        <v>0.92993820345667022</v>
      </c>
      <c r="N55" s="79"/>
      <c r="O55" s="79"/>
      <c r="P55" s="78">
        <v>122.221</v>
      </c>
      <c r="Q55" s="79">
        <f t="shared" si="22"/>
        <v>0.92562129147935146</v>
      </c>
      <c r="R55" s="79">
        <f t="shared" si="23"/>
        <v>0.92623811370581188</v>
      </c>
      <c r="S55" s="79">
        <f t="shared" si="24"/>
        <v>0.9083358463934178</v>
      </c>
      <c r="T55" s="79">
        <f t="shared" si="25"/>
        <v>0.94965026237354</v>
      </c>
      <c r="U55" s="79">
        <f t="shared" si="26"/>
        <v>0.93671834692919909</v>
      </c>
      <c r="V55" s="79">
        <f t="shared" si="27"/>
        <v>0.91821675737318409</v>
      </c>
      <c r="W55" s="79">
        <f t="shared" si="28"/>
        <v>0.91513000409913015</v>
      </c>
      <c r="X55" s="79">
        <f t="shared" si="29"/>
        <v>0.87119682944518395</v>
      </c>
      <c r="Y55" s="79">
        <f t="shared" si="30"/>
        <v>0.87987489312980671</v>
      </c>
      <c r="Z55" s="79">
        <f t="shared" si="31"/>
        <v>0.88049445547670435</v>
      </c>
      <c r="AA55" s="79"/>
      <c r="AB55" s="79"/>
      <c r="AC55" s="78">
        <v>122.221</v>
      </c>
      <c r="AD55" s="79">
        <f t="shared" si="32"/>
        <v>0.96072239862333131</v>
      </c>
      <c r="AE55" s="79">
        <f t="shared" si="33"/>
        <v>0.95211170474496321</v>
      </c>
      <c r="AF55" s="79">
        <f t="shared" si="34"/>
        <v>0.89658991924492659</v>
      </c>
      <c r="AG55" s="79">
        <f t="shared" si="35"/>
        <v>0.96502519448167301</v>
      </c>
      <c r="AH55" s="79">
        <f t="shared" si="36"/>
        <v>0.92993820345667022</v>
      </c>
      <c r="AI55" s="79">
        <f t="shared" si="37"/>
        <v>0.92808831136026626</v>
      </c>
      <c r="AJ55" s="79">
        <f t="shared" si="38"/>
        <v>0.9441099196389422</v>
      </c>
      <c r="AK55" s="79">
        <f t="shared" si="39"/>
        <v>0.92377067047048556</v>
      </c>
      <c r="AL55" s="79">
        <f t="shared" si="40"/>
        <v>0.93733450532816787</v>
      </c>
      <c r="AM55" s="79">
        <f t="shared" si="41"/>
        <v>0.90400993243812566</v>
      </c>
    </row>
    <row r="56" spans="1:39" x14ac:dyDescent="0.25">
      <c r="A56" s="55" t="s">
        <v>226</v>
      </c>
      <c r="B56" s="55"/>
      <c r="C56" s="78">
        <v>133.333</v>
      </c>
      <c r="D56" s="79">
        <f t="shared" si="12"/>
        <v>0.95589230693390737</v>
      </c>
      <c r="E56" s="79">
        <f t="shared" si="13"/>
        <v>0.94319555433898872</v>
      </c>
      <c r="F56" s="79">
        <f t="shared" si="14"/>
        <v>0.89241290936022966</v>
      </c>
      <c r="G56" s="79">
        <f t="shared" si="15"/>
        <v>0.95856535085245542</v>
      </c>
      <c r="H56" s="79">
        <f t="shared" si="16"/>
        <v>0.91713519029976798</v>
      </c>
      <c r="I56" s="79">
        <f t="shared" si="17"/>
        <v>0.91045332690122704</v>
      </c>
      <c r="J56" s="79">
        <f t="shared" si="18"/>
        <v>0.92381715245208851</v>
      </c>
      <c r="K56" s="79">
        <f t="shared" si="19"/>
        <v>0.90577612021302123</v>
      </c>
      <c r="L56" s="79">
        <f t="shared" si="20"/>
        <v>0.91178969511974239</v>
      </c>
      <c r="M56" s="79">
        <f t="shared" si="21"/>
        <v>0.92381715245208851</v>
      </c>
      <c r="N56" s="79"/>
      <c r="O56" s="79"/>
      <c r="P56" s="78">
        <v>133.333</v>
      </c>
      <c r="Q56" s="79">
        <f t="shared" si="22"/>
        <v>0.91913974549647581</v>
      </c>
      <c r="R56" s="79">
        <f t="shared" si="23"/>
        <v>0.91980795584374164</v>
      </c>
      <c r="S56" s="79">
        <f t="shared" si="24"/>
        <v>0.9004307852054837</v>
      </c>
      <c r="T56" s="79">
        <f t="shared" si="25"/>
        <v>0.94520028667984701</v>
      </c>
      <c r="U56" s="79">
        <f t="shared" si="26"/>
        <v>0.93116747224652152</v>
      </c>
      <c r="V56" s="79">
        <f t="shared" si="27"/>
        <v>0.91112149863229319</v>
      </c>
      <c r="W56" s="79">
        <f t="shared" si="28"/>
        <v>0.90778063787701246</v>
      </c>
      <c r="X56" s="79">
        <f t="shared" si="29"/>
        <v>0.86034338187172166</v>
      </c>
      <c r="Y56" s="79">
        <f t="shared" si="30"/>
        <v>0.86969671081362887</v>
      </c>
      <c r="Z56" s="79">
        <f t="shared" si="31"/>
        <v>0.870364804911129</v>
      </c>
      <c r="AA56" s="79"/>
      <c r="AB56" s="79"/>
      <c r="AC56" s="78">
        <v>133.333</v>
      </c>
      <c r="AD56" s="79">
        <f t="shared" si="32"/>
        <v>0.95722882075462001</v>
      </c>
      <c r="AE56" s="79">
        <f t="shared" si="33"/>
        <v>0.94787324859386768</v>
      </c>
      <c r="AF56" s="79">
        <f t="shared" si="34"/>
        <v>0.88773596291882795</v>
      </c>
      <c r="AG56" s="79">
        <f t="shared" si="35"/>
        <v>0.9619066967166584</v>
      </c>
      <c r="AH56" s="79">
        <f t="shared" si="36"/>
        <v>0.92381715245208851</v>
      </c>
      <c r="AI56" s="79">
        <f t="shared" si="37"/>
        <v>0.92181253803946983</v>
      </c>
      <c r="AJ56" s="79">
        <f t="shared" si="38"/>
        <v>0.93918615125324156</v>
      </c>
      <c r="AK56" s="79">
        <f t="shared" si="39"/>
        <v>0.91713519029976798</v>
      </c>
      <c r="AL56" s="79">
        <f t="shared" si="40"/>
        <v>0.93183568682206142</v>
      </c>
      <c r="AM56" s="79">
        <f t="shared" si="41"/>
        <v>0.8957536555675345</v>
      </c>
    </row>
    <row r="57" spans="1:39" x14ac:dyDescent="0.25">
      <c r="A57" s="23"/>
      <c r="B57" s="23"/>
      <c r="C57" s="54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spans="1:39" x14ac:dyDescent="0.25">
      <c r="A58" s="23"/>
      <c r="B58" s="23"/>
      <c r="C58" s="54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spans="1:39" ht="15.75" x14ac:dyDescent="0.25">
      <c r="A59" s="81" t="s">
        <v>227</v>
      </c>
      <c r="B59" s="82"/>
      <c r="C59" s="83"/>
      <c r="D59" s="84" t="s">
        <v>228</v>
      </c>
      <c r="E59" s="84" t="s">
        <v>228</v>
      </c>
      <c r="F59" s="85" t="s">
        <v>229</v>
      </c>
      <c r="G59" s="84" t="s">
        <v>228</v>
      </c>
      <c r="H59" s="85" t="s">
        <v>229</v>
      </c>
      <c r="I59" s="84" t="s">
        <v>228</v>
      </c>
      <c r="J59" s="84" t="s">
        <v>228</v>
      </c>
      <c r="K59" s="84" t="s">
        <v>228</v>
      </c>
      <c r="L59" s="86" t="s">
        <v>228</v>
      </c>
      <c r="M59" s="86" t="s">
        <v>228</v>
      </c>
      <c r="N59" s="83"/>
      <c r="O59" s="83"/>
      <c r="P59" s="83"/>
      <c r="Q59" s="84" t="s">
        <v>228</v>
      </c>
      <c r="R59" s="84" t="s">
        <v>228</v>
      </c>
      <c r="S59" s="85" t="s">
        <v>229</v>
      </c>
      <c r="T59" s="84" t="s">
        <v>228</v>
      </c>
      <c r="U59" s="85" t="s">
        <v>229</v>
      </c>
      <c r="V59" s="84" t="s">
        <v>228</v>
      </c>
      <c r="W59" s="84" t="s">
        <v>228</v>
      </c>
      <c r="X59" s="84" t="s">
        <v>228</v>
      </c>
      <c r="Y59" s="86" t="s">
        <v>228</v>
      </c>
      <c r="Z59" s="86" t="s">
        <v>228</v>
      </c>
      <c r="AA59" s="83"/>
      <c r="AB59" s="83"/>
      <c r="AC59" s="83"/>
      <c r="AD59" s="84" t="s">
        <v>228</v>
      </c>
      <c r="AE59" s="84" t="s">
        <v>228</v>
      </c>
      <c r="AF59" s="85" t="s">
        <v>229</v>
      </c>
      <c r="AG59" s="84" t="s">
        <v>228</v>
      </c>
      <c r="AH59" s="85" t="s">
        <v>229</v>
      </c>
      <c r="AI59" s="84" t="s">
        <v>228</v>
      </c>
      <c r="AJ59" s="84" t="s">
        <v>228</v>
      </c>
      <c r="AK59" s="84" t="s">
        <v>228</v>
      </c>
      <c r="AL59" s="84" t="s">
        <v>228</v>
      </c>
      <c r="AM59" s="84" t="s">
        <v>228</v>
      </c>
    </row>
    <row r="60" spans="1:39" ht="15.75" x14ac:dyDescent="0.25">
      <c r="A60" s="87" t="s">
        <v>230</v>
      </c>
      <c r="B60" s="88"/>
      <c r="C60" s="89"/>
      <c r="D60" s="90">
        <v>12.2</v>
      </c>
      <c r="E60" s="90">
        <v>12.1</v>
      </c>
      <c r="F60" s="90">
        <v>12.9</v>
      </c>
      <c r="G60" s="90">
        <v>11.7</v>
      </c>
      <c r="H60" s="90">
        <v>10.9</v>
      </c>
      <c r="I60" s="90">
        <v>11.5</v>
      </c>
      <c r="J60" s="90">
        <v>12</v>
      </c>
      <c r="K60" s="90">
        <v>11.8</v>
      </c>
      <c r="L60" s="91">
        <v>11.8</v>
      </c>
      <c r="M60" s="91">
        <v>11.3</v>
      </c>
      <c r="N60" s="90"/>
      <c r="O60" s="90"/>
      <c r="P60" s="90"/>
      <c r="Q60" s="90">
        <v>12.2</v>
      </c>
      <c r="R60" s="90">
        <v>12</v>
      </c>
      <c r="S60" s="90">
        <v>12.6</v>
      </c>
      <c r="T60" s="90">
        <v>11.8</v>
      </c>
      <c r="U60" s="90">
        <v>10.3</v>
      </c>
      <c r="V60" s="90">
        <v>10.5</v>
      </c>
      <c r="W60" s="90">
        <v>11.5</v>
      </c>
      <c r="X60" s="90">
        <v>11</v>
      </c>
      <c r="Y60" s="91">
        <v>11.4</v>
      </c>
      <c r="Z60" s="91">
        <v>10.8</v>
      </c>
      <c r="AA60" s="90"/>
      <c r="AB60" s="90"/>
      <c r="AC60" s="90"/>
      <c r="AD60" s="90">
        <v>12</v>
      </c>
      <c r="AE60" s="90">
        <v>12.1</v>
      </c>
      <c r="AF60" s="90">
        <v>12.9</v>
      </c>
      <c r="AG60" s="90">
        <v>11.7</v>
      </c>
      <c r="AH60" s="90">
        <v>10.5</v>
      </c>
      <c r="AI60" s="90">
        <v>11</v>
      </c>
      <c r="AJ60" s="90">
        <v>12</v>
      </c>
      <c r="AK60" s="90">
        <v>11.6</v>
      </c>
      <c r="AL60" s="91">
        <v>11.7</v>
      </c>
      <c r="AM60" s="91">
        <v>11.5</v>
      </c>
    </row>
    <row r="61" spans="1:39" ht="15.75" x14ac:dyDescent="0.25">
      <c r="A61" s="92" t="s">
        <v>220</v>
      </c>
      <c r="B61" s="93"/>
      <c r="C61" s="94"/>
      <c r="D61" s="95">
        <f>0.1*D40/0.0067</f>
        <v>0.10392625415126736</v>
      </c>
      <c r="E61" s="95">
        <f t="shared" ref="E61:K61" si="42">0.1*E40/0.0067</f>
        <v>9.9582552347137171E-2</v>
      </c>
      <c r="F61" s="95">
        <f t="shared" si="42"/>
        <v>5.7901800330154261E-2</v>
      </c>
      <c r="G61" s="95">
        <f t="shared" si="42"/>
        <v>4.3739573203533444E-2</v>
      </c>
      <c r="H61" s="95">
        <f t="shared" si="42"/>
        <v>6.7257708248421907E-2</v>
      </c>
      <c r="I61" s="95">
        <f t="shared" si="42"/>
        <v>0.18304158951206287</v>
      </c>
      <c r="J61" s="95">
        <f t="shared" si="42"/>
        <v>0.11603877574542097</v>
      </c>
      <c r="K61" s="95">
        <f t="shared" si="42"/>
        <v>0.10419457268629473</v>
      </c>
      <c r="L61" s="95"/>
      <c r="M61" s="95"/>
      <c r="N61" s="95"/>
      <c r="O61" s="95"/>
      <c r="P61" s="95"/>
      <c r="Q61" s="95">
        <f t="shared" ref="Q61:X61" si="43">0.1*Q40/0.0067</f>
        <v>7.6170457710972916E-2</v>
      </c>
      <c r="R61" s="95">
        <f t="shared" si="43"/>
        <v>6.5845635416551807E-2</v>
      </c>
      <c r="S61" s="95">
        <f t="shared" si="43"/>
        <v>3.8812302054844344E-2</v>
      </c>
      <c r="T61" s="95">
        <f t="shared" si="43"/>
        <v>3.2540327497603196E-2</v>
      </c>
      <c r="U61" s="95">
        <f t="shared" si="43"/>
        <v>3.2513942665927401E-2</v>
      </c>
      <c r="V61" s="95">
        <f t="shared" si="43"/>
        <v>9.6884892359463307E-2</v>
      </c>
      <c r="W61" s="95">
        <f t="shared" si="43"/>
        <v>7.6623741876338761E-2</v>
      </c>
      <c r="X61" s="95">
        <f t="shared" si="43"/>
        <v>8.0862695430696158E-2</v>
      </c>
      <c r="Y61" s="96"/>
      <c r="Z61" s="96"/>
      <c r="AA61" s="95"/>
      <c r="AB61" s="95"/>
      <c r="AC61" s="95"/>
      <c r="AD61" s="95">
        <f t="shared" ref="AD61:AK61" si="44">0.1*AD40/0.0067</f>
        <v>6.6665350111961244E-2</v>
      </c>
      <c r="AE61" s="95">
        <f t="shared" si="44"/>
        <v>6.7733019532091626E-2</v>
      </c>
      <c r="AF61" s="95">
        <f t="shared" si="44"/>
        <v>3.8757941812589271E-2</v>
      </c>
      <c r="AG61" s="95">
        <f t="shared" si="44"/>
        <v>2.9031208014009748E-2</v>
      </c>
      <c r="AH61" s="95">
        <f t="shared" si="44"/>
        <v>5.366318894099463E-2</v>
      </c>
      <c r="AI61" s="95">
        <f t="shared" si="44"/>
        <v>0.12613252896493191</v>
      </c>
      <c r="AJ61" s="95">
        <f t="shared" si="44"/>
        <v>9.6001476488688772E-2</v>
      </c>
      <c r="AK61" s="95">
        <f t="shared" si="44"/>
        <v>8.9518167486503958E-2</v>
      </c>
      <c r="AL61" s="96"/>
      <c r="AM61" s="96"/>
    </row>
    <row r="62" spans="1:39" ht="15.75" x14ac:dyDescent="0.25">
      <c r="A62" s="97" t="s">
        <v>231</v>
      </c>
      <c r="B62" s="98"/>
      <c r="C62" s="99"/>
      <c r="D62" s="100">
        <f>D60/13.1</f>
        <v>0.93129770992366412</v>
      </c>
      <c r="E62" s="100">
        <f t="shared" ref="E62:M63" si="45">E60/13.1</f>
        <v>0.92366412213740456</v>
      </c>
      <c r="F62" s="100">
        <f t="shared" si="45"/>
        <v>0.984732824427481</v>
      </c>
      <c r="G62" s="100">
        <f t="shared" si="45"/>
        <v>0.89312977099236635</v>
      </c>
      <c r="H62" s="100">
        <f t="shared" si="45"/>
        <v>0.83206106870229013</v>
      </c>
      <c r="I62" s="100">
        <f t="shared" si="45"/>
        <v>0.87786259541984735</v>
      </c>
      <c r="J62" s="100">
        <f t="shared" si="45"/>
        <v>0.91603053435114501</v>
      </c>
      <c r="K62" s="100">
        <f t="shared" si="45"/>
        <v>0.90076335877862601</v>
      </c>
      <c r="L62" s="101">
        <f t="shared" si="45"/>
        <v>0.90076335877862601</v>
      </c>
      <c r="M62" s="101">
        <f t="shared" si="45"/>
        <v>0.86259541984732835</v>
      </c>
      <c r="N62" s="100"/>
      <c r="O62" s="100"/>
      <c r="P62" s="100"/>
      <c r="Q62" s="100">
        <f t="shared" ref="Q62:Z63" si="46">Q60/13.1</f>
        <v>0.93129770992366412</v>
      </c>
      <c r="R62" s="100">
        <f t="shared" si="46"/>
        <v>0.91603053435114501</v>
      </c>
      <c r="S62" s="100">
        <f t="shared" si="46"/>
        <v>0.96183206106870234</v>
      </c>
      <c r="T62" s="100">
        <f t="shared" si="46"/>
        <v>0.90076335877862601</v>
      </c>
      <c r="U62" s="100">
        <f t="shared" si="46"/>
        <v>0.78625954198473291</v>
      </c>
      <c r="V62" s="100">
        <f t="shared" si="46"/>
        <v>0.80152671755725191</v>
      </c>
      <c r="W62" s="100">
        <f t="shared" si="46"/>
        <v>0.87786259541984735</v>
      </c>
      <c r="X62" s="100">
        <f t="shared" si="46"/>
        <v>0.83969465648854968</v>
      </c>
      <c r="Y62" s="101">
        <f t="shared" si="46"/>
        <v>0.87022900763358779</v>
      </c>
      <c r="Z62" s="101">
        <f t="shared" si="46"/>
        <v>0.82442748091603058</v>
      </c>
      <c r="AA62" s="100"/>
      <c r="AB62" s="100"/>
      <c r="AC62" s="100"/>
      <c r="AD62" s="100">
        <f t="shared" ref="AD62:AM63" si="47">AD60/13.1</f>
        <v>0.91603053435114501</v>
      </c>
      <c r="AE62" s="100">
        <f t="shared" si="47"/>
        <v>0.92366412213740456</v>
      </c>
      <c r="AF62" s="100">
        <f t="shared" si="47"/>
        <v>0.984732824427481</v>
      </c>
      <c r="AG62" s="100">
        <f t="shared" si="47"/>
        <v>0.89312977099236635</v>
      </c>
      <c r="AH62" s="100">
        <f t="shared" si="47"/>
        <v>0.80152671755725191</v>
      </c>
      <c r="AI62" s="100">
        <f t="shared" si="47"/>
        <v>0.83969465648854968</v>
      </c>
      <c r="AJ62" s="100">
        <f t="shared" si="47"/>
        <v>0.91603053435114501</v>
      </c>
      <c r="AK62" s="100">
        <f t="shared" si="47"/>
        <v>0.8854961832061069</v>
      </c>
      <c r="AL62" s="101">
        <f t="shared" si="47"/>
        <v>0.89312977099236635</v>
      </c>
      <c r="AM62" s="101">
        <f t="shared" si="47"/>
        <v>0.87786259541984735</v>
      </c>
    </row>
    <row r="63" spans="1:39" ht="15.75" x14ac:dyDescent="0.25">
      <c r="A63" s="92" t="s">
        <v>220</v>
      </c>
      <c r="B63" s="93"/>
      <c r="C63" s="94"/>
      <c r="D63" s="95">
        <f>D61/13.1</f>
        <v>7.9333018436081957E-3</v>
      </c>
      <c r="E63" s="95">
        <f t="shared" si="45"/>
        <v>7.6017215532165781E-3</v>
      </c>
      <c r="F63" s="95">
        <f t="shared" si="45"/>
        <v>4.4199847580270431E-3</v>
      </c>
      <c r="G63" s="95">
        <f t="shared" si="45"/>
        <v>3.3388987178269804E-3</v>
      </c>
      <c r="H63" s="95">
        <f t="shared" si="45"/>
        <v>5.1341762021696116E-3</v>
      </c>
      <c r="I63" s="95">
        <f t="shared" si="45"/>
        <v>1.3972640420768158E-2</v>
      </c>
      <c r="J63" s="95">
        <f t="shared" si="45"/>
        <v>8.857921812627555E-3</v>
      </c>
      <c r="K63" s="95">
        <f t="shared" si="45"/>
        <v>7.9537841745263155E-3</v>
      </c>
      <c r="L63" s="95"/>
      <c r="M63" s="95"/>
      <c r="N63" s="95"/>
      <c r="O63" s="95"/>
      <c r="P63" s="95"/>
      <c r="Q63" s="95">
        <f t="shared" si="46"/>
        <v>5.8145387565628178E-3</v>
      </c>
      <c r="R63" s="95">
        <f t="shared" si="46"/>
        <v>5.0263843829428858E-3</v>
      </c>
      <c r="S63" s="95">
        <f t="shared" si="46"/>
        <v>2.9627711492247592E-3</v>
      </c>
      <c r="T63" s="95">
        <f t="shared" si="46"/>
        <v>2.483994465465893E-3</v>
      </c>
      <c r="U63" s="95">
        <f t="shared" si="46"/>
        <v>2.4819803561776641E-3</v>
      </c>
      <c r="V63" s="95">
        <f t="shared" si="46"/>
        <v>7.3957933098826954E-3</v>
      </c>
      <c r="W63" s="95">
        <f t="shared" si="46"/>
        <v>5.8491406012472335E-3</v>
      </c>
      <c r="X63" s="95">
        <f t="shared" si="46"/>
        <v>6.1727248420378744E-3</v>
      </c>
      <c r="Y63" s="95"/>
      <c r="Z63" s="95"/>
      <c r="AA63" s="95"/>
      <c r="AB63" s="95"/>
      <c r="AC63" s="95"/>
      <c r="AD63" s="95">
        <f t="shared" si="47"/>
        <v>5.0889580238138356E-3</v>
      </c>
      <c r="AE63" s="95">
        <f t="shared" si="47"/>
        <v>5.1704595062665362E-3</v>
      </c>
      <c r="AF63" s="95">
        <f t="shared" si="47"/>
        <v>2.9586215124113948E-3</v>
      </c>
      <c r="AG63" s="95">
        <f t="shared" si="47"/>
        <v>2.2161227491610497E-3</v>
      </c>
      <c r="AH63" s="95">
        <f t="shared" si="47"/>
        <v>4.0964266367171471E-3</v>
      </c>
      <c r="AI63" s="95">
        <f t="shared" si="47"/>
        <v>9.6284373255673215E-3</v>
      </c>
      <c r="AJ63" s="95">
        <f t="shared" si="47"/>
        <v>7.3283569838693725E-3</v>
      </c>
      <c r="AK63" s="95">
        <f t="shared" si="47"/>
        <v>6.8334478997331268E-3</v>
      </c>
      <c r="AL63" s="95"/>
      <c r="AM63" s="95"/>
    </row>
    <row r="64" spans="1:39" x14ac:dyDescent="0.25">
      <c r="A64" s="23"/>
      <c r="B64" s="23"/>
      <c r="C64" s="54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spans="1:39" ht="15.75" x14ac:dyDescent="0.25">
      <c r="A65" s="59" t="s">
        <v>232</v>
      </c>
      <c r="B65" s="60"/>
      <c r="C65" s="62">
        <v>0</v>
      </c>
      <c r="D65" s="63">
        <v>1</v>
      </c>
      <c r="E65" s="63">
        <v>1</v>
      </c>
      <c r="F65" s="63">
        <v>1</v>
      </c>
      <c r="G65" s="63">
        <v>1</v>
      </c>
      <c r="H65" s="63">
        <v>1</v>
      </c>
      <c r="I65" s="63">
        <v>1</v>
      </c>
      <c r="J65" s="63">
        <v>1</v>
      </c>
      <c r="K65" s="63">
        <v>1</v>
      </c>
      <c r="L65" s="63">
        <v>1</v>
      </c>
      <c r="M65" s="63">
        <v>1</v>
      </c>
      <c r="N65" s="63"/>
      <c r="O65" s="63"/>
      <c r="P65" s="62">
        <v>0</v>
      </c>
      <c r="Q65" s="63">
        <v>1</v>
      </c>
      <c r="R65" s="63">
        <v>1</v>
      </c>
      <c r="S65" s="63">
        <v>1</v>
      </c>
      <c r="T65" s="63">
        <v>1</v>
      </c>
      <c r="U65" s="63">
        <v>1</v>
      </c>
      <c r="V65" s="63">
        <v>1</v>
      </c>
      <c r="W65" s="63">
        <v>1</v>
      </c>
      <c r="X65" s="63">
        <v>1</v>
      </c>
      <c r="Y65" s="63">
        <v>1</v>
      </c>
      <c r="Z65" s="63">
        <v>1</v>
      </c>
      <c r="AA65" s="63"/>
      <c r="AB65" s="63"/>
      <c r="AC65" s="62">
        <v>0</v>
      </c>
      <c r="AD65" s="63">
        <v>1</v>
      </c>
      <c r="AE65" s="63">
        <v>1</v>
      </c>
      <c r="AF65" s="63">
        <v>1</v>
      </c>
      <c r="AG65" s="63">
        <v>1</v>
      </c>
      <c r="AH65" s="63">
        <v>1</v>
      </c>
      <c r="AI65" s="63">
        <v>1</v>
      </c>
      <c r="AJ65" s="63">
        <v>1</v>
      </c>
      <c r="AK65" s="63">
        <v>1</v>
      </c>
      <c r="AL65" s="63">
        <v>1</v>
      </c>
      <c r="AM65" s="63">
        <v>1</v>
      </c>
    </row>
    <row r="66" spans="1:39" x14ac:dyDescent="0.25">
      <c r="A66" s="60" t="s">
        <v>233</v>
      </c>
      <c r="B66" s="60"/>
      <c r="C66" s="62">
        <v>11.111000000000001</v>
      </c>
      <c r="D66" s="63">
        <v>0.93173635775345098</v>
      </c>
      <c r="E66" s="63">
        <v>0.93281312058446897</v>
      </c>
      <c r="F66" s="63">
        <v>0.90041940186793101</v>
      </c>
      <c r="G66" s="63">
        <v>0.93704000010924804</v>
      </c>
      <c r="H66" s="63">
        <v>0.92814853178415402</v>
      </c>
      <c r="I66" s="63">
        <v>0.93910504822199203</v>
      </c>
      <c r="J66" s="63">
        <v>0.93388188703457997</v>
      </c>
      <c r="K66" s="63">
        <v>0.93599534744684298</v>
      </c>
      <c r="L66" s="63">
        <v>0.93599534744684298</v>
      </c>
      <c r="M66" s="63">
        <v>0.94113761897959103</v>
      </c>
      <c r="N66" s="63"/>
      <c r="O66" s="63"/>
      <c r="P66" s="62">
        <v>11.111000000000001</v>
      </c>
      <c r="Q66" s="63">
        <v>0.93173635775345098</v>
      </c>
      <c r="R66" s="63">
        <v>0.93388188703457997</v>
      </c>
      <c r="S66" s="63">
        <v>0.90483577622999101</v>
      </c>
      <c r="T66" s="63">
        <v>0.93599534744684298</v>
      </c>
      <c r="U66" s="63">
        <v>0.93565973985695805</v>
      </c>
      <c r="V66" s="63">
        <v>0.94893998207183505</v>
      </c>
      <c r="W66" s="63">
        <v>0.93910504822199203</v>
      </c>
      <c r="X66" s="63">
        <v>0.94412523258134695</v>
      </c>
      <c r="Y66" s="63">
        <v>0.94012540327482197</v>
      </c>
      <c r="Z66" s="63">
        <v>0.94607591898411003</v>
      </c>
      <c r="AA66" s="63"/>
      <c r="AB66" s="63"/>
      <c r="AC66" s="62">
        <v>11.111000000000001</v>
      </c>
      <c r="AD66" s="63">
        <v>0.93388188703457997</v>
      </c>
      <c r="AE66" s="63">
        <v>0.93281312058446897</v>
      </c>
      <c r="AF66" s="63">
        <v>0.90041940186793101</v>
      </c>
      <c r="AG66" s="63">
        <v>0.93704000010924804</v>
      </c>
      <c r="AH66" s="63">
        <v>0.93319851660837805</v>
      </c>
      <c r="AI66" s="63">
        <v>0.94412523258134695</v>
      </c>
      <c r="AJ66" s="63">
        <v>0.93388188703457997</v>
      </c>
      <c r="AK66" s="63">
        <v>0.93807657379242204</v>
      </c>
      <c r="AL66" s="63">
        <v>0.93704000010924804</v>
      </c>
      <c r="AM66" s="63">
        <v>0.93910504822199203</v>
      </c>
    </row>
    <row r="67" spans="1:39" x14ac:dyDescent="0.25">
      <c r="A67" s="60"/>
      <c r="B67" s="60"/>
      <c r="C67" s="62">
        <v>22.222000000000001</v>
      </c>
      <c r="D67" s="63">
        <v>0.77548174435634298</v>
      </c>
      <c r="E67" s="63">
        <v>0.77880371142511695</v>
      </c>
      <c r="F67" s="63">
        <v>0.68228958619080304</v>
      </c>
      <c r="G67" s="63">
        <v>0.79191129322578002</v>
      </c>
      <c r="H67" s="63">
        <v>0.76461949717446198</v>
      </c>
      <c r="I67" s="63">
        <v>0.79835395168664003</v>
      </c>
      <c r="J67" s="63">
        <v>0.782107862406486</v>
      </c>
      <c r="K67" s="63">
        <v>0.78866186500546498</v>
      </c>
      <c r="L67" s="63">
        <v>0.78866186500546498</v>
      </c>
      <c r="M67" s="63">
        <v>0.80472028783164695</v>
      </c>
      <c r="N67" s="63"/>
      <c r="O67" s="63"/>
      <c r="P67" s="62">
        <v>22.222000000000001</v>
      </c>
      <c r="Q67" s="63">
        <v>0.77548174435634298</v>
      </c>
      <c r="R67" s="63">
        <v>0.782107862406486</v>
      </c>
      <c r="S67" s="63">
        <v>0.69508740814285797</v>
      </c>
      <c r="T67" s="63">
        <v>0.78866186500546498</v>
      </c>
      <c r="U67" s="63">
        <v>0.78773216612044605</v>
      </c>
      <c r="V67" s="63">
        <v>0.82938951923648896</v>
      </c>
      <c r="W67" s="63">
        <v>0.79835395168664003</v>
      </c>
      <c r="X67" s="63">
        <v>0.81412306820781799</v>
      </c>
      <c r="Y67" s="63">
        <v>0.801546763951547</v>
      </c>
      <c r="Z67" s="63">
        <v>0.820291385840621</v>
      </c>
      <c r="AA67" s="63"/>
      <c r="AB67" s="63"/>
      <c r="AC67" s="62">
        <v>22.222000000000001</v>
      </c>
      <c r="AD67" s="63">
        <v>0.782107862406486</v>
      </c>
      <c r="AE67" s="63">
        <v>0.77880371142511695</v>
      </c>
      <c r="AF67" s="63">
        <v>0.68228958619080304</v>
      </c>
      <c r="AG67" s="63">
        <v>0.79191129322578002</v>
      </c>
      <c r="AH67" s="63">
        <v>0.780120555877722</v>
      </c>
      <c r="AI67" s="63">
        <v>0.81412306820781799</v>
      </c>
      <c r="AJ67" s="63">
        <v>0.782107862406486</v>
      </c>
      <c r="AK67" s="63">
        <v>0.79514205860438403</v>
      </c>
      <c r="AL67" s="63">
        <v>0.79191129322578002</v>
      </c>
      <c r="AM67" s="63">
        <v>0.79835395168664003</v>
      </c>
    </row>
    <row r="68" spans="1:39" x14ac:dyDescent="0.25">
      <c r="A68" s="60"/>
      <c r="B68" s="60"/>
      <c r="C68" s="62">
        <v>33.332999999999998</v>
      </c>
      <c r="D68" s="63">
        <v>0.61954833354350802</v>
      </c>
      <c r="E68" s="63">
        <v>0.624757838267607</v>
      </c>
      <c r="F68" s="63">
        <v>0.48022583561628301</v>
      </c>
      <c r="G68" s="63">
        <v>0.64544052321135004</v>
      </c>
      <c r="H68" s="63">
        <v>0.60313293360496301</v>
      </c>
      <c r="I68" s="63">
        <v>0.65568071419484797</v>
      </c>
      <c r="J68" s="63">
        <v>0.62995237768741597</v>
      </c>
      <c r="K68" s="63">
        <v>0.64029428818215595</v>
      </c>
      <c r="L68" s="63">
        <v>0.64029428818215595</v>
      </c>
      <c r="M68" s="63">
        <v>0.66584741890983701</v>
      </c>
      <c r="N68" s="63"/>
      <c r="O68" s="63"/>
      <c r="P68" s="62">
        <v>33.332999999999998</v>
      </c>
      <c r="Q68" s="63">
        <v>0.61954833354350802</v>
      </c>
      <c r="R68" s="63">
        <v>0.62995237768741597</v>
      </c>
      <c r="S68" s="63">
        <v>0.49874303327710801</v>
      </c>
      <c r="T68" s="63">
        <v>0.64029428818215595</v>
      </c>
      <c r="U68" s="63">
        <v>0.63920407148620095</v>
      </c>
      <c r="V68" s="63">
        <v>0.70568895832913403</v>
      </c>
      <c r="W68" s="63">
        <v>0.65568071419484797</v>
      </c>
      <c r="X68" s="63">
        <v>0.68094978305332499</v>
      </c>
      <c r="Y68" s="63">
        <v>0.66077353567103803</v>
      </c>
      <c r="Z68" s="63">
        <v>0.69091297849648503</v>
      </c>
      <c r="AA68" s="63"/>
      <c r="AB68" s="63"/>
      <c r="AC68" s="62">
        <v>33.332999999999998</v>
      </c>
      <c r="AD68" s="63">
        <v>0.62995237768741597</v>
      </c>
      <c r="AE68" s="63">
        <v>0.624757838267607</v>
      </c>
      <c r="AF68" s="63">
        <v>0.48022583561628301</v>
      </c>
      <c r="AG68" s="63">
        <v>0.64544052321135004</v>
      </c>
      <c r="AH68" s="63">
        <v>0.62725115030997403</v>
      </c>
      <c r="AI68" s="63">
        <v>0.68094978305332499</v>
      </c>
      <c r="AJ68" s="63">
        <v>0.62995237768741597</v>
      </c>
      <c r="AK68" s="63">
        <v>0.65056952102852905</v>
      </c>
      <c r="AL68" s="63">
        <v>0.64544052321135004</v>
      </c>
      <c r="AM68" s="63">
        <v>0.65568071419484797</v>
      </c>
    </row>
    <row r="69" spans="1:39" x14ac:dyDescent="0.25">
      <c r="A69" s="60"/>
      <c r="B69" s="60"/>
      <c r="C69" s="62">
        <v>44.444000000000003</v>
      </c>
      <c r="D69" s="63">
        <v>0.514003766091221</v>
      </c>
      <c r="E69" s="63">
        <v>0.52023390437916395</v>
      </c>
      <c r="F69" s="63">
        <v>0.352778264100713</v>
      </c>
      <c r="G69" s="63">
        <v>0.54510113527661297</v>
      </c>
      <c r="H69" s="63">
        <v>0.49444620943527301</v>
      </c>
      <c r="I69" s="63">
        <v>0.55749027528798301</v>
      </c>
      <c r="J69" s="63">
        <v>0.52645959886165195</v>
      </c>
      <c r="K69" s="63">
        <v>0.53889410536530402</v>
      </c>
      <c r="L69" s="63">
        <v>0.53889410536530402</v>
      </c>
      <c r="M69" s="63">
        <v>0.56984020035386596</v>
      </c>
      <c r="N69" s="63"/>
      <c r="O69" s="63"/>
      <c r="P69" s="62">
        <v>44.444000000000003</v>
      </c>
      <c r="Q69" s="63">
        <v>0.514003766091221</v>
      </c>
      <c r="R69" s="63">
        <v>0.52645959886165195</v>
      </c>
      <c r="S69" s="63">
        <v>0.37356351896736101</v>
      </c>
      <c r="T69" s="63">
        <v>0.53889410536530402</v>
      </c>
      <c r="U69" s="63">
        <v>0.53756670634057502</v>
      </c>
      <c r="V69" s="63">
        <v>0.61870323034066699</v>
      </c>
      <c r="W69" s="63">
        <v>0.55749027528798301</v>
      </c>
      <c r="X69" s="63">
        <v>0.58827577990883195</v>
      </c>
      <c r="Y69" s="63">
        <v>0.56367058976219497</v>
      </c>
      <c r="Z69" s="63">
        <v>0.60049607227053603</v>
      </c>
      <c r="AA69" s="63"/>
      <c r="AB69" s="63"/>
      <c r="AC69" s="62">
        <v>44.444000000000003</v>
      </c>
      <c r="AD69" s="63">
        <v>0.52645959886165195</v>
      </c>
      <c r="AE69" s="63">
        <v>0.52023390437916395</v>
      </c>
      <c r="AF69" s="63">
        <v>0.352778264100713</v>
      </c>
      <c r="AG69" s="63">
        <v>0.54510113527661297</v>
      </c>
      <c r="AH69" s="63">
        <v>0.52320561126984899</v>
      </c>
      <c r="AI69" s="63">
        <v>0.58827577990883195</v>
      </c>
      <c r="AJ69" s="63">
        <v>0.52645959886165195</v>
      </c>
      <c r="AK69" s="63">
        <v>0.55130015752555594</v>
      </c>
      <c r="AL69" s="63">
        <v>0.54510113527661297</v>
      </c>
      <c r="AM69" s="63">
        <v>0.55749027528798301</v>
      </c>
    </row>
    <row r="70" spans="1:39" x14ac:dyDescent="0.25">
      <c r="A70" s="60"/>
      <c r="B70" s="60"/>
      <c r="C70" s="62">
        <v>55.555</v>
      </c>
      <c r="D70" s="63">
        <v>0.46207411198618198</v>
      </c>
      <c r="E70" s="63">
        <v>0.46868369056177001</v>
      </c>
      <c r="F70" s="63">
        <v>0.29104009490410898</v>
      </c>
      <c r="G70" s="63">
        <v>0.49516139785464702</v>
      </c>
      <c r="H70" s="63">
        <v>0.43983847375641899</v>
      </c>
      <c r="I70" s="63">
        <v>0.50840845393577305</v>
      </c>
      <c r="J70" s="63">
        <v>0.47529830515038002</v>
      </c>
      <c r="K70" s="63">
        <v>0.48853826019339203</v>
      </c>
      <c r="L70" s="63">
        <v>0.48853826019339203</v>
      </c>
      <c r="M70" s="63">
        <v>0.52164911902005795</v>
      </c>
      <c r="N70" s="63"/>
      <c r="O70" s="63"/>
      <c r="P70" s="62">
        <v>55.555</v>
      </c>
      <c r="Q70" s="63">
        <v>0.46207411198618198</v>
      </c>
      <c r="R70" s="63">
        <v>0.47529830515038002</v>
      </c>
      <c r="S70" s="63">
        <v>0.31257091620711402</v>
      </c>
      <c r="T70" s="63">
        <v>0.48853826019339203</v>
      </c>
      <c r="U70" s="63">
        <v>0.485994814005131</v>
      </c>
      <c r="V70" s="63">
        <v>0.57436784507147598</v>
      </c>
      <c r="W70" s="63">
        <v>0.50840845393577305</v>
      </c>
      <c r="X70" s="63">
        <v>0.54147850413385001</v>
      </c>
      <c r="Y70" s="63">
        <v>0.51503014457370999</v>
      </c>
      <c r="Z70" s="63">
        <v>0.55466385598130696</v>
      </c>
      <c r="AA70" s="63"/>
      <c r="AB70" s="63"/>
      <c r="AC70" s="62">
        <v>55.555</v>
      </c>
      <c r="AD70" s="63">
        <v>0.47529830515038002</v>
      </c>
      <c r="AE70" s="63">
        <v>0.46868369056177001</v>
      </c>
      <c r="AF70" s="63">
        <v>0.29104009490410898</v>
      </c>
      <c r="AG70" s="63">
        <v>0.49516139785464702</v>
      </c>
      <c r="AH70" s="63">
        <v>0.47058188529662798</v>
      </c>
      <c r="AI70" s="63">
        <v>0.54147850413385001</v>
      </c>
      <c r="AJ70" s="63">
        <v>0.47529830515038002</v>
      </c>
      <c r="AK70" s="63">
        <v>0.501785166433804</v>
      </c>
      <c r="AL70" s="63">
        <v>0.49516139785464702</v>
      </c>
      <c r="AM70" s="63">
        <v>0.50840845393577305</v>
      </c>
    </row>
    <row r="71" spans="1:39" x14ac:dyDescent="0.25">
      <c r="A71" s="60"/>
      <c r="B71" s="60"/>
      <c r="C71" s="62">
        <v>66.665999999999997</v>
      </c>
      <c r="D71" s="63">
        <v>0.44778172751869699</v>
      </c>
      <c r="E71" s="63">
        <v>0.45446726263105303</v>
      </c>
      <c r="F71" s="63">
        <v>0.273340618702333</v>
      </c>
      <c r="G71" s="63">
        <v>0.48128530395549401</v>
      </c>
      <c r="H71" s="63">
        <v>0.42414217841405999</v>
      </c>
      <c r="I71" s="63">
        <v>0.49472335210620999</v>
      </c>
      <c r="J71" s="63">
        <v>0.46116156097620398</v>
      </c>
      <c r="K71" s="63">
        <v>0.47457176003134899</v>
      </c>
      <c r="L71" s="63">
        <v>0.47457176003134899</v>
      </c>
      <c r="M71" s="63">
        <v>0.50816805760046901</v>
      </c>
      <c r="N71" s="63"/>
      <c r="O71" s="63"/>
      <c r="P71" s="62">
        <v>66.665999999999997</v>
      </c>
      <c r="Q71" s="63">
        <v>0.44778172751869699</v>
      </c>
      <c r="R71" s="63">
        <v>0.46116156097620398</v>
      </c>
      <c r="S71" s="63">
        <v>0.295087552966599</v>
      </c>
      <c r="T71" s="63">
        <v>0.47457176003134899</v>
      </c>
      <c r="U71" s="63">
        <v>0.47114258539432902</v>
      </c>
      <c r="V71" s="63">
        <v>0.56182062420914503</v>
      </c>
      <c r="W71" s="63">
        <v>0.49472335210620999</v>
      </c>
      <c r="X71" s="63">
        <v>0.52832657685914297</v>
      </c>
      <c r="Y71" s="63">
        <v>0.501445471467869</v>
      </c>
      <c r="Z71" s="63">
        <v>0.54174579531299505</v>
      </c>
      <c r="AA71" s="63"/>
      <c r="AB71" s="63"/>
      <c r="AC71" s="62">
        <v>66.665999999999997</v>
      </c>
      <c r="AD71" s="63">
        <v>0.46116156097620398</v>
      </c>
      <c r="AE71" s="63">
        <v>0.45446726263105303</v>
      </c>
      <c r="AF71" s="63">
        <v>0.273340618702333</v>
      </c>
      <c r="AG71" s="63">
        <v>0.48128530395549401</v>
      </c>
      <c r="AH71" s="63">
        <v>0.45543701267777797</v>
      </c>
      <c r="AI71" s="63">
        <v>0.52832657685914297</v>
      </c>
      <c r="AJ71" s="63">
        <v>0.46116156097620398</v>
      </c>
      <c r="AK71" s="63">
        <v>0.48800289807943598</v>
      </c>
      <c r="AL71" s="63">
        <v>0.48128530395549401</v>
      </c>
      <c r="AM71" s="63">
        <v>0.49472335210620999</v>
      </c>
    </row>
    <row r="72" spans="1:39" x14ac:dyDescent="0.25">
      <c r="A72" s="60"/>
      <c r="B72" s="60"/>
      <c r="C72" s="62">
        <v>77.777000000000001</v>
      </c>
      <c r="D72" s="63">
        <v>0.46207411198618198</v>
      </c>
      <c r="E72" s="63">
        <v>0.46868369056177001</v>
      </c>
      <c r="F72" s="63">
        <v>0.29104009490410898</v>
      </c>
      <c r="G72" s="63">
        <v>0.49516139785464702</v>
      </c>
      <c r="H72" s="63">
        <v>0.43983847375641899</v>
      </c>
      <c r="I72" s="63">
        <v>0.50840845393577305</v>
      </c>
      <c r="J72" s="63">
        <v>0.47529830515038002</v>
      </c>
      <c r="K72" s="63">
        <v>0.48853826019339203</v>
      </c>
      <c r="L72" s="63">
        <v>0.48853826019339203</v>
      </c>
      <c r="M72" s="63">
        <v>0.52164911902005795</v>
      </c>
      <c r="N72" s="63"/>
      <c r="O72" s="63"/>
      <c r="P72" s="62">
        <v>77.777000000000001</v>
      </c>
      <c r="Q72" s="63">
        <v>0.46207411198618198</v>
      </c>
      <c r="R72" s="63">
        <v>0.47529830515038002</v>
      </c>
      <c r="S72" s="63">
        <v>0.31257091620711402</v>
      </c>
      <c r="T72" s="63">
        <v>0.48853826019339203</v>
      </c>
      <c r="U72" s="63">
        <v>0.485994814005131</v>
      </c>
      <c r="V72" s="63">
        <v>0.57436784507147598</v>
      </c>
      <c r="W72" s="63">
        <v>0.50840845393577305</v>
      </c>
      <c r="X72" s="63">
        <v>0.54147850413385001</v>
      </c>
      <c r="Y72" s="63">
        <v>0.51503014457370999</v>
      </c>
      <c r="Z72" s="63">
        <v>0.55466385598130696</v>
      </c>
      <c r="AA72" s="63"/>
      <c r="AB72" s="63"/>
      <c r="AC72" s="62">
        <v>77.777000000000001</v>
      </c>
      <c r="AD72" s="63">
        <v>0.47529830515038002</v>
      </c>
      <c r="AE72" s="63">
        <v>0.46868369056177001</v>
      </c>
      <c r="AF72" s="63">
        <v>0.29104009490410898</v>
      </c>
      <c r="AG72" s="63">
        <v>0.49516139785464702</v>
      </c>
      <c r="AH72" s="63">
        <v>0.47058188529662798</v>
      </c>
      <c r="AI72" s="63">
        <v>0.54147850413385001</v>
      </c>
      <c r="AJ72" s="63">
        <v>0.47529830515038002</v>
      </c>
      <c r="AK72" s="63">
        <v>0.501785166433804</v>
      </c>
      <c r="AL72" s="63">
        <v>0.49516139785464702</v>
      </c>
      <c r="AM72" s="63">
        <v>0.50840845393577305</v>
      </c>
    </row>
    <row r="73" spans="1:39" x14ac:dyDescent="0.25">
      <c r="A73" s="60"/>
      <c r="B73" s="60"/>
      <c r="C73" s="62">
        <v>88.888000000000005</v>
      </c>
      <c r="D73" s="63">
        <v>0.514003766091221</v>
      </c>
      <c r="E73" s="63">
        <v>0.52023390437916395</v>
      </c>
      <c r="F73" s="63">
        <v>0.352778264100713</v>
      </c>
      <c r="G73" s="63">
        <v>0.54510113527661297</v>
      </c>
      <c r="H73" s="63">
        <v>0.49444620943527301</v>
      </c>
      <c r="I73" s="63">
        <v>0.55749027528798201</v>
      </c>
      <c r="J73" s="63">
        <v>0.52645959886165195</v>
      </c>
      <c r="K73" s="63">
        <v>0.53889410536530402</v>
      </c>
      <c r="L73" s="63">
        <v>0.53889410536530402</v>
      </c>
      <c r="M73" s="63">
        <v>0.56984020035386596</v>
      </c>
      <c r="N73" s="63"/>
      <c r="O73" s="63"/>
      <c r="P73" s="62">
        <v>88.888000000000005</v>
      </c>
      <c r="Q73" s="63">
        <v>0.514003766091221</v>
      </c>
      <c r="R73" s="63">
        <v>0.52645959886165195</v>
      </c>
      <c r="S73" s="63">
        <v>0.37356351896736101</v>
      </c>
      <c r="T73" s="63">
        <v>0.53889410536530402</v>
      </c>
      <c r="U73" s="63">
        <v>0.53756670634057502</v>
      </c>
      <c r="V73" s="63">
        <v>0.61870323034066699</v>
      </c>
      <c r="W73" s="63">
        <v>0.55749027528798201</v>
      </c>
      <c r="X73" s="63">
        <v>0.58827577990883195</v>
      </c>
      <c r="Y73" s="63">
        <v>0.56367058976219497</v>
      </c>
      <c r="Z73" s="63">
        <v>0.60049607227053603</v>
      </c>
      <c r="AA73" s="63"/>
      <c r="AB73" s="63"/>
      <c r="AC73" s="62">
        <v>88.888000000000005</v>
      </c>
      <c r="AD73" s="63">
        <v>0.52645959886165195</v>
      </c>
      <c r="AE73" s="63">
        <v>0.52023390437916395</v>
      </c>
      <c r="AF73" s="63">
        <v>0.352778264100713</v>
      </c>
      <c r="AG73" s="63">
        <v>0.54510113527661297</v>
      </c>
      <c r="AH73" s="63">
        <v>0.52320561126984899</v>
      </c>
      <c r="AI73" s="63">
        <v>0.58827577990883195</v>
      </c>
      <c r="AJ73" s="63">
        <v>0.52645959886165195</v>
      </c>
      <c r="AK73" s="63">
        <v>0.55130015752555594</v>
      </c>
      <c r="AL73" s="63">
        <v>0.54510113527661297</v>
      </c>
      <c r="AM73" s="63">
        <v>0.55749027528798201</v>
      </c>
    </row>
    <row r="74" spans="1:39" x14ac:dyDescent="0.25">
      <c r="A74" s="60"/>
      <c r="B74" s="60"/>
      <c r="C74" s="62">
        <v>99.998999999999995</v>
      </c>
      <c r="D74" s="63">
        <v>0.61954833354350802</v>
      </c>
      <c r="E74" s="63">
        <v>0.624757838267607</v>
      </c>
      <c r="F74" s="63">
        <v>0.48022583561628202</v>
      </c>
      <c r="G74" s="63">
        <v>0.64544052321135004</v>
      </c>
      <c r="H74" s="63">
        <v>0.60313293360496301</v>
      </c>
      <c r="I74" s="63">
        <v>0.65568071419484797</v>
      </c>
      <c r="J74" s="63">
        <v>0.62995237768741597</v>
      </c>
      <c r="K74" s="63">
        <v>0.64029428818215595</v>
      </c>
      <c r="L74" s="63">
        <v>0.64029428818215595</v>
      </c>
      <c r="M74" s="63">
        <v>0.66584741890983701</v>
      </c>
      <c r="N74" s="63"/>
      <c r="O74" s="63"/>
      <c r="P74" s="62">
        <v>99.998999999999995</v>
      </c>
      <c r="Q74" s="63">
        <v>0.61954833354350802</v>
      </c>
      <c r="R74" s="63">
        <v>0.62995237768741597</v>
      </c>
      <c r="S74" s="63">
        <v>0.49874303327710801</v>
      </c>
      <c r="T74" s="63">
        <v>0.64029428818215595</v>
      </c>
      <c r="U74" s="63">
        <v>0.63920407148620095</v>
      </c>
      <c r="V74" s="63">
        <v>0.70568895832913403</v>
      </c>
      <c r="W74" s="63">
        <v>0.65568071419484797</v>
      </c>
      <c r="X74" s="63">
        <v>0.68094978305332499</v>
      </c>
      <c r="Y74" s="63">
        <v>0.66077353567103803</v>
      </c>
      <c r="Z74" s="63">
        <v>0.69091297849648503</v>
      </c>
      <c r="AA74" s="63"/>
      <c r="AB74" s="63"/>
      <c r="AC74" s="62">
        <v>99.998999999999995</v>
      </c>
      <c r="AD74" s="63">
        <v>0.62995237768741597</v>
      </c>
      <c r="AE74" s="63">
        <v>0.624757838267607</v>
      </c>
      <c r="AF74" s="63">
        <v>0.48022583561628202</v>
      </c>
      <c r="AG74" s="63">
        <v>0.64544052321135004</v>
      </c>
      <c r="AH74" s="63">
        <v>0.62725115030997403</v>
      </c>
      <c r="AI74" s="63">
        <v>0.68094978305332499</v>
      </c>
      <c r="AJ74" s="63">
        <v>0.62995237768741597</v>
      </c>
      <c r="AK74" s="63">
        <v>0.65056952102852905</v>
      </c>
      <c r="AL74" s="63">
        <v>0.64544052321135004</v>
      </c>
      <c r="AM74" s="63">
        <v>0.65568071419484797</v>
      </c>
    </row>
    <row r="75" spans="1:39" x14ac:dyDescent="0.25">
      <c r="A75" s="60"/>
      <c r="B75" s="60"/>
      <c r="C75" s="62">
        <v>111.11</v>
      </c>
      <c r="D75" s="63">
        <v>0.77548174435634298</v>
      </c>
      <c r="E75" s="63">
        <v>0.77880371142511695</v>
      </c>
      <c r="F75" s="63">
        <v>0.68228958619080304</v>
      </c>
      <c r="G75" s="63">
        <v>0.79191129322578002</v>
      </c>
      <c r="H75" s="63">
        <v>0.76461949717446198</v>
      </c>
      <c r="I75" s="63">
        <v>0.79835395168664003</v>
      </c>
      <c r="J75" s="63">
        <v>0.782107862406486</v>
      </c>
      <c r="K75" s="63">
        <v>0.78866186500546498</v>
      </c>
      <c r="L75" s="63">
        <v>0.78866186500546498</v>
      </c>
      <c r="M75" s="63">
        <v>0.80472028783164695</v>
      </c>
      <c r="N75" s="63"/>
      <c r="O75" s="63"/>
      <c r="P75" s="62">
        <v>111.11</v>
      </c>
      <c r="Q75" s="63">
        <v>0.77548174435634298</v>
      </c>
      <c r="R75" s="63">
        <v>0.782107862406486</v>
      </c>
      <c r="S75" s="63">
        <v>0.69508740814285797</v>
      </c>
      <c r="T75" s="63">
        <v>0.78866186500546498</v>
      </c>
      <c r="U75" s="63">
        <v>0.78773216612044605</v>
      </c>
      <c r="V75" s="63">
        <v>0.82938951923648896</v>
      </c>
      <c r="W75" s="63">
        <v>0.79835395168664003</v>
      </c>
      <c r="X75" s="63">
        <v>0.81412306820781799</v>
      </c>
      <c r="Y75" s="63">
        <v>0.801546763951547</v>
      </c>
      <c r="Z75" s="63">
        <v>0.820291385840621</v>
      </c>
      <c r="AA75" s="63"/>
      <c r="AB75" s="63"/>
      <c r="AC75" s="62">
        <v>111.11</v>
      </c>
      <c r="AD75" s="63">
        <v>0.782107862406486</v>
      </c>
      <c r="AE75" s="63">
        <v>0.77880371142511695</v>
      </c>
      <c r="AF75" s="63">
        <v>0.68228958619080304</v>
      </c>
      <c r="AG75" s="63">
        <v>0.79191129322578002</v>
      </c>
      <c r="AH75" s="63">
        <v>0.780120555877722</v>
      </c>
      <c r="AI75" s="63">
        <v>0.81412306820781799</v>
      </c>
      <c r="AJ75" s="63">
        <v>0.782107862406486</v>
      </c>
      <c r="AK75" s="63">
        <v>0.79514205860438403</v>
      </c>
      <c r="AL75" s="63">
        <v>0.79191129322578002</v>
      </c>
      <c r="AM75" s="63">
        <v>0.79835395168664003</v>
      </c>
    </row>
    <row r="76" spans="1:39" x14ac:dyDescent="0.25">
      <c r="A76" s="60"/>
      <c r="B76" s="60"/>
      <c r="C76" s="62">
        <v>122.221</v>
      </c>
      <c r="D76" s="63">
        <v>0.93173635775345098</v>
      </c>
      <c r="E76" s="63">
        <v>0.93281312058446897</v>
      </c>
      <c r="F76" s="63">
        <v>0.90041940186793001</v>
      </c>
      <c r="G76" s="63">
        <v>0.93704000010924804</v>
      </c>
      <c r="H76" s="63">
        <v>0.92814853178415402</v>
      </c>
      <c r="I76" s="63">
        <v>0.93910504822199203</v>
      </c>
      <c r="J76" s="63">
        <v>0.93388188703457997</v>
      </c>
      <c r="K76" s="63">
        <v>0.93599534744684298</v>
      </c>
      <c r="L76" s="63">
        <v>0.93599534744684298</v>
      </c>
      <c r="M76" s="63">
        <v>0.94113761897959103</v>
      </c>
      <c r="N76" s="63"/>
      <c r="O76" s="63"/>
      <c r="P76" s="62">
        <v>122.221</v>
      </c>
      <c r="Q76" s="63">
        <v>0.93173635775345098</v>
      </c>
      <c r="R76" s="63">
        <v>0.93388188703457997</v>
      </c>
      <c r="S76" s="63">
        <v>0.90483577622999101</v>
      </c>
      <c r="T76" s="63">
        <v>0.93599534744684298</v>
      </c>
      <c r="U76" s="63">
        <v>0.93565973985695805</v>
      </c>
      <c r="V76" s="63">
        <v>0.94893998207183505</v>
      </c>
      <c r="W76" s="63">
        <v>0.93910504822199203</v>
      </c>
      <c r="X76" s="63">
        <v>0.94412523258134695</v>
      </c>
      <c r="Y76" s="63">
        <v>0.94012540327482197</v>
      </c>
      <c r="Z76" s="63">
        <v>0.94607591898411003</v>
      </c>
      <c r="AA76" s="63"/>
      <c r="AB76" s="63"/>
      <c r="AC76" s="62">
        <v>122.221</v>
      </c>
      <c r="AD76" s="63">
        <v>0.93388188703457997</v>
      </c>
      <c r="AE76" s="63">
        <v>0.93281312058446897</v>
      </c>
      <c r="AF76" s="63">
        <v>0.90041940186793001</v>
      </c>
      <c r="AG76" s="63">
        <v>0.93704000010924804</v>
      </c>
      <c r="AH76" s="63">
        <v>0.93319851660837805</v>
      </c>
      <c r="AI76" s="63">
        <v>0.94412523258134695</v>
      </c>
      <c r="AJ76" s="63">
        <v>0.93388188703457997</v>
      </c>
      <c r="AK76" s="63">
        <v>0.93807657379242204</v>
      </c>
      <c r="AL76" s="63">
        <v>0.93704000010924804</v>
      </c>
      <c r="AM76" s="63">
        <v>0.93910504822199203</v>
      </c>
    </row>
    <row r="77" spans="1:39" x14ac:dyDescent="0.25">
      <c r="A77" s="60"/>
      <c r="B77" s="60"/>
      <c r="C77" s="62">
        <v>133.333</v>
      </c>
      <c r="D77" s="63">
        <v>1</v>
      </c>
      <c r="E77" s="63">
        <v>1</v>
      </c>
      <c r="F77" s="63">
        <v>1</v>
      </c>
      <c r="G77" s="63">
        <v>1</v>
      </c>
      <c r="H77" s="63">
        <v>1</v>
      </c>
      <c r="I77" s="63">
        <v>1</v>
      </c>
      <c r="J77" s="63">
        <v>1</v>
      </c>
      <c r="K77" s="63">
        <v>1</v>
      </c>
      <c r="L77" s="63">
        <v>1</v>
      </c>
      <c r="M77" s="63">
        <v>1</v>
      </c>
      <c r="N77" s="63"/>
      <c r="O77" s="63"/>
      <c r="P77" s="62">
        <v>133.333</v>
      </c>
      <c r="Q77" s="63">
        <v>1</v>
      </c>
      <c r="R77" s="63">
        <v>1</v>
      </c>
      <c r="S77" s="63">
        <v>1</v>
      </c>
      <c r="T77" s="63">
        <v>1</v>
      </c>
      <c r="U77" s="63">
        <v>1</v>
      </c>
      <c r="V77" s="63">
        <v>1</v>
      </c>
      <c r="W77" s="63">
        <v>1</v>
      </c>
      <c r="X77" s="63">
        <v>1</v>
      </c>
      <c r="Y77" s="63">
        <v>1</v>
      </c>
      <c r="Z77" s="63">
        <v>1</v>
      </c>
      <c r="AA77" s="63"/>
      <c r="AB77" s="63"/>
      <c r="AC77" s="62">
        <v>133.333</v>
      </c>
      <c r="AD77" s="63">
        <v>1</v>
      </c>
      <c r="AE77" s="63">
        <v>1</v>
      </c>
      <c r="AF77" s="63">
        <v>1</v>
      </c>
      <c r="AG77" s="63">
        <v>1</v>
      </c>
      <c r="AH77" s="63">
        <v>1</v>
      </c>
      <c r="AI77" s="63">
        <v>1</v>
      </c>
      <c r="AJ77" s="63">
        <v>1</v>
      </c>
      <c r="AK77" s="63">
        <v>1</v>
      </c>
      <c r="AL77" s="63">
        <v>1</v>
      </c>
      <c r="AM77" s="63">
        <v>1</v>
      </c>
    </row>
    <row r="78" spans="1:39" x14ac:dyDescent="0.25">
      <c r="A78" s="23"/>
      <c r="B78" s="23"/>
      <c r="C78" s="54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9" x14ac:dyDescent="0.25">
      <c r="A79" s="23"/>
      <c r="B79" s="23"/>
      <c r="C79" s="54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</row>
    <row r="80" spans="1:39" ht="15.75" x14ac:dyDescent="0.25">
      <c r="A80" s="102" t="s">
        <v>234</v>
      </c>
      <c r="B80" s="82"/>
      <c r="C80" s="103">
        <v>0</v>
      </c>
      <c r="D80" s="104">
        <f>D65*D44</f>
        <v>1</v>
      </c>
      <c r="E80" s="104">
        <f t="shared" ref="E80:Z92" si="48">E65*E44</f>
        <v>1</v>
      </c>
      <c r="F80" s="104">
        <f t="shared" si="48"/>
        <v>1</v>
      </c>
      <c r="G80" s="104">
        <f t="shared" si="48"/>
        <v>1</v>
      </c>
      <c r="H80" s="104">
        <f t="shared" si="48"/>
        <v>1</v>
      </c>
      <c r="I80" s="104">
        <f t="shared" si="48"/>
        <v>1</v>
      </c>
      <c r="J80" s="104">
        <f t="shared" si="48"/>
        <v>1</v>
      </c>
      <c r="K80" s="104">
        <f t="shared" si="48"/>
        <v>1</v>
      </c>
      <c r="L80" s="104">
        <f t="shared" si="48"/>
        <v>1</v>
      </c>
      <c r="M80" s="104">
        <f t="shared" si="48"/>
        <v>1</v>
      </c>
      <c r="N80" s="104"/>
      <c r="O80" s="104"/>
      <c r="P80" s="103">
        <v>0</v>
      </c>
      <c r="Q80" s="104">
        <f t="shared" si="48"/>
        <v>1</v>
      </c>
      <c r="R80" s="104">
        <f t="shared" si="48"/>
        <v>1</v>
      </c>
      <c r="S80" s="104">
        <f t="shared" si="48"/>
        <v>1</v>
      </c>
      <c r="T80" s="104">
        <f t="shared" si="48"/>
        <v>1</v>
      </c>
      <c r="U80" s="104">
        <f t="shared" si="48"/>
        <v>1</v>
      </c>
      <c r="V80" s="104">
        <f t="shared" si="48"/>
        <v>1</v>
      </c>
      <c r="W80" s="104">
        <f t="shared" si="48"/>
        <v>1</v>
      </c>
      <c r="X80" s="104">
        <f t="shared" si="48"/>
        <v>1</v>
      </c>
      <c r="Y80" s="104">
        <f t="shared" si="48"/>
        <v>1</v>
      </c>
      <c r="Z80" s="104">
        <f t="shared" si="48"/>
        <v>1</v>
      </c>
      <c r="AA80" s="104"/>
      <c r="AB80" s="104"/>
      <c r="AC80" s="103">
        <v>0</v>
      </c>
      <c r="AD80" s="104">
        <f t="shared" ref="AD80:AM92" si="49">AD65*AD44</f>
        <v>1</v>
      </c>
      <c r="AE80" s="104">
        <f t="shared" si="49"/>
        <v>1</v>
      </c>
      <c r="AF80" s="104">
        <f t="shared" si="49"/>
        <v>1</v>
      </c>
      <c r="AG80" s="104">
        <f t="shared" si="49"/>
        <v>1</v>
      </c>
      <c r="AH80" s="104">
        <f t="shared" si="49"/>
        <v>1</v>
      </c>
      <c r="AI80" s="104">
        <f t="shared" si="49"/>
        <v>1</v>
      </c>
      <c r="AJ80" s="104">
        <f t="shared" si="49"/>
        <v>1</v>
      </c>
      <c r="AK80" s="104">
        <f t="shared" si="49"/>
        <v>1</v>
      </c>
      <c r="AL80" s="104">
        <f t="shared" si="49"/>
        <v>1</v>
      </c>
      <c r="AM80" s="104">
        <f t="shared" si="49"/>
        <v>1</v>
      </c>
    </row>
    <row r="81" spans="1:39" x14ac:dyDescent="0.25">
      <c r="A81" s="82"/>
      <c r="B81" s="82"/>
      <c r="C81" s="103">
        <v>11.111000000000001</v>
      </c>
      <c r="D81" s="104">
        <f t="shared" ref="D81:S92" si="50">D66*D45</f>
        <v>0.92824040506710448</v>
      </c>
      <c r="E81" s="104">
        <f t="shared" si="50"/>
        <v>0.92827817702505611</v>
      </c>
      <c r="F81" s="104">
        <f t="shared" si="50"/>
        <v>0.89191889073495489</v>
      </c>
      <c r="G81" s="104">
        <f t="shared" si="50"/>
        <v>0.93374140892264801</v>
      </c>
      <c r="H81" s="104">
        <f t="shared" si="50"/>
        <v>0.92148220308322482</v>
      </c>
      <c r="I81" s="104">
        <f t="shared" si="50"/>
        <v>0.93179206526172009</v>
      </c>
      <c r="J81" s="104">
        <f t="shared" si="50"/>
        <v>0.92773542922820285</v>
      </c>
      <c r="K81" s="104">
        <f t="shared" si="50"/>
        <v>0.92830806258446008</v>
      </c>
      <c r="L81" s="104">
        <f t="shared" si="50"/>
        <v>0.92882009979789493</v>
      </c>
      <c r="M81" s="104">
        <f t="shared" si="50"/>
        <v>0.93494340668640608</v>
      </c>
      <c r="N81" s="104"/>
      <c r="O81" s="104"/>
      <c r="P81" s="103">
        <v>11.111000000000001</v>
      </c>
      <c r="Q81" s="104">
        <f t="shared" si="50"/>
        <v>0.92521257687830327</v>
      </c>
      <c r="R81" s="104">
        <f t="shared" si="50"/>
        <v>0.92739924575494526</v>
      </c>
      <c r="S81" s="104">
        <f t="shared" si="50"/>
        <v>0.89696188100222163</v>
      </c>
      <c r="T81" s="104">
        <f t="shared" si="48"/>
        <v>0.93160975123740086</v>
      </c>
      <c r="U81" s="104">
        <f t="shared" si="48"/>
        <v>0.93011563583915635</v>
      </c>
      <c r="V81" s="104">
        <f t="shared" si="48"/>
        <v>0.94160797568451626</v>
      </c>
      <c r="W81" s="104">
        <f t="shared" si="48"/>
        <v>0.93156381552791856</v>
      </c>
      <c r="X81" s="104">
        <f t="shared" si="48"/>
        <v>0.93236428835096641</v>
      </c>
      <c r="Y81" s="104">
        <f t="shared" si="48"/>
        <v>0.92925123047072733</v>
      </c>
      <c r="Z81" s="104">
        <f t="shared" si="48"/>
        <v>0.93519276015307373</v>
      </c>
      <c r="AA81" s="104"/>
      <c r="AB81" s="104"/>
      <c r="AC81" s="103">
        <v>11.111000000000001</v>
      </c>
      <c r="AD81" s="104">
        <f t="shared" si="49"/>
        <v>0.93048621725304714</v>
      </c>
      <c r="AE81" s="104">
        <f t="shared" si="49"/>
        <v>0.92866094760023743</v>
      </c>
      <c r="AF81" s="104">
        <f t="shared" si="49"/>
        <v>0.89152842507376584</v>
      </c>
      <c r="AG81" s="104">
        <f t="shared" si="49"/>
        <v>0.93401220910959892</v>
      </c>
      <c r="AH81" s="104">
        <f t="shared" si="49"/>
        <v>0.92705655648800289</v>
      </c>
      <c r="AI81" s="104">
        <f t="shared" si="49"/>
        <v>0.93774158949203856</v>
      </c>
      <c r="AJ81" s="104">
        <f t="shared" si="49"/>
        <v>0.92901189754497926</v>
      </c>
      <c r="AK81" s="104">
        <f t="shared" si="49"/>
        <v>0.93133893797941181</v>
      </c>
      <c r="AL81" s="104">
        <f t="shared" si="49"/>
        <v>0.93154340254574708</v>
      </c>
      <c r="AM81" s="104">
        <f t="shared" si="49"/>
        <v>0.93052901775366725</v>
      </c>
    </row>
    <row r="82" spans="1:39" x14ac:dyDescent="0.25">
      <c r="A82" s="82"/>
      <c r="B82" s="82"/>
      <c r="C82" s="103">
        <v>22.222000000000001</v>
      </c>
      <c r="D82" s="104">
        <f t="shared" si="50"/>
        <v>0.76967331705499287</v>
      </c>
      <c r="E82" s="104">
        <f t="shared" si="48"/>
        <v>0.77124968873367594</v>
      </c>
      <c r="F82" s="104">
        <f t="shared" si="48"/>
        <v>0.66946793146104933</v>
      </c>
      <c r="G82" s="104">
        <f t="shared" si="48"/>
        <v>0.78634569546770294</v>
      </c>
      <c r="H82" s="104">
        <f t="shared" si="48"/>
        <v>0.7536753440400541</v>
      </c>
      <c r="I82" s="104">
        <f t="shared" si="48"/>
        <v>0.78596850724624789</v>
      </c>
      <c r="J82" s="104">
        <f t="shared" si="48"/>
        <v>0.771846664542577</v>
      </c>
      <c r="K82" s="104">
        <f t="shared" si="48"/>
        <v>0.77576057819776523</v>
      </c>
      <c r="L82" s="104">
        <f t="shared" si="50"/>
        <v>0.77661660401467492</v>
      </c>
      <c r="M82" s="104">
        <f t="shared" si="50"/>
        <v>0.79416241660256226</v>
      </c>
      <c r="N82" s="104"/>
      <c r="O82" s="104"/>
      <c r="P82" s="103">
        <v>22.222000000000001</v>
      </c>
      <c r="Q82" s="104">
        <f t="shared" si="48"/>
        <v>0.7646603102454439</v>
      </c>
      <c r="R82" s="104">
        <f t="shared" si="48"/>
        <v>0.77128737776733081</v>
      </c>
      <c r="S82" s="104">
        <f t="shared" si="48"/>
        <v>0.68304272046559134</v>
      </c>
      <c r="T82" s="104">
        <f t="shared" si="48"/>
        <v>0.78128864563811251</v>
      </c>
      <c r="U82" s="104">
        <f t="shared" si="48"/>
        <v>0.77842465805935757</v>
      </c>
      <c r="V82" s="104">
        <f t="shared" si="48"/>
        <v>0.81662243906335519</v>
      </c>
      <c r="W82" s="104">
        <f t="shared" si="48"/>
        <v>0.78558349617589651</v>
      </c>
      <c r="X82" s="104">
        <f t="shared" si="48"/>
        <v>0.79396637965946082</v>
      </c>
      <c r="Y82" s="104">
        <f t="shared" si="48"/>
        <v>0.7831114588604704</v>
      </c>
      <c r="Z82" s="104">
        <f t="shared" si="48"/>
        <v>0.80152753522167819</v>
      </c>
      <c r="AA82" s="104"/>
      <c r="AB82" s="104"/>
      <c r="AC82" s="103">
        <v>22.222000000000001</v>
      </c>
      <c r="AD82" s="104">
        <f t="shared" si="49"/>
        <v>0.77643058831863765</v>
      </c>
      <c r="AE82" s="104">
        <f t="shared" si="49"/>
        <v>0.77188586129220083</v>
      </c>
      <c r="AF82" s="104">
        <f t="shared" si="49"/>
        <v>0.66888189830884826</v>
      </c>
      <c r="AG82" s="104">
        <f t="shared" si="49"/>
        <v>0.78680186767492777</v>
      </c>
      <c r="AH82" s="104">
        <f t="shared" si="49"/>
        <v>0.7698854313298964</v>
      </c>
      <c r="AI82" s="104">
        <f t="shared" si="49"/>
        <v>0.8031510041519343</v>
      </c>
      <c r="AJ82" s="104">
        <f t="shared" si="49"/>
        <v>0.77397208861170563</v>
      </c>
      <c r="AK82" s="104">
        <f t="shared" si="49"/>
        <v>0.78376102988992902</v>
      </c>
      <c r="AL82" s="104">
        <f t="shared" si="49"/>
        <v>0.78264797244172402</v>
      </c>
      <c r="AM82" s="104">
        <f t="shared" si="49"/>
        <v>0.7838391850794163</v>
      </c>
    </row>
    <row r="83" spans="1:39" x14ac:dyDescent="0.25">
      <c r="A83" s="82"/>
      <c r="B83" s="82"/>
      <c r="C83" s="103">
        <v>33.332999999999998</v>
      </c>
      <c r="D83" s="104">
        <f t="shared" si="50"/>
        <v>0.61260067568265542</v>
      </c>
      <c r="E83" s="104">
        <f t="shared" si="48"/>
        <v>0.61569013830829233</v>
      </c>
      <c r="F83" s="104">
        <f t="shared" si="48"/>
        <v>0.46675295335436917</v>
      </c>
      <c r="G83" s="104">
        <f t="shared" si="48"/>
        <v>0.63864820324292659</v>
      </c>
      <c r="H83" s="104">
        <f t="shared" si="48"/>
        <v>0.59023023561769072</v>
      </c>
      <c r="I83" s="104">
        <f t="shared" si="48"/>
        <v>0.64048196911215038</v>
      </c>
      <c r="J83" s="104">
        <f t="shared" si="48"/>
        <v>0.61759573669298418</v>
      </c>
      <c r="K83" s="104">
        <f t="shared" si="48"/>
        <v>0.62464738320767554</v>
      </c>
      <c r="L83" s="104">
        <f t="shared" si="50"/>
        <v>0.62568158457901102</v>
      </c>
      <c r="M83" s="104">
        <f t="shared" si="50"/>
        <v>0.65278668955321184</v>
      </c>
      <c r="N83" s="104"/>
      <c r="O83" s="104"/>
      <c r="P83" s="103">
        <v>33.332999999999998</v>
      </c>
      <c r="Q83" s="104">
        <f t="shared" si="48"/>
        <v>0.60662548059126586</v>
      </c>
      <c r="R83" s="104">
        <f t="shared" si="48"/>
        <v>0.61692458548390772</v>
      </c>
      <c r="S83" s="104">
        <f t="shared" si="48"/>
        <v>0.48583579741385102</v>
      </c>
      <c r="T83" s="104">
        <f t="shared" si="48"/>
        <v>0.63133611685866475</v>
      </c>
      <c r="U83" s="104">
        <f t="shared" si="48"/>
        <v>0.62790875693254244</v>
      </c>
      <c r="V83" s="104">
        <f t="shared" si="48"/>
        <v>0.68945745448601226</v>
      </c>
      <c r="W83" s="104">
        <f t="shared" si="48"/>
        <v>0.6400114112366776</v>
      </c>
      <c r="X83" s="104">
        <f t="shared" si="48"/>
        <v>0.65581774553908789</v>
      </c>
      <c r="Y83" s="104">
        <f t="shared" si="48"/>
        <v>0.63810876709758724</v>
      </c>
      <c r="Z83" s="104">
        <f t="shared" si="48"/>
        <v>0.66734251560110114</v>
      </c>
      <c r="AA83" s="104"/>
      <c r="AB83" s="104"/>
      <c r="AC83" s="103">
        <v>33.332999999999998</v>
      </c>
      <c r="AD83" s="104">
        <f t="shared" si="49"/>
        <v>0.6231056605633204</v>
      </c>
      <c r="AE83" s="104">
        <f t="shared" si="49"/>
        <v>0.61645208207916313</v>
      </c>
      <c r="AF83" s="104">
        <f t="shared" si="49"/>
        <v>0.46614021414249301</v>
      </c>
      <c r="AG83" s="104">
        <f t="shared" si="49"/>
        <v>0.63920401948882599</v>
      </c>
      <c r="AH83" s="104">
        <f t="shared" si="49"/>
        <v>0.61494749442700403</v>
      </c>
      <c r="AI83" s="104">
        <f t="shared" si="49"/>
        <v>0.66723036880127906</v>
      </c>
      <c r="AJ83" s="104">
        <f t="shared" si="49"/>
        <v>0.6201484900089087</v>
      </c>
      <c r="AK83" s="104">
        <f t="shared" si="49"/>
        <v>0.63665202194688653</v>
      </c>
      <c r="AL83" s="104">
        <f t="shared" si="49"/>
        <v>0.63414872083790863</v>
      </c>
      <c r="AM83" s="104">
        <f t="shared" si="49"/>
        <v>0.63788097109909292</v>
      </c>
    </row>
    <row r="84" spans="1:39" x14ac:dyDescent="0.25">
      <c r="A84" s="82"/>
      <c r="B84" s="82"/>
      <c r="C84" s="103">
        <v>44.444000000000003</v>
      </c>
      <c r="D84" s="104">
        <f t="shared" si="50"/>
        <v>0.50633273450646021</v>
      </c>
      <c r="E84" s="104">
        <f t="shared" si="48"/>
        <v>0.51019080933931316</v>
      </c>
      <c r="F84" s="104">
        <f t="shared" si="48"/>
        <v>0.33964395584366813</v>
      </c>
      <c r="G84" s="104">
        <f t="shared" si="48"/>
        <v>0.53746605600818254</v>
      </c>
      <c r="H84" s="104">
        <f t="shared" si="48"/>
        <v>0.48039328880261584</v>
      </c>
      <c r="I84" s="104">
        <f t="shared" si="48"/>
        <v>0.54032694691364602</v>
      </c>
      <c r="J84" s="104">
        <f t="shared" si="48"/>
        <v>0.51273599691107696</v>
      </c>
      <c r="K84" s="104">
        <f t="shared" si="48"/>
        <v>0.52140736676358024</v>
      </c>
      <c r="L84" s="104">
        <f t="shared" si="50"/>
        <v>0.5225587127825374</v>
      </c>
      <c r="M84" s="104">
        <f t="shared" si="50"/>
        <v>0.5549857649859824</v>
      </c>
      <c r="N84" s="104"/>
      <c r="O84" s="104"/>
      <c r="P84" s="103">
        <v>44.444000000000003</v>
      </c>
      <c r="Q84" s="104">
        <f t="shared" si="48"/>
        <v>0.49975855978761796</v>
      </c>
      <c r="R84" s="104">
        <f t="shared" si="48"/>
        <v>0.51199320024250738</v>
      </c>
      <c r="S84" s="104">
        <f t="shared" si="48"/>
        <v>0.36072924262838002</v>
      </c>
      <c r="T84" s="104">
        <f t="shared" si="48"/>
        <v>0.5288649382529349</v>
      </c>
      <c r="U84" s="104">
        <f t="shared" si="48"/>
        <v>0.52493843595676304</v>
      </c>
      <c r="V84" s="104">
        <f t="shared" si="48"/>
        <v>0.599802008943499</v>
      </c>
      <c r="W84" s="104">
        <f t="shared" si="48"/>
        <v>0.5397977122141151</v>
      </c>
      <c r="X84" s="104">
        <f t="shared" si="48"/>
        <v>0.55950641767606735</v>
      </c>
      <c r="Y84" s="104">
        <f t="shared" si="48"/>
        <v>0.53804029604382442</v>
      </c>
      <c r="Z84" s="104">
        <f t="shared" si="48"/>
        <v>0.57333804631976981</v>
      </c>
      <c r="AA84" s="104"/>
      <c r="AB84" s="104"/>
      <c r="AC84" s="103">
        <v>44.444000000000003</v>
      </c>
      <c r="AD84" s="104">
        <f t="shared" si="49"/>
        <v>0.51884426184528498</v>
      </c>
      <c r="AE84" s="104">
        <f t="shared" si="49"/>
        <v>0.51103282784334447</v>
      </c>
      <c r="AF84" s="104">
        <f t="shared" si="49"/>
        <v>0.33904958682134134</v>
      </c>
      <c r="AG84" s="104">
        <f t="shared" si="49"/>
        <v>0.53808982286833051</v>
      </c>
      <c r="AH84" s="104">
        <f t="shared" si="49"/>
        <v>0.5095668333600144</v>
      </c>
      <c r="AI84" s="104">
        <f t="shared" si="49"/>
        <v>0.57252606106225101</v>
      </c>
      <c r="AJ84" s="104">
        <f t="shared" si="49"/>
        <v>0.51556371370383358</v>
      </c>
      <c r="AK84" s="104">
        <f t="shared" si="49"/>
        <v>0.53563136037302717</v>
      </c>
      <c r="AL84" s="104">
        <f t="shared" si="49"/>
        <v>0.53242316499432085</v>
      </c>
      <c r="AM84" s="104">
        <f t="shared" si="49"/>
        <v>0.53740323777256027</v>
      </c>
    </row>
    <row r="85" spans="1:39" x14ac:dyDescent="0.25">
      <c r="A85" s="82"/>
      <c r="B85" s="82"/>
      <c r="C85" s="103">
        <v>55.555</v>
      </c>
      <c r="D85" s="104">
        <f t="shared" si="50"/>
        <v>0.45347021632953638</v>
      </c>
      <c r="E85" s="104">
        <f t="shared" si="48"/>
        <v>0.45740121531215105</v>
      </c>
      <c r="F85" s="104">
        <f t="shared" si="48"/>
        <v>0.27755906307932965</v>
      </c>
      <c r="G85" s="104">
        <f t="shared" si="48"/>
        <v>0.48650714606160816</v>
      </c>
      <c r="H85" s="104">
        <f t="shared" si="48"/>
        <v>0.42426828178570541</v>
      </c>
      <c r="I85" s="104">
        <f t="shared" si="48"/>
        <v>0.48891901388750852</v>
      </c>
      <c r="J85" s="104">
        <f t="shared" si="48"/>
        <v>0.45986167355934515</v>
      </c>
      <c r="K85" s="104">
        <f t="shared" si="48"/>
        <v>0.46880339011513256</v>
      </c>
      <c r="L85" s="104">
        <f t="shared" si="50"/>
        <v>0.47009773272432659</v>
      </c>
      <c r="M85" s="104">
        <f t="shared" si="50"/>
        <v>0.50470711610769159</v>
      </c>
      <c r="N85" s="104"/>
      <c r="O85" s="104"/>
      <c r="P85" s="103">
        <v>55.555</v>
      </c>
      <c r="Q85" s="104">
        <f t="shared" si="48"/>
        <v>0.44612243394526568</v>
      </c>
      <c r="R85" s="104">
        <f t="shared" si="48"/>
        <v>0.45902907685618749</v>
      </c>
      <c r="S85" s="104">
        <f t="shared" si="48"/>
        <v>0.29920557473833614</v>
      </c>
      <c r="T85" s="104">
        <f t="shared" si="48"/>
        <v>0.47719980758356612</v>
      </c>
      <c r="U85" s="104">
        <f t="shared" si="48"/>
        <v>0.47176600958497389</v>
      </c>
      <c r="V85" s="104">
        <f t="shared" si="48"/>
        <v>0.55251876747590423</v>
      </c>
      <c r="W85" s="104">
        <f t="shared" si="48"/>
        <v>0.48832048455957533</v>
      </c>
      <c r="X85" s="104">
        <f t="shared" si="48"/>
        <v>0.50858242772002438</v>
      </c>
      <c r="Y85" s="104">
        <f t="shared" si="48"/>
        <v>0.48592521246065201</v>
      </c>
      <c r="Z85" s="104">
        <f t="shared" si="48"/>
        <v>0.52348664354940899</v>
      </c>
      <c r="AA85" s="104"/>
      <c r="AB85" s="104"/>
      <c r="AC85" s="103">
        <v>55.555</v>
      </c>
      <c r="AD85" s="104">
        <f t="shared" si="49"/>
        <v>0.46671980199889596</v>
      </c>
      <c r="AE85" s="104">
        <f t="shared" si="49"/>
        <v>0.45834502815053213</v>
      </c>
      <c r="AF85" s="104">
        <f t="shared" si="49"/>
        <v>0.27695204357012781</v>
      </c>
      <c r="AG85" s="104">
        <f t="shared" si="49"/>
        <v>0.48721303028237023</v>
      </c>
      <c r="AH85" s="104">
        <f t="shared" si="49"/>
        <v>0.45529843253017988</v>
      </c>
      <c r="AI85" s="104">
        <f t="shared" si="49"/>
        <v>0.523418520467128</v>
      </c>
      <c r="AJ85" s="104">
        <f t="shared" si="49"/>
        <v>0.46303400244591592</v>
      </c>
      <c r="AK85" s="104">
        <f t="shared" si="49"/>
        <v>0.48402207421791582</v>
      </c>
      <c r="AL85" s="104">
        <f t="shared" si="49"/>
        <v>0.48080790640018478</v>
      </c>
      <c r="AM85" s="104">
        <f t="shared" si="49"/>
        <v>0.48561432762690149</v>
      </c>
    </row>
    <row r="86" spans="1:39" x14ac:dyDescent="0.25">
      <c r="A86" s="82"/>
      <c r="B86" s="82"/>
      <c r="C86" s="103">
        <v>66.665999999999997</v>
      </c>
      <c r="D86" s="104">
        <f t="shared" si="50"/>
        <v>0.4377951279425577</v>
      </c>
      <c r="E86" s="104">
        <f t="shared" si="48"/>
        <v>0.44137077389488538</v>
      </c>
      <c r="F86" s="104">
        <f t="shared" si="48"/>
        <v>0.25821845631590634</v>
      </c>
      <c r="G86" s="104">
        <f t="shared" si="48"/>
        <v>0.47120895236277099</v>
      </c>
      <c r="H86" s="104">
        <f t="shared" si="48"/>
        <v>0.40618911612427511</v>
      </c>
      <c r="I86" s="104">
        <f t="shared" si="48"/>
        <v>0.47205370101822708</v>
      </c>
      <c r="J86" s="104">
        <f t="shared" si="48"/>
        <v>0.44324744445423864</v>
      </c>
      <c r="K86" s="104">
        <f t="shared" si="48"/>
        <v>0.45166089003197857</v>
      </c>
      <c r="L86" s="104">
        <f t="shared" si="50"/>
        <v>0.45315771851417647</v>
      </c>
      <c r="M86" s="104">
        <f t="shared" si="50"/>
        <v>0.48842794357768438</v>
      </c>
      <c r="N86" s="104"/>
      <c r="O86" s="104"/>
      <c r="P86" s="103">
        <v>66.665999999999997</v>
      </c>
      <c r="Q86" s="104">
        <f t="shared" si="48"/>
        <v>0.42929643101858656</v>
      </c>
      <c r="R86" s="104">
        <f t="shared" si="48"/>
        <v>0.4422845996703087</v>
      </c>
      <c r="S86" s="104">
        <f t="shared" si="48"/>
        <v>0.28001173285898978</v>
      </c>
      <c r="T86" s="104">
        <f t="shared" si="48"/>
        <v>0.46138546150529713</v>
      </c>
      <c r="U86" s="104">
        <f t="shared" si="48"/>
        <v>0.45463867286896226</v>
      </c>
      <c r="V86" s="104">
        <f t="shared" si="48"/>
        <v>0.53627305530425273</v>
      </c>
      <c r="W86" s="104">
        <f t="shared" si="48"/>
        <v>0.47136032634363711</v>
      </c>
      <c r="X86" s="104">
        <f t="shared" si="48"/>
        <v>0.49004799205724742</v>
      </c>
      <c r="Y86" s="104">
        <f t="shared" si="48"/>
        <v>0.46763591136457705</v>
      </c>
      <c r="Z86" s="104">
        <f t="shared" si="48"/>
        <v>0.50541303199451126</v>
      </c>
      <c r="AA86" s="104"/>
      <c r="AB86" s="104"/>
      <c r="AC86" s="103">
        <v>66.665999999999997</v>
      </c>
      <c r="AD86" s="104">
        <f t="shared" si="49"/>
        <v>0.45119165107607778</v>
      </c>
      <c r="AE86" s="104">
        <f t="shared" si="49"/>
        <v>0.44246388155979038</v>
      </c>
      <c r="AF86" s="104">
        <f t="shared" si="49"/>
        <v>0.25754093850406123</v>
      </c>
      <c r="AG86" s="104">
        <f t="shared" si="49"/>
        <v>0.47202949662476196</v>
      </c>
      <c r="AH86" s="104">
        <f t="shared" si="49"/>
        <v>0.43774526990490942</v>
      </c>
      <c r="AI86" s="104">
        <f t="shared" si="49"/>
        <v>0.50725214938975072</v>
      </c>
      <c r="AJ86" s="104">
        <f t="shared" si="49"/>
        <v>0.44691923094714164</v>
      </c>
      <c r="AK86" s="104">
        <f t="shared" si="49"/>
        <v>0.46734674343908617</v>
      </c>
      <c r="AL86" s="104">
        <f t="shared" si="49"/>
        <v>0.4645927037110113</v>
      </c>
      <c r="AM86" s="104">
        <f t="shared" si="49"/>
        <v>0.46822746475526661</v>
      </c>
    </row>
    <row r="87" spans="1:39" x14ac:dyDescent="0.25">
      <c r="A87" s="82"/>
      <c r="B87" s="82"/>
      <c r="C87" s="103">
        <v>77.777000000000001</v>
      </c>
      <c r="D87" s="104">
        <f t="shared" si="50"/>
        <v>0.45007368403970943</v>
      </c>
      <c r="E87" s="104">
        <f t="shared" si="48"/>
        <v>0.45296464277291898</v>
      </c>
      <c r="F87" s="104">
        <f t="shared" si="48"/>
        <v>0.27234314516713409</v>
      </c>
      <c r="G87" s="104">
        <f t="shared" si="48"/>
        <v>0.48308794607725208</v>
      </c>
      <c r="H87" s="104">
        <f t="shared" si="48"/>
        <v>0.4181956442671837</v>
      </c>
      <c r="I87" s="104">
        <f t="shared" si="48"/>
        <v>0.4813340582803346</v>
      </c>
      <c r="J87" s="104">
        <f t="shared" si="48"/>
        <v>0.45382832208797441</v>
      </c>
      <c r="K87" s="104">
        <f t="shared" si="48"/>
        <v>0.46113449263109435</v>
      </c>
      <c r="L87" s="104">
        <f t="shared" si="50"/>
        <v>0.46291791316781239</v>
      </c>
      <c r="M87" s="104">
        <f t="shared" si="50"/>
        <v>0.49808539571509908</v>
      </c>
      <c r="N87" s="104"/>
      <c r="O87" s="104"/>
      <c r="P87" s="103">
        <v>77.777000000000001</v>
      </c>
      <c r="Q87" s="104">
        <f t="shared" si="48"/>
        <v>0.43989703333530078</v>
      </c>
      <c r="R87" s="104">
        <f t="shared" si="48"/>
        <v>0.45267839645289237</v>
      </c>
      <c r="S87" s="104">
        <f t="shared" si="48"/>
        <v>0.29402084882213936</v>
      </c>
      <c r="T87" s="104">
        <f t="shared" si="48"/>
        <v>0.47273845472818543</v>
      </c>
      <c r="U87" s="104">
        <f t="shared" si="48"/>
        <v>0.4661918231723699</v>
      </c>
      <c r="V87" s="104">
        <f t="shared" si="48"/>
        <v>0.54401365469364993</v>
      </c>
      <c r="W87" s="104">
        <f t="shared" si="48"/>
        <v>0.48050931883555259</v>
      </c>
      <c r="X87" s="104">
        <f t="shared" si="48"/>
        <v>0.49599055064757291</v>
      </c>
      <c r="Y87" s="104">
        <f t="shared" si="48"/>
        <v>0.47474909654821873</v>
      </c>
      <c r="Z87" s="104">
        <f t="shared" si="48"/>
        <v>0.51151208749515176</v>
      </c>
      <c r="AA87" s="104"/>
      <c r="AB87" s="104"/>
      <c r="AC87" s="103">
        <v>77.777000000000001</v>
      </c>
      <c r="AD87" s="104">
        <f t="shared" si="49"/>
        <v>0.46333191093484105</v>
      </c>
      <c r="AE87" s="104">
        <f t="shared" si="49"/>
        <v>0.45427370418610141</v>
      </c>
      <c r="AF87" s="104">
        <f t="shared" si="49"/>
        <v>0.27150965278238476</v>
      </c>
      <c r="AG87" s="104">
        <f t="shared" si="49"/>
        <v>0.4840695232672188</v>
      </c>
      <c r="AH87" s="104">
        <f t="shared" si="49"/>
        <v>0.44932495044684584</v>
      </c>
      <c r="AI87" s="104">
        <f t="shared" si="49"/>
        <v>0.51636432711618463</v>
      </c>
      <c r="AJ87" s="104">
        <f t="shared" si="49"/>
        <v>0.45821735235931466</v>
      </c>
      <c r="AK87" s="104">
        <f t="shared" si="49"/>
        <v>0.47709416861225223</v>
      </c>
      <c r="AL87" s="104">
        <f t="shared" si="49"/>
        <v>0.47518369329627408</v>
      </c>
      <c r="AM87" s="104">
        <f t="shared" si="49"/>
        <v>0.47678543837077991</v>
      </c>
    </row>
    <row r="88" spans="1:39" x14ac:dyDescent="0.25">
      <c r="A88" s="82"/>
      <c r="B88" s="82"/>
      <c r="C88" s="103">
        <v>88.888000000000005</v>
      </c>
      <c r="D88" s="104">
        <f t="shared" si="50"/>
        <v>0.49877618598477469</v>
      </c>
      <c r="E88" s="104">
        <f t="shared" si="48"/>
        <v>0.50034159585376026</v>
      </c>
      <c r="F88" s="104">
        <f t="shared" si="48"/>
        <v>0.32699865178825921</v>
      </c>
      <c r="G88" s="104">
        <f t="shared" si="48"/>
        <v>0.52993791916137378</v>
      </c>
      <c r="H88" s="104">
        <f t="shared" si="48"/>
        <v>0.46673977375653053</v>
      </c>
      <c r="I88" s="104">
        <f t="shared" si="48"/>
        <v>0.52369202208990473</v>
      </c>
      <c r="J88" s="104">
        <f t="shared" si="48"/>
        <v>0.49937013798751695</v>
      </c>
      <c r="K88" s="104">
        <f t="shared" si="48"/>
        <v>0.50448806065718443</v>
      </c>
      <c r="L88" s="104">
        <f t="shared" si="50"/>
        <v>0.5067184917894697</v>
      </c>
      <c r="M88" s="104">
        <f t="shared" si="50"/>
        <v>0.54051855089515433</v>
      </c>
      <c r="N88" s="104"/>
      <c r="O88" s="104"/>
      <c r="P88" s="103">
        <v>88.888000000000005</v>
      </c>
      <c r="Q88" s="104">
        <f t="shared" si="48"/>
        <v>0.485908148067283</v>
      </c>
      <c r="R88" s="104">
        <f t="shared" si="48"/>
        <v>0.49792431871576748</v>
      </c>
      <c r="S88" s="104">
        <f t="shared" si="48"/>
        <v>0.3483359050877074</v>
      </c>
      <c r="T88" s="104">
        <f t="shared" si="48"/>
        <v>0.51902242041352398</v>
      </c>
      <c r="U88" s="104">
        <f t="shared" si="48"/>
        <v>0.51260682310587802</v>
      </c>
      <c r="V88" s="104">
        <f t="shared" si="48"/>
        <v>0.58147821490210549</v>
      </c>
      <c r="W88" s="104">
        <f t="shared" si="48"/>
        <v>0.52266664196262969</v>
      </c>
      <c r="X88" s="104">
        <f t="shared" si="48"/>
        <v>0.5321440081541694</v>
      </c>
      <c r="Y88" s="104">
        <f t="shared" si="48"/>
        <v>0.51357542051121929</v>
      </c>
      <c r="Z88" s="104">
        <f t="shared" si="48"/>
        <v>0.54740826882490712</v>
      </c>
      <c r="AA88" s="104"/>
      <c r="AB88" s="104"/>
      <c r="AC88" s="103">
        <v>88.888000000000005</v>
      </c>
      <c r="AD88" s="104">
        <f t="shared" si="49"/>
        <v>0.51133908210973933</v>
      </c>
      <c r="AE88" s="104">
        <f t="shared" si="49"/>
        <v>0.50199448543289704</v>
      </c>
      <c r="AF88" s="104">
        <f t="shared" si="49"/>
        <v>0.32585517312626844</v>
      </c>
      <c r="AG88" s="104">
        <f t="shared" si="49"/>
        <v>0.53116869281063439</v>
      </c>
      <c r="AH88" s="104">
        <f t="shared" si="49"/>
        <v>0.49628358730776512</v>
      </c>
      <c r="AI88" s="104">
        <f t="shared" si="49"/>
        <v>0.55719800438878342</v>
      </c>
      <c r="AJ88" s="104">
        <f t="shared" si="49"/>
        <v>0.50489333552438365</v>
      </c>
      <c r="AK88" s="104">
        <f t="shared" si="49"/>
        <v>0.52040789449939562</v>
      </c>
      <c r="AL88" s="104">
        <f t="shared" si="49"/>
        <v>0.52004005913273321</v>
      </c>
      <c r="AM88" s="104">
        <f t="shared" si="49"/>
        <v>0.51803996010377706</v>
      </c>
    </row>
    <row r="89" spans="1:39" x14ac:dyDescent="0.25">
      <c r="A89" s="82"/>
      <c r="B89" s="82"/>
      <c r="C89" s="103">
        <v>99.998999999999995</v>
      </c>
      <c r="D89" s="104">
        <f t="shared" si="50"/>
        <v>0.59893822080309678</v>
      </c>
      <c r="E89" s="104">
        <f t="shared" si="48"/>
        <v>0.59794765249172843</v>
      </c>
      <c r="F89" s="104">
        <f t="shared" si="48"/>
        <v>0.44093054178422586</v>
      </c>
      <c r="G89" s="104">
        <f t="shared" si="48"/>
        <v>0.62527724886919467</v>
      </c>
      <c r="H89" s="104">
        <f t="shared" si="48"/>
        <v>0.56524700894360547</v>
      </c>
      <c r="I89" s="104">
        <f t="shared" si="48"/>
        <v>0.61113323773308348</v>
      </c>
      <c r="J89" s="104">
        <f t="shared" si="48"/>
        <v>0.59360483431342081</v>
      </c>
      <c r="K89" s="104">
        <f t="shared" si="48"/>
        <v>0.59449132210708966</v>
      </c>
      <c r="L89" s="104">
        <f t="shared" si="50"/>
        <v>0.59744903355696921</v>
      </c>
      <c r="M89" s="104">
        <f t="shared" si="50"/>
        <v>0.62742877204618941</v>
      </c>
      <c r="N89" s="104"/>
      <c r="O89" s="104"/>
      <c r="P89" s="103">
        <v>99.998999999999995</v>
      </c>
      <c r="Q89" s="104">
        <f t="shared" si="48"/>
        <v>0.58158280648441918</v>
      </c>
      <c r="R89" s="104">
        <f t="shared" si="48"/>
        <v>0.59167169687761711</v>
      </c>
      <c r="S89" s="104">
        <f t="shared" si="48"/>
        <v>0.46101478070198337</v>
      </c>
      <c r="T89" s="104">
        <f t="shared" si="48"/>
        <v>0.61379401425520008</v>
      </c>
      <c r="U89" s="104">
        <f t="shared" si="48"/>
        <v>0.60591339603844496</v>
      </c>
      <c r="V89" s="104">
        <f t="shared" si="48"/>
        <v>0.65810587879356119</v>
      </c>
      <c r="W89" s="104">
        <f t="shared" si="48"/>
        <v>0.60978724044424448</v>
      </c>
      <c r="X89" s="104">
        <f t="shared" si="48"/>
        <v>0.60830210599574752</v>
      </c>
      <c r="Y89" s="104">
        <f t="shared" si="48"/>
        <v>0.59508479352281385</v>
      </c>
      <c r="Z89" s="104">
        <f t="shared" si="48"/>
        <v>0.62258647341033901</v>
      </c>
      <c r="AA89" s="104"/>
      <c r="AB89" s="104"/>
      <c r="AC89" s="103">
        <v>99.998999999999995</v>
      </c>
      <c r="AD89" s="104">
        <f t="shared" si="49"/>
        <v>0.60963466076679695</v>
      </c>
      <c r="AE89" s="104">
        <f t="shared" si="49"/>
        <v>0.60017036090406373</v>
      </c>
      <c r="AF89" s="104">
        <f t="shared" si="49"/>
        <v>0.43919629945476835</v>
      </c>
      <c r="AG89" s="104">
        <f t="shared" si="49"/>
        <v>0.62691120854946436</v>
      </c>
      <c r="AH89" s="104">
        <f t="shared" si="49"/>
        <v>0.59105946471625281</v>
      </c>
      <c r="AI89" s="104">
        <f t="shared" si="49"/>
        <v>0.64061520570221109</v>
      </c>
      <c r="AJ89" s="104">
        <f t="shared" si="49"/>
        <v>0.60099607096722873</v>
      </c>
      <c r="AK89" s="104">
        <f t="shared" si="49"/>
        <v>0.60970385694790397</v>
      </c>
      <c r="AL89" s="104">
        <f t="shared" si="49"/>
        <v>0.61215430088471556</v>
      </c>
      <c r="AM89" s="104">
        <f t="shared" si="49"/>
        <v>0.60371799439383422</v>
      </c>
    </row>
    <row r="90" spans="1:39" x14ac:dyDescent="0.25">
      <c r="A90" s="82"/>
      <c r="B90" s="82"/>
      <c r="C90" s="103">
        <v>111.11</v>
      </c>
      <c r="D90" s="104">
        <f t="shared" si="50"/>
        <v>0.74687141779970778</v>
      </c>
      <c r="E90" s="104">
        <f t="shared" si="48"/>
        <v>0.74175922948204254</v>
      </c>
      <c r="F90" s="104">
        <f t="shared" si="48"/>
        <v>0.62054591589220143</v>
      </c>
      <c r="G90" s="104">
        <f t="shared" si="48"/>
        <v>0.76447171842009654</v>
      </c>
      <c r="H90" s="104">
        <f t="shared" si="48"/>
        <v>0.71144292918111585</v>
      </c>
      <c r="I90" s="104">
        <f t="shared" si="48"/>
        <v>0.73831859514706155</v>
      </c>
      <c r="J90" s="104">
        <f t="shared" si="48"/>
        <v>0.73213058743966453</v>
      </c>
      <c r="K90" s="104">
        <f t="shared" si="48"/>
        <v>0.72623163944981606</v>
      </c>
      <c r="L90" s="104">
        <f t="shared" si="50"/>
        <v>0.73024735354678549</v>
      </c>
      <c r="M90" s="104">
        <f t="shared" si="50"/>
        <v>0.75329806203711902</v>
      </c>
      <c r="N90" s="104"/>
      <c r="O90" s="104"/>
      <c r="P90" s="103">
        <v>111.11</v>
      </c>
      <c r="Q90" s="104">
        <f t="shared" si="48"/>
        <v>0.72286372155875867</v>
      </c>
      <c r="R90" s="104">
        <f t="shared" si="48"/>
        <v>0.72948188795355484</v>
      </c>
      <c r="S90" s="104">
        <f t="shared" si="48"/>
        <v>0.6369152558168828</v>
      </c>
      <c r="T90" s="104">
        <f t="shared" si="48"/>
        <v>0.75247867783933864</v>
      </c>
      <c r="U90" s="104">
        <f t="shared" si="48"/>
        <v>0.74228144393727413</v>
      </c>
      <c r="V90" s="104">
        <f t="shared" si="48"/>
        <v>0.76748937912301651</v>
      </c>
      <c r="W90" s="104">
        <f t="shared" si="48"/>
        <v>0.7365120184660009</v>
      </c>
      <c r="X90" s="104">
        <f t="shared" si="48"/>
        <v>0.71820813645790105</v>
      </c>
      <c r="Y90" s="104">
        <f t="shared" si="48"/>
        <v>0.71351389285912126</v>
      </c>
      <c r="Z90" s="104">
        <f t="shared" si="48"/>
        <v>0.73066722786743199</v>
      </c>
      <c r="AA90" s="104"/>
      <c r="AB90" s="104"/>
      <c r="AC90" s="103">
        <v>111.11</v>
      </c>
      <c r="AD90" s="104">
        <f t="shared" si="49"/>
        <v>0.75413062125040597</v>
      </c>
      <c r="AE90" s="104">
        <f t="shared" si="49"/>
        <v>0.74482351590429341</v>
      </c>
      <c r="AF90" s="104">
        <f t="shared" si="49"/>
        <v>0.61783462575299952</v>
      </c>
      <c r="AG90" s="104">
        <f t="shared" si="49"/>
        <v>0.7666917063780837</v>
      </c>
      <c r="AH90" s="104">
        <f t="shared" si="49"/>
        <v>0.73027027127834909</v>
      </c>
      <c r="AI90" s="104">
        <f t="shared" si="49"/>
        <v>0.76072167513960676</v>
      </c>
      <c r="AJ90" s="104">
        <f t="shared" si="49"/>
        <v>0.74226654859536345</v>
      </c>
      <c r="AK90" s="104">
        <f t="shared" si="49"/>
        <v>0.73984275496382101</v>
      </c>
      <c r="AL90" s="104">
        <f t="shared" si="49"/>
        <v>0.74666565803824725</v>
      </c>
      <c r="AM90" s="104">
        <f t="shared" si="49"/>
        <v>0.72837148586414358</v>
      </c>
    </row>
    <row r="91" spans="1:39" x14ac:dyDescent="0.25">
      <c r="A91" s="82"/>
      <c r="B91" s="82"/>
      <c r="C91" s="103">
        <v>122.221</v>
      </c>
      <c r="D91" s="104">
        <f t="shared" si="50"/>
        <v>0.89399425897107221</v>
      </c>
      <c r="E91" s="104">
        <f t="shared" si="48"/>
        <v>0.88412381096017245</v>
      </c>
      <c r="F91" s="104">
        <f t="shared" si="48"/>
        <v>0.81120485517405794</v>
      </c>
      <c r="G91" s="104">
        <f t="shared" si="48"/>
        <v>0.90138744774231117</v>
      </c>
      <c r="H91" s="104">
        <f t="shared" si="48"/>
        <v>0.85739639150244473</v>
      </c>
      <c r="I91" s="104">
        <f t="shared" si="48"/>
        <v>0.86172230642786563</v>
      </c>
      <c r="J91" s="104">
        <f t="shared" si="48"/>
        <v>0.86845244426966239</v>
      </c>
      <c r="K91" s="104">
        <f t="shared" si="48"/>
        <v>0.85482348788415596</v>
      </c>
      <c r="L91" s="104">
        <f t="shared" si="50"/>
        <v>0.86002436518694103</v>
      </c>
      <c r="M91" s="104">
        <f t="shared" si="50"/>
        <v>0.87519982659936912</v>
      </c>
      <c r="N91" s="104"/>
      <c r="O91" s="104"/>
      <c r="P91" s="103">
        <v>122.221</v>
      </c>
      <c r="Q91" s="104">
        <f t="shared" si="48"/>
        <v>0.86243501078201634</v>
      </c>
      <c r="R91" s="104">
        <f t="shared" si="48"/>
        <v>0.8649969974709335</v>
      </c>
      <c r="S91" s="104">
        <f t="shared" si="48"/>
        <v>0.82189477064891403</v>
      </c>
      <c r="T91" s="104">
        <f t="shared" si="48"/>
        <v>0.88886822728330717</v>
      </c>
      <c r="U91" s="104">
        <f t="shared" si="48"/>
        <v>0.87644964480701415</v>
      </c>
      <c r="V91" s="104">
        <f t="shared" si="48"/>
        <v>0.87133259327976786</v>
      </c>
      <c r="W91" s="104">
        <f t="shared" si="48"/>
        <v>0.85940320662890535</v>
      </c>
      <c r="X91" s="104">
        <f t="shared" si="48"/>
        <v>0.82251890922406634</v>
      </c>
      <c r="Y91" s="104">
        <f t="shared" si="48"/>
        <v>0.82719273873505039</v>
      </c>
      <c r="Z91" s="104">
        <f t="shared" si="48"/>
        <v>0.8330146011255366</v>
      </c>
      <c r="AA91" s="104"/>
      <c r="AB91" s="104"/>
      <c r="AC91" s="103">
        <v>122.221</v>
      </c>
      <c r="AD91" s="104">
        <f t="shared" si="49"/>
        <v>0.89720124654274458</v>
      </c>
      <c r="AE91" s="104">
        <f t="shared" si="49"/>
        <v>0.88814229044814763</v>
      </c>
      <c r="AF91" s="104">
        <f t="shared" si="49"/>
        <v>0.8073069588073325</v>
      </c>
      <c r="AG91" s="104">
        <f t="shared" si="49"/>
        <v>0.90426720834253393</v>
      </c>
      <c r="AH91" s="104">
        <f t="shared" si="49"/>
        <v>0.86781695200322473</v>
      </c>
      <c r="AI91" s="104">
        <f t="shared" si="49"/>
        <v>0.87623159281904095</v>
      </c>
      <c r="AJ91" s="104">
        <f t="shared" si="49"/>
        <v>0.88168715332048098</v>
      </c>
      <c r="AK91" s="104">
        <f t="shared" si="49"/>
        <v>0.86656762552488165</v>
      </c>
      <c r="AL91" s="104">
        <f t="shared" si="49"/>
        <v>0.87831992497510836</v>
      </c>
      <c r="AM91" s="104">
        <f t="shared" si="49"/>
        <v>0.84896029119546579</v>
      </c>
    </row>
    <row r="92" spans="1:39" x14ac:dyDescent="0.25">
      <c r="A92" s="82"/>
      <c r="B92" s="82"/>
      <c r="C92" s="103">
        <v>133.333</v>
      </c>
      <c r="D92" s="104">
        <f t="shared" si="50"/>
        <v>0.95589230693390737</v>
      </c>
      <c r="E92" s="104">
        <f t="shared" si="48"/>
        <v>0.94319555433898872</v>
      </c>
      <c r="F92" s="104">
        <f t="shared" si="48"/>
        <v>0.89241290936022966</v>
      </c>
      <c r="G92" s="104">
        <f t="shared" si="48"/>
        <v>0.95856535085245542</v>
      </c>
      <c r="H92" s="104">
        <f t="shared" si="48"/>
        <v>0.91713519029976798</v>
      </c>
      <c r="I92" s="104">
        <f t="shared" si="48"/>
        <v>0.91045332690122704</v>
      </c>
      <c r="J92" s="104">
        <f t="shared" si="48"/>
        <v>0.92381715245208851</v>
      </c>
      <c r="K92" s="104">
        <f t="shared" si="48"/>
        <v>0.90577612021302123</v>
      </c>
      <c r="L92" s="104">
        <f t="shared" si="48"/>
        <v>0.91178969511974239</v>
      </c>
      <c r="M92" s="104">
        <f t="shared" si="48"/>
        <v>0.92381715245208851</v>
      </c>
      <c r="N92" s="104"/>
      <c r="O92" s="104"/>
      <c r="P92" s="103">
        <v>133.333</v>
      </c>
      <c r="Q92" s="104">
        <f t="shared" si="48"/>
        <v>0.91913974549647581</v>
      </c>
      <c r="R92" s="104">
        <f t="shared" si="48"/>
        <v>0.91980795584374164</v>
      </c>
      <c r="S92" s="104">
        <f t="shared" si="48"/>
        <v>0.9004307852054837</v>
      </c>
      <c r="T92" s="104">
        <f t="shared" si="48"/>
        <v>0.94520028667984701</v>
      </c>
      <c r="U92" s="104">
        <f t="shared" si="48"/>
        <v>0.93116747224652152</v>
      </c>
      <c r="V92" s="104">
        <f t="shared" si="48"/>
        <v>0.91112149863229319</v>
      </c>
      <c r="W92" s="104">
        <f t="shared" si="48"/>
        <v>0.90778063787701246</v>
      </c>
      <c r="X92" s="104">
        <f t="shared" si="48"/>
        <v>0.86034338187172166</v>
      </c>
      <c r="Y92" s="104">
        <f t="shared" si="48"/>
        <v>0.86969671081362887</v>
      </c>
      <c r="Z92" s="104">
        <f t="shared" si="48"/>
        <v>0.870364804911129</v>
      </c>
      <c r="AA92" s="104"/>
      <c r="AB92" s="104"/>
      <c r="AC92" s="103">
        <v>133.333</v>
      </c>
      <c r="AD92" s="104">
        <f t="shared" si="49"/>
        <v>0.95722882075462001</v>
      </c>
      <c r="AE92" s="104">
        <f t="shared" si="49"/>
        <v>0.94787324859386768</v>
      </c>
      <c r="AF92" s="104">
        <f t="shared" si="49"/>
        <v>0.88773596291882795</v>
      </c>
      <c r="AG92" s="104">
        <f t="shared" si="49"/>
        <v>0.9619066967166584</v>
      </c>
      <c r="AH92" s="104">
        <f t="shared" si="49"/>
        <v>0.92381715245208851</v>
      </c>
      <c r="AI92" s="104">
        <f t="shared" si="49"/>
        <v>0.92181253803946983</v>
      </c>
      <c r="AJ92" s="104">
        <f t="shared" si="49"/>
        <v>0.93918615125324156</v>
      </c>
      <c r="AK92" s="104">
        <f t="shared" si="49"/>
        <v>0.91713519029976798</v>
      </c>
      <c r="AL92" s="104">
        <f t="shared" si="49"/>
        <v>0.93183568682206142</v>
      </c>
      <c r="AM92" s="104">
        <f t="shared" si="49"/>
        <v>0.8957536555675345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F91F-3994-4E92-AE04-ABBF243A1661}">
  <dimension ref="A1:E26"/>
  <sheetViews>
    <sheetView workbookViewId="0">
      <selection activeCell="H7" sqref="H7"/>
    </sheetView>
  </sheetViews>
  <sheetFormatPr defaultColWidth="8.85546875" defaultRowHeight="15" x14ac:dyDescent="0.25"/>
  <cols>
    <col min="1" max="1" width="16.85546875" customWidth="1"/>
  </cols>
  <sheetData>
    <row r="1" spans="1:5" ht="15.75" x14ac:dyDescent="0.25">
      <c r="A1" s="5" t="s">
        <v>366</v>
      </c>
      <c r="B1" s="2"/>
      <c r="C1" s="2"/>
      <c r="D1" s="2"/>
      <c r="E1" s="2"/>
    </row>
    <row r="3" spans="1:5" x14ac:dyDescent="0.25">
      <c r="B3" s="23" t="s">
        <v>205</v>
      </c>
      <c r="C3" s="23" t="s">
        <v>207</v>
      </c>
      <c r="D3" s="23" t="s">
        <v>206</v>
      </c>
      <c r="E3" s="23" t="s">
        <v>55</v>
      </c>
    </row>
    <row r="4" spans="1:5" ht="15.75" x14ac:dyDescent="0.25">
      <c r="A4" s="6" t="s">
        <v>202</v>
      </c>
      <c r="B4" s="6">
        <v>8</v>
      </c>
      <c r="C4" s="6">
        <v>4</v>
      </c>
      <c r="D4" s="6">
        <v>8</v>
      </c>
      <c r="E4" s="6"/>
    </row>
    <row r="5" spans="1:5" ht="15.75" x14ac:dyDescent="0.25">
      <c r="A5" s="6" t="s">
        <v>66</v>
      </c>
      <c r="B5" s="6">
        <v>4</v>
      </c>
      <c r="C5" s="6">
        <v>11</v>
      </c>
      <c r="D5" s="6">
        <v>4</v>
      </c>
      <c r="E5" s="6"/>
    </row>
    <row r="6" spans="1:5" ht="15.75" x14ac:dyDescent="0.25">
      <c r="A6" s="6" t="s">
        <v>203</v>
      </c>
      <c r="B6" s="6">
        <v>22</v>
      </c>
      <c r="C6" s="6">
        <v>13</v>
      </c>
      <c r="D6" s="6">
        <v>7</v>
      </c>
      <c r="E6" s="6"/>
    </row>
    <row r="7" spans="1:5" ht="15.75" x14ac:dyDescent="0.25">
      <c r="A7" s="6" t="s">
        <v>204</v>
      </c>
      <c r="B7" s="6">
        <v>11</v>
      </c>
      <c r="C7" s="6">
        <v>1</v>
      </c>
      <c r="D7" s="6">
        <v>1</v>
      </c>
      <c r="E7" s="6"/>
    </row>
    <row r="11" spans="1:5" x14ac:dyDescent="0.25">
      <c r="A11" s="2"/>
      <c r="B11" s="23" t="s">
        <v>205</v>
      </c>
      <c r="C11" s="23" t="s">
        <v>207</v>
      </c>
      <c r="D11" s="23" t="s">
        <v>206</v>
      </c>
      <c r="E11" s="23" t="s">
        <v>55</v>
      </c>
    </row>
    <row r="12" spans="1:5" ht="15.75" x14ac:dyDescent="0.25">
      <c r="A12" s="6" t="s">
        <v>202</v>
      </c>
      <c r="B12" s="6">
        <v>4</v>
      </c>
      <c r="C12" s="6">
        <v>5</v>
      </c>
      <c r="D12" s="6">
        <v>6</v>
      </c>
      <c r="E12" s="6"/>
    </row>
    <row r="13" spans="1:5" ht="15.75" x14ac:dyDescent="0.25">
      <c r="A13" s="6" t="s">
        <v>66</v>
      </c>
      <c r="B13" s="6">
        <v>2</v>
      </c>
      <c r="C13" s="6">
        <v>6</v>
      </c>
      <c r="D13" s="6">
        <v>8</v>
      </c>
      <c r="E13" s="6"/>
    </row>
    <row r="14" spans="1:5" ht="15.75" x14ac:dyDescent="0.25">
      <c r="A14" s="6" t="s">
        <v>203</v>
      </c>
      <c r="B14" s="6">
        <v>14</v>
      </c>
      <c r="C14" s="6">
        <v>17</v>
      </c>
      <c r="D14" s="6">
        <v>10</v>
      </c>
      <c r="E14" s="6"/>
    </row>
    <row r="15" spans="1:5" ht="15.75" x14ac:dyDescent="0.25">
      <c r="A15" s="6" t="s">
        <v>204</v>
      </c>
      <c r="B15" s="6">
        <v>2</v>
      </c>
      <c r="C15" s="6">
        <v>2</v>
      </c>
      <c r="D15" s="6">
        <v>0</v>
      </c>
      <c r="E15" s="6"/>
    </row>
    <row r="19" spans="1:5" x14ac:dyDescent="0.25">
      <c r="A19" s="2"/>
      <c r="B19" s="23" t="s">
        <v>205</v>
      </c>
      <c r="C19" s="23" t="s">
        <v>207</v>
      </c>
      <c r="D19" s="23" t="s">
        <v>206</v>
      </c>
      <c r="E19" s="23" t="s">
        <v>55</v>
      </c>
    </row>
    <row r="20" spans="1:5" ht="15.75" x14ac:dyDescent="0.25">
      <c r="A20" s="6" t="s">
        <v>202</v>
      </c>
      <c r="B20" s="6">
        <v>18</v>
      </c>
      <c r="C20" s="6">
        <v>1</v>
      </c>
      <c r="D20" s="6">
        <v>3</v>
      </c>
      <c r="E20" s="6"/>
    </row>
    <row r="21" spans="1:5" ht="15.75" x14ac:dyDescent="0.25">
      <c r="A21" s="6" t="s">
        <v>66</v>
      </c>
      <c r="B21" s="45" t="s">
        <v>208</v>
      </c>
      <c r="C21" s="45" t="s">
        <v>208</v>
      </c>
      <c r="D21" s="45" t="s">
        <v>208</v>
      </c>
      <c r="E21" s="6"/>
    </row>
    <row r="22" spans="1:5" ht="15.75" x14ac:dyDescent="0.25">
      <c r="A22" s="6" t="s">
        <v>203</v>
      </c>
      <c r="B22" s="6">
        <v>25</v>
      </c>
      <c r="C22" s="6">
        <v>5</v>
      </c>
      <c r="D22" s="6">
        <v>23</v>
      </c>
      <c r="E22" s="6"/>
    </row>
    <row r="23" spans="1:5" ht="15.75" x14ac:dyDescent="0.25">
      <c r="A23" s="6" t="s">
        <v>204</v>
      </c>
      <c r="B23" s="6">
        <v>3</v>
      </c>
      <c r="C23" s="6">
        <v>0</v>
      </c>
      <c r="D23" s="6">
        <v>5</v>
      </c>
      <c r="E23" s="6"/>
    </row>
    <row r="24" spans="1:5" ht="15.75" x14ac:dyDescent="0.25">
      <c r="A24" s="6" t="s">
        <v>73</v>
      </c>
      <c r="B24" s="6">
        <v>1</v>
      </c>
      <c r="C24" s="6">
        <v>0</v>
      </c>
      <c r="D24" s="6">
        <v>0</v>
      </c>
    </row>
    <row r="26" spans="1:5" ht="15.75" x14ac:dyDescent="0.25">
      <c r="A26" s="6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594C-A6D2-407D-9EE7-FCBE3DFBB402}">
  <dimension ref="A1:P55"/>
  <sheetViews>
    <sheetView zoomScale="70" zoomScaleNormal="70" workbookViewId="0">
      <selection activeCell="S20" sqref="S20"/>
    </sheetView>
  </sheetViews>
  <sheetFormatPr defaultColWidth="8.85546875" defaultRowHeight="15" x14ac:dyDescent="0.25"/>
  <cols>
    <col min="2" max="2" width="10.5703125" customWidth="1"/>
    <col min="4" max="4" width="10.85546875" customWidth="1"/>
  </cols>
  <sheetData>
    <row r="1" spans="1:16" s="2" customFormat="1" ht="15.75" x14ac:dyDescent="0.25">
      <c r="A1" s="5" t="s">
        <v>370</v>
      </c>
      <c r="B1" s="7"/>
      <c r="C1" s="7"/>
      <c r="D1" s="7"/>
      <c r="E1" s="7"/>
      <c r="F1" s="7"/>
      <c r="G1" s="7"/>
      <c r="H1" s="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37" t="s">
        <v>371</v>
      </c>
      <c r="B3" s="3"/>
      <c r="C3" s="3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x14ac:dyDescent="0.25">
      <c r="A4" s="46"/>
      <c r="B4" s="47" t="s">
        <v>154</v>
      </c>
      <c r="C4" s="48" t="s">
        <v>155</v>
      </c>
      <c r="D4" s="47" t="s">
        <v>156</v>
      </c>
      <c r="E4" s="240" t="s">
        <v>157</v>
      </c>
      <c r="F4" s="47" t="s">
        <v>158</v>
      </c>
      <c r="G4" s="47" t="s">
        <v>159</v>
      </c>
      <c r="H4" s="47" t="s">
        <v>160</v>
      </c>
      <c r="I4" s="47" t="s">
        <v>161</v>
      </c>
      <c r="J4" s="47" t="s">
        <v>162</v>
      </c>
      <c r="K4" s="47" t="s">
        <v>163</v>
      </c>
      <c r="L4" s="47" t="s">
        <v>164</v>
      </c>
      <c r="M4" s="47" t="s">
        <v>153</v>
      </c>
      <c r="N4" s="47" t="s">
        <v>165</v>
      </c>
      <c r="O4" s="47" t="s">
        <v>168</v>
      </c>
      <c r="P4" s="46"/>
    </row>
    <row r="5" spans="1:16" x14ac:dyDescent="0.25">
      <c r="A5" s="49"/>
      <c r="B5" s="52">
        <v>1E-3</v>
      </c>
      <c r="C5" s="50">
        <v>0</v>
      </c>
      <c r="D5" s="49">
        <v>7.9000000000000001E-2</v>
      </c>
      <c r="E5" s="49">
        <v>3.0455868089233753E-2</v>
      </c>
      <c r="F5" s="49">
        <v>9.4292779426310591E-2</v>
      </c>
      <c r="G5" s="49">
        <v>0.10349999999999999</v>
      </c>
      <c r="H5" s="49">
        <v>0.1011</v>
      </c>
      <c r="I5" s="49">
        <v>0.1157</v>
      </c>
      <c r="J5" s="49">
        <v>5.7369999999999997E-2</v>
      </c>
      <c r="K5" s="49">
        <v>0.1071</v>
      </c>
      <c r="L5" s="49">
        <v>0.16800000000000001</v>
      </c>
      <c r="M5" s="49">
        <v>0.21099999999999999</v>
      </c>
      <c r="N5" s="49">
        <v>0.36549999999999999</v>
      </c>
      <c r="O5" s="46">
        <v>0.183</v>
      </c>
      <c r="P5" s="46"/>
    </row>
    <row r="6" spans="1:16" x14ac:dyDescent="0.25">
      <c r="A6" s="49"/>
      <c r="B6" s="50">
        <v>1</v>
      </c>
      <c r="C6" s="50">
        <v>1</v>
      </c>
      <c r="D6" s="49">
        <v>0.21190000000000001</v>
      </c>
      <c r="E6" s="49">
        <v>0.13394762366634336</v>
      </c>
      <c r="F6" s="49">
        <v>0.23827893175074186</v>
      </c>
      <c r="G6" s="49">
        <v>0.29389999999999999</v>
      </c>
      <c r="H6" s="49">
        <v>0.26819999999999999</v>
      </c>
      <c r="I6" s="49">
        <v>0.30109999999999998</v>
      </c>
      <c r="J6" s="49">
        <v>0.21210000000000001</v>
      </c>
      <c r="K6" s="49">
        <v>0.26719999999999999</v>
      </c>
      <c r="L6" s="49">
        <v>0.31680000000000003</v>
      </c>
      <c r="M6" s="49">
        <v>0.29799999999999999</v>
      </c>
      <c r="N6" s="49">
        <v>0.32279999999999998</v>
      </c>
      <c r="O6" s="46">
        <v>0.312</v>
      </c>
      <c r="P6" s="46"/>
    </row>
    <row r="7" spans="1:16" x14ac:dyDescent="0.25">
      <c r="A7" s="49"/>
      <c r="B7" s="50">
        <v>4</v>
      </c>
      <c r="C7" s="50">
        <v>2</v>
      </c>
      <c r="D7" s="49">
        <v>0.4955</v>
      </c>
      <c r="E7" s="49">
        <v>0.43210475266731335</v>
      </c>
      <c r="F7" s="49">
        <v>0.55153313550939664</v>
      </c>
      <c r="G7" s="49">
        <v>0.55420000000000003</v>
      </c>
      <c r="H7" s="49">
        <v>0.58540000000000003</v>
      </c>
      <c r="I7" s="49">
        <v>0.71060000000000001</v>
      </c>
      <c r="J7" s="49">
        <v>0.47210000000000002</v>
      </c>
      <c r="K7" s="49">
        <v>0.53410000000000002</v>
      </c>
      <c r="L7" s="49">
        <v>0.55259999999999998</v>
      </c>
      <c r="M7" s="49">
        <v>0.58399999999999996</v>
      </c>
      <c r="N7" s="49">
        <v>0.50080000000000002</v>
      </c>
      <c r="O7" s="46">
        <v>0.623</v>
      </c>
      <c r="P7" s="46"/>
    </row>
    <row r="8" spans="1:16" x14ac:dyDescent="0.25">
      <c r="A8" s="49"/>
      <c r="B8" s="50">
        <v>9</v>
      </c>
      <c r="C8" s="50">
        <v>3</v>
      </c>
      <c r="D8" s="49">
        <v>0.75380000000000003</v>
      </c>
      <c r="E8" s="49">
        <v>0.7176527643064986</v>
      </c>
      <c r="F8" s="49">
        <v>0.79910979228486645</v>
      </c>
      <c r="G8" s="49">
        <v>0.78739999999999999</v>
      </c>
      <c r="H8" s="49">
        <v>0.80779999999999996</v>
      </c>
      <c r="I8" s="49">
        <v>0.91579999999999995</v>
      </c>
      <c r="J8" s="49">
        <v>0.74680000000000002</v>
      </c>
      <c r="K8" s="49">
        <v>0.77390000000000003</v>
      </c>
      <c r="L8" s="49">
        <v>0.78520000000000001</v>
      </c>
      <c r="M8" s="49">
        <v>0.80100000000000005</v>
      </c>
      <c r="N8" s="49">
        <v>0.74</v>
      </c>
      <c r="O8" s="46">
        <v>0.81200000000000006</v>
      </c>
      <c r="P8" s="46"/>
    </row>
    <row r="9" spans="1:16" x14ac:dyDescent="0.25">
      <c r="A9" s="49"/>
      <c r="B9" s="50">
        <v>16</v>
      </c>
      <c r="C9" s="50">
        <v>4</v>
      </c>
      <c r="D9" s="49">
        <v>0.9073</v>
      </c>
      <c r="E9" s="49">
        <v>0.87235693501454903</v>
      </c>
      <c r="F9" s="49">
        <v>0.93412462908011884</v>
      </c>
      <c r="G9" s="49">
        <v>0.91159999999999997</v>
      </c>
      <c r="H9" s="49">
        <v>0.94430000000000003</v>
      </c>
      <c r="I9" s="49">
        <v>1.01</v>
      </c>
      <c r="J9" s="49">
        <v>0.91669999999999996</v>
      </c>
      <c r="K9" s="49">
        <v>0.91359999999999997</v>
      </c>
      <c r="L9" s="49">
        <v>0.92679999999999996</v>
      </c>
      <c r="M9" s="49">
        <v>0.91400000000000003</v>
      </c>
      <c r="N9" s="49">
        <v>0.87350000000000005</v>
      </c>
      <c r="O9" s="46">
        <v>0.90500000000000003</v>
      </c>
      <c r="P9" s="46"/>
    </row>
    <row r="10" spans="1:16" x14ac:dyDescent="0.25">
      <c r="A10" s="49"/>
      <c r="B10" s="50">
        <v>25</v>
      </c>
      <c r="C10" s="50">
        <v>5</v>
      </c>
      <c r="D10" s="49">
        <v>0.98099999999999998</v>
      </c>
      <c r="E10" s="49">
        <v>0.95247332686711939</v>
      </c>
      <c r="F10" s="49">
        <v>0.99010880316518302</v>
      </c>
      <c r="G10" s="49">
        <v>0.98560000000000003</v>
      </c>
      <c r="H10" s="49">
        <v>0.99150000000000005</v>
      </c>
      <c r="I10" s="49">
        <v>1.03</v>
      </c>
      <c r="J10" s="49">
        <v>0.99109999999999998</v>
      </c>
      <c r="K10" s="49">
        <v>0.97819999999999996</v>
      </c>
      <c r="L10" s="49">
        <v>0.98270000000000002</v>
      </c>
      <c r="M10" s="49">
        <v>0.98899999999999999</v>
      </c>
      <c r="N10" s="49">
        <v>0.96299999999999997</v>
      </c>
      <c r="O10" s="46">
        <v>1</v>
      </c>
      <c r="P10" s="46"/>
    </row>
    <row r="11" spans="1:16" x14ac:dyDescent="0.25">
      <c r="A11" s="49"/>
      <c r="B11" s="50">
        <v>36</v>
      </c>
      <c r="C11" s="50">
        <v>6</v>
      </c>
      <c r="D11" s="49">
        <v>1</v>
      </c>
      <c r="E11" s="49">
        <v>0.96993210475266745</v>
      </c>
      <c r="F11" s="49">
        <v>0.99811968348170099</v>
      </c>
      <c r="G11" s="49">
        <v>1</v>
      </c>
      <c r="H11" s="49">
        <v>1</v>
      </c>
      <c r="I11" s="49">
        <v>1</v>
      </c>
      <c r="J11" s="49">
        <v>1</v>
      </c>
      <c r="K11" s="49">
        <v>1</v>
      </c>
      <c r="L11" s="49">
        <v>1</v>
      </c>
      <c r="M11" s="49">
        <v>1</v>
      </c>
      <c r="N11" s="49">
        <v>1</v>
      </c>
      <c r="O11" s="46">
        <v>0.98499999999999999</v>
      </c>
      <c r="P11" s="46"/>
    </row>
    <row r="12" spans="1:16" x14ac:dyDescent="0.25">
      <c r="A12" s="49"/>
      <c r="B12" s="50">
        <v>49</v>
      </c>
      <c r="C12" s="50">
        <v>7</v>
      </c>
      <c r="D12" s="49">
        <v>0.99060000000000004</v>
      </c>
      <c r="E12" s="49">
        <v>1</v>
      </c>
      <c r="F12" s="49">
        <v>1</v>
      </c>
      <c r="G12" s="49">
        <v>0.96650000000000003</v>
      </c>
      <c r="H12" s="49">
        <v>0.998</v>
      </c>
      <c r="I12" s="49">
        <v>1.081</v>
      </c>
      <c r="J12" s="49">
        <v>0.96250000000000002</v>
      </c>
      <c r="K12" s="49">
        <v>0.94989999999999997</v>
      </c>
      <c r="L12" s="49">
        <v>0.94210000000000005</v>
      </c>
      <c r="M12" s="49">
        <v>0.96099999999999997</v>
      </c>
      <c r="N12" s="49">
        <v>0.98199999999999998</v>
      </c>
      <c r="O12" s="46">
        <v>0.98199999999999998</v>
      </c>
      <c r="P12" s="46"/>
    </row>
    <row r="13" spans="1:16" x14ac:dyDescent="0.25">
      <c r="A13" s="49"/>
      <c r="B13" s="50">
        <v>64</v>
      </c>
      <c r="C13" s="50">
        <v>8</v>
      </c>
      <c r="D13" s="49">
        <v>0.94340000000000002</v>
      </c>
      <c r="E13" s="49">
        <v>0.96178467507274501</v>
      </c>
      <c r="F13" s="49">
        <v>0.97131552917903075</v>
      </c>
      <c r="G13" s="49">
        <v>0.92949999999999999</v>
      </c>
      <c r="H13" s="49">
        <v>0.98150000000000004</v>
      </c>
      <c r="I13" s="49">
        <v>1.06</v>
      </c>
      <c r="J13" s="49">
        <v>0.90780000000000005</v>
      </c>
      <c r="K13" s="49">
        <v>0.90469999999999995</v>
      </c>
      <c r="L13" s="49">
        <v>0.89139999999999997</v>
      </c>
      <c r="M13" s="49">
        <v>0.92400000000000004</v>
      </c>
      <c r="N13" s="49">
        <v>0.94399999999999995</v>
      </c>
      <c r="O13" s="46">
        <v>0.90800000000000003</v>
      </c>
      <c r="P13" s="46"/>
    </row>
    <row r="14" spans="1:16" x14ac:dyDescent="0.25">
      <c r="A14" s="49"/>
      <c r="B14" s="50">
        <v>81</v>
      </c>
      <c r="C14" s="50">
        <v>9</v>
      </c>
      <c r="D14" s="49">
        <v>0.87260000000000004</v>
      </c>
      <c r="E14" s="49">
        <v>0.88089233753637253</v>
      </c>
      <c r="F14" s="49">
        <v>0.88961424332344219</v>
      </c>
      <c r="G14" s="49">
        <v>0.86809999999999998</v>
      </c>
      <c r="H14" s="49">
        <v>0.92610000000000003</v>
      </c>
      <c r="I14" s="49">
        <v>0.97099999999999997</v>
      </c>
      <c r="J14" s="49">
        <v>0.84789999999999999</v>
      </c>
      <c r="K14" s="49">
        <v>0.84499999999999997</v>
      </c>
      <c r="L14" s="49">
        <v>0.83240000000000003</v>
      </c>
      <c r="M14" s="49">
        <v>0.871</v>
      </c>
      <c r="N14" s="49">
        <v>0.86499999999999999</v>
      </c>
      <c r="O14" s="46">
        <v>0.86099999999999999</v>
      </c>
      <c r="P14" s="46"/>
    </row>
    <row r="15" spans="1:16" x14ac:dyDescent="0.25">
      <c r="A15" s="49"/>
      <c r="B15" s="50">
        <v>100</v>
      </c>
      <c r="C15" s="50">
        <v>10</v>
      </c>
      <c r="D15" s="49">
        <v>0.82299999999999995</v>
      </c>
      <c r="E15" s="49">
        <v>0.82279340446168781</v>
      </c>
      <c r="F15" s="49">
        <v>0.83907022749752735</v>
      </c>
      <c r="G15" s="49">
        <v>0.80300000000000005</v>
      </c>
      <c r="H15" s="49">
        <v>0.84819999999999995</v>
      </c>
      <c r="I15" s="49">
        <v>0.90690000000000004</v>
      </c>
      <c r="J15" s="49">
        <v>0.78420000000000001</v>
      </c>
      <c r="K15" s="49">
        <v>0.78149999999999997</v>
      </c>
      <c r="L15" s="49">
        <v>0.77</v>
      </c>
      <c r="M15" s="49">
        <v>0.81599999999999995</v>
      </c>
      <c r="N15" s="49">
        <v>0.84099999999999997</v>
      </c>
      <c r="O15" s="46">
        <v>0.76300000000000001</v>
      </c>
      <c r="P15" s="46"/>
    </row>
    <row r="16" spans="1:16" x14ac:dyDescent="0.25">
      <c r="A16" s="46"/>
      <c r="B16" s="47">
        <v>121</v>
      </c>
      <c r="C16" s="47">
        <v>11</v>
      </c>
      <c r="D16" s="46">
        <v>0.77300000000000002</v>
      </c>
      <c r="E16" s="46">
        <v>0.76100000000000001</v>
      </c>
      <c r="F16" s="46">
        <v>0.76400000000000001</v>
      </c>
      <c r="G16" s="46">
        <v>0.70799999999999996</v>
      </c>
      <c r="H16" s="46">
        <v>0.77300000000000002</v>
      </c>
      <c r="I16" s="46">
        <v>0.78900000000000003</v>
      </c>
      <c r="J16" s="46">
        <v>0.73199999999999998</v>
      </c>
      <c r="K16" s="46">
        <v>0.754</v>
      </c>
      <c r="L16" s="46">
        <v>0.751</v>
      </c>
      <c r="M16" s="46">
        <v>0.73799999999999999</v>
      </c>
      <c r="N16" s="46">
        <v>0.74099999999999999</v>
      </c>
      <c r="O16" s="46">
        <v>0.70099999999999996</v>
      </c>
      <c r="P16" s="46"/>
    </row>
    <row r="17" spans="1:16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</row>
    <row r="18" spans="1:16" x14ac:dyDescent="0.25">
      <c r="A18" s="37" t="s">
        <v>372</v>
      </c>
      <c r="B18" s="3"/>
      <c r="C18" s="3"/>
      <c r="D18" s="51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6"/>
      <c r="B19" s="47" t="s">
        <v>154</v>
      </c>
      <c r="C19" s="48" t="s">
        <v>155</v>
      </c>
      <c r="D19" s="47" t="s">
        <v>156</v>
      </c>
      <c r="E19" s="47" t="s">
        <v>159</v>
      </c>
      <c r="F19" s="47" t="s">
        <v>157</v>
      </c>
      <c r="G19" s="47" t="s">
        <v>158</v>
      </c>
      <c r="H19" s="47" t="s">
        <v>160</v>
      </c>
      <c r="I19" s="47" t="s">
        <v>161</v>
      </c>
      <c r="J19" s="47" t="s">
        <v>162</v>
      </c>
      <c r="K19" s="47" t="s">
        <v>163</v>
      </c>
      <c r="L19" s="47" t="s">
        <v>164</v>
      </c>
      <c r="M19" s="47" t="s">
        <v>153</v>
      </c>
      <c r="N19" s="47" t="s">
        <v>165</v>
      </c>
      <c r="O19" s="47" t="s">
        <v>168</v>
      </c>
      <c r="P19" s="46"/>
    </row>
    <row r="20" spans="1:16" x14ac:dyDescent="0.25">
      <c r="A20" s="46"/>
      <c r="B20" s="47">
        <v>4.0000000000000001E-3</v>
      </c>
      <c r="C20" s="52">
        <v>2E-3</v>
      </c>
      <c r="D20" s="49">
        <v>2.3130000000000001E-2</v>
      </c>
      <c r="E20" s="49">
        <v>5.1330000000000001E-2</v>
      </c>
      <c r="F20" s="49">
        <v>7.5500000000000003E-3</v>
      </c>
      <c r="G20" s="49">
        <v>2.8969999999999999E-2</v>
      </c>
      <c r="H20" s="49">
        <v>2.5819999999999999E-2</v>
      </c>
      <c r="I20" s="49">
        <v>8.5379999999999998E-2</v>
      </c>
      <c r="J20" s="49">
        <v>2.2290000000000001E-2</v>
      </c>
      <c r="K20" s="49">
        <v>3.875E-2</v>
      </c>
      <c r="L20" s="49">
        <v>6.3079999999999997E-2</v>
      </c>
      <c r="M20" s="49">
        <v>0.21079999999999999</v>
      </c>
      <c r="N20" s="49">
        <v>0.53849999999999998</v>
      </c>
      <c r="O20" s="46">
        <v>0.112</v>
      </c>
      <c r="P20" s="46"/>
    </row>
    <row r="21" spans="1:16" x14ac:dyDescent="0.25">
      <c r="A21" s="46"/>
      <c r="B21" s="47">
        <v>2.25</v>
      </c>
      <c r="C21" s="52">
        <v>1.5</v>
      </c>
      <c r="D21" s="49">
        <v>0.10390000000000001</v>
      </c>
      <c r="E21" s="49">
        <v>0.1608</v>
      </c>
      <c r="F21" s="49">
        <v>8.4140000000000006E-2</v>
      </c>
      <c r="G21" s="49">
        <v>0.12770000000000001</v>
      </c>
      <c r="H21" s="49">
        <v>0.12670000000000001</v>
      </c>
      <c r="I21" s="49">
        <v>0.2863</v>
      </c>
      <c r="J21" s="49">
        <v>0.1042</v>
      </c>
      <c r="K21" s="49">
        <v>0.13</v>
      </c>
      <c r="L21" s="49">
        <v>0.1249</v>
      </c>
      <c r="M21" s="49">
        <v>0.186</v>
      </c>
      <c r="N21" s="49">
        <v>0.2419</v>
      </c>
      <c r="O21" s="46">
        <v>0.214</v>
      </c>
      <c r="P21" s="46"/>
    </row>
    <row r="22" spans="1:16" x14ac:dyDescent="0.25">
      <c r="A22" s="46"/>
      <c r="B22" s="47">
        <v>4</v>
      </c>
      <c r="C22" s="52">
        <v>2</v>
      </c>
      <c r="D22" s="49">
        <v>0.1366</v>
      </c>
      <c r="E22" s="49">
        <v>0.19539999999999999</v>
      </c>
      <c r="F22" s="49">
        <v>0.1255</v>
      </c>
      <c r="G22" s="49">
        <v>0.16300000000000001</v>
      </c>
      <c r="H22" s="49">
        <v>0.16320000000000001</v>
      </c>
      <c r="I22" s="49">
        <v>0.32819999999999999</v>
      </c>
      <c r="J22" s="49">
        <v>0.13689999999999999</v>
      </c>
      <c r="K22" s="49">
        <v>0.16109999999999999</v>
      </c>
      <c r="L22" s="49">
        <v>0.15179999999999999</v>
      </c>
      <c r="M22" s="49">
        <v>0.20599999999999999</v>
      </c>
      <c r="N22" s="49">
        <v>0.2349</v>
      </c>
      <c r="O22" s="46">
        <v>0.28399999999999997</v>
      </c>
      <c r="P22" s="46"/>
    </row>
    <row r="23" spans="1:16" x14ac:dyDescent="0.25">
      <c r="A23" s="46"/>
      <c r="B23" s="47">
        <v>6.25</v>
      </c>
      <c r="C23" s="52">
        <v>2.5</v>
      </c>
      <c r="D23" s="49">
        <v>0.17780000000000001</v>
      </c>
      <c r="E23" s="49">
        <v>0.22839999999999999</v>
      </c>
      <c r="F23" s="49">
        <v>0.16500000000000001</v>
      </c>
      <c r="G23" s="49">
        <v>0.20799999999999999</v>
      </c>
      <c r="H23" s="49">
        <v>0.20630000000000001</v>
      </c>
      <c r="I23" s="49">
        <v>0.4108</v>
      </c>
      <c r="J23" s="49">
        <v>0.1764</v>
      </c>
      <c r="K23" s="49">
        <v>0.19389999999999999</v>
      </c>
      <c r="L23" s="49">
        <v>0.19</v>
      </c>
      <c r="M23" s="49">
        <v>0.221</v>
      </c>
      <c r="N23" s="49">
        <v>0.25900000000000001</v>
      </c>
      <c r="O23" s="46">
        <v>0.32100000000000001</v>
      </c>
      <c r="P23" s="46"/>
    </row>
    <row r="24" spans="1:16" x14ac:dyDescent="0.25">
      <c r="A24" s="46"/>
      <c r="B24" s="47">
        <v>9</v>
      </c>
      <c r="C24" s="52">
        <v>3</v>
      </c>
      <c r="D24" s="49">
        <v>0.21820000000000001</v>
      </c>
      <c r="E24" s="49">
        <v>0.27229999999999999</v>
      </c>
      <c r="F24" s="49">
        <v>0.21260000000000001</v>
      </c>
      <c r="G24" s="49">
        <v>0.25040000000000001</v>
      </c>
      <c r="H24" s="49">
        <v>0.24829999999999999</v>
      </c>
      <c r="I24" s="49">
        <v>0.44850000000000001</v>
      </c>
      <c r="J24" s="49">
        <v>0.21440000000000001</v>
      </c>
      <c r="K24" s="49">
        <v>0.2334</v>
      </c>
      <c r="L24" s="49">
        <v>0.22869999999999999</v>
      </c>
      <c r="M24" s="49">
        <v>0.28249999999999997</v>
      </c>
      <c r="N24" s="49">
        <v>0.27460000000000001</v>
      </c>
      <c r="O24" s="46">
        <v>0.40799999999999997</v>
      </c>
      <c r="P24" s="46"/>
    </row>
    <row r="25" spans="1:16" x14ac:dyDescent="0.25">
      <c r="A25" s="46"/>
      <c r="B25" s="47">
        <v>16</v>
      </c>
      <c r="C25" s="52">
        <v>4</v>
      </c>
      <c r="D25" s="49">
        <v>0.31309999999999999</v>
      </c>
      <c r="E25" s="49">
        <v>0.35089999999999999</v>
      </c>
      <c r="F25" s="49">
        <v>0.32350000000000001</v>
      </c>
      <c r="G25" s="49">
        <v>0.35920000000000002</v>
      </c>
      <c r="H25" s="49">
        <v>0.35980000000000001</v>
      </c>
      <c r="I25" s="49">
        <v>0.59519999999999995</v>
      </c>
      <c r="J25" s="49">
        <v>0.30769999999999997</v>
      </c>
      <c r="K25" s="49">
        <v>0.3221</v>
      </c>
      <c r="L25" s="49">
        <v>0.32500000000000001</v>
      </c>
      <c r="M25" s="49">
        <v>0.38229999999999997</v>
      </c>
      <c r="N25" s="49">
        <v>0.36049999999999999</v>
      </c>
      <c r="O25" s="46">
        <v>0.496</v>
      </c>
      <c r="P25" s="46"/>
    </row>
    <row r="26" spans="1:16" x14ac:dyDescent="0.25">
      <c r="A26" s="46"/>
      <c r="B26" s="47">
        <v>25</v>
      </c>
      <c r="C26" s="52">
        <v>5</v>
      </c>
      <c r="D26" s="49">
        <v>0.41959999999999997</v>
      </c>
      <c r="E26" s="49">
        <v>0.48420000000000002</v>
      </c>
      <c r="F26" s="49">
        <v>0.43769999999999998</v>
      </c>
      <c r="G26" s="49">
        <v>0.48139999999999999</v>
      </c>
      <c r="H26" s="49">
        <v>0.47749999999999998</v>
      </c>
      <c r="I26" s="49">
        <v>0.7671</v>
      </c>
      <c r="J26" s="49">
        <v>0.4123</v>
      </c>
      <c r="K26" s="49">
        <v>0.42330000000000001</v>
      </c>
      <c r="L26" s="49">
        <v>0.41880000000000001</v>
      </c>
      <c r="M26" s="49">
        <v>0.48799999999999999</v>
      </c>
      <c r="N26" s="49">
        <v>0.4607</v>
      </c>
      <c r="O26" s="46">
        <v>0.63400000000000001</v>
      </c>
      <c r="P26" s="46"/>
    </row>
    <row r="27" spans="1:16" x14ac:dyDescent="0.25">
      <c r="A27" s="46"/>
      <c r="B27" s="47">
        <v>36</v>
      </c>
      <c r="C27" s="52">
        <v>6</v>
      </c>
      <c r="D27" s="49">
        <v>0.53549999999999998</v>
      </c>
      <c r="E27" s="49">
        <v>0.58289999999999997</v>
      </c>
      <c r="F27" s="49">
        <v>0.56410000000000005</v>
      </c>
      <c r="G27" s="49">
        <v>0.59570000000000001</v>
      </c>
      <c r="H27" s="49">
        <v>0.59770000000000001</v>
      </c>
      <c r="I27" s="49">
        <v>0.9234</v>
      </c>
      <c r="J27" s="49">
        <v>0.52110000000000001</v>
      </c>
      <c r="K27" s="49">
        <v>0.52459999999999996</v>
      </c>
      <c r="L27" s="49">
        <v>0.5242</v>
      </c>
      <c r="M27" s="49">
        <v>0.59309999999999996</v>
      </c>
      <c r="N27" s="49">
        <v>0.55449999999999999</v>
      </c>
      <c r="O27" s="46">
        <v>0.78100000000000003</v>
      </c>
      <c r="P27" s="46"/>
    </row>
    <row r="28" spans="1:16" x14ac:dyDescent="0.25">
      <c r="A28" s="46"/>
      <c r="B28" s="47">
        <v>64</v>
      </c>
      <c r="C28" s="52">
        <v>8</v>
      </c>
      <c r="D28" s="49">
        <v>0.74619999999999997</v>
      </c>
      <c r="E28" s="49">
        <v>0.77349999999999997</v>
      </c>
      <c r="F28" s="49">
        <v>0.87160000000000004</v>
      </c>
      <c r="G28" s="49">
        <v>0.83150000000000002</v>
      </c>
      <c r="H28" s="49">
        <v>0.82469999999999999</v>
      </c>
      <c r="I28" s="49">
        <v>1.19</v>
      </c>
      <c r="J28" s="49">
        <v>0.72609999999999997</v>
      </c>
      <c r="K28" s="49">
        <v>0.70989999999999998</v>
      </c>
      <c r="L28" s="49">
        <v>0.71640000000000004</v>
      </c>
      <c r="M28" s="49">
        <v>0.77190000000000003</v>
      </c>
      <c r="N28" s="49">
        <v>0.75770000000000004</v>
      </c>
      <c r="O28" s="46">
        <v>0.82699999999999996</v>
      </c>
      <c r="P28" s="46"/>
    </row>
    <row r="29" spans="1:16" x14ac:dyDescent="0.25">
      <c r="A29" s="46"/>
      <c r="B29" s="47">
        <v>81</v>
      </c>
      <c r="C29" s="50">
        <v>9</v>
      </c>
      <c r="D29" s="49">
        <v>0.83889999999999998</v>
      </c>
      <c r="E29" s="46">
        <v>0.8528</v>
      </c>
      <c r="F29" s="53">
        <v>0.88370000000000004</v>
      </c>
      <c r="G29" s="46">
        <v>0.90780000000000005</v>
      </c>
      <c r="H29" s="46">
        <v>0.9093</v>
      </c>
      <c r="I29" s="46">
        <v>1.325</v>
      </c>
      <c r="J29" s="46">
        <v>0.81640000000000001</v>
      </c>
      <c r="K29" s="46">
        <v>0.79810000000000003</v>
      </c>
      <c r="L29" s="46">
        <v>0.78979999999999995</v>
      </c>
      <c r="M29" s="46">
        <v>0.82399999999999995</v>
      </c>
      <c r="N29" s="46">
        <v>0.84360000000000002</v>
      </c>
      <c r="O29" s="46">
        <v>0.88600000000000001</v>
      </c>
      <c r="P29" s="46"/>
    </row>
    <row r="30" spans="1:16" x14ac:dyDescent="0.25">
      <c r="A30" s="46"/>
      <c r="B30" s="47">
        <v>100</v>
      </c>
      <c r="C30" s="47">
        <v>10</v>
      </c>
      <c r="D30" s="46">
        <v>0.8982</v>
      </c>
      <c r="E30" s="46">
        <v>0.92210000000000003</v>
      </c>
      <c r="F30" s="53">
        <v>0.91</v>
      </c>
      <c r="G30" s="46">
        <v>0.91669999999999996</v>
      </c>
      <c r="H30" s="46">
        <v>0.91820000000000002</v>
      </c>
      <c r="I30" s="46">
        <v>0.97899999999999998</v>
      </c>
      <c r="J30" s="46">
        <v>0.9</v>
      </c>
      <c r="K30" s="46">
        <v>0.90610000000000002</v>
      </c>
      <c r="L30" s="46">
        <v>0.9143</v>
      </c>
      <c r="M30" s="46">
        <v>0.96099999999999997</v>
      </c>
      <c r="N30" s="46">
        <v>0.92100000000000004</v>
      </c>
      <c r="O30" s="46">
        <v>0.91400000000000003</v>
      </c>
      <c r="P30" s="46"/>
    </row>
    <row r="31" spans="1:16" x14ac:dyDescent="0.25">
      <c r="A31" s="46"/>
      <c r="B31" s="47">
        <v>121</v>
      </c>
      <c r="C31" s="47">
        <v>11</v>
      </c>
      <c r="D31" s="46">
        <v>0.95240000000000002</v>
      </c>
      <c r="E31" s="46">
        <v>0.97770000000000001</v>
      </c>
      <c r="F31" s="46">
        <v>0.93700000000000006</v>
      </c>
      <c r="G31" s="46">
        <v>0.95320000000000005</v>
      </c>
      <c r="H31" s="46">
        <v>0.95469999999999999</v>
      </c>
      <c r="I31" s="46">
        <v>0.99829999999999997</v>
      </c>
      <c r="J31" s="46">
        <v>0.95430000000000004</v>
      </c>
      <c r="K31" s="46">
        <v>0.9607</v>
      </c>
      <c r="L31" s="46">
        <v>0.96</v>
      </c>
      <c r="M31" s="46">
        <v>0.98799999999999999</v>
      </c>
      <c r="N31" s="46">
        <v>0.9577</v>
      </c>
      <c r="O31" s="46">
        <v>0.93200000000000005</v>
      </c>
      <c r="P31" s="46"/>
    </row>
    <row r="32" spans="1:16" x14ac:dyDescent="0.25">
      <c r="A32" s="46"/>
      <c r="B32" s="47">
        <v>144</v>
      </c>
      <c r="C32" s="47">
        <v>12</v>
      </c>
      <c r="D32" s="46">
        <v>0.98070000000000002</v>
      </c>
      <c r="E32" s="46">
        <v>0.99690000000000001</v>
      </c>
      <c r="F32" s="46">
        <v>0.97430000000000005</v>
      </c>
      <c r="G32" s="46">
        <v>0.99109999999999998</v>
      </c>
      <c r="H32" s="46">
        <v>0.99270000000000003</v>
      </c>
      <c r="I32" s="46">
        <v>0.99829999999999997</v>
      </c>
      <c r="J32" s="46">
        <v>0.98260000000000003</v>
      </c>
      <c r="K32" s="46">
        <v>0.98919999999999997</v>
      </c>
      <c r="L32" s="46">
        <v>0.98850000000000005</v>
      </c>
      <c r="M32" s="46">
        <v>1</v>
      </c>
      <c r="N32" s="46">
        <v>0.98609999999999998</v>
      </c>
      <c r="O32" s="46">
        <v>0.96699999999999997</v>
      </c>
      <c r="P32" s="46"/>
    </row>
    <row r="33" spans="1:16" x14ac:dyDescent="0.25">
      <c r="A33" s="46"/>
      <c r="B33" s="47">
        <v>169</v>
      </c>
      <c r="C33" s="47">
        <v>13</v>
      </c>
      <c r="D33" s="46">
        <v>1</v>
      </c>
      <c r="E33" s="46">
        <v>1</v>
      </c>
      <c r="F33" s="46">
        <v>1</v>
      </c>
      <c r="G33" s="46">
        <v>1</v>
      </c>
      <c r="H33" s="46">
        <v>1</v>
      </c>
      <c r="I33" s="46">
        <v>1</v>
      </c>
      <c r="J33" s="46">
        <v>1</v>
      </c>
      <c r="K33" s="46">
        <v>1</v>
      </c>
      <c r="L33" s="46">
        <v>1</v>
      </c>
      <c r="M33" s="46">
        <v>0.99399999999999999</v>
      </c>
      <c r="N33" s="46">
        <v>1</v>
      </c>
      <c r="O33" s="46">
        <v>1</v>
      </c>
      <c r="P33" s="46"/>
    </row>
    <row r="34" spans="1:16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x14ac:dyDescent="0.25">
      <c r="A36" s="37" t="s">
        <v>373</v>
      </c>
      <c r="B36" s="37"/>
      <c r="C36" s="51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x14ac:dyDescent="0.25">
      <c r="A37" s="46"/>
      <c r="B37" s="47" t="s">
        <v>154</v>
      </c>
      <c r="C37" s="48" t="s">
        <v>155</v>
      </c>
      <c r="D37" s="47" t="s">
        <v>156</v>
      </c>
      <c r="E37" s="47" t="s">
        <v>159</v>
      </c>
      <c r="F37" s="47" t="s">
        <v>166</v>
      </c>
      <c r="G37" s="47" t="s">
        <v>157</v>
      </c>
      <c r="H37" s="47" t="s">
        <v>158</v>
      </c>
      <c r="I37" s="47" t="s">
        <v>160</v>
      </c>
      <c r="J37" s="47" t="s">
        <v>161</v>
      </c>
      <c r="K37" s="47" t="s">
        <v>162</v>
      </c>
      <c r="L37" s="47" t="s">
        <v>163</v>
      </c>
      <c r="M37" s="47" t="s">
        <v>164</v>
      </c>
      <c r="N37" s="47" t="s">
        <v>153</v>
      </c>
      <c r="O37" s="47" t="s">
        <v>165</v>
      </c>
      <c r="P37" s="47" t="s">
        <v>169</v>
      </c>
    </row>
    <row r="38" spans="1:16" x14ac:dyDescent="0.25">
      <c r="A38" s="46"/>
      <c r="B38" s="47">
        <v>1E-3</v>
      </c>
      <c r="C38" s="52">
        <v>0</v>
      </c>
      <c r="D38" s="49">
        <v>5.1990000000000001E-2</v>
      </c>
      <c r="E38" s="49">
        <v>9.604E-2</v>
      </c>
      <c r="F38" s="49">
        <v>0.12889999999999999</v>
      </c>
      <c r="G38" s="49">
        <v>3.4889999999999997E-2</v>
      </c>
      <c r="H38" s="49">
        <v>8.044422507403752E-2</v>
      </c>
      <c r="I38" s="49">
        <v>0.11990000000000001</v>
      </c>
      <c r="J38" s="49">
        <v>0.131437125748503</v>
      </c>
      <c r="K38" s="49">
        <v>3.6720000000000003E-2</v>
      </c>
      <c r="L38" s="49">
        <v>0.1037</v>
      </c>
      <c r="M38" s="49">
        <v>0.1479</v>
      </c>
      <c r="N38" s="49">
        <v>0.18529999999999999</v>
      </c>
      <c r="O38" s="49">
        <v>0.40189999999999998</v>
      </c>
      <c r="P38" s="46">
        <v>0.126</v>
      </c>
    </row>
    <row r="39" spans="1:16" x14ac:dyDescent="0.25">
      <c r="A39" s="46"/>
      <c r="B39" s="47">
        <v>2.25</v>
      </c>
      <c r="C39" s="52">
        <v>1.5</v>
      </c>
      <c r="D39" s="49">
        <v>0.36599999999999999</v>
      </c>
      <c r="E39" s="49">
        <v>0.52980000000000005</v>
      </c>
      <c r="F39" s="49">
        <v>0.59060000000000001</v>
      </c>
      <c r="G39" s="49">
        <v>0.3105</v>
      </c>
      <c r="H39" s="49">
        <v>0.43089832181638699</v>
      </c>
      <c r="I39" s="49">
        <v>0.54430000000000001</v>
      </c>
      <c r="J39" s="49">
        <v>0.57365269461077839</v>
      </c>
      <c r="K39" s="49">
        <v>0.32040000000000002</v>
      </c>
      <c r="L39" s="49">
        <v>0.46150000000000002</v>
      </c>
      <c r="M39" s="49">
        <v>0.50580000000000003</v>
      </c>
      <c r="N39" s="49">
        <v>0.41239999999999999</v>
      </c>
      <c r="O39" s="49">
        <v>0.51800000000000002</v>
      </c>
      <c r="P39" s="46">
        <v>0.56899999999999995</v>
      </c>
    </row>
    <row r="40" spans="1:16" x14ac:dyDescent="0.25">
      <c r="A40" s="46"/>
      <c r="B40" s="47">
        <v>4</v>
      </c>
      <c r="C40" s="52">
        <v>2</v>
      </c>
      <c r="D40" s="49">
        <v>0.51500000000000001</v>
      </c>
      <c r="E40" s="49">
        <v>0.65659999999999996</v>
      </c>
      <c r="F40" s="49">
        <v>0.71089999999999998</v>
      </c>
      <c r="G40" s="49">
        <v>0.45419999999999999</v>
      </c>
      <c r="H40" s="49">
        <v>0.5831194471865746</v>
      </c>
      <c r="I40" s="49">
        <v>0.66159999999999997</v>
      </c>
      <c r="J40" s="49">
        <v>0.70409181636726548</v>
      </c>
      <c r="K40" s="49">
        <v>0.47339999999999999</v>
      </c>
      <c r="L40" s="49">
        <v>0.60650000000000004</v>
      </c>
      <c r="M40" s="49">
        <v>0.63300000000000001</v>
      </c>
      <c r="N40" s="49">
        <v>0.55810000000000004</v>
      </c>
      <c r="O40" s="49">
        <v>0.61739999999999995</v>
      </c>
      <c r="P40" s="46">
        <v>0.69399999999999995</v>
      </c>
    </row>
    <row r="41" spans="1:16" x14ac:dyDescent="0.25">
      <c r="A41" s="46"/>
      <c r="B41" s="47">
        <v>6.25</v>
      </c>
      <c r="C41" s="52">
        <v>2.25</v>
      </c>
      <c r="D41" s="49">
        <v>0.65090000000000003</v>
      </c>
      <c r="E41" s="49">
        <v>0.76759999999999995</v>
      </c>
      <c r="F41" s="49">
        <v>0.82289999999999996</v>
      </c>
      <c r="G41" s="49">
        <v>0.60870000000000002</v>
      </c>
      <c r="H41" s="49">
        <v>0.71579466929911162</v>
      </c>
      <c r="I41" s="49">
        <v>0.78100000000000003</v>
      </c>
      <c r="J41" s="49">
        <v>0.82305389221556879</v>
      </c>
      <c r="K41" s="49">
        <v>0.61599999999999999</v>
      </c>
      <c r="L41" s="49">
        <v>0.70220000000000005</v>
      </c>
      <c r="M41" s="49">
        <v>0.74</v>
      </c>
      <c r="N41" s="49">
        <v>0.70540000000000003</v>
      </c>
      <c r="O41" s="49">
        <v>0.70779999999999998</v>
      </c>
      <c r="P41" s="46">
        <v>0.81200000000000006</v>
      </c>
    </row>
    <row r="42" spans="1:16" x14ac:dyDescent="0.25">
      <c r="A42" s="46"/>
      <c r="B42" s="47">
        <v>9</v>
      </c>
      <c r="C42" s="52">
        <v>3</v>
      </c>
      <c r="D42" s="49">
        <v>0.76839999999999997</v>
      </c>
      <c r="E42" s="49">
        <v>0.85460000000000003</v>
      </c>
      <c r="F42" s="49">
        <v>0.88109999999999999</v>
      </c>
      <c r="G42" s="49">
        <v>0.73270000000000002</v>
      </c>
      <c r="H42" s="49">
        <v>0.8125370187561699</v>
      </c>
      <c r="I42" s="49">
        <v>0.86109999999999998</v>
      </c>
      <c r="J42" s="49">
        <v>0.88992015968063876</v>
      </c>
      <c r="K42" s="49">
        <v>0.74150000000000005</v>
      </c>
      <c r="L42" s="49">
        <v>0.80489999999999995</v>
      </c>
      <c r="M42" s="49">
        <v>0.84009999999999996</v>
      </c>
      <c r="N42" s="49">
        <v>0.81659999999999999</v>
      </c>
      <c r="O42" s="49">
        <v>0.86880000000000002</v>
      </c>
      <c r="P42" s="46">
        <v>0.89100000000000001</v>
      </c>
    </row>
    <row r="43" spans="1:16" x14ac:dyDescent="0.25">
      <c r="A43" s="46"/>
      <c r="B43" s="47">
        <v>16</v>
      </c>
      <c r="C43" s="52">
        <v>4</v>
      </c>
      <c r="D43" s="49">
        <v>0.93400000000000005</v>
      </c>
      <c r="E43" s="49">
        <v>0.97960000000000003</v>
      </c>
      <c r="F43" s="49">
        <v>0.97140000000000004</v>
      </c>
      <c r="G43" s="49">
        <v>0.89929999999999999</v>
      </c>
      <c r="H43" s="49">
        <v>0.95212240868706821</v>
      </c>
      <c r="I43" s="49">
        <v>0.96799999999999997</v>
      </c>
      <c r="J43" s="49">
        <v>0.99071856287425153</v>
      </c>
      <c r="K43" s="49">
        <v>0.91020000000000001</v>
      </c>
      <c r="L43" s="49">
        <v>0.95020000000000004</v>
      </c>
      <c r="M43" s="49">
        <v>0.95369999999999999</v>
      </c>
      <c r="N43" s="49">
        <v>0.93620000000000003</v>
      </c>
      <c r="O43" s="49">
        <v>0.96719999999999995</v>
      </c>
      <c r="P43" s="46">
        <v>0.89500000000000002</v>
      </c>
    </row>
    <row r="44" spans="1:16" x14ac:dyDescent="0.25">
      <c r="A44" s="46"/>
      <c r="B44" s="47">
        <v>25</v>
      </c>
      <c r="C44" s="52">
        <v>5</v>
      </c>
      <c r="D44" s="49">
        <v>0.99029999999999996</v>
      </c>
      <c r="E44" s="49">
        <v>0.98919999999999997</v>
      </c>
      <c r="F44" s="49">
        <v>0.98089999999999999</v>
      </c>
      <c r="G44" s="49">
        <v>0.96289999999999998</v>
      </c>
      <c r="H44" s="49">
        <v>1</v>
      </c>
      <c r="I44" s="49">
        <v>0.99680000000000002</v>
      </c>
      <c r="J44" s="49">
        <v>1</v>
      </c>
      <c r="K44" s="49">
        <v>0.97450000000000003</v>
      </c>
      <c r="L44" s="49">
        <v>0.98799999999999999</v>
      </c>
      <c r="M44" s="49">
        <v>0.99160000000000004</v>
      </c>
      <c r="N44" s="49">
        <v>0.97340000000000004</v>
      </c>
      <c r="O44" s="49">
        <v>1.016</v>
      </c>
      <c r="P44" s="46">
        <v>0.96199999999999997</v>
      </c>
    </row>
    <row r="45" spans="1:16" x14ac:dyDescent="0.25">
      <c r="A45" s="46"/>
      <c r="B45" s="47">
        <v>36</v>
      </c>
      <c r="C45" s="52">
        <v>6</v>
      </c>
      <c r="D45" s="49">
        <v>1</v>
      </c>
      <c r="E45" s="49">
        <v>1</v>
      </c>
      <c r="F45" s="49">
        <v>1</v>
      </c>
      <c r="G45" s="49">
        <v>1</v>
      </c>
      <c r="H45" s="49">
        <v>0.98716683119447202</v>
      </c>
      <c r="I45" s="49">
        <v>1</v>
      </c>
      <c r="J45" s="49">
        <v>0.99800399201596801</v>
      </c>
      <c r="K45" s="49">
        <v>1</v>
      </c>
      <c r="L45" s="49">
        <v>1</v>
      </c>
      <c r="M45" s="49">
        <v>1</v>
      </c>
      <c r="N45" s="49">
        <v>1</v>
      </c>
      <c r="O45" s="49">
        <v>1</v>
      </c>
      <c r="P45" s="46">
        <v>0.96899999999999997</v>
      </c>
    </row>
    <row r="46" spans="1:16" x14ac:dyDescent="0.25">
      <c r="A46" s="46"/>
      <c r="B46" s="47">
        <v>64</v>
      </c>
      <c r="C46" s="52">
        <v>8</v>
      </c>
      <c r="D46" s="49">
        <v>0.90700000000000003</v>
      </c>
      <c r="E46" s="49">
        <v>0.87990000000000002</v>
      </c>
      <c r="F46" s="49">
        <v>0.85570000000000002</v>
      </c>
      <c r="G46" s="49">
        <v>0.89059999999999995</v>
      </c>
      <c r="H46" s="49">
        <v>0.88716683119447204</v>
      </c>
      <c r="I46" s="49">
        <v>0.89529999999999998</v>
      </c>
      <c r="J46" s="49">
        <v>0.88992015968063876</v>
      </c>
      <c r="K46" s="49">
        <v>0.91020000000000001</v>
      </c>
      <c r="L46" s="49">
        <v>0.92279999999999995</v>
      </c>
      <c r="M46" s="49">
        <v>0.9083</v>
      </c>
      <c r="N46" s="49">
        <v>0.91810000000000003</v>
      </c>
      <c r="O46" s="49">
        <v>0.92110000000000003</v>
      </c>
      <c r="P46" s="46">
        <v>0.98199999999999998</v>
      </c>
    </row>
    <row r="47" spans="1:16" x14ac:dyDescent="0.25">
      <c r="A47" s="46"/>
      <c r="B47" s="47">
        <v>81</v>
      </c>
      <c r="C47" s="52">
        <v>9</v>
      </c>
      <c r="D47" s="49">
        <v>0.86380000000000001</v>
      </c>
      <c r="E47" s="49">
        <v>0.83799999999999997</v>
      </c>
      <c r="F47" s="49">
        <v>0.82289999999999996</v>
      </c>
      <c r="G47" s="49">
        <v>0.84819999999999995</v>
      </c>
      <c r="H47" s="49">
        <v>0.85320829220138206</v>
      </c>
      <c r="I47" s="49">
        <v>0.86109999999999998</v>
      </c>
      <c r="J47" s="49">
        <v>0.83932135728542911</v>
      </c>
      <c r="K47" s="49">
        <v>0.87529999999999997</v>
      </c>
      <c r="L47" s="49">
        <v>0.87880000000000003</v>
      </c>
      <c r="M47" s="49">
        <v>0.87350000000000005</v>
      </c>
      <c r="N47" s="49">
        <v>0.87429999999999997</v>
      </c>
      <c r="O47" s="49">
        <v>0.87729999999999997</v>
      </c>
      <c r="P47" s="46">
        <v>1</v>
      </c>
    </row>
    <row r="48" spans="1:16" x14ac:dyDescent="0.25">
      <c r="A48" s="46"/>
      <c r="B48" s="47"/>
      <c r="C48" s="52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6"/>
    </row>
    <row r="49" spans="1:16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CA20-3970-49FB-9E66-602DF32E0525}">
  <dimension ref="A1:S42"/>
  <sheetViews>
    <sheetView zoomScale="70" zoomScaleNormal="70" workbookViewId="0">
      <selection activeCell="V15" sqref="V15"/>
    </sheetView>
  </sheetViews>
  <sheetFormatPr defaultColWidth="8.85546875" defaultRowHeight="15" x14ac:dyDescent="0.25"/>
  <sheetData>
    <row r="1" spans="1:19" s="2" customFormat="1" ht="19.5" x14ac:dyDescent="0.3">
      <c r="A1" s="5" t="s">
        <v>374</v>
      </c>
      <c r="B1" s="7"/>
      <c r="C1" s="7"/>
      <c r="D1" s="7"/>
      <c r="E1" s="7"/>
      <c r="F1" s="7"/>
      <c r="G1" s="7"/>
      <c r="H1" s="7"/>
      <c r="I1" s="7"/>
    </row>
    <row r="3" spans="1:19" ht="15.75" x14ac:dyDescent="0.25">
      <c r="A3" s="43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9" s="40" customFormat="1" ht="12.75" x14ac:dyDescent="0.2">
      <c r="A4" s="4"/>
      <c r="B4" s="37" t="s">
        <v>152</v>
      </c>
      <c r="C4" s="37" t="s">
        <v>167</v>
      </c>
      <c r="D4" s="37" t="s">
        <v>168</v>
      </c>
      <c r="E4" s="37" t="s">
        <v>169</v>
      </c>
      <c r="F4" s="37" t="s">
        <v>170</v>
      </c>
      <c r="G4" s="37" t="s">
        <v>171</v>
      </c>
      <c r="H4" s="37" t="s">
        <v>172</v>
      </c>
      <c r="I4" s="37" t="s">
        <v>173</v>
      </c>
      <c r="J4" s="37" t="s">
        <v>174</v>
      </c>
      <c r="K4" s="37" t="s">
        <v>156</v>
      </c>
      <c r="L4" s="37" t="s">
        <v>159</v>
      </c>
      <c r="M4" s="37" t="s">
        <v>157</v>
      </c>
      <c r="N4" s="37" t="s">
        <v>158</v>
      </c>
      <c r="O4" s="37" t="s">
        <v>160</v>
      </c>
      <c r="P4" s="37" t="s">
        <v>161</v>
      </c>
      <c r="Q4" s="37" t="s">
        <v>162</v>
      </c>
      <c r="R4" s="37" t="s">
        <v>175</v>
      </c>
      <c r="S4" s="37" t="s">
        <v>165</v>
      </c>
    </row>
    <row r="5" spans="1:19" ht="15.75" x14ac:dyDescent="0.25">
      <c r="A5" s="6"/>
      <c r="B5" s="3">
        <v>0</v>
      </c>
      <c r="C5" s="30">
        <v>1</v>
      </c>
      <c r="D5" s="30">
        <v>1</v>
      </c>
      <c r="E5" s="30">
        <v>1</v>
      </c>
      <c r="F5" s="30">
        <v>1</v>
      </c>
      <c r="G5" s="30">
        <v>1</v>
      </c>
      <c r="H5" s="30">
        <v>1</v>
      </c>
      <c r="I5" s="30">
        <v>1</v>
      </c>
      <c r="J5" s="30">
        <v>1</v>
      </c>
      <c r="K5" s="30">
        <v>1</v>
      </c>
      <c r="L5" s="30">
        <v>1</v>
      </c>
      <c r="M5" s="30">
        <v>1</v>
      </c>
      <c r="N5" s="30">
        <v>1</v>
      </c>
      <c r="O5" s="30">
        <v>1</v>
      </c>
      <c r="P5" s="30">
        <v>1</v>
      </c>
      <c r="Q5" s="30">
        <v>1</v>
      </c>
      <c r="R5" s="30">
        <v>1</v>
      </c>
      <c r="S5" s="30">
        <v>1</v>
      </c>
    </row>
    <row r="6" spans="1:19" ht="15.75" x14ac:dyDescent="0.25">
      <c r="A6" s="6"/>
      <c r="B6" s="3">
        <v>0.1</v>
      </c>
      <c r="C6" s="30">
        <v>1.796</v>
      </c>
      <c r="D6" s="30">
        <v>1.7270000000000001</v>
      </c>
      <c r="E6" s="30">
        <v>1.8740000000000001</v>
      </c>
      <c r="F6" s="30">
        <v>1.671</v>
      </c>
      <c r="G6" s="30">
        <v>1.4670000000000001</v>
      </c>
      <c r="H6" s="30">
        <v>1.4830000000000001</v>
      </c>
      <c r="I6" s="30">
        <v>0.81289999999999996</v>
      </c>
      <c r="J6" s="30">
        <v>0.73939999999999995</v>
      </c>
      <c r="K6" s="30">
        <v>0.93130000000000002</v>
      </c>
      <c r="L6" s="30">
        <v>0.9032</v>
      </c>
      <c r="M6" s="30">
        <v>0.94730000000000003</v>
      </c>
      <c r="N6" s="30">
        <v>0.91439999999999999</v>
      </c>
      <c r="O6" s="30">
        <v>0.88800000000000001</v>
      </c>
      <c r="P6" s="30">
        <v>0.90239999999999998</v>
      </c>
      <c r="Q6" s="30">
        <v>0.84</v>
      </c>
      <c r="R6" s="30">
        <v>0.78559999999999997</v>
      </c>
      <c r="S6" s="30">
        <v>0.89870000000000005</v>
      </c>
    </row>
    <row r="7" spans="1:19" ht="15.75" x14ac:dyDescent="0.25">
      <c r="A7" s="6"/>
      <c r="B7" s="3">
        <v>0.4</v>
      </c>
      <c r="C7" s="30">
        <v>1.7270000000000001</v>
      </c>
      <c r="D7" s="30">
        <v>1.778</v>
      </c>
      <c r="E7" s="30">
        <v>1.944</v>
      </c>
      <c r="F7" s="30">
        <v>1.7210000000000001</v>
      </c>
      <c r="G7" s="30">
        <v>1.496</v>
      </c>
      <c r="H7" s="30">
        <v>1.542</v>
      </c>
      <c r="I7" s="30">
        <v>0.84530000000000005</v>
      </c>
      <c r="J7" s="30">
        <v>0.71809999999999996</v>
      </c>
      <c r="K7" s="30">
        <v>0.87829999999999997</v>
      </c>
      <c r="L7" s="30">
        <v>0.82720000000000005</v>
      </c>
      <c r="M7" s="30">
        <v>0.92900000000000005</v>
      </c>
      <c r="N7" s="30">
        <v>0.86240000000000006</v>
      </c>
      <c r="O7" s="30">
        <v>0.82940000000000003</v>
      </c>
      <c r="P7" s="30">
        <v>0.84289999999999998</v>
      </c>
      <c r="Q7" s="30">
        <v>0.79220000000000002</v>
      </c>
      <c r="R7" s="30">
        <v>0.7056</v>
      </c>
      <c r="S7" s="30">
        <v>0.99080000000000001</v>
      </c>
    </row>
    <row r="8" spans="1:19" ht="15.75" x14ac:dyDescent="0.25">
      <c r="A8" s="6"/>
      <c r="B8" s="3">
        <v>1.3</v>
      </c>
      <c r="C8" s="30">
        <v>1.4770000000000001</v>
      </c>
      <c r="D8" s="30">
        <v>1.613</v>
      </c>
      <c r="E8" s="30">
        <v>1.7629999999999999</v>
      </c>
      <c r="F8" s="30">
        <v>1.607</v>
      </c>
      <c r="G8" s="30">
        <v>1.37</v>
      </c>
      <c r="H8" s="30">
        <v>1.399</v>
      </c>
      <c r="I8" s="30">
        <v>0.81810000000000005</v>
      </c>
      <c r="J8" s="30">
        <v>0.60240000000000005</v>
      </c>
      <c r="K8" s="30">
        <v>0.75139999999999996</v>
      </c>
      <c r="L8" s="30">
        <v>0.66090000000000004</v>
      </c>
      <c r="M8" s="30">
        <v>0.82640000000000002</v>
      </c>
      <c r="N8" s="30">
        <v>0.745</v>
      </c>
      <c r="O8" s="30">
        <v>0.71650000000000003</v>
      </c>
      <c r="P8" s="30">
        <v>0.73519999999999996</v>
      </c>
      <c r="Q8" s="30">
        <v>0.67769999999999997</v>
      </c>
      <c r="R8" s="30">
        <v>0.56379999999999997</v>
      </c>
      <c r="S8" s="30">
        <v>0.88139999999999996</v>
      </c>
    </row>
    <row r="9" spans="1:19" ht="15.75" x14ac:dyDescent="0.25">
      <c r="A9" s="6"/>
      <c r="B9" s="3">
        <v>2</v>
      </c>
      <c r="C9" s="30">
        <v>1.1579999999999999</v>
      </c>
      <c r="D9" s="30">
        <v>1.276</v>
      </c>
      <c r="E9" s="30">
        <v>1.375</v>
      </c>
      <c r="F9" s="30">
        <v>1.272</v>
      </c>
      <c r="G9" s="30">
        <v>1.0840000000000001</v>
      </c>
      <c r="H9" s="30">
        <v>1.0960000000000001</v>
      </c>
      <c r="I9" s="30">
        <v>0.61860000000000004</v>
      </c>
      <c r="J9" s="30">
        <v>0.49080000000000001</v>
      </c>
      <c r="K9" s="30">
        <v>0.61209999999999998</v>
      </c>
      <c r="L9" s="30">
        <v>0.54369999999999996</v>
      </c>
      <c r="M9" s="30">
        <v>0.67979999999999996</v>
      </c>
      <c r="N9" s="30">
        <v>0.60109999999999997</v>
      </c>
      <c r="O9" s="30">
        <v>0.57240000000000002</v>
      </c>
      <c r="P9" s="30">
        <v>0.57050000000000001</v>
      </c>
      <c r="Q9" s="30">
        <v>0.55759999999999998</v>
      </c>
      <c r="R9" s="30">
        <v>0.45929999999999999</v>
      </c>
      <c r="S9" s="30">
        <v>0.71809999999999996</v>
      </c>
    </row>
    <row r="10" spans="1:19" ht="15.75" x14ac:dyDescent="0.25">
      <c r="A10" s="6"/>
      <c r="B10" s="3">
        <v>3</v>
      </c>
      <c r="C10" s="30">
        <v>0.88090000000000002</v>
      </c>
      <c r="D10" s="30">
        <v>0.94310000000000005</v>
      </c>
      <c r="E10" s="30">
        <v>1.016</v>
      </c>
      <c r="F10" s="30">
        <v>0.91249999999999998</v>
      </c>
      <c r="G10" s="30">
        <v>0.80110000000000003</v>
      </c>
      <c r="H10" s="30">
        <v>0.83399999999999996</v>
      </c>
      <c r="I10" s="30">
        <v>0.44829999999999998</v>
      </c>
      <c r="J10" s="30">
        <v>0.37340000000000001</v>
      </c>
      <c r="K10" s="30">
        <v>0.47039999999999998</v>
      </c>
      <c r="L10" s="30">
        <v>0.40970000000000001</v>
      </c>
      <c r="M10" s="30">
        <v>0.52749999999999997</v>
      </c>
      <c r="N10" s="30">
        <v>0.45739999999999997</v>
      </c>
      <c r="O10" s="30">
        <v>0.43130000000000002</v>
      </c>
      <c r="P10" s="30">
        <v>0.42570000000000002</v>
      </c>
      <c r="Q10" s="30">
        <v>0.44109999999999999</v>
      </c>
      <c r="R10" s="30">
        <v>0.35289999999999999</v>
      </c>
      <c r="S10" s="30">
        <v>0.55720000000000003</v>
      </c>
    </row>
    <row r="11" spans="1:19" ht="15.75" x14ac:dyDescent="0.25">
      <c r="A11" s="6"/>
      <c r="B11" s="3">
        <v>4.5</v>
      </c>
      <c r="C11" s="30">
        <v>0.59040000000000004</v>
      </c>
      <c r="D11" s="30">
        <v>0.626</v>
      </c>
      <c r="E11" s="30">
        <v>0.68089999999999995</v>
      </c>
      <c r="F11" s="30">
        <v>0.61160000000000003</v>
      </c>
      <c r="G11" s="30">
        <v>0.52139999999999997</v>
      </c>
      <c r="H11" s="30">
        <v>0.54290000000000005</v>
      </c>
      <c r="I11" s="30">
        <v>0.29470000000000002</v>
      </c>
      <c r="J11" s="30">
        <v>0.25030000000000002</v>
      </c>
      <c r="K11" s="30">
        <v>0.32779999999999998</v>
      </c>
      <c r="L11" s="30">
        <v>0.27460000000000001</v>
      </c>
      <c r="M11" s="30">
        <v>0.37490000000000001</v>
      </c>
      <c r="N11" s="30">
        <v>0.31259999999999999</v>
      </c>
      <c r="O11" s="30">
        <v>0.29480000000000001</v>
      </c>
      <c r="P11" s="30">
        <v>0.28260000000000002</v>
      </c>
      <c r="Q11" s="30">
        <v>0.3105</v>
      </c>
      <c r="R11" s="30">
        <v>0.2412</v>
      </c>
      <c r="S11" s="30">
        <v>0.37709999999999999</v>
      </c>
    </row>
    <row r="12" spans="1:19" ht="15.75" x14ac:dyDescent="0.25">
      <c r="A12" s="6"/>
      <c r="B12" s="3">
        <v>6.5</v>
      </c>
      <c r="C12" s="30">
        <v>0.3589</v>
      </c>
      <c r="D12" s="30">
        <v>0.36249999999999999</v>
      </c>
      <c r="E12" s="30">
        <v>0.40200000000000002</v>
      </c>
      <c r="F12" s="30">
        <v>0.34389999999999998</v>
      </c>
      <c r="G12" s="30">
        <v>0.3049</v>
      </c>
      <c r="H12" s="30">
        <v>0.31740000000000002</v>
      </c>
      <c r="I12" s="30">
        <v>0.16900000000000001</v>
      </c>
      <c r="J12" s="30">
        <v>0.1507</v>
      </c>
      <c r="K12" s="30">
        <v>0.20569999999999999</v>
      </c>
      <c r="L12" s="30">
        <v>0.16569999999999999</v>
      </c>
      <c r="M12" s="30">
        <v>0.24399999999999999</v>
      </c>
      <c r="N12" s="30">
        <v>0.19570000000000001</v>
      </c>
      <c r="O12" s="30">
        <v>0.18459999999999999</v>
      </c>
      <c r="P12" s="30">
        <v>0.17180000000000001</v>
      </c>
      <c r="Q12" s="30">
        <v>0.19819999999999999</v>
      </c>
      <c r="R12" s="30">
        <v>0.14949999999999999</v>
      </c>
      <c r="S12" s="30">
        <v>0.23150000000000001</v>
      </c>
    </row>
    <row r="13" spans="1:19" ht="15.75" x14ac:dyDescent="0.25">
      <c r="A13" s="6"/>
      <c r="B13" s="3">
        <v>9</v>
      </c>
      <c r="C13" s="30">
        <v>0.19789999999999999</v>
      </c>
      <c r="D13" s="30">
        <v>0.20180000000000001</v>
      </c>
      <c r="E13" s="30">
        <v>0.2132</v>
      </c>
      <c r="F13" s="30">
        <v>0.1789</v>
      </c>
      <c r="G13" s="30">
        <v>0.16009999999999999</v>
      </c>
      <c r="H13" s="30">
        <v>0.17</v>
      </c>
      <c r="I13" s="30">
        <v>8.5330000000000003E-2</v>
      </c>
      <c r="J13" s="30">
        <v>7.9920000000000005E-2</v>
      </c>
      <c r="K13" s="30">
        <v>0.1179</v>
      </c>
      <c r="L13" s="30">
        <v>9.8809999999999995E-2</v>
      </c>
      <c r="M13" s="30">
        <v>0.14269999999999999</v>
      </c>
      <c r="N13" s="30">
        <v>0.1111</v>
      </c>
      <c r="O13" s="30">
        <v>0.1048</v>
      </c>
      <c r="P13" s="30">
        <v>9.9460000000000007E-2</v>
      </c>
      <c r="Q13" s="30">
        <v>0.11700000000000001</v>
      </c>
      <c r="R13" s="30">
        <v>8.4080000000000002E-2</v>
      </c>
      <c r="S13" s="30">
        <v>0.13270000000000001</v>
      </c>
    </row>
    <row r="14" spans="1:19" ht="15.75" x14ac:dyDescent="0.25">
      <c r="A14" s="6"/>
      <c r="B14" s="3">
        <v>12</v>
      </c>
      <c r="C14" s="30">
        <v>0.1019</v>
      </c>
      <c r="D14" s="30">
        <v>9.1560000000000002E-2</v>
      </c>
      <c r="E14" s="30">
        <v>9.1219999999999996E-2</v>
      </c>
      <c r="F14" s="30">
        <v>9.4850000000000004E-2</v>
      </c>
      <c r="G14" s="30">
        <v>7.553E-2</v>
      </c>
      <c r="H14" s="30">
        <v>7.1330000000000005E-2</v>
      </c>
      <c r="I14" s="30">
        <v>3.986E-2</v>
      </c>
      <c r="J14" s="30">
        <v>4.036E-2</v>
      </c>
      <c r="K14" s="30">
        <v>6.3159999999999994E-2</v>
      </c>
      <c r="L14" s="30">
        <v>4.4389999999999999E-2</v>
      </c>
      <c r="M14" s="30">
        <v>7.868E-2</v>
      </c>
      <c r="N14" s="30">
        <v>5.7230000000000003E-2</v>
      </c>
      <c r="O14" s="30">
        <v>5.0900000000000001E-2</v>
      </c>
      <c r="P14" s="30">
        <v>4.9270000000000001E-2</v>
      </c>
      <c r="Q14" s="30">
        <v>6.2050000000000001E-2</v>
      </c>
      <c r="R14" s="30">
        <v>3.968E-2</v>
      </c>
      <c r="S14" s="30">
        <v>6.3850000000000004E-2</v>
      </c>
    </row>
    <row r="15" spans="1:19" s="2" customFormat="1" ht="15.75" x14ac:dyDescent="0.25">
      <c r="A15" s="6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15.75" x14ac:dyDescent="0.25">
      <c r="A16" s="43" t="s">
        <v>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9" s="40" customFormat="1" ht="12.75" x14ac:dyDescent="0.2">
      <c r="A17" s="4"/>
      <c r="B17" s="37" t="s">
        <v>152</v>
      </c>
      <c r="C17" s="41" t="s">
        <v>167</v>
      </c>
      <c r="D17" s="41" t="s">
        <v>168</v>
      </c>
      <c r="E17" s="41" t="s">
        <v>169</v>
      </c>
      <c r="F17" s="41" t="s">
        <v>170</v>
      </c>
      <c r="G17" s="41" t="s">
        <v>172</v>
      </c>
      <c r="H17" s="41" t="s">
        <v>176</v>
      </c>
      <c r="I17" s="41" t="s">
        <v>177</v>
      </c>
      <c r="J17" s="41" t="s">
        <v>174</v>
      </c>
      <c r="K17" s="37" t="s">
        <v>156</v>
      </c>
      <c r="L17" s="37" t="s">
        <v>159</v>
      </c>
      <c r="M17" s="37" t="s">
        <v>157</v>
      </c>
      <c r="N17" s="37" t="s">
        <v>158</v>
      </c>
      <c r="O17" s="37" t="s">
        <v>160</v>
      </c>
      <c r="P17" s="37" t="s">
        <v>161</v>
      </c>
      <c r="Q17" s="37" t="s">
        <v>162</v>
      </c>
      <c r="R17" s="37" t="s">
        <v>175</v>
      </c>
      <c r="S17" s="37" t="s">
        <v>165</v>
      </c>
    </row>
    <row r="18" spans="1:19" x14ac:dyDescent="0.25">
      <c r="A18" s="23"/>
      <c r="B18" s="44">
        <v>0</v>
      </c>
      <c r="C18" s="30">
        <v>1</v>
      </c>
      <c r="D18" s="30">
        <v>1</v>
      </c>
      <c r="E18" s="30">
        <v>1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30">
        <v>1</v>
      </c>
      <c r="R18" s="30">
        <v>1</v>
      </c>
      <c r="S18" s="30">
        <v>1</v>
      </c>
    </row>
    <row r="19" spans="1:19" x14ac:dyDescent="0.25">
      <c r="A19" s="23"/>
      <c r="B19" s="3">
        <v>0.1</v>
      </c>
      <c r="C19" s="30">
        <v>1.796</v>
      </c>
      <c r="D19" s="30">
        <v>1.7170000000000001</v>
      </c>
      <c r="E19" s="30">
        <v>1.873</v>
      </c>
      <c r="F19" s="30">
        <v>1.663</v>
      </c>
      <c r="G19" s="30">
        <v>1.18</v>
      </c>
      <c r="H19" s="30">
        <v>0.81259999999999999</v>
      </c>
      <c r="I19" s="30">
        <v>0.81320000000000003</v>
      </c>
      <c r="J19" s="30">
        <v>0.73670000000000002</v>
      </c>
      <c r="K19" s="30">
        <v>0.92459999999999998</v>
      </c>
      <c r="L19" s="30">
        <v>0.89910000000000001</v>
      </c>
      <c r="M19" s="30">
        <v>0.94789999999999996</v>
      </c>
      <c r="N19" s="30">
        <v>0.91959999999999997</v>
      </c>
      <c r="O19" s="30">
        <v>0.88009999999999999</v>
      </c>
      <c r="P19" s="30">
        <v>0.90139999999999998</v>
      </c>
      <c r="Q19" s="30">
        <v>0.83530000000000004</v>
      </c>
      <c r="R19" s="30">
        <v>0.79149999999999998</v>
      </c>
      <c r="S19" s="30">
        <v>0.89480000000000004</v>
      </c>
    </row>
    <row r="20" spans="1:19" x14ac:dyDescent="0.25">
      <c r="A20" s="23"/>
      <c r="B20" s="3">
        <v>0.4</v>
      </c>
      <c r="C20" s="30">
        <v>1.7270000000000001</v>
      </c>
      <c r="D20" s="30">
        <v>1.768</v>
      </c>
      <c r="E20" s="30">
        <v>1.952</v>
      </c>
      <c r="F20" s="30">
        <v>1.712</v>
      </c>
      <c r="G20" s="30">
        <v>1.524</v>
      </c>
      <c r="H20" s="30">
        <v>0.84499999999999997</v>
      </c>
      <c r="I20" s="30">
        <v>0.84550000000000003</v>
      </c>
      <c r="J20" s="30">
        <v>0.72250000000000003</v>
      </c>
      <c r="K20" s="30">
        <v>0.88060000000000005</v>
      </c>
      <c r="L20" s="30">
        <v>0.80759999999999998</v>
      </c>
      <c r="M20" s="30">
        <v>0.92959999999999998</v>
      </c>
      <c r="N20" s="30">
        <v>0.86729999999999996</v>
      </c>
      <c r="O20" s="30">
        <v>0.83009999999999995</v>
      </c>
      <c r="P20" s="30">
        <v>0.8337</v>
      </c>
      <c r="Q20" s="30">
        <v>0.78779999999999994</v>
      </c>
      <c r="R20" s="30">
        <v>0.71089999999999998</v>
      </c>
      <c r="S20" s="34">
        <v>0.88660000000000005</v>
      </c>
    </row>
    <row r="21" spans="1:19" x14ac:dyDescent="0.25">
      <c r="A21" s="23"/>
      <c r="B21" s="3">
        <v>1.3</v>
      </c>
      <c r="C21" s="30">
        <v>1.4770000000000001</v>
      </c>
      <c r="D21" s="30">
        <v>1.62</v>
      </c>
      <c r="E21" s="30">
        <v>1.7709999999999999</v>
      </c>
      <c r="F21" s="30">
        <v>1.599</v>
      </c>
      <c r="G21" s="30">
        <v>1.3959999999999999</v>
      </c>
      <c r="H21" s="30">
        <v>0.8206</v>
      </c>
      <c r="I21" s="30">
        <v>0.82110000000000005</v>
      </c>
      <c r="J21" s="30">
        <v>0.60019999999999996</v>
      </c>
      <c r="K21" s="30">
        <v>0.746</v>
      </c>
      <c r="L21" s="30">
        <v>0.65159999999999996</v>
      </c>
      <c r="M21" s="30">
        <v>0.82679999999999998</v>
      </c>
      <c r="N21" s="30">
        <v>0.7419</v>
      </c>
      <c r="O21" s="30">
        <v>0.72409999999999997</v>
      </c>
      <c r="P21" s="30">
        <v>0.7329</v>
      </c>
      <c r="Q21" s="30">
        <v>0.67459999999999998</v>
      </c>
      <c r="R21" s="30">
        <v>0.56799999999999995</v>
      </c>
      <c r="S21" s="30">
        <v>0.87749999999999995</v>
      </c>
    </row>
    <row r="22" spans="1:19" x14ac:dyDescent="0.25">
      <c r="A22" s="23"/>
      <c r="B22" s="3">
        <v>2</v>
      </c>
      <c r="C22" s="30">
        <v>1.1579999999999999</v>
      </c>
      <c r="D22" s="30">
        <v>1.2689999999999999</v>
      </c>
      <c r="E22" s="30">
        <v>1.387</v>
      </c>
      <c r="F22" s="30">
        <v>1.2649999999999999</v>
      </c>
      <c r="G22" s="30">
        <v>1.0940000000000001</v>
      </c>
      <c r="H22" s="30">
        <v>0.63519999999999999</v>
      </c>
      <c r="I22" s="30">
        <v>0.62480000000000002</v>
      </c>
      <c r="J22" s="30">
        <v>0.48899999999999999</v>
      </c>
      <c r="K22" s="30">
        <v>0.61370000000000002</v>
      </c>
      <c r="L22" s="30">
        <v>0.51559999999999995</v>
      </c>
      <c r="M22" s="30">
        <v>0.68020000000000003</v>
      </c>
      <c r="N22" s="30">
        <v>0.59860000000000002</v>
      </c>
      <c r="O22" s="30">
        <v>0.57850000000000001</v>
      </c>
      <c r="P22" s="30">
        <v>0.57289999999999996</v>
      </c>
      <c r="Q22" s="30">
        <v>0.56040000000000001</v>
      </c>
      <c r="R22" s="30">
        <v>0.46729999999999999</v>
      </c>
      <c r="S22" s="30">
        <v>0.72199999999999998</v>
      </c>
    </row>
    <row r="23" spans="1:19" x14ac:dyDescent="0.25">
      <c r="A23" s="23"/>
      <c r="B23" s="3">
        <v>3</v>
      </c>
      <c r="C23" s="30">
        <v>0.87229999999999996</v>
      </c>
      <c r="D23" s="30">
        <v>0.94689999999999996</v>
      </c>
      <c r="E23" s="30">
        <v>1.0349999999999999</v>
      </c>
      <c r="F23" s="30">
        <v>0.92600000000000005</v>
      </c>
      <c r="G23" s="30">
        <v>0.83230000000000004</v>
      </c>
      <c r="H23" s="30">
        <v>0.4662</v>
      </c>
      <c r="I23" s="30">
        <v>0.44840000000000002</v>
      </c>
      <c r="J23" s="30">
        <v>0.37569999999999998</v>
      </c>
      <c r="K23" s="30">
        <v>0.47160000000000002</v>
      </c>
      <c r="L23" s="30">
        <v>0.38469999999999999</v>
      </c>
      <c r="M23" s="30">
        <v>0.53300000000000003</v>
      </c>
      <c r="N23" s="30">
        <v>0.45550000000000002</v>
      </c>
      <c r="O23" s="30">
        <v>0.43590000000000001</v>
      </c>
      <c r="P23" s="30">
        <v>0.42330000000000001</v>
      </c>
      <c r="Q23" s="30">
        <v>0.43909999999999999</v>
      </c>
      <c r="R23" s="30">
        <v>0.35909999999999997</v>
      </c>
      <c r="S23" s="30">
        <v>0.55469999999999997</v>
      </c>
    </row>
    <row r="24" spans="1:19" x14ac:dyDescent="0.25">
      <c r="A24" s="23"/>
      <c r="B24" s="3">
        <v>4.5</v>
      </c>
      <c r="C24" s="30">
        <v>0.59040000000000004</v>
      </c>
      <c r="D24" s="30">
        <v>0.62849999999999995</v>
      </c>
      <c r="E24" s="30">
        <v>0.6673</v>
      </c>
      <c r="F24" s="30">
        <v>0.6028</v>
      </c>
      <c r="G24" s="30">
        <v>0.53649999999999998</v>
      </c>
      <c r="H24" s="30">
        <v>0.29470000000000002</v>
      </c>
      <c r="I24" s="30">
        <v>0.29189999999999999</v>
      </c>
      <c r="J24" s="30">
        <v>0.24940000000000001</v>
      </c>
      <c r="K24" s="30">
        <v>0.32550000000000001</v>
      </c>
      <c r="L24" s="30">
        <v>0.26550000000000001</v>
      </c>
      <c r="M24" s="30">
        <v>0.37509999999999999</v>
      </c>
      <c r="N24" s="30">
        <v>0.31130000000000002</v>
      </c>
      <c r="O24" s="30">
        <v>0.29799999999999999</v>
      </c>
      <c r="P24" s="30">
        <v>0.28370000000000001</v>
      </c>
      <c r="Q24" s="30">
        <v>0.309</v>
      </c>
      <c r="R24" s="30">
        <v>0.24540000000000001</v>
      </c>
      <c r="S24" s="30">
        <v>0.37909999999999999</v>
      </c>
    </row>
    <row r="25" spans="1:19" x14ac:dyDescent="0.25">
      <c r="A25" s="23"/>
      <c r="B25" s="3">
        <v>6.5</v>
      </c>
      <c r="C25" s="30">
        <v>0.3589</v>
      </c>
      <c r="D25" s="30">
        <v>0.37109999999999999</v>
      </c>
      <c r="E25" s="30">
        <v>0.40970000000000001</v>
      </c>
      <c r="F25" s="30">
        <v>0.34560000000000002</v>
      </c>
      <c r="G25" s="30">
        <v>0.31069999999999998</v>
      </c>
      <c r="H25" s="30">
        <v>0.1792</v>
      </c>
      <c r="I25" s="30">
        <v>0.16900000000000001</v>
      </c>
      <c r="J25" s="30">
        <v>0.1502</v>
      </c>
      <c r="K25" s="30">
        <v>0.20780000000000001</v>
      </c>
      <c r="L25" s="30">
        <v>0.16300000000000001</v>
      </c>
      <c r="M25" s="30">
        <v>0.2442</v>
      </c>
      <c r="N25" s="30">
        <v>0.19489999999999999</v>
      </c>
      <c r="O25" s="30">
        <v>0.18429999999999999</v>
      </c>
      <c r="P25" s="30">
        <v>0.17419999999999999</v>
      </c>
      <c r="Q25" s="30">
        <v>0.1973</v>
      </c>
      <c r="R25" s="30">
        <v>0.14879999999999999</v>
      </c>
      <c r="S25" s="30">
        <v>0.23050000000000001</v>
      </c>
    </row>
    <row r="26" spans="1:19" x14ac:dyDescent="0.25">
      <c r="A26" s="23"/>
      <c r="B26" s="3">
        <v>9</v>
      </c>
      <c r="C26" s="30">
        <v>0.19789999999999999</v>
      </c>
      <c r="D26" s="30">
        <v>0.20069999999999999</v>
      </c>
      <c r="E26" s="30">
        <v>0.2172</v>
      </c>
      <c r="F26" s="30">
        <v>0.18149999999999999</v>
      </c>
      <c r="G26" s="30">
        <v>0.1696</v>
      </c>
      <c r="H26" s="30">
        <v>8.3710000000000007E-2</v>
      </c>
      <c r="I26" s="30">
        <v>9.1389999999999999E-2</v>
      </c>
      <c r="J26" s="30">
        <v>8.1199999999999994E-2</v>
      </c>
      <c r="K26" s="30">
        <v>0.1191</v>
      </c>
      <c r="L26" s="30">
        <v>8.6449999999999999E-2</v>
      </c>
      <c r="M26" s="30">
        <v>0.14280000000000001</v>
      </c>
      <c r="N26" s="30">
        <v>0.1096</v>
      </c>
      <c r="O26" s="30">
        <v>0.1007</v>
      </c>
      <c r="P26" s="30">
        <v>9.7949999999999995E-2</v>
      </c>
      <c r="Q26" s="30">
        <v>0.1153</v>
      </c>
      <c r="R26" s="30">
        <v>8.3699999999999997E-2</v>
      </c>
      <c r="S26" s="30">
        <v>0.13220000000000001</v>
      </c>
    </row>
    <row r="27" spans="1:19" x14ac:dyDescent="0.25">
      <c r="A27" s="23"/>
      <c r="B27" s="3">
        <v>12</v>
      </c>
      <c r="C27" s="30">
        <v>0.1009</v>
      </c>
      <c r="D27" s="30">
        <v>8.7550000000000003E-2</v>
      </c>
      <c r="E27" s="30">
        <v>8.6819999999999994E-2</v>
      </c>
      <c r="F27" s="30">
        <v>8.9899999999999994E-2</v>
      </c>
      <c r="G27" s="30">
        <v>7.7700000000000005E-2</v>
      </c>
      <c r="H27" s="30">
        <v>4.48E-2</v>
      </c>
      <c r="I27" s="30">
        <v>4.6609999999999999E-2</v>
      </c>
      <c r="J27" s="30">
        <v>4.061E-2</v>
      </c>
      <c r="K27" s="30">
        <v>6.318E-2</v>
      </c>
      <c r="L27" s="30">
        <v>3.7350000000000001E-2</v>
      </c>
      <c r="M27" s="30">
        <v>7.9329999999999998E-2</v>
      </c>
      <c r="N27" s="30">
        <v>5.833E-2</v>
      </c>
      <c r="O27" s="30">
        <v>5.0349999999999999E-2</v>
      </c>
      <c r="P27" s="30">
        <v>4.8989999999999999E-2</v>
      </c>
      <c r="Q27" s="30">
        <v>6.1769999999999999E-2</v>
      </c>
      <c r="R27" s="30">
        <v>4.0649999999999999E-2</v>
      </c>
      <c r="S27" s="30">
        <v>6.2960000000000002E-2</v>
      </c>
    </row>
    <row r="28" spans="1:19" ht="15.7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9" ht="15.75" x14ac:dyDescent="0.25">
      <c r="A29" s="43" t="s">
        <v>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9" s="40" customFormat="1" ht="12.75" x14ac:dyDescent="0.2">
      <c r="A30" s="4"/>
      <c r="B30" s="37" t="s">
        <v>152</v>
      </c>
      <c r="C30" s="41" t="s">
        <v>167</v>
      </c>
      <c r="D30" s="41" t="s">
        <v>168</v>
      </c>
      <c r="E30" s="41" t="s">
        <v>169</v>
      </c>
      <c r="F30" s="42" t="s">
        <v>178</v>
      </c>
      <c r="G30" s="42" t="s">
        <v>179</v>
      </c>
      <c r="H30" s="42" t="s">
        <v>177</v>
      </c>
      <c r="I30" s="42" t="s">
        <v>174</v>
      </c>
      <c r="J30" s="42" t="s">
        <v>180</v>
      </c>
      <c r="K30" s="42" t="s">
        <v>159</v>
      </c>
      <c r="L30" s="42" t="s">
        <v>166</v>
      </c>
      <c r="M30" s="37" t="s">
        <v>157</v>
      </c>
      <c r="N30" s="37" t="s">
        <v>158</v>
      </c>
      <c r="O30" s="37" t="s">
        <v>160</v>
      </c>
      <c r="P30" s="37" t="s">
        <v>161</v>
      </c>
      <c r="Q30" s="37" t="s">
        <v>162</v>
      </c>
      <c r="R30" s="37" t="s">
        <v>175</v>
      </c>
      <c r="S30" s="37" t="s">
        <v>165</v>
      </c>
    </row>
    <row r="31" spans="1:19" x14ac:dyDescent="0.25">
      <c r="A31" s="23"/>
      <c r="B31" s="3">
        <v>0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</row>
    <row r="32" spans="1:19" x14ac:dyDescent="0.25">
      <c r="A32" s="23"/>
      <c r="B32" s="3">
        <v>0.1</v>
      </c>
      <c r="C32" s="3">
        <v>1.4179999999999999</v>
      </c>
      <c r="D32" s="3">
        <v>1.4990000000000001</v>
      </c>
      <c r="E32" s="3">
        <v>1.597</v>
      </c>
      <c r="F32" s="3">
        <v>1.2809999999999999</v>
      </c>
      <c r="G32" s="3">
        <v>1.1870000000000001</v>
      </c>
      <c r="H32" s="3">
        <v>0.92310000000000003</v>
      </c>
      <c r="I32" s="3">
        <v>0.76900000000000002</v>
      </c>
      <c r="J32" s="3">
        <v>0.96919999999999995</v>
      </c>
      <c r="K32" s="3">
        <v>0.99490000000000001</v>
      </c>
      <c r="L32" s="3">
        <v>0.95609999999999995</v>
      </c>
      <c r="M32" s="3">
        <v>0.99380000000000002</v>
      </c>
      <c r="N32" s="3">
        <v>0.95050000000000001</v>
      </c>
      <c r="O32" s="3">
        <v>0.93179999999999996</v>
      </c>
      <c r="P32" s="3">
        <v>0.95199999999999996</v>
      </c>
      <c r="Q32" s="3">
        <v>0.87580000000000002</v>
      </c>
      <c r="R32" s="3">
        <v>0.79190000000000005</v>
      </c>
      <c r="S32" s="3">
        <v>0.79930000000000001</v>
      </c>
    </row>
    <row r="33" spans="1:19" x14ac:dyDescent="0.25">
      <c r="A33" s="23"/>
      <c r="B33" s="3">
        <v>0.4</v>
      </c>
      <c r="C33" s="3">
        <v>1.2250000000000001</v>
      </c>
      <c r="D33" s="3">
        <v>1.4139999999999999</v>
      </c>
      <c r="E33" s="3">
        <v>1.5209999999999999</v>
      </c>
      <c r="F33" s="3">
        <v>1.196</v>
      </c>
      <c r="G33" s="3">
        <v>1.046</v>
      </c>
      <c r="H33" s="3">
        <v>0.8538</v>
      </c>
      <c r="I33" s="3">
        <v>0.70440000000000003</v>
      </c>
      <c r="J33" s="3">
        <v>0.87909999999999999</v>
      </c>
      <c r="K33" s="3">
        <v>0.82650000000000001</v>
      </c>
      <c r="L33" s="3">
        <v>0.77890000000000004</v>
      </c>
      <c r="M33" s="3">
        <v>0.91910000000000003</v>
      </c>
      <c r="N33" s="3">
        <v>0.84550000000000003</v>
      </c>
      <c r="O33" s="3">
        <v>0.80489999999999995</v>
      </c>
      <c r="P33" s="3">
        <v>0.78320000000000001</v>
      </c>
      <c r="Q33" s="3">
        <v>0.80210000000000004</v>
      </c>
      <c r="R33" s="3">
        <v>0.6643</v>
      </c>
      <c r="S33" s="3">
        <v>0.73929999999999996</v>
      </c>
    </row>
    <row r="34" spans="1:19" x14ac:dyDescent="0.25">
      <c r="A34" s="23"/>
      <c r="B34" s="3">
        <v>0.8</v>
      </c>
      <c r="C34" s="3">
        <v>1.008</v>
      </c>
      <c r="D34" s="3">
        <v>1.282</v>
      </c>
      <c r="E34" s="3">
        <v>1.3660000000000001</v>
      </c>
      <c r="F34" s="3">
        <v>1.0640000000000001</v>
      </c>
      <c r="G34" s="3">
        <v>0.91200000000000003</v>
      </c>
      <c r="H34" s="3">
        <v>0.76690000000000003</v>
      </c>
      <c r="I34" s="3">
        <v>0.62050000000000005</v>
      </c>
      <c r="J34" s="3">
        <v>0.78190000000000004</v>
      </c>
      <c r="K34" s="3">
        <v>0.70699999999999996</v>
      </c>
      <c r="L34" s="3">
        <v>0.64080000000000004</v>
      </c>
      <c r="M34" s="3">
        <v>0.8337</v>
      </c>
      <c r="N34" s="3">
        <v>0.73750000000000004</v>
      </c>
      <c r="O34" s="3">
        <v>0.69530000000000003</v>
      </c>
      <c r="P34" s="3">
        <v>0.66349999999999998</v>
      </c>
      <c r="Q34" s="3">
        <v>0.71350000000000002</v>
      </c>
      <c r="R34" s="3">
        <v>0.57389999999999997</v>
      </c>
      <c r="S34" s="3">
        <v>0.62019999999999997</v>
      </c>
    </row>
    <row r="35" spans="1:19" x14ac:dyDescent="0.25">
      <c r="A35" s="23"/>
      <c r="B35" s="3">
        <v>1.3</v>
      </c>
      <c r="C35" s="3">
        <v>0.81310000000000004</v>
      </c>
      <c r="D35" s="3">
        <v>1.1080000000000001</v>
      </c>
      <c r="E35" s="3">
        <v>1.18</v>
      </c>
      <c r="F35" s="3">
        <v>0.92820000000000003</v>
      </c>
      <c r="G35" s="3">
        <v>0.7651</v>
      </c>
      <c r="H35" s="3">
        <v>0.66239999999999999</v>
      </c>
      <c r="I35" s="3">
        <v>0.52559999999999996</v>
      </c>
      <c r="J35" s="3">
        <v>0.67549999999999999</v>
      </c>
      <c r="K35" s="3">
        <v>0.58169999999999999</v>
      </c>
      <c r="L35" s="3">
        <v>0.53239999999999998</v>
      </c>
      <c r="M35" s="3">
        <v>0.73440000000000005</v>
      </c>
      <c r="N35" s="3">
        <v>0.6371</v>
      </c>
      <c r="O35" s="3">
        <v>0.58899999999999997</v>
      </c>
      <c r="P35" s="3">
        <v>0.56210000000000004</v>
      </c>
      <c r="Q35" s="3">
        <v>0.62239999999999995</v>
      </c>
      <c r="R35" s="3">
        <v>0.48620000000000002</v>
      </c>
      <c r="S35" s="3">
        <v>0.51529999999999998</v>
      </c>
    </row>
    <row r="36" spans="1:19" x14ac:dyDescent="0.25">
      <c r="A36" s="23"/>
      <c r="B36" s="3">
        <v>2</v>
      </c>
      <c r="C36" s="3">
        <v>0.62470000000000003</v>
      </c>
      <c r="D36" s="3">
        <v>0.90300000000000002</v>
      </c>
      <c r="E36" s="3">
        <v>0.95220000000000005</v>
      </c>
      <c r="F36" s="3">
        <v>0.72019999999999995</v>
      </c>
      <c r="G36" s="3">
        <v>0.59950000000000003</v>
      </c>
      <c r="H36" s="3">
        <v>0.53969999999999996</v>
      </c>
      <c r="I36" s="3">
        <v>0.42</v>
      </c>
      <c r="J36" s="3">
        <v>0.55569999999999997</v>
      </c>
      <c r="K36" s="3">
        <v>0.4602</v>
      </c>
      <c r="L36" s="3">
        <v>0.41310000000000002</v>
      </c>
      <c r="M36" s="3">
        <v>0.61009999999999998</v>
      </c>
      <c r="N36" s="3">
        <v>0.51910000000000001</v>
      </c>
      <c r="O36" s="3">
        <v>0.47989999999999999</v>
      </c>
      <c r="P36" s="3">
        <v>0.4491</v>
      </c>
      <c r="Q36" s="3">
        <v>0.51200000000000001</v>
      </c>
      <c r="R36" s="3">
        <v>0.39219999999999999</v>
      </c>
      <c r="S36" s="3">
        <v>0.38829999999999998</v>
      </c>
    </row>
    <row r="37" spans="1:19" x14ac:dyDescent="0.25">
      <c r="A37" s="23"/>
      <c r="B37" s="3">
        <v>3</v>
      </c>
      <c r="C37" s="3">
        <v>0.43120000000000003</v>
      </c>
      <c r="D37" s="3">
        <v>0.64170000000000005</v>
      </c>
      <c r="E37" s="3">
        <v>0.69010000000000005</v>
      </c>
      <c r="F37" s="3">
        <v>0.52700000000000002</v>
      </c>
      <c r="G37" s="3">
        <v>0.43020000000000003</v>
      </c>
      <c r="H37" s="3">
        <v>0.39019999999999999</v>
      </c>
      <c r="I37" s="3">
        <v>0.30730000000000002</v>
      </c>
      <c r="J37" s="3">
        <v>0.41870000000000002</v>
      </c>
      <c r="K37" s="3">
        <v>0.34339999999999998</v>
      </c>
      <c r="L37" s="3">
        <v>0.30230000000000001</v>
      </c>
      <c r="M37" s="3">
        <v>0.4642</v>
      </c>
      <c r="N37" s="3">
        <v>0.3911</v>
      </c>
      <c r="O37" s="3">
        <v>0.35809999999999997</v>
      </c>
      <c r="P37" s="3">
        <v>0.33510000000000001</v>
      </c>
      <c r="Q37" s="3">
        <v>0.3896</v>
      </c>
      <c r="R37" s="3">
        <v>0.2898</v>
      </c>
      <c r="S37" s="3">
        <v>0.28139999999999998</v>
      </c>
    </row>
    <row r="38" spans="1:19" x14ac:dyDescent="0.25">
      <c r="A38" s="23"/>
      <c r="B38" s="3">
        <v>4.5</v>
      </c>
      <c r="C38" s="3">
        <v>0.26989999999999997</v>
      </c>
      <c r="D38" s="3">
        <v>0.40570000000000001</v>
      </c>
      <c r="E38" s="3">
        <v>0.43619999999999998</v>
      </c>
      <c r="F38" s="3">
        <v>0.34310000000000002</v>
      </c>
      <c r="G38" s="3">
        <v>0.27729999999999999</v>
      </c>
      <c r="H38" s="3">
        <v>0.24909999999999999</v>
      </c>
      <c r="I38" s="3">
        <v>0.18870000000000001</v>
      </c>
      <c r="J38" s="3">
        <v>0.27789999999999998</v>
      </c>
      <c r="K38" s="3">
        <v>0.21290000000000001</v>
      </c>
      <c r="L38" s="3">
        <v>0.19869999999999999</v>
      </c>
      <c r="M38" s="3">
        <v>0.31419999999999998</v>
      </c>
      <c r="N38" s="3">
        <v>0.2571</v>
      </c>
      <c r="O38" s="3">
        <v>0.2331</v>
      </c>
      <c r="P38" s="3">
        <v>0.2203</v>
      </c>
      <c r="Q38" s="3">
        <v>0.2611</v>
      </c>
      <c r="R38" s="3">
        <v>0.19239999999999999</v>
      </c>
      <c r="S38" s="3">
        <v>0.1744</v>
      </c>
    </row>
    <row r="39" spans="1:19" x14ac:dyDescent="0.25">
      <c r="A39" s="23"/>
      <c r="B39" s="3">
        <v>6.5</v>
      </c>
      <c r="C39" s="3">
        <v>0.14460000000000001</v>
      </c>
      <c r="D39" s="3">
        <v>0.22370000000000001</v>
      </c>
      <c r="E39" s="3">
        <v>0.24529999999999999</v>
      </c>
      <c r="F39" s="3">
        <v>0.1699</v>
      </c>
      <c r="G39" s="3">
        <v>0.15</v>
      </c>
      <c r="H39" s="3">
        <v>0.13469999999999999</v>
      </c>
      <c r="I39" s="3">
        <v>0.10100000000000001</v>
      </c>
      <c r="J39" s="3">
        <v>0.16250000000000001</v>
      </c>
      <c r="K39" s="3">
        <v>0.12690000000000001</v>
      </c>
      <c r="L39" s="3">
        <v>0.10539999999999999</v>
      </c>
      <c r="M39" s="3">
        <v>0.18729999999999999</v>
      </c>
      <c r="N39" s="3">
        <v>0.14599999999999999</v>
      </c>
      <c r="O39" s="3">
        <v>0.13109999999999999</v>
      </c>
      <c r="P39" s="3">
        <v>0.12659999999999999</v>
      </c>
      <c r="Q39" s="3">
        <v>0.1527</v>
      </c>
      <c r="R39" s="3">
        <v>0.10920000000000001</v>
      </c>
      <c r="S39" s="3">
        <v>9.0719999999999995E-2</v>
      </c>
    </row>
    <row r="40" spans="1:19" x14ac:dyDescent="0.25">
      <c r="A40" s="23"/>
      <c r="B40" s="3">
        <v>9</v>
      </c>
      <c r="C40" s="3">
        <v>7.5179999999999997E-2</v>
      </c>
      <c r="D40" s="3">
        <v>0.10150000000000001</v>
      </c>
      <c r="E40" s="3">
        <v>0.1124</v>
      </c>
      <c r="F40" s="3">
        <v>9.3700000000000006E-2</v>
      </c>
      <c r="G40" s="3">
        <v>7.1099999999999997E-2</v>
      </c>
      <c r="H40" s="3">
        <v>6.3539999999999999E-2</v>
      </c>
      <c r="I40" s="3">
        <v>4.8599999999999997E-2</v>
      </c>
      <c r="J40" s="3">
        <v>8.2799999999999999E-2</v>
      </c>
      <c r="K40" s="3">
        <v>6.2260000000000003E-2</v>
      </c>
      <c r="L40" s="3">
        <v>5.534E-2</v>
      </c>
      <c r="M40" s="3">
        <v>9.554E-2</v>
      </c>
      <c r="N40" s="3">
        <v>7.3730000000000004E-2</v>
      </c>
      <c r="O40" s="3">
        <v>6.6199999999999995E-2</v>
      </c>
      <c r="P40" s="3">
        <v>6.2710000000000002E-2</v>
      </c>
      <c r="Q40" s="3">
        <v>8.0189999999999997E-2</v>
      </c>
      <c r="R40" s="3">
        <v>5.2549999999999999E-2</v>
      </c>
      <c r="S40" s="3">
        <v>4.718E-2</v>
      </c>
    </row>
    <row r="41" spans="1:19" x14ac:dyDescent="0.25">
      <c r="A41" s="23"/>
      <c r="B41" s="3">
        <v>12</v>
      </c>
      <c r="C41" s="3">
        <v>3.3459999999999997E-2</v>
      </c>
      <c r="D41" s="3">
        <v>4.65E-2</v>
      </c>
      <c r="E41" s="3">
        <v>5.6219999999999999E-2</v>
      </c>
      <c r="F41" s="3">
        <v>3.8199999999999998E-2</v>
      </c>
      <c r="G41" s="3">
        <v>3.884E-2</v>
      </c>
      <c r="H41" s="3">
        <v>2.2380000000000001E-2</v>
      </c>
      <c r="I41" s="3">
        <v>2.384E-2</v>
      </c>
      <c r="J41" s="3">
        <v>3.7240000000000002E-2</v>
      </c>
      <c r="K41" s="3">
        <v>2.8539999999999999E-2</v>
      </c>
      <c r="L41" s="3">
        <v>2.9360000000000001E-2</v>
      </c>
      <c r="M41" s="3">
        <v>4.3360000000000003E-2</v>
      </c>
      <c r="N41" s="3">
        <v>3.3459999999999997E-2</v>
      </c>
      <c r="O41" s="3">
        <v>2.724E-2</v>
      </c>
      <c r="P41" s="3">
        <v>2.7640000000000001E-2</v>
      </c>
      <c r="Q41" s="3">
        <v>3.4320000000000003E-2</v>
      </c>
      <c r="R41" s="3">
        <v>2.4320000000000001E-2</v>
      </c>
      <c r="S41" s="3">
        <v>2.2700000000000001E-2</v>
      </c>
    </row>
    <row r="42" spans="1:19" x14ac:dyDescent="0.25">
      <c r="A42" s="23"/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1g  </vt:lpstr>
      <vt:lpstr>Fig. 2d</vt:lpstr>
      <vt:lpstr>Fig. 3cd</vt:lpstr>
      <vt:lpstr>Fig. 4cde</vt:lpstr>
      <vt:lpstr>Fig. 5 de</vt:lpstr>
      <vt:lpstr>Supplementary Fig. 8</vt:lpstr>
      <vt:lpstr>Supplementary Fig. 9c</vt:lpstr>
      <vt:lpstr>Supplementary Fig. 12abc</vt:lpstr>
      <vt:lpstr>Supplementary Fig. 14</vt:lpstr>
      <vt:lpstr>Supplementary Fig. 15</vt:lpstr>
      <vt:lpstr>Supplementary Fig. 16 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Tuo Wang</dc:creator>
  <cp:lastModifiedBy>wanch</cp:lastModifiedBy>
  <dcterms:created xsi:type="dcterms:W3CDTF">2015-06-05T18:17:20Z</dcterms:created>
  <dcterms:modified xsi:type="dcterms:W3CDTF">2021-12-19T00:10:11Z</dcterms:modified>
</cp:coreProperties>
</file>