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3140" yWindow="120" windowWidth="23140" windowHeight="15840" tabRatio="500"/>
  </bookViews>
  <sheets>
    <sheet name="Fig 3c" sheetId="1" r:id="rId1"/>
    <sheet name="Fig 5d" sheetId="2" r:id="rId2"/>
    <sheet name="Fig 6b" sheetId="3" r:id="rId3"/>
    <sheet name="Fig 7a-b" sheetId="4" r:id="rId4"/>
    <sheet name="Fig 8a" sheetId="5" r:id="rId5"/>
    <sheet name="Fig 8b-c" sheetId="6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37" i="6" l="1"/>
  <c r="G37" i="6"/>
  <c r="M36" i="6"/>
  <c r="G36" i="6"/>
  <c r="M35" i="6"/>
  <c r="G35" i="6"/>
  <c r="M34" i="6"/>
  <c r="G34" i="6"/>
  <c r="O23" i="6"/>
  <c r="P23" i="6"/>
  <c r="O24" i="6"/>
  <c r="P24" i="6"/>
  <c r="O25" i="6"/>
  <c r="P25" i="6"/>
  <c r="P26" i="6"/>
  <c r="L23" i="6"/>
  <c r="M23" i="6"/>
  <c r="L24" i="6"/>
  <c r="M24" i="6"/>
  <c r="L25" i="6"/>
  <c r="M25" i="6"/>
  <c r="M26" i="6"/>
  <c r="P33" i="6"/>
  <c r="M33" i="6"/>
  <c r="G33" i="6"/>
  <c r="I23" i="6"/>
  <c r="J23" i="6"/>
  <c r="I24" i="6"/>
  <c r="J24" i="6"/>
  <c r="I25" i="6"/>
  <c r="J25" i="6"/>
  <c r="J26" i="6"/>
  <c r="F23" i="6"/>
  <c r="G23" i="6"/>
  <c r="F24" i="6"/>
  <c r="G24" i="6"/>
  <c r="F25" i="6"/>
  <c r="G25" i="6"/>
  <c r="G26" i="6"/>
  <c r="P32" i="6"/>
  <c r="M32" i="6"/>
  <c r="G32" i="6"/>
  <c r="G31" i="6"/>
  <c r="O26" i="6"/>
  <c r="L26" i="6"/>
  <c r="O28" i="6"/>
  <c r="I26" i="6"/>
  <c r="F26" i="6"/>
  <c r="I28" i="6"/>
  <c r="P27" i="6"/>
  <c r="O27" i="6"/>
  <c r="M27" i="6"/>
  <c r="L27" i="6"/>
  <c r="J27" i="6"/>
  <c r="I27" i="6"/>
  <c r="G27" i="6"/>
  <c r="F27" i="6"/>
  <c r="I12" i="6"/>
  <c r="J12" i="6"/>
  <c r="I13" i="6"/>
  <c r="J13" i="6"/>
  <c r="I14" i="6"/>
  <c r="J14" i="6"/>
  <c r="J16" i="6"/>
  <c r="F12" i="6"/>
  <c r="G12" i="6"/>
  <c r="F13" i="6"/>
  <c r="G13" i="6"/>
  <c r="F14" i="6"/>
  <c r="G14" i="6"/>
  <c r="G16" i="6"/>
  <c r="J15" i="6"/>
  <c r="G15" i="6"/>
  <c r="T13" i="6"/>
  <c r="T12" i="6"/>
  <c r="U12" i="6"/>
  <c r="T11" i="6"/>
  <c r="T10" i="6"/>
  <c r="U10" i="6"/>
  <c r="T9" i="6"/>
  <c r="T8" i="6"/>
  <c r="U8" i="6"/>
  <c r="O8" i="6"/>
  <c r="I4" i="6"/>
  <c r="J4" i="6"/>
  <c r="I5" i="6"/>
  <c r="J5" i="6"/>
  <c r="I6" i="6"/>
  <c r="J6" i="6"/>
  <c r="J8" i="6"/>
  <c r="F4" i="6"/>
  <c r="G4" i="6"/>
  <c r="F5" i="6"/>
  <c r="G5" i="6"/>
  <c r="F6" i="6"/>
  <c r="G6" i="6"/>
  <c r="G8" i="6"/>
  <c r="T7" i="6"/>
  <c r="O7" i="6"/>
  <c r="J7" i="6"/>
  <c r="G7" i="6"/>
  <c r="T6" i="6"/>
  <c r="U6" i="6"/>
  <c r="O6" i="6"/>
  <c r="T5" i="6"/>
  <c r="O5" i="6"/>
  <c r="T4" i="6"/>
  <c r="U4" i="6"/>
  <c r="O4" i="6"/>
  <c r="G60" i="5"/>
  <c r="G61" i="5"/>
  <c r="I61" i="5"/>
  <c r="H61" i="5"/>
  <c r="G26" i="5"/>
  <c r="F26" i="5"/>
  <c r="M26" i="5"/>
  <c r="L26" i="5"/>
  <c r="G23" i="5"/>
  <c r="F23" i="5"/>
  <c r="M23" i="5"/>
  <c r="L23" i="5"/>
  <c r="M20" i="5"/>
  <c r="L20" i="5"/>
  <c r="M17" i="5"/>
  <c r="L17" i="5"/>
  <c r="G14" i="5"/>
  <c r="F14" i="5"/>
  <c r="M14" i="5"/>
  <c r="L14" i="5"/>
  <c r="M11" i="5"/>
  <c r="L11" i="5"/>
  <c r="G8" i="5"/>
  <c r="F8" i="5"/>
  <c r="M8" i="5"/>
  <c r="L8" i="5"/>
  <c r="G5" i="5"/>
  <c r="F5" i="5"/>
  <c r="R10" i="4"/>
  <c r="R9" i="4"/>
  <c r="R8" i="4"/>
  <c r="R7" i="4"/>
  <c r="R6" i="4"/>
  <c r="G16" i="4"/>
  <c r="H16" i="4"/>
  <c r="G15" i="4"/>
  <c r="H15" i="4"/>
  <c r="J15" i="4"/>
  <c r="I15" i="4"/>
  <c r="G13" i="4"/>
  <c r="H13" i="4"/>
  <c r="G12" i="4"/>
  <c r="H12" i="4"/>
  <c r="G11" i="4"/>
  <c r="H11" i="4"/>
  <c r="J11" i="4"/>
  <c r="I11" i="4"/>
  <c r="G9" i="4"/>
  <c r="H9" i="4"/>
  <c r="G8" i="4"/>
  <c r="H8" i="4"/>
  <c r="J8" i="4"/>
  <c r="I8" i="4"/>
  <c r="G6" i="4"/>
  <c r="H6" i="4"/>
  <c r="G5" i="4"/>
  <c r="H5" i="4"/>
  <c r="G4" i="4"/>
  <c r="H4" i="4"/>
  <c r="J4" i="4"/>
  <c r="I4" i="4"/>
  <c r="F46" i="3"/>
  <c r="F45" i="3"/>
  <c r="G45" i="3"/>
  <c r="F44" i="3"/>
  <c r="F43" i="3"/>
  <c r="G43" i="3"/>
  <c r="F42" i="3"/>
  <c r="F41" i="3"/>
  <c r="G41" i="3"/>
  <c r="F40" i="3"/>
  <c r="F39" i="3"/>
  <c r="G39" i="3"/>
  <c r="F38" i="3"/>
  <c r="F37" i="3"/>
  <c r="G37" i="3"/>
  <c r="F36" i="3"/>
  <c r="F35" i="3"/>
  <c r="G35" i="3"/>
  <c r="I27" i="3"/>
  <c r="J27" i="3"/>
  <c r="I26" i="3"/>
  <c r="J26" i="3"/>
  <c r="I25" i="3"/>
  <c r="J25" i="3"/>
  <c r="L25" i="3"/>
  <c r="K25" i="3"/>
  <c r="I24" i="3"/>
  <c r="J24" i="3"/>
  <c r="I23" i="3"/>
  <c r="J23" i="3"/>
  <c r="I22" i="3"/>
  <c r="J22" i="3"/>
  <c r="L22" i="3"/>
  <c r="K22" i="3"/>
  <c r="I21" i="3"/>
  <c r="J21" i="3"/>
  <c r="I20" i="3"/>
  <c r="J20" i="3"/>
  <c r="I19" i="3"/>
  <c r="J19" i="3"/>
  <c r="L19" i="3"/>
  <c r="K19" i="3"/>
  <c r="I13" i="3"/>
  <c r="J13" i="3"/>
  <c r="I12" i="3"/>
  <c r="J12" i="3"/>
  <c r="I11" i="3"/>
  <c r="J11" i="3"/>
  <c r="L11" i="3"/>
  <c r="K11" i="3"/>
  <c r="I10" i="3"/>
  <c r="J10" i="3"/>
  <c r="I9" i="3"/>
  <c r="J9" i="3"/>
  <c r="I8" i="3"/>
  <c r="J8" i="3"/>
  <c r="L8" i="3"/>
  <c r="K8" i="3"/>
  <c r="I7" i="3"/>
  <c r="J7" i="3"/>
  <c r="I6" i="3"/>
  <c r="J6" i="3"/>
  <c r="I5" i="3"/>
  <c r="J5" i="3"/>
  <c r="L5" i="3"/>
  <c r="K5" i="3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K7" i="1"/>
  <c r="K8" i="1"/>
  <c r="K9" i="1"/>
  <c r="K10" i="1"/>
  <c r="K11" i="1"/>
  <c r="K12" i="1"/>
  <c r="K13" i="1"/>
  <c r="K6" i="1"/>
  <c r="H7" i="1"/>
  <c r="H8" i="1"/>
  <c r="H9" i="1"/>
  <c r="H10" i="1"/>
  <c r="H11" i="1"/>
  <c r="H12" i="1"/>
  <c r="H13" i="1"/>
  <c r="H6" i="1"/>
  <c r="E7" i="1"/>
  <c r="E8" i="1"/>
  <c r="E9" i="1"/>
  <c r="E10" i="1"/>
  <c r="E11" i="1"/>
  <c r="E12" i="1"/>
  <c r="E13" i="1"/>
  <c r="E6" i="1"/>
</calcChain>
</file>

<file path=xl/sharedStrings.xml><?xml version="1.0" encoding="utf-8"?>
<sst xmlns="http://schemas.openxmlformats.org/spreadsheetml/2006/main" count="430" uniqueCount="256">
  <si>
    <t>Assay 3</t>
  </si>
  <si>
    <t>Assay 1</t>
  </si>
  <si>
    <t>Assay 2</t>
  </si>
  <si>
    <t>[Tyr]</t>
  </si>
  <si>
    <t>Rate</t>
  </si>
  <si>
    <t>Corrected Rate</t>
  </si>
  <si>
    <t>Machine learning discovery of missing links that mediate alternative branches to plant alkaloids</t>
  </si>
  <si>
    <r>
      <t xml:space="preserve">Vavricka </t>
    </r>
    <r>
      <rPr>
        <i/>
        <sz val="12"/>
        <color theme="1"/>
        <rFont val="Calibri"/>
      </rPr>
      <t>et al.</t>
    </r>
  </si>
  <si>
    <t>Sample</t>
  </si>
  <si>
    <t xml:space="preserve">Area </t>
    <phoneticPr fontId="0"/>
  </si>
  <si>
    <t>Conc (μM)</t>
  </si>
  <si>
    <t>x 10</t>
  </si>
  <si>
    <t>-</t>
  </si>
  <si>
    <t>0.05 μM Reticuline</t>
  </si>
  <si>
    <t>0.1 μM Reticuline</t>
  </si>
  <si>
    <t>0.5 μM Reticuline</t>
  </si>
  <si>
    <t>1 μM Reticuline</t>
  </si>
  <si>
    <t>PsNMCH+AtATR2 1</t>
  </si>
  <si>
    <t>PsNMCH-H203Y+AtATR2 1</t>
  </si>
  <si>
    <t>PsNMCH+PsCPR 1</t>
  </si>
  <si>
    <t>PsNMCH-H203Y+PsCPR 1</t>
  </si>
  <si>
    <t>EcNMCH+AtATR2 1</t>
  </si>
  <si>
    <t>EcNMCH-Y177H+AtATR2 1</t>
  </si>
  <si>
    <t>EcNMCH+PsCPR 1</t>
  </si>
  <si>
    <t>EcNMCH-Y177H+PsCPR 1</t>
  </si>
  <si>
    <t>PsNMCH+AtATR2 2</t>
  </si>
  <si>
    <t>PsNMCH-H203Y+AtATR2 2</t>
  </si>
  <si>
    <t>PsNMCH+PsCPR 2</t>
  </si>
  <si>
    <t>PsNMCH-H203Y+PsCPR 2</t>
  </si>
  <si>
    <t>EcNMCH-Y177H+AtATR2 2</t>
  </si>
  <si>
    <t>EcNMCH+PsCPR 2</t>
  </si>
  <si>
    <t>EcNMCH-Y177H+PsCPR 2</t>
  </si>
  <si>
    <t>PsNMCH+AtATR2 3</t>
  </si>
  <si>
    <t>PsNMCH-H203Y+AtATR2 3</t>
  </si>
  <si>
    <t>PsNMCH-H203Y+PsCPR 3</t>
  </si>
  <si>
    <t>EcNMCH-Y177H+AtATR2 3</t>
  </si>
  <si>
    <t>EcNMCH+PsCPR 3</t>
  </si>
  <si>
    <t>EcNMCH-Y177H+PsCPR 3</t>
  </si>
  <si>
    <t>44 Hours Reticline</t>
  </si>
  <si>
    <t>Internal Std.</t>
  </si>
  <si>
    <t>Reticuline</t>
  </si>
  <si>
    <t>Strain</t>
  </si>
  <si>
    <t>Substrate</t>
  </si>
  <si>
    <t>Genes</t>
  </si>
  <si>
    <t>Dilution</t>
  </si>
  <si>
    <t>Sample Name</t>
  </si>
  <si>
    <t>(Ret/IS)*D</t>
  </si>
  <si>
    <t>[Ret.]</t>
  </si>
  <si>
    <t>AVG [Ret]</t>
  </si>
  <si>
    <t>SD</t>
  </si>
  <si>
    <t>P1-04-AI</t>
  </si>
  <si>
    <t>DOPA</t>
  </si>
  <si>
    <t>PsTyDC1+PsPDC1</t>
  </si>
  <si>
    <t>200908 2-4 2</t>
  </si>
  <si>
    <t>200908 2-4b</t>
  </si>
  <si>
    <t xml:space="preserve">200915 2-4 </t>
  </si>
  <si>
    <t xml:space="preserve">T1-10-DE3 </t>
  </si>
  <si>
    <t>PsTyDC1</t>
  </si>
  <si>
    <t>200908 3-4</t>
    <phoneticPr fontId="3"/>
  </si>
  <si>
    <t>200908 3-4b</t>
    <phoneticPr fontId="3"/>
  </si>
  <si>
    <t>200915 3-4</t>
    <phoneticPr fontId="3"/>
  </si>
  <si>
    <t>P1-02-AI</t>
  </si>
  <si>
    <t>PsPDC1</t>
  </si>
  <si>
    <t>200908 4-4 1</t>
    <phoneticPr fontId="3"/>
  </si>
  <si>
    <t>200908 4-4b</t>
    <phoneticPr fontId="3"/>
  </si>
  <si>
    <t>200915 4-4</t>
    <phoneticPr fontId="3"/>
  </si>
  <si>
    <t>61 Hours Reticline</t>
  </si>
  <si>
    <t>Dopa</t>
  </si>
  <si>
    <t>200914 2-5b</t>
  </si>
  <si>
    <t>200915 2-5c</t>
  </si>
  <si>
    <t>100915 2-5d</t>
  </si>
  <si>
    <t>200914 3-5</t>
    <phoneticPr fontId="3"/>
  </si>
  <si>
    <t>200914 3-5b</t>
  </si>
  <si>
    <t>200915 3-5c</t>
  </si>
  <si>
    <t>200914 4-5</t>
  </si>
  <si>
    <t>200914 4-5b</t>
  </si>
  <si>
    <t>200915 4-5c</t>
  </si>
  <si>
    <t>200918 Reticuline Standard Curve</t>
  </si>
  <si>
    <t>microM</t>
  </si>
  <si>
    <t>Ret/IS</t>
  </si>
  <si>
    <t>AVG</t>
  </si>
  <si>
    <t>1b</t>
  </si>
  <si>
    <t>2b</t>
  </si>
  <si>
    <t>3b</t>
  </si>
  <si>
    <t>4b</t>
  </si>
  <si>
    <t>5b</t>
  </si>
  <si>
    <t>6b</t>
  </si>
  <si>
    <t>[THP] 917</t>
  </si>
  <si>
    <t>AVG [THP]</t>
  </si>
  <si>
    <t>200908 3-4</t>
    <phoneticPr fontId="2"/>
  </si>
  <si>
    <t>200908 3-4b</t>
    <phoneticPr fontId="2"/>
  </si>
  <si>
    <t>y = 0.0118 x + 0.0017</t>
  </si>
  <si>
    <t>200915 3-4</t>
    <phoneticPr fontId="2"/>
  </si>
  <si>
    <t>200908 4-4 1</t>
    <phoneticPr fontId="2"/>
  </si>
  <si>
    <t>200915 4-4</t>
    <phoneticPr fontId="2"/>
  </si>
  <si>
    <t xml:space="preserve">A1-01-DE3 </t>
  </si>
  <si>
    <t>Aro10</t>
  </si>
  <si>
    <t>200908 15-4</t>
    <phoneticPr fontId="2"/>
  </si>
  <si>
    <t>200909 15-4b</t>
    <phoneticPr fontId="2"/>
  </si>
  <si>
    <t>200915 15-4</t>
    <phoneticPr fontId="2"/>
  </si>
  <si>
    <t xml:space="preserve">DT-02-DE3 </t>
  </si>
  <si>
    <t xml:space="preserve">PpDDC-Y79F-F80Y-H181N </t>
  </si>
  <si>
    <t>3c1-1_01</t>
    <phoneticPr fontId="0"/>
  </si>
  <si>
    <t>3c1-1_02</t>
  </si>
  <si>
    <t>y = 0.003616 x + 0.000017</t>
  </si>
  <si>
    <t>THP</t>
  </si>
  <si>
    <t>THP/MS</t>
  </si>
  <si>
    <t>Fig 8a</t>
  </si>
  <si>
    <t>mg</t>
  </si>
  <si>
    <t>Retuline</t>
  </si>
  <si>
    <t>NMC</t>
  </si>
  <si>
    <t>Induced Genes</t>
  </si>
  <si>
    <t>Substrates</t>
  </si>
  <si>
    <t>Peak Area</t>
  </si>
  <si>
    <t>[Reticuline]</t>
    <phoneticPr fontId="0"/>
  </si>
  <si>
    <t>AVG microM</t>
  </si>
  <si>
    <t>±SD</t>
    <phoneticPr fontId="9" type="noConversion"/>
  </si>
  <si>
    <t>[NMC]</t>
  </si>
  <si>
    <t>AVG microM</t>
    <phoneticPr fontId="0"/>
  </si>
  <si>
    <t>±SD</t>
  </si>
  <si>
    <t>A1-01-DE3</t>
  </si>
  <si>
    <t>10 Tyr</t>
  </si>
  <si>
    <t>-----</t>
  </si>
  <si>
    <t>ARO10</t>
  </si>
  <si>
    <t>4.9 DA</t>
  </si>
  <si>
    <t>&lt;1 Gossypol</t>
  </si>
  <si>
    <t>A1-06-AI</t>
  </si>
  <si>
    <t>9.5 Tyr</t>
  </si>
  <si>
    <t>ARO10+TyDC1+DDC-T</t>
  </si>
  <si>
    <t>7.6 Dopa</t>
  </si>
  <si>
    <t>8.5 Tyr</t>
  </si>
  <si>
    <t>11.8 Dopa</t>
  </si>
  <si>
    <t>13.1 Ascorbate</t>
  </si>
  <si>
    <t>6.6 Tyr</t>
  </si>
  <si>
    <t>3.1 DA</t>
  </si>
  <si>
    <t>P1-06-DE3</t>
  </si>
  <si>
    <t>DDC-T</t>
  </si>
  <si>
    <t>7.1 DA</t>
  </si>
  <si>
    <t>5.2 Tyr</t>
  </si>
  <si>
    <t>7.3 Dopa</t>
  </si>
  <si>
    <t>P1-07-AI</t>
  </si>
  <si>
    <t>9.6 Tyr</t>
  </si>
  <si>
    <t>PDC1+DDC-T</t>
  </si>
  <si>
    <t>8.0 Dopa</t>
  </si>
  <si>
    <t>8.7 Ascorbate</t>
  </si>
  <si>
    <t>8.7 Tyr</t>
  </si>
  <si>
    <t>8.2 DA</t>
  </si>
  <si>
    <t>Ret-1.qgd</t>
  </si>
  <si>
    <t>Ret-1b.qgd</t>
  </si>
  <si>
    <t>Ret-1c.qgd</t>
  </si>
  <si>
    <t>Ret-10.qgd</t>
  </si>
  <si>
    <t>Ret-10b.qgd</t>
  </si>
  <si>
    <t>Ret-10c.qgd</t>
  </si>
  <si>
    <t>Ret-100.qgd</t>
  </si>
  <si>
    <t>Ret-100b.qgd</t>
  </si>
  <si>
    <t>Ret-100c.qgd</t>
  </si>
  <si>
    <t>Ret-1000.qgd</t>
  </si>
  <si>
    <t>Ret-1000b.qgd</t>
  </si>
  <si>
    <t>Ret-1000c.qgd</t>
  </si>
  <si>
    <t>NMC-1.qgd</t>
  </si>
  <si>
    <t>NMC-1b.qgd</t>
  </si>
  <si>
    <t>NMC-1c.qgd</t>
  </si>
  <si>
    <t>NMC-10.qgd</t>
  </si>
  <si>
    <t>NMC-10b.qgd</t>
  </si>
  <si>
    <t>NMC-10c.qgd</t>
  </si>
  <si>
    <t>NMC-100.qgd</t>
  </si>
  <si>
    <t>NMC-100b.qgd</t>
  </si>
  <si>
    <t>NMC-100c.qgd</t>
  </si>
  <si>
    <t>NMC-1000.qgd</t>
  </si>
  <si>
    <t>NMC-1000b.qgd</t>
  </si>
  <si>
    <t>NMC-1000c.qgd</t>
  </si>
  <si>
    <t>R.T.</t>
  </si>
  <si>
    <t>Standard</t>
  </si>
  <si>
    <t>[Reticuline]</t>
  </si>
  <si>
    <t>dilution</t>
  </si>
  <si>
    <t>sample</t>
  </si>
  <si>
    <t>area</t>
    <phoneticPr fontId="2"/>
  </si>
  <si>
    <t>height</t>
    <phoneticPr fontId="2"/>
  </si>
  <si>
    <t>time</t>
    <phoneticPr fontId="2"/>
  </si>
  <si>
    <t>microM</t>
    <phoneticPr fontId="2"/>
  </si>
  <si>
    <t>adjusted</t>
    <phoneticPr fontId="2"/>
  </si>
  <si>
    <t>AVG</t>
    <phoneticPr fontId="2"/>
  </si>
  <si>
    <t>SD</t>
    <phoneticPr fontId="2"/>
  </si>
  <si>
    <t>25x</t>
  </si>
  <si>
    <t xml:space="preserve">191213-5 a </t>
  </si>
  <si>
    <t>191213-5 a2</t>
  </si>
  <si>
    <t>0.05 Std</t>
  </si>
  <si>
    <t>0.1 Std</t>
  </si>
  <si>
    <t>0.5 Std</t>
  </si>
  <si>
    <t>1 Std</t>
  </si>
  <si>
    <t>5 Std</t>
  </si>
  <si>
    <t>GC-MS</t>
  </si>
  <si>
    <t>LC-MS</t>
  </si>
  <si>
    <t>200917 NMC Standard Curve</t>
  </si>
  <si>
    <t>y = 0.0194 x</t>
  </si>
  <si>
    <t>y = 0.0189 x</t>
  </si>
  <si>
    <t>d6-NMC</t>
    <phoneticPr fontId="0"/>
  </si>
  <si>
    <t>d5-Ret</t>
    <phoneticPr fontId="0"/>
  </si>
  <si>
    <t>Condition</t>
  </si>
  <si>
    <t>d6NMC/MS</t>
    <phoneticPr fontId="0"/>
  </si>
  <si>
    <t>d5Ret/MS</t>
    <phoneticPr fontId="0"/>
  </si>
  <si>
    <t>[Ret]</t>
    <phoneticPr fontId="0"/>
  </si>
  <si>
    <t>NMC/IS</t>
  </si>
  <si>
    <t>TyDC1+PDC1+PpDDC</t>
  </si>
  <si>
    <t>200914 8-5</t>
    <phoneticPr fontId="0"/>
  </si>
  <si>
    <t>d4Tyr+d3Dopa</t>
  </si>
  <si>
    <t>200914 8-5b</t>
    <phoneticPr fontId="0"/>
  </si>
  <si>
    <t>200915 8-5c</t>
    <phoneticPr fontId="0"/>
  </si>
  <si>
    <t>PDC1+PpDDC</t>
  </si>
  <si>
    <t>200914 16-5</t>
    <phoneticPr fontId="0"/>
  </si>
  <si>
    <t>200915 16-5b</t>
    <phoneticPr fontId="0"/>
  </si>
  <si>
    <t>200915 16-5c</t>
    <phoneticPr fontId="0"/>
  </si>
  <si>
    <t>Fig 8c</t>
  </si>
  <si>
    <t>NC</t>
    <phoneticPr fontId="0"/>
  </si>
  <si>
    <t>h4</t>
    <phoneticPr fontId="0"/>
  </si>
  <si>
    <t>d4NC</t>
    <phoneticPr fontId="0"/>
  </si>
  <si>
    <t>d4</t>
    <phoneticPr fontId="0"/>
  </si>
  <si>
    <t>NMC</t>
    <phoneticPr fontId="0"/>
  </si>
  <si>
    <t>d4-NMC</t>
    <phoneticPr fontId="0"/>
  </si>
  <si>
    <t>d4</t>
  </si>
  <si>
    <t>NC/MS</t>
  </si>
  <si>
    <t>[NC]</t>
  </si>
  <si>
    <t>d4NC/MS</t>
  </si>
  <si>
    <t>NMC/MS</t>
  </si>
  <si>
    <t>d4NMC/MS</t>
  </si>
  <si>
    <t>191213-5 IId</t>
    <phoneticPr fontId="0"/>
  </si>
  <si>
    <t>191213-5 IId 2</t>
    <phoneticPr fontId="0"/>
  </si>
  <si>
    <t>191213-5 IId 3</t>
    <phoneticPr fontId="0"/>
  </si>
  <si>
    <t>% Labelled</t>
  </si>
  <si>
    <t>201014 Norcoclaurine Standard Curve</t>
  </si>
  <si>
    <t>201014 NMC Standard Curve</t>
  </si>
  <si>
    <t>0.1 microM</t>
  </si>
  <si>
    <t>d4 / h4</t>
  </si>
  <si>
    <t>0.2 microM</t>
  </si>
  <si>
    <t>Norcoclaurine</t>
  </si>
  <si>
    <t>1 microM</t>
  </si>
  <si>
    <t xml:space="preserve"> 2 microM</t>
  </si>
  <si>
    <t>10 microM</t>
  </si>
  <si>
    <t>20 microM</t>
  </si>
  <si>
    <t>100 microM</t>
  </si>
  <si>
    <r>
      <t xml:space="preserve">NMC - </t>
    </r>
    <r>
      <rPr>
        <i/>
        <sz val="12"/>
        <color rgb="FF000000"/>
        <rFont val="Calibri"/>
        <scheme val="minor"/>
      </rPr>
      <t>N</t>
    </r>
    <r>
      <rPr>
        <sz val="12"/>
        <color rgb="FF000000"/>
        <rFont val="Calibri"/>
        <scheme val="minor"/>
      </rPr>
      <t>-methylcoclaurine</t>
    </r>
  </si>
  <si>
    <t>NC - Norcoclaurine</t>
  </si>
  <si>
    <t>NL - norlaudanosoline</t>
  </si>
  <si>
    <t>NL</t>
  </si>
  <si>
    <t>(NL/IS)*D</t>
  </si>
  <si>
    <t>NL Standard Curve 2</t>
  </si>
  <si>
    <t>Fig. 8a</t>
  </si>
  <si>
    <t>Fig. 8b</t>
  </si>
  <si>
    <t>Fig. 3c</t>
  </si>
  <si>
    <r>
      <t xml:space="preserve">NMC - </t>
    </r>
    <r>
      <rPr>
        <i/>
        <sz val="12"/>
        <rFont val="Calibri"/>
      </rPr>
      <t>N</t>
    </r>
    <r>
      <rPr>
        <sz val="12"/>
        <color theme="1"/>
        <rFont val="Calibri"/>
      </rPr>
      <t>-methylcoclaurine</t>
    </r>
  </si>
  <si>
    <t>Fig. 5d</t>
  </si>
  <si>
    <t>Fig. 6b</t>
  </si>
  <si>
    <t>Fig. 7a-b</t>
  </si>
  <si>
    <t>0.01 μM Reticuline</t>
  </si>
  <si>
    <t>200917 NL Standard Curve</t>
  </si>
  <si>
    <t>917 NL Standard Curve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</si>
</sst>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.0000"/>
  </numFmts>
  <fonts count="3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</font>
    <font>
      <i/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name val="Calibri"/>
    </font>
    <font>
      <b/>
      <sz val="12"/>
      <color theme="1"/>
      <name val="Calibri"/>
      <family val="2"/>
      <scheme val="minor"/>
    </font>
    <font>
      <sz val="12"/>
      <color rgb="FF000000"/>
      <name val="Calibri"/>
    </font>
    <font>
      <b/>
      <sz val="12"/>
      <color rgb="FF000000"/>
      <name val="Calibri"/>
      <scheme val="minor"/>
    </font>
    <font>
      <sz val="12"/>
      <color rgb="FF00B050"/>
      <name val="Calibri"/>
    </font>
    <font>
      <sz val="12"/>
      <color rgb="FF0070C0"/>
      <name val="Calibri"/>
    </font>
    <font>
      <sz val="12"/>
      <color rgb="FF3366FF"/>
      <name val="Calibri"/>
    </font>
    <font>
      <sz val="11"/>
      <color theme="1"/>
      <name val="Calibri"/>
    </font>
    <font>
      <sz val="12"/>
      <color theme="0" tint="-0.499984740745262"/>
      <name val="Calibri"/>
    </font>
    <font>
      <sz val="12"/>
      <color rgb="FF002060"/>
      <name val="Calibri"/>
    </font>
    <font>
      <sz val="12"/>
      <color rgb="FF7030A0"/>
      <name val="Calibri"/>
    </font>
    <font>
      <sz val="12"/>
      <color rgb="FF660066"/>
      <name val="Calibri"/>
    </font>
    <font>
      <b/>
      <sz val="12"/>
      <name val="Calibri"/>
    </font>
    <font>
      <sz val="11"/>
      <name val="Calibri"/>
      <scheme val="minor"/>
    </font>
    <font>
      <b/>
      <sz val="11"/>
      <color rgb="FFFF0000"/>
      <name val="Calibri"/>
    </font>
    <font>
      <sz val="11"/>
      <color rgb="FFFF0000"/>
      <name val="Calibri"/>
    </font>
    <font>
      <b/>
      <sz val="12"/>
      <color rgb="FFFF0000"/>
      <name val="Calibri"/>
    </font>
    <font>
      <b/>
      <i/>
      <sz val="12"/>
      <name val="Calibri"/>
    </font>
    <font>
      <b/>
      <i/>
      <sz val="12"/>
      <color rgb="FFFF0000"/>
      <name val="Calibri"/>
    </font>
    <font>
      <i/>
      <sz val="12"/>
      <color rgb="FFFF0000"/>
      <name val="Calibri"/>
    </font>
    <font>
      <b/>
      <i/>
      <sz val="12"/>
      <color theme="1"/>
      <name val="Calibri"/>
    </font>
    <font>
      <sz val="12"/>
      <color rgb="FF000000"/>
      <name val="Calibri"/>
      <scheme val="minor"/>
    </font>
    <font>
      <i/>
      <sz val="12"/>
      <color rgb="FF000000"/>
      <name val="Calibri"/>
      <scheme val="minor"/>
    </font>
    <font>
      <i/>
      <sz val="12"/>
      <name val="Calibri"/>
    </font>
    <font>
      <b/>
      <sz val="12"/>
      <color rgb="FF0000FF"/>
      <name val="Calibri"/>
    </font>
    <font>
      <sz val="12"/>
      <color rgb="FF0000FF"/>
      <name val="Calibri"/>
    </font>
    <font>
      <b/>
      <sz val="12"/>
      <color rgb="FF008000"/>
      <name val="Calibri"/>
    </font>
    <font>
      <sz val="12"/>
      <color rgb="FF008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0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41" fontId="4" fillId="0" borderId="0" xfId="55" applyFont="1" applyAlignment="1">
      <alignment horizontal="center" vertical="center"/>
    </xf>
    <xf numFmtId="0" fontId="9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1" fontId="6" fillId="0" borderId="0" xfId="55" applyFont="1" applyAlignment="1">
      <alignment horizontal="right" vertical="center"/>
    </xf>
    <xf numFmtId="41" fontId="4" fillId="0" borderId="0" xfId="55" applyFont="1" applyAlignment="1">
      <alignment horizontal="right" vertical="center"/>
    </xf>
    <xf numFmtId="41" fontId="9" fillId="0" borderId="0" xfId="55" applyFont="1" applyAlignment="1">
      <alignment horizontal="right" vertical="center"/>
    </xf>
    <xf numFmtId="0" fontId="8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49" fontId="7" fillId="2" borderId="0" xfId="0" applyNumberFormat="1" applyFont="1" applyFill="1"/>
    <xf numFmtId="0" fontId="9" fillId="2" borderId="0" xfId="0" applyFont="1" applyFill="1"/>
    <xf numFmtId="0" fontId="4" fillId="2" borderId="0" xfId="0" applyFont="1" applyFill="1" applyAlignment="1">
      <alignment horizontal="right"/>
    </xf>
    <xf numFmtId="49" fontId="4" fillId="2" borderId="0" xfId="0" applyNumberFormat="1" applyFont="1" applyFill="1"/>
    <xf numFmtId="0" fontId="13" fillId="2" borderId="0" xfId="0" applyFont="1" applyFill="1"/>
    <xf numFmtId="49" fontId="13" fillId="2" borderId="0" xfId="0" applyNumberFormat="1" applyFont="1" applyFill="1"/>
    <xf numFmtId="0" fontId="9" fillId="2" borderId="0" xfId="0" applyFont="1" applyFill="1" applyAlignment="1">
      <alignment horizontal="right"/>
    </xf>
    <xf numFmtId="0" fontId="14" fillId="2" borderId="0" xfId="0" applyFont="1" applyFill="1"/>
    <xf numFmtId="49" fontId="14" fillId="2" borderId="0" xfId="0" applyNumberFormat="1" applyFont="1" applyFill="1"/>
    <xf numFmtId="49" fontId="4" fillId="2" borderId="0" xfId="0" applyNumberFormat="1" applyFont="1" applyFill="1" applyAlignment="1">
      <alignment horizontal="right"/>
    </xf>
    <xf numFmtId="49" fontId="9" fillId="0" borderId="0" xfId="0" applyNumberFormat="1" applyFont="1"/>
    <xf numFmtId="49" fontId="6" fillId="2" borderId="0" xfId="0" applyNumberFormat="1" applyFont="1" applyFill="1"/>
    <xf numFmtId="49" fontId="15" fillId="2" borderId="0" xfId="0" applyNumberFormat="1" applyFont="1" applyFill="1"/>
    <xf numFmtId="0" fontId="16" fillId="0" borderId="0" xfId="0" applyFont="1"/>
    <xf numFmtId="0" fontId="16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18" fillId="2" borderId="0" xfId="0" applyFont="1" applyFill="1"/>
    <xf numFmtId="2" fontId="4" fillId="2" borderId="0" xfId="0" applyNumberFormat="1" applyFont="1" applyFill="1"/>
    <xf numFmtId="0" fontId="4" fillId="2" borderId="0" xfId="0" applyNumberFormat="1" applyFont="1" applyFill="1" applyAlignment="1">
      <alignment horizontal="right"/>
    </xf>
    <xf numFmtId="0" fontId="6" fillId="0" borderId="0" xfId="0" applyFont="1" applyAlignment="1">
      <alignment horizontal="right"/>
    </xf>
    <xf numFmtId="0" fontId="19" fillId="2" borderId="0" xfId="0" applyFont="1" applyFill="1"/>
    <xf numFmtId="0" fontId="20" fillId="2" borderId="0" xfId="0" applyFont="1" applyFill="1"/>
    <xf numFmtId="49" fontId="19" fillId="2" borderId="0" xfId="0" applyNumberFormat="1" applyFont="1" applyFill="1"/>
    <xf numFmtId="0" fontId="7" fillId="3" borderId="0" xfId="0" applyFont="1" applyFill="1"/>
    <xf numFmtId="0" fontId="4" fillId="3" borderId="0" xfId="0" applyFont="1" applyFill="1"/>
    <xf numFmtId="0" fontId="6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21" fillId="2" borderId="0" xfId="0" applyFont="1" applyFill="1" applyAlignment="1">
      <alignment horizontal="center"/>
    </xf>
    <xf numFmtId="0" fontId="10" fillId="0" borderId="0" xfId="0" applyFont="1" applyAlignment="1">
      <alignment horizontal="right"/>
    </xf>
    <xf numFmtId="0" fontId="6" fillId="2" borderId="0" xfId="0" applyFont="1" applyFill="1" applyAlignment="1">
      <alignment vertical="center"/>
    </xf>
    <xf numFmtId="0" fontId="23" fillId="2" borderId="0" xfId="0" applyFont="1" applyFill="1"/>
    <xf numFmtId="0" fontId="24" fillId="2" borderId="0" xfId="0" applyFont="1" applyFill="1"/>
    <xf numFmtId="0" fontId="7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0" fillId="2" borderId="0" xfId="0" applyFill="1"/>
    <xf numFmtId="0" fontId="23" fillId="2" borderId="0" xfId="0" applyFont="1" applyFill="1" applyAlignment="1">
      <alignment horizontal="right"/>
    </xf>
    <xf numFmtId="0" fontId="23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24" fillId="2" borderId="0" xfId="0" applyNumberFormat="1" applyFont="1" applyFill="1"/>
    <xf numFmtId="0" fontId="24" fillId="2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7" fillId="0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right" vertical="center"/>
    </xf>
    <xf numFmtId="0" fontId="28" fillId="2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4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right"/>
    </xf>
    <xf numFmtId="0" fontId="6" fillId="4" borderId="0" xfId="0" applyFont="1" applyFill="1"/>
    <xf numFmtId="0" fontId="8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29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6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6" fillId="4" borderId="0" xfId="0" applyFont="1" applyFill="1" applyAlignment="1">
      <alignment horizontal="right" vertical="center"/>
    </xf>
    <xf numFmtId="0" fontId="30" fillId="0" borderId="0" xfId="0" applyFont="1"/>
    <xf numFmtId="0" fontId="19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4" fillId="3" borderId="0" xfId="0" applyFont="1" applyFill="1" applyAlignment="1">
      <alignment horizontal="right"/>
    </xf>
    <xf numFmtId="0" fontId="8" fillId="0" borderId="0" xfId="0" applyFont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/>
    <xf numFmtId="164" fontId="4" fillId="0" borderId="2" xfId="0" applyNumberFormat="1" applyFont="1" applyFill="1" applyBorder="1" applyAlignment="1">
      <alignment horizontal="right"/>
    </xf>
    <xf numFmtId="0" fontId="4" fillId="0" borderId="0" xfId="0" applyFont="1" applyFill="1"/>
    <xf numFmtId="164" fontId="4" fillId="0" borderId="0" xfId="0" applyNumberFormat="1" applyFont="1" applyFill="1"/>
    <xf numFmtId="164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49" fontId="33" fillId="0" borderId="1" xfId="0" applyNumberFormat="1" applyFont="1" applyBorder="1" applyAlignment="1">
      <alignment wrapText="1"/>
    </xf>
    <xf numFmtId="0" fontId="34" fillId="0" borderId="1" xfId="0" applyFont="1" applyBorder="1"/>
    <xf numFmtId="0" fontId="34" fillId="0" borderId="1" xfId="0" applyFont="1" applyBorder="1" applyAlignment="1">
      <alignment horizontal="center"/>
    </xf>
    <xf numFmtId="164" fontId="34" fillId="0" borderId="1" xfId="0" applyNumberFormat="1" applyFont="1" applyBorder="1"/>
    <xf numFmtId="164" fontId="34" fillId="0" borderId="1" xfId="0" applyNumberFormat="1" applyFont="1" applyBorder="1" applyAlignment="1">
      <alignment horizontal="right"/>
    </xf>
    <xf numFmtId="0" fontId="34" fillId="0" borderId="0" xfId="0" applyFont="1" applyBorder="1"/>
    <xf numFmtId="0" fontId="34" fillId="0" borderId="0" xfId="0" applyFont="1" applyBorder="1" applyAlignment="1">
      <alignment horizontal="center"/>
    </xf>
    <xf numFmtId="164" fontId="34" fillId="0" borderId="0" xfId="0" applyNumberFormat="1" applyFont="1" applyBorder="1"/>
    <xf numFmtId="164" fontId="34" fillId="0" borderId="0" xfId="0" applyNumberFormat="1" applyFont="1" applyBorder="1" applyAlignment="1">
      <alignment horizontal="right"/>
    </xf>
    <xf numFmtId="0" fontId="34" fillId="0" borderId="2" xfId="0" applyFont="1" applyBorder="1"/>
    <xf numFmtId="0" fontId="34" fillId="0" borderId="2" xfId="0" applyFont="1" applyBorder="1" applyAlignment="1">
      <alignment horizontal="center"/>
    </xf>
    <xf numFmtId="164" fontId="34" fillId="0" borderId="2" xfId="0" applyNumberFormat="1" applyFont="1" applyBorder="1"/>
    <xf numFmtId="164" fontId="34" fillId="0" borderId="2" xfId="0" applyNumberFormat="1" applyFont="1" applyBorder="1" applyAlignment="1">
      <alignment horizontal="right"/>
    </xf>
    <xf numFmtId="0" fontId="21" fillId="0" borderId="1" xfId="0" applyFont="1" applyBorder="1"/>
    <xf numFmtId="0" fontId="14" fillId="0" borderId="1" xfId="0" applyFont="1" applyFill="1" applyBorder="1"/>
    <xf numFmtId="0" fontId="14" fillId="0" borderId="0" xfId="0" applyFont="1" applyFill="1" applyBorder="1"/>
    <xf numFmtId="164" fontId="14" fillId="0" borderId="0" xfId="0" applyNumberFormat="1" applyFont="1" applyFill="1" applyBorder="1" applyAlignment="1">
      <alignment horizontal="right"/>
    </xf>
    <xf numFmtId="0" fontId="21" fillId="0" borderId="0" xfId="0" applyFont="1" applyFill="1"/>
    <xf numFmtId="0" fontId="14" fillId="0" borderId="2" xfId="0" applyFont="1" applyFill="1" applyBorder="1"/>
    <xf numFmtId="164" fontId="14" fillId="0" borderId="2" xfId="0" applyNumberFormat="1" applyFont="1" applyFill="1" applyBorder="1" applyAlignment="1">
      <alignment horizontal="right"/>
    </xf>
    <xf numFmtId="0" fontId="14" fillId="0" borderId="0" xfId="0" applyFont="1" applyFill="1"/>
    <xf numFmtId="0" fontId="35" fillId="0" borderId="1" xfId="0" applyFont="1" applyFill="1" applyBorder="1"/>
    <xf numFmtId="0" fontId="36" fillId="0" borderId="1" xfId="0" applyFont="1" applyFill="1" applyBorder="1"/>
    <xf numFmtId="0" fontId="36" fillId="0" borderId="1" xfId="0" applyFont="1" applyFill="1" applyBorder="1" applyAlignment="1">
      <alignment horizontal="center"/>
    </xf>
    <xf numFmtId="164" fontId="36" fillId="0" borderId="1" xfId="0" applyNumberFormat="1" applyFont="1" applyFill="1" applyBorder="1"/>
    <xf numFmtId="164" fontId="36" fillId="0" borderId="1" xfId="0" applyNumberFormat="1" applyFont="1" applyFill="1" applyBorder="1" applyAlignment="1">
      <alignment horizontal="right"/>
    </xf>
    <xf numFmtId="0" fontId="36" fillId="0" borderId="0" xfId="0" applyFont="1" applyFill="1" applyBorder="1"/>
    <xf numFmtId="0" fontId="36" fillId="0" borderId="0" xfId="0" applyFont="1" applyFill="1" applyBorder="1" applyAlignment="1">
      <alignment horizontal="center"/>
    </xf>
    <xf numFmtId="164" fontId="36" fillId="0" borderId="0" xfId="0" applyNumberFormat="1" applyFont="1" applyFill="1" applyBorder="1"/>
    <xf numFmtId="164" fontId="36" fillId="0" borderId="0" xfId="0" applyNumberFormat="1" applyFont="1" applyFill="1" applyBorder="1" applyAlignment="1">
      <alignment horizontal="right"/>
    </xf>
    <xf numFmtId="0" fontId="36" fillId="0" borderId="2" xfId="0" applyFont="1" applyFill="1" applyBorder="1"/>
    <xf numFmtId="0" fontId="36" fillId="0" borderId="2" xfId="0" applyFont="1" applyFill="1" applyBorder="1" applyAlignment="1">
      <alignment horizontal="center"/>
    </xf>
    <xf numFmtId="164" fontId="36" fillId="0" borderId="2" xfId="0" applyNumberFormat="1" applyFont="1" applyFill="1" applyBorder="1"/>
    <xf numFmtId="164" fontId="36" fillId="0" borderId="2" xfId="0" applyNumberFormat="1" applyFont="1" applyFill="1" applyBorder="1" applyAlignment="1">
      <alignment horizontal="right"/>
    </xf>
    <xf numFmtId="0" fontId="36" fillId="0" borderId="0" xfId="0" applyFont="1" applyFill="1"/>
    <xf numFmtId="0" fontId="36" fillId="0" borderId="0" xfId="0" applyFont="1" applyFill="1" applyAlignment="1">
      <alignment horizontal="center"/>
    </xf>
    <xf numFmtId="164" fontId="36" fillId="0" borderId="0" xfId="0" applyNumberFormat="1" applyFont="1" applyFill="1"/>
    <xf numFmtId="164" fontId="36" fillId="0" borderId="0" xfId="0" applyNumberFormat="1" applyFont="1" applyFill="1" applyAlignment="1">
      <alignment horizontal="right"/>
    </xf>
    <xf numFmtId="164" fontId="14" fillId="0" borderId="0" xfId="0" applyNumberFormat="1" applyFont="1" applyFill="1" applyAlignment="1">
      <alignment horizontal="right"/>
    </xf>
    <xf numFmtId="0" fontId="21" fillId="0" borderId="1" xfId="0" applyFont="1" applyFill="1" applyBorder="1"/>
    <xf numFmtId="164" fontId="14" fillId="0" borderId="2" xfId="0" applyNumberFormat="1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1" fillId="0" borderId="0" xfId="0" applyFont="1" applyAlignment="1">
      <alignment vertical="center"/>
    </xf>
    <xf numFmtId="0" fontId="10" fillId="0" borderId="0" xfId="0" applyFont="1"/>
  </cellXfs>
  <cellStyles count="104">
    <cellStyle name="Comma [0]" xfId="55" builtinId="6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918 Ret.</c:v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ja-JP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('Fig 6b'!$C$35,'Fig 6b'!$C$37,'Fig 6b'!$C$39,'Fig 6b'!$C$41,'Fig 6b'!$C$43,'Fig 6b'!$C$45)</c:f>
              <c:numCache>
                <c:formatCode>0.00</c:formatCode>
                <c:ptCount val="6"/>
                <c:pt idx="0">
                  <c:v>0.1</c:v>
                </c:pt>
                <c:pt idx="1">
                  <c:v>0.2</c:v>
                </c:pt>
                <c:pt idx="2">
                  <c:v>1.0</c:v>
                </c:pt>
                <c:pt idx="3">
                  <c:v>2.0</c:v>
                </c:pt>
                <c:pt idx="4">
                  <c:v>10.0</c:v>
                </c:pt>
                <c:pt idx="5">
                  <c:v>20.0</c:v>
                </c:pt>
              </c:numCache>
            </c:numRef>
          </c:xVal>
          <c:yVal>
            <c:numRef>
              <c:f>('Fig 6b'!$G$35,'Fig 6b'!$G$37,'Fig 6b'!$G$39,'Fig 6b'!$G$41,'Fig 6b'!$G$43,'Fig 6b'!$G$45)</c:f>
              <c:numCache>
                <c:formatCode>General</c:formatCode>
                <c:ptCount val="6"/>
                <c:pt idx="0">
                  <c:v>0.00212881344965357</c:v>
                </c:pt>
                <c:pt idx="1">
                  <c:v>0.00405457843323526</c:v>
                </c:pt>
                <c:pt idx="2">
                  <c:v>0.0204354041157051</c:v>
                </c:pt>
                <c:pt idx="3">
                  <c:v>0.0390512613816759</c:v>
                </c:pt>
                <c:pt idx="4">
                  <c:v>0.188064188768951</c:v>
                </c:pt>
                <c:pt idx="5">
                  <c:v>0.344346698409363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C48-46C9-B0DB-813D3928E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2758936"/>
        <c:axId val="-2142755240"/>
      </c:scatterChart>
      <c:valAx>
        <c:axId val="-2142758936"/>
        <c:scaling>
          <c:orientation val="minMax"/>
          <c:max val="20.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42755240"/>
        <c:crosses val="autoZero"/>
        <c:crossBetween val="midCat"/>
      </c:valAx>
      <c:valAx>
        <c:axId val="-2142755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42758936"/>
        <c:crossesAt val="0.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917 NL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0454822589914304"/>
                  <c:y val="0.0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ja-JP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('Fig 7a-b'!$O$6,'Fig 7a-b'!$O$7,'Fig 7a-b'!$O$8,'Fig 7a-b'!$O$9,'Fig 7a-b'!$O$10)</c:f>
              <c:numCache>
                <c:formatCode>0.00</c:formatCode>
                <c:ptCount val="5"/>
                <c:pt idx="0">
                  <c:v>0.2</c:v>
                </c:pt>
                <c:pt idx="1">
                  <c:v>1.0</c:v>
                </c:pt>
                <c:pt idx="2">
                  <c:v>2.0</c:v>
                </c:pt>
                <c:pt idx="3">
                  <c:v>10.0</c:v>
                </c:pt>
                <c:pt idx="4">
                  <c:v>20.0</c:v>
                </c:pt>
              </c:numCache>
            </c:numRef>
          </c:xVal>
          <c:yVal>
            <c:numRef>
              <c:f>('Fig 7a-b'!$R$6,'Fig 7a-b'!$R$7,'Fig 7a-b'!$R$8,'Fig 7a-b'!$R$9,'Fig 7a-b'!$R$10)</c:f>
              <c:numCache>
                <c:formatCode>General</c:formatCode>
                <c:ptCount val="5"/>
                <c:pt idx="0">
                  <c:v>0.00212078922861182</c:v>
                </c:pt>
                <c:pt idx="1">
                  <c:v>0.0133901002700562</c:v>
                </c:pt>
                <c:pt idx="2">
                  <c:v>0.0247411241304966</c:v>
                </c:pt>
                <c:pt idx="3">
                  <c:v>0.124402755888444</c:v>
                </c:pt>
                <c:pt idx="4">
                  <c:v>0.234796185806354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D55-4ECF-A5BE-81395FD96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3256648"/>
        <c:axId val="-2142907400"/>
      </c:scatterChart>
      <c:valAx>
        <c:axId val="-2143256648"/>
        <c:scaling>
          <c:orientation val="minMax"/>
          <c:max val="30.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42907400"/>
        <c:crosses val="autoZero"/>
        <c:crossBetween val="midCat"/>
      </c:valAx>
      <c:valAx>
        <c:axId val="-2142907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43256648"/>
        <c:crossesAt val="0.0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918 Ret.</c:v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.0"/>
            <c:dispRSqr val="0"/>
            <c:dispEq val="1"/>
            <c:trendlineLbl>
              <c:layout>
                <c:manualLayout>
                  <c:x val="-0.193855477710955"/>
                  <c:y val="0.01229094268244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ja-JP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('Fig 8b-c'!$Q$4,'Fig 8b-c'!$Q$6,'Fig 8b-c'!$Q$8,'Fig 8b-c'!$Q$10,'Fig 8b-c'!$Q$12)</c:f>
              <c:numCache>
                <c:formatCode>0.00</c:formatCode>
                <c:ptCount val="5"/>
                <c:pt idx="0">
                  <c:v>0.1</c:v>
                </c:pt>
                <c:pt idx="1">
                  <c:v>0.2</c:v>
                </c:pt>
                <c:pt idx="2">
                  <c:v>1.0</c:v>
                </c:pt>
                <c:pt idx="3">
                  <c:v>2.0</c:v>
                </c:pt>
                <c:pt idx="4">
                  <c:v>10.0</c:v>
                </c:pt>
              </c:numCache>
            </c:numRef>
          </c:xVal>
          <c:yVal>
            <c:numRef>
              <c:f>('Fig 8b-c'!$U$4,'Fig 8b-c'!$U$6,'Fig 8b-c'!$U$8,'Fig 8b-c'!$U$10,'Fig 8b-c'!$U$12)</c:f>
              <c:numCache>
                <c:formatCode>General</c:formatCode>
                <c:ptCount val="5"/>
                <c:pt idx="0">
                  <c:v>0.00212881344965357</c:v>
                </c:pt>
                <c:pt idx="1">
                  <c:v>0.00405457843323526</c:v>
                </c:pt>
                <c:pt idx="2">
                  <c:v>0.0204354041157051</c:v>
                </c:pt>
                <c:pt idx="3">
                  <c:v>0.0390512613816759</c:v>
                </c:pt>
                <c:pt idx="4">
                  <c:v>0.188064188768951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C48-46C9-B0DB-813D3928E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4631944"/>
        <c:axId val="2049688760"/>
      </c:scatterChart>
      <c:valAx>
        <c:axId val="-2144631944"/>
        <c:scaling>
          <c:orientation val="minMax"/>
          <c:max val="10.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9688760"/>
        <c:crosses val="autoZero"/>
        <c:crossBetween val="midCat"/>
      </c:valAx>
      <c:valAx>
        <c:axId val="2049688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44631944"/>
        <c:crossesAt val="0.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.0"/>
            <c:dispRSqr val="0"/>
            <c:dispEq val="1"/>
            <c:trendlineLbl>
              <c:layout>
                <c:manualLayout>
                  <c:x val="0.487915439666294"/>
                  <c:y val="-0.0074990626171728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ja-JP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 8b-c'!$L$4:$L$8</c:f>
              <c:numCache>
                <c:formatCode>0.00</c:formatCode>
                <c:ptCount val="5"/>
                <c:pt idx="0">
                  <c:v>0.2</c:v>
                </c:pt>
                <c:pt idx="1">
                  <c:v>1.0</c:v>
                </c:pt>
                <c:pt idx="2">
                  <c:v>2.0</c:v>
                </c:pt>
                <c:pt idx="3">
                  <c:v>10.0</c:v>
                </c:pt>
                <c:pt idx="4">
                  <c:v>20.0</c:v>
                </c:pt>
              </c:numCache>
            </c:numRef>
          </c:xVal>
          <c:yVal>
            <c:numRef>
              <c:f>'Fig 8b-c'!$O$4:$O$8</c:f>
              <c:numCache>
                <c:formatCode>General</c:formatCode>
                <c:ptCount val="5"/>
                <c:pt idx="0">
                  <c:v>0.0105269973254765</c:v>
                </c:pt>
                <c:pt idx="1">
                  <c:v>0.0328809293414453</c:v>
                </c:pt>
                <c:pt idx="2">
                  <c:v>0.0509275410552355</c:v>
                </c:pt>
                <c:pt idx="3">
                  <c:v>0.227168696931651</c:v>
                </c:pt>
                <c:pt idx="4">
                  <c:v>0.368722603938995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000-45B3-AF07-CCDCE5626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3041208"/>
        <c:axId val="-2146834808"/>
      </c:scatterChart>
      <c:valAx>
        <c:axId val="-2143041208"/>
        <c:scaling>
          <c:orientation val="minMax"/>
          <c:max val="20.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46834808"/>
        <c:crosses val="autoZero"/>
        <c:crossBetween val="midCat"/>
      </c:valAx>
      <c:valAx>
        <c:axId val="-2146834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43041208"/>
        <c:crossesAt val="0.0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1014 Norcoclaurine</c:v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193855477710955"/>
                  <c:y val="0.01229094268244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ja-JP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 8b-c'!$C$31:$C$37</c:f>
              <c:numCache>
                <c:formatCode>General</c:formatCode>
                <c:ptCount val="7"/>
                <c:pt idx="0">
                  <c:v>0.1</c:v>
                </c:pt>
                <c:pt idx="1">
                  <c:v>0.2</c:v>
                </c:pt>
                <c:pt idx="2">
                  <c:v>1.0</c:v>
                </c:pt>
                <c:pt idx="3">
                  <c:v>2.0</c:v>
                </c:pt>
                <c:pt idx="4">
                  <c:v>10.0</c:v>
                </c:pt>
                <c:pt idx="5">
                  <c:v>20.0</c:v>
                </c:pt>
                <c:pt idx="6">
                  <c:v>100.0</c:v>
                </c:pt>
              </c:numCache>
            </c:numRef>
          </c:xVal>
          <c:yVal>
            <c:numRef>
              <c:f>'Fig 8b-c'!$G$31:$G$37</c:f>
              <c:numCache>
                <c:formatCode>General</c:formatCode>
                <c:ptCount val="7"/>
                <c:pt idx="0">
                  <c:v>0.000715071756543975</c:v>
                </c:pt>
                <c:pt idx="1">
                  <c:v>0.00119872668967327</c:v>
                </c:pt>
                <c:pt idx="2">
                  <c:v>0.00642192068142916</c:v>
                </c:pt>
                <c:pt idx="3">
                  <c:v>0.0131099658047293</c:v>
                </c:pt>
                <c:pt idx="4">
                  <c:v>0.0614349797519319</c:v>
                </c:pt>
                <c:pt idx="5">
                  <c:v>0.119606572904101</c:v>
                </c:pt>
                <c:pt idx="6">
                  <c:v>0.60533031669664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C48-46C9-B0DB-813D3928E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2554456"/>
        <c:axId val="-2143168632"/>
      </c:scatterChart>
      <c:valAx>
        <c:axId val="-2142554456"/>
        <c:scaling>
          <c:orientation val="minMax"/>
          <c:max val="100.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43168632"/>
        <c:crosses val="autoZero"/>
        <c:crossBetween val="midCat"/>
      </c:valAx>
      <c:valAx>
        <c:axId val="-2143168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42554456"/>
        <c:crossesAt val="0.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1014 NMC</c:v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193855477710955"/>
                  <c:y val="0.01229094268244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ja-JP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 8b-c'!$C$32:$C$37</c:f>
              <c:numCache>
                <c:formatCode>General</c:formatCode>
                <c:ptCount val="6"/>
                <c:pt idx="0">
                  <c:v>0.2</c:v>
                </c:pt>
                <c:pt idx="1">
                  <c:v>1.0</c:v>
                </c:pt>
                <c:pt idx="2">
                  <c:v>2.0</c:v>
                </c:pt>
                <c:pt idx="3">
                  <c:v>10.0</c:v>
                </c:pt>
                <c:pt idx="4">
                  <c:v>20.0</c:v>
                </c:pt>
                <c:pt idx="5">
                  <c:v>100.0</c:v>
                </c:pt>
              </c:numCache>
            </c:numRef>
          </c:xVal>
          <c:yVal>
            <c:numRef>
              <c:f>'Fig 8b-c'!$M$32:$M$37</c:f>
              <c:numCache>
                <c:formatCode>General</c:formatCode>
                <c:ptCount val="6"/>
                <c:pt idx="0">
                  <c:v>0.00274877481194253</c:v>
                </c:pt>
                <c:pt idx="1">
                  <c:v>0.00931532999281788</c:v>
                </c:pt>
                <c:pt idx="2">
                  <c:v>0.0263842011613543</c:v>
                </c:pt>
                <c:pt idx="3">
                  <c:v>0.0914594814210251</c:v>
                </c:pt>
                <c:pt idx="4">
                  <c:v>0.173874427719872</c:v>
                </c:pt>
                <c:pt idx="5">
                  <c:v>0.944353179142861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C48-46C9-B0DB-813D3928E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49647352"/>
        <c:axId val="2130609720"/>
      </c:scatterChart>
      <c:valAx>
        <c:axId val="2049647352"/>
        <c:scaling>
          <c:orientation val="minMax"/>
          <c:max val="100.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0609720"/>
        <c:crosses val="autoZero"/>
        <c:crossBetween val="midCat"/>
      </c:valAx>
      <c:valAx>
        <c:axId val="2130609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9647352"/>
        <c:crossesAt val="0.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4" Type="http://schemas.openxmlformats.org/officeDocument/2006/relationships/chart" Target="../charts/chart6.xml"/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34</xdr:row>
      <xdr:rowOff>0</xdr:rowOff>
    </xdr:from>
    <xdr:to>
      <xdr:col>11</xdr:col>
      <xdr:colOff>177800</xdr:colOff>
      <xdr:row>45</xdr:row>
      <xdr:rowOff>177800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33866</xdr:colOff>
      <xdr:row>10</xdr:row>
      <xdr:rowOff>42333</xdr:rowOff>
    </xdr:from>
    <xdr:to>
      <xdr:col>19</xdr:col>
      <xdr:colOff>206375</xdr:colOff>
      <xdr:row>18</xdr:row>
      <xdr:rowOff>178011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368300</xdr:colOff>
      <xdr:row>13</xdr:row>
      <xdr:rowOff>127000</xdr:rowOff>
    </xdr:from>
    <xdr:to>
      <xdr:col>20</xdr:col>
      <xdr:colOff>292100</xdr:colOff>
      <xdr:row>25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419100</xdr:colOff>
      <xdr:row>8</xdr:row>
      <xdr:rowOff>101600</xdr:rowOff>
    </xdr:from>
    <xdr:to>
      <xdr:col>15</xdr:col>
      <xdr:colOff>612775</xdr:colOff>
      <xdr:row>17</xdr:row>
      <xdr:rowOff>80645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800100</xdr:colOff>
      <xdr:row>38</xdr:row>
      <xdr:rowOff>0</xdr:rowOff>
    </xdr:from>
    <xdr:to>
      <xdr:col>6</xdr:col>
      <xdr:colOff>723900</xdr:colOff>
      <xdr:row>49</xdr:row>
      <xdr:rowOff>177800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215900</xdr:colOff>
      <xdr:row>38</xdr:row>
      <xdr:rowOff>0</xdr:rowOff>
    </xdr:from>
    <xdr:to>
      <xdr:col>13</xdr:col>
      <xdr:colOff>139700</xdr:colOff>
      <xdr:row>49</xdr:row>
      <xdr:rowOff>177800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baseColWidth="10" defaultRowHeight="15" x14ac:dyDescent="0"/>
  <cols>
    <col min="1" max="1" width="6.5" customWidth="1"/>
    <col min="2" max="2" width="8.1640625" customWidth="1"/>
    <col min="3" max="3" width="6.5" customWidth="1"/>
    <col min="4" max="4" width="8.1640625" customWidth="1"/>
    <col min="5" max="5" width="13" customWidth="1"/>
    <col min="6" max="6" width="4.83203125" customWidth="1"/>
    <col min="7" max="7" width="8.1640625" customWidth="1"/>
    <col min="8" max="8" width="14" customWidth="1"/>
    <col min="9" max="9" width="9" customWidth="1"/>
    <col min="10" max="10" width="7.1640625" customWidth="1"/>
    <col min="11" max="11" width="13.83203125" customWidth="1"/>
    <col min="12" max="12" width="14.1640625" customWidth="1"/>
    <col min="14" max="14" width="14" customWidth="1"/>
  </cols>
  <sheetData>
    <row r="1" spans="1:1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/>
      <c r="B3" s="2"/>
      <c r="C3" s="2"/>
      <c r="D3" s="3"/>
      <c r="E3" s="3"/>
      <c r="F3" s="3"/>
      <c r="G3" s="3"/>
      <c r="H3" s="3"/>
      <c r="I3" s="3"/>
      <c r="J3" s="3"/>
      <c r="K3" s="2"/>
    </row>
    <row r="4" spans="1:11">
      <c r="A4" s="3" t="s">
        <v>248</v>
      </c>
      <c r="B4" s="2"/>
      <c r="C4" s="2"/>
      <c r="D4" s="5" t="s">
        <v>1</v>
      </c>
      <c r="E4" s="6"/>
      <c r="F4" s="3"/>
      <c r="G4" s="5" t="s">
        <v>2</v>
      </c>
      <c r="H4" s="6"/>
      <c r="I4" s="3"/>
      <c r="J4" s="5" t="s">
        <v>0</v>
      </c>
      <c r="K4" s="6"/>
    </row>
    <row r="5" spans="1:11">
      <c r="A5" s="2"/>
      <c r="B5" s="7" t="s">
        <v>3</v>
      </c>
      <c r="C5" s="2"/>
      <c r="D5" s="7" t="s">
        <v>4</v>
      </c>
      <c r="E5" s="5" t="s">
        <v>5</v>
      </c>
      <c r="F5" s="4"/>
      <c r="G5" s="5" t="s">
        <v>4</v>
      </c>
      <c r="H5" s="5" t="s">
        <v>5</v>
      </c>
      <c r="I5" s="4"/>
      <c r="J5" s="5" t="s">
        <v>4</v>
      </c>
      <c r="K5" s="7" t="s">
        <v>5</v>
      </c>
    </row>
    <row r="6" spans="1:11">
      <c r="A6" s="2"/>
      <c r="B6" s="8">
        <v>2</v>
      </c>
      <c r="C6" s="2"/>
      <c r="D6" s="8">
        <v>16000</v>
      </c>
      <c r="E6" s="9">
        <f>D6-2610.7</f>
        <v>13389.3</v>
      </c>
      <c r="F6" s="2"/>
      <c r="G6" s="8">
        <v>14000</v>
      </c>
      <c r="H6" s="9">
        <f>G6-2585.5</f>
        <v>11414.5</v>
      </c>
      <c r="I6" s="2"/>
      <c r="J6" s="9">
        <v>16000</v>
      </c>
      <c r="K6" s="9">
        <f>J6-2706.3</f>
        <v>13293.7</v>
      </c>
    </row>
    <row r="7" spans="1:11">
      <c r="A7" s="2"/>
      <c r="B7" s="8">
        <v>1</v>
      </c>
      <c r="C7" s="2"/>
      <c r="D7" s="8">
        <v>12000</v>
      </c>
      <c r="E7" s="9">
        <f t="shared" ref="E7:E13" si="0">D7-2610.7</f>
        <v>9389.2999999999993</v>
      </c>
      <c r="F7" s="2"/>
      <c r="G7" s="8">
        <v>13000</v>
      </c>
      <c r="H7" s="9">
        <f t="shared" ref="H7:H13" si="1">G7-2585.5</f>
        <v>10414.5</v>
      </c>
      <c r="I7" s="2"/>
      <c r="J7" s="9">
        <v>14000</v>
      </c>
      <c r="K7" s="9">
        <f t="shared" ref="K7:K13" si="2">J7-2706.3</f>
        <v>11293.7</v>
      </c>
    </row>
    <row r="8" spans="1:11">
      <c r="A8" s="2"/>
      <c r="B8" s="8">
        <v>0.5</v>
      </c>
      <c r="C8" s="2"/>
      <c r="D8" s="8">
        <v>11000</v>
      </c>
      <c r="E8" s="9">
        <f t="shared" si="0"/>
        <v>8389.2999999999993</v>
      </c>
      <c r="F8" s="2"/>
      <c r="G8" s="8">
        <v>11000</v>
      </c>
      <c r="H8" s="9">
        <f t="shared" si="1"/>
        <v>8414.5</v>
      </c>
      <c r="I8" s="2"/>
      <c r="J8" s="9">
        <v>11000</v>
      </c>
      <c r="K8" s="9">
        <f t="shared" si="2"/>
        <v>8293.7000000000007</v>
      </c>
    </row>
    <row r="9" spans="1:11">
      <c r="A9" s="2"/>
      <c r="B9" s="8">
        <v>0.25</v>
      </c>
      <c r="C9" s="2"/>
      <c r="D9" s="8">
        <v>7398.3</v>
      </c>
      <c r="E9" s="9">
        <f t="shared" si="0"/>
        <v>4787.6000000000004</v>
      </c>
      <c r="F9" s="2"/>
      <c r="G9" s="8">
        <v>7792.4</v>
      </c>
      <c r="H9" s="9">
        <f t="shared" si="1"/>
        <v>5206.8999999999996</v>
      </c>
      <c r="I9" s="2"/>
      <c r="J9" s="9">
        <v>7393.2</v>
      </c>
      <c r="K9" s="9">
        <f t="shared" si="2"/>
        <v>4686.8999999999996</v>
      </c>
    </row>
    <row r="10" spans="1:11">
      <c r="A10" s="2"/>
      <c r="B10" s="8">
        <v>0.1</v>
      </c>
      <c r="C10" s="2"/>
      <c r="D10" s="8">
        <v>4286.8999999999996</v>
      </c>
      <c r="E10" s="9">
        <f t="shared" si="0"/>
        <v>1676.1999999999998</v>
      </c>
      <c r="F10" s="2"/>
      <c r="G10" s="8">
        <v>4492.7</v>
      </c>
      <c r="H10" s="9">
        <f t="shared" si="1"/>
        <v>1907.1999999999998</v>
      </c>
      <c r="I10" s="2"/>
      <c r="J10" s="9">
        <v>4858.3</v>
      </c>
      <c r="K10" s="9">
        <f t="shared" si="2"/>
        <v>2152</v>
      </c>
    </row>
    <row r="11" spans="1:11">
      <c r="A11" s="2"/>
      <c r="B11" s="8">
        <v>0.05</v>
      </c>
      <c r="C11" s="2"/>
      <c r="D11" s="8">
        <v>3520.1</v>
      </c>
      <c r="E11" s="9">
        <f t="shared" si="0"/>
        <v>909.40000000000009</v>
      </c>
      <c r="F11" s="2"/>
      <c r="G11" s="8">
        <v>3619.9</v>
      </c>
      <c r="H11" s="9">
        <f t="shared" si="1"/>
        <v>1034.4000000000001</v>
      </c>
      <c r="I11" s="2"/>
      <c r="J11" s="9">
        <v>3441.1</v>
      </c>
      <c r="K11" s="9">
        <f t="shared" si="2"/>
        <v>734.79999999999973</v>
      </c>
    </row>
    <row r="12" spans="1:11">
      <c r="A12" s="2"/>
      <c r="B12" s="8">
        <v>2.5000000000000001E-2</v>
      </c>
      <c r="C12" s="2"/>
      <c r="D12" s="8">
        <v>3210.4</v>
      </c>
      <c r="E12" s="9">
        <f t="shared" si="0"/>
        <v>599.70000000000027</v>
      </c>
      <c r="F12" s="2"/>
      <c r="G12" s="8">
        <v>3266.5</v>
      </c>
      <c r="H12" s="9">
        <f t="shared" si="1"/>
        <v>681</v>
      </c>
      <c r="I12" s="2"/>
      <c r="J12" s="9">
        <v>3328.4</v>
      </c>
      <c r="K12" s="9">
        <f t="shared" si="2"/>
        <v>622.09999999999991</v>
      </c>
    </row>
    <row r="13" spans="1:11">
      <c r="A13" s="2"/>
      <c r="B13" s="8">
        <v>0</v>
      </c>
      <c r="C13" s="2"/>
      <c r="D13" s="8">
        <v>2610.6999999999998</v>
      </c>
      <c r="E13" s="9">
        <f t="shared" si="0"/>
        <v>0</v>
      </c>
      <c r="F13" s="2"/>
      <c r="G13" s="8">
        <v>2585.5</v>
      </c>
      <c r="H13" s="9">
        <f t="shared" si="1"/>
        <v>0</v>
      </c>
      <c r="I13" s="2"/>
      <c r="J13" s="9">
        <v>2706.3</v>
      </c>
      <c r="K13" s="9">
        <f t="shared" si="2"/>
        <v>0</v>
      </c>
    </row>
    <row r="14" spans="1:11">
      <c r="F14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/>
  </sheetViews>
  <sheetFormatPr baseColWidth="10" defaultRowHeight="15" x14ac:dyDescent="0"/>
  <cols>
    <col min="1" max="1" width="23.6640625" customWidth="1"/>
    <col min="2" max="2" width="13.33203125" customWidth="1"/>
  </cols>
  <sheetData>
    <row r="1" spans="1:5">
      <c r="A1" s="11" t="s">
        <v>250</v>
      </c>
      <c r="B1" s="2"/>
      <c r="C1" s="2"/>
      <c r="D1" s="2"/>
      <c r="E1" s="2"/>
    </row>
    <row r="2" spans="1:5">
      <c r="A2" s="12"/>
      <c r="B2" s="2"/>
      <c r="C2" s="2"/>
      <c r="D2" s="2"/>
      <c r="E2" s="2"/>
    </row>
    <row r="3" spans="1:5">
      <c r="A3" s="3" t="s">
        <v>8</v>
      </c>
      <c r="B3" s="21" t="s">
        <v>9</v>
      </c>
      <c r="C3" s="13" t="s">
        <v>10</v>
      </c>
      <c r="D3" s="14" t="s">
        <v>11</v>
      </c>
      <c r="E3" s="15"/>
    </row>
    <row r="4" spans="1:5">
      <c r="A4" s="16" t="s">
        <v>253</v>
      </c>
      <c r="B4" s="22">
        <v>791320</v>
      </c>
      <c r="C4" s="17">
        <v>4.0000000000000001E-3</v>
      </c>
      <c r="D4" s="18" t="s">
        <v>12</v>
      </c>
      <c r="E4" s="2"/>
    </row>
    <row r="5" spans="1:5">
      <c r="A5" s="2" t="s">
        <v>13</v>
      </c>
      <c r="B5" s="22">
        <v>10428183</v>
      </c>
      <c r="C5" s="17">
        <v>4.1000000000000002E-2</v>
      </c>
      <c r="D5" s="18" t="s">
        <v>12</v>
      </c>
      <c r="E5" s="2"/>
    </row>
    <row r="6" spans="1:5">
      <c r="A6" s="2" t="s">
        <v>14</v>
      </c>
      <c r="B6" s="22">
        <v>15065449</v>
      </c>
      <c r="C6" s="17">
        <v>7.0999999999999994E-2</v>
      </c>
      <c r="D6" s="18" t="s">
        <v>12</v>
      </c>
      <c r="E6" s="2"/>
    </row>
    <row r="7" spans="1:5">
      <c r="A7" s="2" t="s">
        <v>15</v>
      </c>
      <c r="B7" s="22">
        <v>135446150</v>
      </c>
      <c r="C7" s="17">
        <v>0.52700000000000002</v>
      </c>
      <c r="D7" s="18" t="s">
        <v>12</v>
      </c>
      <c r="E7" s="2"/>
    </row>
    <row r="8" spans="1:5">
      <c r="A8" s="2" t="s">
        <v>16</v>
      </c>
      <c r="B8" s="22">
        <v>260942754</v>
      </c>
      <c r="C8" s="17">
        <v>0.99</v>
      </c>
      <c r="D8" s="18" t="s">
        <v>12</v>
      </c>
      <c r="E8" s="2"/>
    </row>
    <row r="9" spans="1:5">
      <c r="A9" s="2" t="s">
        <v>17</v>
      </c>
      <c r="B9" s="22">
        <v>313312548</v>
      </c>
      <c r="C9" s="17">
        <v>1.651</v>
      </c>
      <c r="D9" s="19">
        <f t="shared" ref="D9:D32" si="0">C9*10</f>
        <v>16.510000000000002</v>
      </c>
      <c r="E9" s="2"/>
    </row>
    <row r="10" spans="1:5">
      <c r="A10" s="2" t="s">
        <v>18</v>
      </c>
      <c r="B10" s="22">
        <v>152837239</v>
      </c>
      <c r="C10" s="17">
        <v>0.73099999999999998</v>
      </c>
      <c r="D10" s="19">
        <f t="shared" si="0"/>
        <v>7.31</v>
      </c>
      <c r="E10" s="2"/>
    </row>
    <row r="11" spans="1:5">
      <c r="A11" s="16" t="s">
        <v>19</v>
      </c>
      <c r="B11" s="23">
        <v>509203766</v>
      </c>
      <c r="C11" s="20">
        <v>2.3570000000000002</v>
      </c>
      <c r="D11" s="19">
        <f t="shared" si="0"/>
        <v>23.57</v>
      </c>
      <c r="E11" s="2"/>
    </row>
    <row r="12" spans="1:5">
      <c r="A12" s="16" t="s">
        <v>20</v>
      </c>
      <c r="B12" s="23">
        <v>309656822</v>
      </c>
      <c r="C12" s="20">
        <v>1.4430000000000001</v>
      </c>
      <c r="D12" s="19">
        <f t="shared" si="0"/>
        <v>14.43</v>
      </c>
      <c r="E12" s="2"/>
    </row>
    <row r="13" spans="1:5">
      <c r="A13" s="16" t="s">
        <v>21</v>
      </c>
      <c r="B13" s="23">
        <v>94727854</v>
      </c>
      <c r="C13" s="20">
        <v>0.46400000000000002</v>
      </c>
      <c r="D13" s="19">
        <f t="shared" si="0"/>
        <v>4.6400000000000006</v>
      </c>
      <c r="E13" s="2"/>
    </row>
    <row r="14" spans="1:5">
      <c r="A14" s="16" t="s">
        <v>22</v>
      </c>
      <c r="B14" s="23">
        <v>177705752</v>
      </c>
      <c r="C14" s="20">
        <v>0.90600000000000003</v>
      </c>
      <c r="D14" s="19">
        <f t="shared" si="0"/>
        <v>9.06</v>
      </c>
      <c r="E14" s="2"/>
    </row>
    <row r="15" spans="1:5">
      <c r="A15" s="16" t="s">
        <v>23</v>
      </c>
      <c r="B15" s="23">
        <v>77346029</v>
      </c>
      <c r="C15" s="20">
        <v>0.439</v>
      </c>
      <c r="D15" s="19">
        <f t="shared" si="0"/>
        <v>4.3899999999999997</v>
      </c>
      <c r="E15" s="2"/>
    </row>
    <row r="16" spans="1:5">
      <c r="A16" s="16" t="s">
        <v>24</v>
      </c>
      <c r="B16" s="23">
        <v>71696629</v>
      </c>
      <c r="C16" s="20">
        <v>0.371</v>
      </c>
      <c r="D16" s="19">
        <f t="shared" si="0"/>
        <v>3.71</v>
      </c>
      <c r="E16" s="2"/>
    </row>
    <row r="17" spans="1:5">
      <c r="A17" s="16" t="s">
        <v>25</v>
      </c>
      <c r="B17" s="23">
        <v>290001635</v>
      </c>
      <c r="C17" s="20">
        <v>1.508</v>
      </c>
      <c r="D17" s="19">
        <f t="shared" si="0"/>
        <v>15.08</v>
      </c>
      <c r="E17" s="2"/>
    </row>
    <row r="18" spans="1:5">
      <c r="A18" s="16" t="s">
        <v>26</v>
      </c>
      <c r="B18" s="23">
        <v>148582779</v>
      </c>
      <c r="C18" s="20">
        <v>0.82099999999999995</v>
      </c>
      <c r="D18" s="19">
        <f t="shared" si="0"/>
        <v>8.2099999999999991</v>
      </c>
      <c r="E18" s="2"/>
    </row>
    <row r="19" spans="1:5">
      <c r="A19" s="16" t="s">
        <v>27</v>
      </c>
      <c r="B19" s="23">
        <v>523768454</v>
      </c>
      <c r="C19" s="20">
        <v>3.1280000000000001</v>
      </c>
      <c r="D19" s="19">
        <f t="shared" si="0"/>
        <v>31.28</v>
      </c>
      <c r="E19" s="2"/>
    </row>
    <row r="20" spans="1:5">
      <c r="A20" s="2" t="s">
        <v>28</v>
      </c>
      <c r="B20" s="22">
        <v>299162041</v>
      </c>
      <c r="C20" s="17">
        <v>1.6040000000000001</v>
      </c>
      <c r="D20" s="19">
        <f t="shared" si="0"/>
        <v>16.04</v>
      </c>
      <c r="E20" s="2"/>
    </row>
    <row r="21" spans="1:5">
      <c r="A21" s="2" t="s">
        <v>21</v>
      </c>
      <c r="B21" s="22">
        <v>84068436</v>
      </c>
      <c r="C21" s="17">
        <v>0.434</v>
      </c>
      <c r="D21" s="19">
        <f t="shared" si="0"/>
        <v>4.34</v>
      </c>
      <c r="E21" s="2"/>
    </row>
    <row r="22" spans="1:5">
      <c r="A22" s="2" t="s">
        <v>29</v>
      </c>
      <c r="B22" s="22">
        <v>136232999</v>
      </c>
      <c r="C22" s="17">
        <v>0.81699999999999995</v>
      </c>
      <c r="D22" s="19">
        <f t="shared" si="0"/>
        <v>8.17</v>
      </c>
      <c r="E22" s="2"/>
    </row>
    <row r="23" spans="1:5">
      <c r="A23" s="2" t="s">
        <v>30</v>
      </c>
      <c r="B23" s="22">
        <v>59827563</v>
      </c>
      <c r="C23" s="17">
        <v>0.35499999999999998</v>
      </c>
      <c r="D23" s="19">
        <f t="shared" si="0"/>
        <v>3.55</v>
      </c>
      <c r="E23" s="2"/>
    </row>
    <row r="24" spans="1:5">
      <c r="A24" s="2" t="s">
        <v>31</v>
      </c>
      <c r="B24" s="22">
        <v>53973340</v>
      </c>
      <c r="C24" s="17">
        <v>0.31900000000000001</v>
      </c>
      <c r="D24" s="19">
        <f t="shared" si="0"/>
        <v>3.19</v>
      </c>
      <c r="E24" s="2"/>
    </row>
    <row r="25" spans="1:5">
      <c r="A25" s="2" t="s">
        <v>32</v>
      </c>
      <c r="B25" s="22">
        <v>258425874</v>
      </c>
      <c r="C25" s="17">
        <v>1.6080000000000001</v>
      </c>
      <c r="D25" s="19">
        <f t="shared" si="0"/>
        <v>16.080000000000002</v>
      </c>
      <c r="E25" s="2"/>
    </row>
    <row r="26" spans="1:5">
      <c r="A26" s="2" t="s">
        <v>33</v>
      </c>
      <c r="B26" s="22">
        <v>128916442</v>
      </c>
      <c r="C26" s="17">
        <v>0.84899999999999998</v>
      </c>
      <c r="D26" s="19">
        <f t="shared" si="0"/>
        <v>8.49</v>
      </c>
      <c r="E26" s="2"/>
    </row>
    <row r="27" spans="1:5">
      <c r="A27" s="2" t="s">
        <v>27</v>
      </c>
      <c r="B27" s="22">
        <v>461792323</v>
      </c>
      <c r="C27" s="17">
        <v>2.863</v>
      </c>
      <c r="D27" s="19">
        <f t="shared" si="0"/>
        <v>28.63</v>
      </c>
      <c r="E27" s="2"/>
    </row>
    <row r="28" spans="1:5">
      <c r="A28" s="2" t="s">
        <v>34</v>
      </c>
      <c r="B28" s="22">
        <v>254029956</v>
      </c>
      <c r="C28" s="17">
        <v>1.706</v>
      </c>
      <c r="D28" s="19">
        <f t="shared" si="0"/>
        <v>17.059999999999999</v>
      </c>
      <c r="E28" s="2"/>
    </row>
    <row r="29" spans="1:5">
      <c r="A29" s="2" t="s">
        <v>21</v>
      </c>
      <c r="B29" s="22">
        <v>74842576</v>
      </c>
      <c r="C29" s="17">
        <v>0.57999999999999996</v>
      </c>
      <c r="D29" s="19">
        <f t="shared" si="0"/>
        <v>5.8</v>
      </c>
      <c r="E29" s="2"/>
    </row>
    <row r="30" spans="1:5">
      <c r="A30" s="2" t="s">
        <v>35</v>
      </c>
      <c r="B30" s="22">
        <v>119933507</v>
      </c>
      <c r="C30" s="17">
        <v>0.80400000000000005</v>
      </c>
      <c r="D30" s="19">
        <f t="shared" si="0"/>
        <v>8.0400000000000009</v>
      </c>
      <c r="E30" s="2"/>
    </row>
    <row r="31" spans="1:5">
      <c r="A31" s="10" t="s">
        <v>36</v>
      </c>
      <c r="B31" s="22">
        <v>49168864</v>
      </c>
      <c r="C31" s="17">
        <v>0.33</v>
      </c>
      <c r="D31" s="19">
        <f t="shared" si="0"/>
        <v>3.3000000000000003</v>
      </c>
      <c r="E31" s="2"/>
    </row>
    <row r="32" spans="1:5">
      <c r="A32" s="2" t="s">
        <v>37</v>
      </c>
      <c r="B32" s="22">
        <v>49622308</v>
      </c>
      <c r="C32" s="17">
        <v>0.376</v>
      </c>
      <c r="D32" s="19">
        <f t="shared" si="0"/>
        <v>3.76</v>
      </c>
      <c r="E32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/>
  </sheetViews>
  <sheetFormatPr baseColWidth="10" defaultRowHeight="15" x14ac:dyDescent="0"/>
  <sheetData>
    <row r="1" spans="1:12">
      <c r="A1" s="114" t="s">
        <v>251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14"/>
      <c r="B2" s="2"/>
      <c r="C2" s="2"/>
      <c r="D2" s="2"/>
      <c r="E2" s="2"/>
      <c r="F2" s="2"/>
      <c r="G2" s="5"/>
      <c r="H2" s="2"/>
      <c r="I2" s="2"/>
      <c r="J2" s="2"/>
      <c r="K2" s="2"/>
      <c r="L2" s="2"/>
    </row>
    <row r="3" spans="1:12">
      <c r="A3" s="24" t="s">
        <v>38</v>
      </c>
      <c r="B3" s="25"/>
      <c r="C3" s="26"/>
      <c r="D3" s="26"/>
      <c r="E3" s="26"/>
      <c r="F3" s="26"/>
      <c r="G3" s="27" t="s">
        <v>39</v>
      </c>
      <c r="H3" s="27" t="s">
        <v>40</v>
      </c>
      <c r="I3" s="26"/>
      <c r="J3" s="26"/>
      <c r="K3" s="26"/>
      <c r="L3" s="26"/>
    </row>
    <row r="4" spans="1:12">
      <c r="A4" s="2"/>
      <c r="B4" s="25" t="s">
        <v>41</v>
      </c>
      <c r="C4" s="25" t="s">
        <v>42</v>
      </c>
      <c r="D4" s="25" t="s">
        <v>43</v>
      </c>
      <c r="E4" s="27" t="s">
        <v>44</v>
      </c>
      <c r="F4" s="25" t="s">
        <v>45</v>
      </c>
      <c r="G4" s="27">
        <v>182.0487</v>
      </c>
      <c r="H4" s="27">
        <v>330.17</v>
      </c>
      <c r="I4" s="28" t="s">
        <v>46</v>
      </c>
      <c r="J4" s="28" t="s">
        <v>47</v>
      </c>
      <c r="K4" s="28" t="s">
        <v>48</v>
      </c>
      <c r="L4" s="28" t="s">
        <v>49</v>
      </c>
    </row>
    <row r="5" spans="1:12">
      <c r="A5" s="2"/>
      <c r="B5" s="29" t="s">
        <v>50</v>
      </c>
      <c r="C5" s="29" t="s">
        <v>51</v>
      </c>
      <c r="D5" s="30" t="s">
        <v>52</v>
      </c>
      <c r="E5" s="31">
        <v>2</v>
      </c>
      <c r="F5" s="30" t="s">
        <v>53</v>
      </c>
      <c r="G5" s="32">
        <v>11331075</v>
      </c>
      <c r="H5" s="32">
        <v>160159</v>
      </c>
      <c r="I5" s="26">
        <f t="shared" ref="I5:I13" si="0">(H5/G5)*E5</f>
        <v>2.8268985952347857E-2</v>
      </c>
      <c r="J5" s="26">
        <f t="shared" ref="J5:J13" si="1">(I5-0.0035)/0.0173</f>
        <v>1.4317332920432289</v>
      </c>
      <c r="K5" s="26">
        <f>AVERAGE(J5:J7)</f>
        <v>1.4279057920631424</v>
      </c>
      <c r="L5" s="26">
        <f>STDEV(J5:J7)</f>
        <v>6.6197308919467741E-3</v>
      </c>
    </row>
    <row r="6" spans="1:12">
      <c r="A6" s="2"/>
      <c r="B6" s="2"/>
      <c r="C6" s="26"/>
      <c r="D6" s="30"/>
      <c r="E6" s="26">
        <v>2</v>
      </c>
      <c r="F6" s="30" t="s">
        <v>54</v>
      </c>
      <c r="G6" s="32">
        <v>13486456</v>
      </c>
      <c r="H6" s="32">
        <v>189286</v>
      </c>
      <c r="I6" s="26">
        <f t="shared" si="0"/>
        <v>2.8070532391904886E-2</v>
      </c>
      <c r="J6" s="26">
        <f t="shared" si="1"/>
        <v>1.4202619879713807</v>
      </c>
      <c r="K6" s="26"/>
      <c r="L6" s="26"/>
    </row>
    <row r="7" spans="1:12">
      <c r="A7" s="2"/>
      <c r="B7" s="2"/>
      <c r="C7" s="26"/>
      <c r="D7" s="33"/>
      <c r="E7" s="31">
        <v>2</v>
      </c>
      <c r="F7" s="30" t="s">
        <v>55</v>
      </c>
      <c r="G7" s="32">
        <v>13253060</v>
      </c>
      <c r="H7" s="32">
        <v>187324</v>
      </c>
      <c r="I7" s="26">
        <f t="shared" si="0"/>
        <v>2.8268792263824356E-2</v>
      </c>
      <c r="J7" s="26">
        <f t="shared" si="1"/>
        <v>1.4317220961748183</v>
      </c>
      <c r="K7" s="26"/>
      <c r="L7" s="26"/>
    </row>
    <row r="8" spans="1:12">
      <c r="A8" s="2"/>
      <c r="B8" s="34" t="s">
        <v>56</v>
      </c>
      <c r="C8" s="34" t="s">
        <v>51</v>
      </c>
      <c r="D8" s="35" t="s">
        <v>57</v>
      </c>
      <c r="E8" s="31">
        <v>2</v>
      </c>
      <c r="F8" s="35" t="s">
        <v>58</v>
      </c>
      <c r="G8" s="36">
        <v>15587041</v>
      </c>
      <c r="H8" s="36">
        <v>35002</v>
      </c>
      <c r="I8" s="26">
        <f t="shared" si="0"/>
        <v>4.4911667326723529E-3</v>
      </c>
      <c r="J8" s="31">
        <f t="shared" si="1"/>
        <v>5.7292874720945255E-2</v>
      </c>
      <c r="K8" s="26">
        <f>AVERAGE(J8:J10)</f>
        <v>0.11373021735670184</v>
      </c>
      <c r="L8" s="26">
        <f>STDEV(J8:J10)</f>
        <v>6.1365336915128604E-2</v>
      </c>
    </row>
    <row r="9" spans="1:12">
      <c r="A9" s="2"/>
      <c r="B9" s="2"/>
      <c r="C9" s="26"/>
      <c r="D9" s="33"/>
      <c r="E9" s="26">
        <v>2</v>
      </c>
      <c r="F9" s="35" t="s">
        <v>59</v>
      </c>
      <c r="G9" s="32">
        <v>13097998</v>
      </c>
      <c r="H9" s="36">
        <v>34800</v>
      </c>
      <c r="I9" s="26">
        <f t="shared" si="0"/>
        <v>5.3137891760252215E-3</v>
      </c>
      <c r="J9" s="26">
        <f t="shared" si="1"/>
        <v>0.10484330497255616</v>
      </c>
      <c r="K9" s="26"/>
      <c r="L9" s="26"/>
    </row>
    <row r="10" spans="1:12">
      <c r="A10" s="2"/>
      <c r="B10" s="2"/>
      <c r="C10" s="26"/>
      <c r="D10" s="33"/>
      <c r="E10" s="31">
        <v>2</v>
      </c>
      <c r="F10" s="35" t="s">
        <v>60</v>
      </c>
      <c r="G10" s="32">
        <v>12358354</v>
      </c>
      <c r="H10" s="36">
        <v>40768</v>
      </c>
      <c r="I10" s="26">
        <f t="shared" si="0"/>
        <v>6.5976423721152509E-3</v>
      </c>
      <c r="J10" s="26">
        <f t="shared" si="1"/>
        <v>0.1790544723766041</v>
      </c>
      <c r="K10" s="26"/>
      <c r="L10" s="26"/>
    </row>
    <row r="11" spans="1:12">
      <c r="A11" s="2"/>
      <c r="B11" s="37" t="s">
        <v>61</v>
      </c>
      <c r="C11" s="37" t="s">
        <v>51</v>
      </c>
      <c r="D11" s="38" t="s">
        <v>62</v>
      </c>
      <c r="E11" s="39">
        <v>1.05</v>
      </c>
      <c r="F11" s="38" t="s">
        <v>63</v>
      </c>
      <c r="G11" s="32">
        <v>15854936</v>
      </c>
      <c r="H11" s="32">
        <v>458370</v>
      </c>
      <c r="I11" s="26">
        <f t="shared" si="0"/>
        <v>3.035575167253908E-2</v>
      </c>
      <c r="J11" s="26">
        <f t="shared" si="1"/>
        <v>1.5523555880080393</v>
      </c>
      <c r="K11" s="26">
        <f>AVERAGE(J11:J13)</f>
        <v>1.5087826150159909</v>
      </c>
      <c r="L11" s="26">
        <f>STDEV(J11:J13)</f>
        <v>0.26423630483981564</v>
      </c>
    </row>
    <row r="12" spans="1:12">
      <c r="A12" s="2"/>
      <c r="B12" s="16"/>
      <c r="C12" s="26"/>
      <c r="D12" s="33"/>
      <c r="E12" s="31">
        <v>2</v>
      </c>
      <c r="F12" s="38" t="s">
        <v>64</v>
      </c>
      <c r="G12" s="32">
        <v>12888918</v>
      </c>
      <c r="H12" s="32">
        <v>159182</v>
      </c>
      <c r="I12" s="26">
        <f t="shared" si="0"/>
        <v>2.470059938312898E-2</v>
      </c>
      <c r="J12" s="26">
        <f t="shared" si="1"/>
        <v>1.2254681724352012</v>
      </c>
      <c r="K12" s="26"/>
      <c r="L12" s="26"/>
    </row>
    <row r="13" spans="1:12">
      <c r="A13" s="2"/>
      <c r="B13" s="40"/>
      <c r="C13" s="26"/>
      <c r="D13" s="41"/>
      <c r="E13" s="26">
        <v>2</v>
      </c>
      <c r="F13" s="42" t="s">
        <v>65</v>
      </c>
      <c r="G13" s="32">
        <v>15841317</v>
      </c>
      <c r="H13" s="32">
        <v>267318</v>
      </c>
      <c r="I13" s="26">
        <f t="shared" si="0"/>
        <v>3.3749466663661867E-2</v>
      </c>
      <c r="J13" s="26">
        <f t="shared" si="1"/>
        <v>1.7485240846047323</v>
      </c>
      <c r="K13" s="26"/>
      <c r="L13" s="26"/>
    </row>
    <row r="14" spans="1:12">
      <c r="A14" s="43"/>
      <c r="B14" s="43"/>
      <c r="C14" s="43"/>
      <c r="D14" s="43"/>
      <c r="E14" s="43"/>
      <c r="F14" s="43"/>
      <c r="G14" s="43"/>
      <c r="H14" s="44"/>
      <c r="I14" s="43"/>
      <c r="J14" s="43"/>
      <c r="K14" s="43"/>
      <c r="L14" s="43"/>
    </row>
    <row r="15" spans="1:12">
      <c r="A15" s="43"/>
      <c r="B15" s="43"/>
      <c r="C15" s="43"/>
      <c r="D15" s="43"/>
      <c r="E15" s="43"/>
      <c r="F15" s="43"/>
      <c r="G15" s="43"/>
      <c r="H15" s="44"/>
      <c r="I15" s="43"/>
      <c r="J15" s="43"/>
      <c r="K15" s="43"/>
      <c r="L15" s="43"/>
    </row>
    <row r="16" spans="1:12">
      <c r="A16" s="43"/>
      <c r="B16" s="43"/>
      <c r="C16" s="43"/>
      <c r="D16" s="43"/>
      <c r="E16" s="43"/>
      <c r="F16" s="43"/>
      <c r="G16" s="43"/>
      <c r="H16" s="44"/>
      <c r="I16" s="43"/>
      <c r="J16" s="43"/>
      <c r="K16" s="43"/>
      <c r="L16" s="43"/>
    </row>
    <row r="17" spans="1:12">
      <c r="A17" s="24" t="s">
        <v>66</v>
      </c>
      <c r="B17" s="26"/>
      <c r="C17" s="26"/>
      <c r="D17" s="26"/>
      <c r="E17" s="26"/>
      <c r="F17" s="26"/>
      <c r="G17" s="45" t="s">
        <v>39</v>
      </c>
      <c r="H17" s="27" t="s">
        <v>40</v>
      </c>
      <c r="I17" s="26"/>
      <c r="J17" s="26"/>
      <c r="K17" s="26"/>
      <c r="L17" s="26"/>
    </row>
    <row r="18" spans="1:12">
      <c r="A18" s="2"/>
      <c r="B18" s="25" t="s">
        <v>41</v>
      </c>
      <c r="C18" s="25" t="s">
        <v>42</v>
      </c>
      <c r="D18" s="25" t="s">
        <v>43</v>
      </c>
      <c r="E18" s="27" t="s">
        <v>44</v>
      </c>
      <c r="F18" s="25" t="s">
        <v>45</v>
      </c>
      <c r="G18" s="27">
        <v>182.0487</v>
      </c>
      <c r="H18" s="27">
        <v>330.17</v>
      </c>
      <c r="I18" s="28" t="s">
        <v>46</v>
      </c>
      <c r="J18" s="28" t="s">
        <v>47</v>
      </c>
      <c r="K18" s="28" t="s">
        <v>48</v>
      </c>
      <c r="L18" s="28" t="s">
        <v>49</v>
      </c>
    </row>
    <row r="19" spans="1:12">
      <c r="A19" s="2"/>
      <c r="B19" s="29" t="s">
        <v>50</v>
      </c>
      <c r="C19" s="29" t="s">
        <v>67</v>
      </c>
      <c r="D19" s="30" t="s">
        <v>57</v>
      </c>
      <c r="E19" s="26">
        <v>1.05</v>
      </c>
      <c r="F19" s="30" t="s">
        <v>68</v>
      </c>
      <c r="G19" s="32">
        <v>11286956</v>
      </c>
      <c r="H19" s="32">
        <v>328004</v>
      </c>
      <c r="I19" s="26">
        <f t="shared" ref="I19:I27" si="2">(H19/G19)*E19</f>
        <v>3.0513470593843017E-2</v>
      </c>
      <c r="J19" s="26">
        <f t="shared" ref="J19:J27" si="3">(I19-0.0035)/0.0173</f>
        <v>1.5614722886614461</v>
      </c>
      <c r="K19" s="26">
        <f>AVERAGE(J19:J21)</f>
        <v>1.5577861854770116</v>
      </c>
      <c r="L19" s="26">
        <f>STDEV(J19:J21)</f>
        <v>3.2445683649650885E-2</v>
      </c>
    </row>
    <row r="20" spans="1:12">
      <c r="A20" s="2"/>
      <c r="B20" s="2"/>
      <c r="C20" s="26"/>
      <c r="D20" s="30" t="s">
        <v>62</v>
      </c>
      <c r="E20" s="26">
        <v>1.05</v>
      </c>
      <c r="F20" s="30" t="s">
        <v>69</v>
      </c>
      <c r="G20" s="32">
        <v>14550629</v>
      </c>
      <c r="H20" s="32">
        <v>429263</v>
      </c>
      <c r="I20" s="26">
        <f t="shared" si="2"/>
        <v>3.0976403150681668E-2</v>
      </c>
      <c r="J20" s="26">
        <f t="shared" si="3"/>
        <v>1.58823139599316</v>
      </c>
      <c r="K20" s="26"/>
      <c r="L20" s="26"/>
    </row>
    <row r="21" spans="1:12">
      <c r="A21" s="2"/>
      <c r="B21" s="2"/>
      <c r="C21" s="26"/>
      <c r="D21" s="30"/>
      <c r="E21" s="26">
        <v>1.05</v>
      </c>
      <c r="F21" s="30" t="s">
        <v>70</v>
      </c>
      <c r="G21" s="32">
        <v>11132784</v>
      </c>
      <c r="H21" s="32">
        <v>316587</v>
      </c>
      <c r="I21" s="26">
        <f t="shared" si="2"/>
        <v>2.9859229281732225E-2</v>
      </c>
      <c r="J21" s="26">
        <f t="shared" si="3"/>
        <v>1.5236548717764293</v>
      </c>
      <c r="K21" s="26"/>
      <c r="L21" s="26"/>
    </row>
    <row r="22" spans="1:12">
      <c r="A22" s="2"/>
      <c r="B22" s="34" t="s">
        <v>56</v>
      </c>
      <c r="C22" s="34" t="s">
        <v>67</v>
      </c>
      <c r="D22" s="35" t="s">
        <v>57</v>
      </c>
      <c r="E22" s="26">
        <v>1.05</v>
      </c>
      <c r="F22" s="35" t="s">
        <v>71</v>
      </c>
      <c r="G22" s="32">
        <v>12670253</v>
      </c>
      <c r="H22" s="32">
        <v>232447</v>
      </c>
      <c r="I22" s="26">
        <f t="shared" si="2"/>
        <v>1.9263178880484868E-2</v>
      </c>
      <c r="J22" s="26">
        <f t="shared" si="3"/>
        <v>0.91116640927658199</v>
      </c>
      <c r="K22" s="26">
        <f>AVERAGE(J22:J24)</f>
        <v>1.0684510631707029</v>
      </c>
      <c r="L22" s="26">
        <f>STDEV(J22:J24)</f>
        <v>0.14271568665920911</v>
      </c>
    </row>
    <row r="23" spans="1:12">
      <c r="A23" s="2"/>
      <c r="B23" s="2"/>
      <c r="C23" s="26"/>
      <c r="D23" s="33"/>
      <c r="E23" s="26">
        <v>1.05</v>
      </c>
      <c r="F23" s="35" t="s">
        <v>72</v>
      </c>
      <c r="G23" s="32">
        <v>9479356</v>
      </c>
      <c r="H23" s="32">
        <v>217407</v>
      </c>
      <c r="I23" s="26">
        <f t="shared" si="2"/>
        <v>2.4081525158460133E-2</v>
      </c>
      <c r="J23" s="26">
        <f t="shared" si="3"/>
        <v>1.1896835351711061</v>
      </c>
      <c r="K23" s="26"/>
      <c r="L23" s="26"/>
    </row>
    <row r="24" spans="1:12">
      <c r="A24" s="2"/>
      <c r="B24" s="2"/>
      <c r="C24" s="26"/>
      <c r="D24" s="33"/>
      <c r="E24" s="26">
        <v>1.05</v>
      </c>
      <c r="F24" s="35" t="s">
        <v>73</v>
      </c>
      <c r="G24" s="32">
        <v>11214955</v>
      </c>
      <c r="H24" s="32">
        <v>241473</v>
      </c>
      <c r="I24" s="26">
        <f t="shared" si="2"/>
        <v>2.260790613961447E-2</v>
      </c>
      <c r="J24" s="26">
        <f t="shared" si="3"/>
        <v>1.1045032450644203</v>
      </c>
      <c r="K24" s="26"/>
      <c r="L24" s="26"/>
    </row>
    <row r="25" spans="1:12">
      <c r="A25" s="2"/>
      <c r="B25" s="37" t="s">
        <v>61</v>
      </c>
      <c r="C25" s="37" t="s">
        <v>67</v>
      </c>
      <c r="D25" s="38" t="s">
        <v>62</v>
      </c>
      <c r="E25" s="46">
        <v>1.05</v>
      </c>
      <c r="F25" s="38" t="s">
        <v>74</v>
      </c>
      <c r="G25" s="32">
        <v>12535919</v>
      </c>
      <c r="H25" s="32">
        <v>190048</v>
      </c>
      <c r="I25" s="26">
        <f t="shared" si="2"/>
        <v>1.5918290473957274E-2</v>
      </c>
      <c r="J25" s="26">
        <f t="shared" si="3"/>
        <v>0.71782025861024712</v>
      </c>
      <c r="K25" s="26">
        <f>AVERAGE(J25,J26,J27)</f>
        <v>0.84591354308410194</v>
      </c>
      <c r="L25" s="26">
        <f>STDEV(J25:J27)</f>
        <v>0.1286781463900141</v>
      </c>
    </row>
    <row r="26" spans="1:12">
      <c r="A26" s="2"/>
      <c r="B26" s="2"/>
      <c r="C26" s="26"/>
      <c r="D26" s="33"/>
      <c r="E26" s="46">
        <v>1.05</v>
      </c>
      <c r="F26" s="38" t="s">
        <v>75</v>
      </c>
      <c r="G26" s="32">
        <v>9597638</v>
      </c>
      <c r="H26" s="32">
        <v>186198</v>
      </c>
      <c r="I26" s="26">
        <f t="shared" si="2"/>
        <v>2.0370418221649953E-2</v>
      </c>
      <c r="J26" s="26">
        <f t="shared" si="3"/>
        <v>0.97516868333236728</v>
      </c>
      <c r="K26" s="26"/>
      <c r="L26" s="26"/>
    </row>
    <row r="27" spans="1:12">
      <c r="A27" s="2"/>
      <c r="B27" s="2"/>
      <c r="C27" s="26"/>
      <c r="D27" s="33"/>
      <c r="E27" s="46">
        <v>1.05</v>
      </c>
      <c r="F27" s="38" t="s">
        <v>76</v>
      </c>
      <c r="G27" s="32">
        <v>11350932</v>
      </c>
      <c r="H27" s="32">
        <v>195822</v>
      </c>
      <c r="I27" s="26">
        <f t="shared" si="2"/>
        <v>1.8114204190457665E-2</v>
      </c>
      <c r="J27" s="26">
        <f t="shared" si="3"/>
        <v>0.84475168730969163</v>
      </c>
      <c r="K27" s="26"/>
      <c r="L27" s="26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4" t="s">
        <v>77</v>
      </c>
      <c r="B32" s="26"/>
      <c r="C32" s="26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6"/>
      <c r="C33" s="26"/>
      <c r="D33" s="28" t="s">
        <v>39</v>
      </c>
      <c r="E33" s="27" t="s">
        <v>40</v>
      </c>
      <c r="F33" s="26"/>
      <c r="G33" s="26"/>
      <c r="H33" s="2"/>
      <c r="I33" s="2"/>
      <c r="J33" s="2"/>
      <c r="K33" s="2"/>
      <c r="L33" s="2"/>
    </row>
    <row r="34" spans="1:12">
      <c r="A34" s="2"/>
      <c r="B34" s="26"/>
      <c r="C34" s="27" t="s">
        <v>78</v>
      </c>
      <c r="D34" s="25">
        <v>182.0487</v>
      </c>
      <c r="E34" s="25">
        <v>330.17</v>
      </c>
      <c r="F34" s="28" t="s">
        <v>79</v>
      </c>
      <c r="G34" s="28" t="s">
        <v>80</v>
      </c>
      <c r="H34" s="2"/>
      <c r="I34" s="2"/>
      <c r="J34" s="2"/>
      <c r="K34" s="2"/>
      <c r="L34" s="2"/>
    </row>
    <row r="35" spans="1:12">
      <c r="A35" s="2"/>
      <c r="B35" s="36">
        <v>1</v>
      </c>
      <c r="C35" s="47">
        <v>0.1</v>
      </c>
      <c r="D35" s="26">
        <v>15433925</v>
      </c>
      <c r="E35" s="26">
        <v>27848</v>
      </c>
      <c r="F35" s="26">
        <f t="shared" ref="F35:F46" si="4">+E35/D35</f>
        <v>1.8043368747742393E-3</v>
      </c>
      <c r="G35" s="26">
        <f>AVERAGE(F35:F36)</f>
        <v>2.1288134496535698E-3</v>
      </c>
      <c r="H35" s="2"/>
      <c r="I35" s="2"/>
      <c r="J35" s="2"/>
      <c r="K35" s="2"/>
      <c r="L35" s="2"/>
    </row>
    <row r="36" spans="1:12">
      <c r="A36" s="2"/>
      <c r="B36" s="36" t="s">
        <v>81</v>
      </c>
      <c r="C36" s="47">
        <v>0.1</v>
      </c>
      <c r="D36" s="26">
        <v>15841584</v>
      </c>
      <c r="E36" s="32">
        <v>38864</v>
      </c>
      <c r="F36" s="26">
        <f t="shared" si="4"/>
        <v>2.4532900245329003E-3</v>
      </c>
      <c r="G36" s="26"/>
      <c r="H36" s="2"/>
      <c r="I36" s="2"/>
      <c r="J36" s="2"/>
      <c r="K36" s="2"/>
      <c r="L36" s="2"/>
    </row>
    <row r="37" spans="1:12">
      <c r="A37" s="2"/>
      <c r="B37" s="32">
        <v>2</v>
      </c>
      <c r="C37" s="47">
        <v>0.2</v>
      </c>
      <c r="D37" s="26">
        <v>15120652</v>
      </c>
      <c r="E37" s="31">
        <v>49668</v>
      </c>
      <c r="F37" s="26">
        <f t="shared" si="4"/>
        <v>3.2847789896890689E-3</v>
      </c>
      <c r="G37" s="26">
        <f>AVERAGE(F37:F38)</f>
        <v>4.0545784332352598E-3</v>
      </c>
      <c r="H37" s="2"/>
      <c r="I37" s="2"/>
      <c r="J37" s="2"/>
      <c r="K37" s="2"/>
      <c r="L37" s="2"/>
    </row>
    <row r="38" spans="1:12">
      <c r="A38" s="2"/>
      <c r="B38" s="32" t="s">
        <v>82</v>
      </c>
      <c r="C38" s="47">
        <v>0.2</v>
      </c>
      <c r="D38" s="26">
        <v>15397633</v>
      </c>
      <c r="E38" s="31">
        <v>74284</v>
      </c>
      <c r="F38" s="26">
        <f t="shared" si="4"/>
        <v>4.8243778767814507E-3</v>
      </c>
      <c r="G38" s="26"/>
      <c r="H38" s="2"/>
      <c r="I38" s="2"/>
      <c r="J38" s="2"/>
      <c r="K38" s="2"/>
      <c r="L38" s="2"/>
    </row>
    <row r="39" spans="1:12">
      <c r="A39" s="2"/>
      <c r="B39" s="32">
        <v>3</v>
      </c>
      <c r="C39" s="47">
        <v>1</v>
      </c>
      <c r="D39" s="26">
        <v>15325315</v>
      </c>
      <c r="E39" s="26">
        <v>263505</v>
      </c>
      <c r="F39" s="26">
        <f t="shared" si="4"/>
        <v>1.7194100088644183E-2</v>
      </c>
      <c r="G39" s="26">
        <f>AVERAGE(F39:F40)</f>
        <v>2.0435404115705089E-2</v>
      </c>
      <c r="H39" s="2"/>
      <c r="I39" s="2"/>
      <c r="J39" s="2"/>
      <c r="K39" s="2"/>
      <c r="L39" s="2"/>
    </row>
    <row r="40" spans="1:12">
      <c r="A40" s="2"/>
      <c r="B40" s="32" t="s">
        <v>83</v>
      </c>
      <c r="C40" s="47">
        <v>1</v>
      </c>
      <c r="D40" s="48">
        <v>15912136</v>
      </c>
      <c r="E40" s="26">
        <v>376747</v>
      </c>
      <c r="F40" s="26">
        <f t="shared" si="4"/>
        <v>2.3676708142765998E-2</v>
      </c>
      <c r="G40" s="26"/>
      <c r="H40" s="2"/>
      <c r="I40" s="2"/>
      <c r="J40" s="2"/>
      <c r="K40" s="2"/>
      <c r="L40" s="2"/>
    </row>
    <row r="41" spans="1:12">
      <c r="A41" s="2"/>
      <c r="B41" s="32">
        <v>4</v>
      </c>
      <c r="C41" s="47">
        <v>2</v>
      </c>
      <c r="D41" s="26">
        <v>15020097</v>
      </c>
      <c r="E41" s="26">
        <v>509625</v>
      </c>
      <c r="F41" s="26">
        <f t="shared" si="4"/>
        <v>3.3929541200699305E-2</v>
      </c>
      <c r="G41" s="26">
        <f>AVERAGE(F41:F42)</f>
        <v>3.9051261381675945E-2</v>
      </c>
      <c r="H41" s="2"/>
      <c r="I41" s="2"/>
      <c r="J41" s="2"/>
      <c r="K41" s="2"/>
      <c r="L41" s="2"/>
    </row>
    <row r="42" spans="1:12">
      <c r="A42" s="2"/>
      <c r="B42" s="32" t="s">
        <v>84</v>
      </c>
      <c r="C42" s="47">
        <v>2</v>
      </c>
      <c r="D42" s="26">
        <v>15558583</v>
      </c>
      <c r="E42" s="26">
        <v>687269</v>
      </c>
      <c r="F42" s="26">
        <f t="shared" si="4"/>
        <v>4.4172981562652591E-2</v>
      </c>
      <c r="G42" s="26"/>
      <c r="H42" s="2"/>
      <c r="I42" s="2"/>
      <c r="J42" s="2"/>
      <c r="K42" s="2"/>
      <c r="L42" s="2"/>
    </row>
    <row r="43" spans="1:12">
      <c r="A43" s="2"/>
      <c r="B43" s="32">
        <v>5</v>
      </c>
      <c r="C43" s="47">
        <v>10</v>
      </c>
      <c r="D43" s="26">
        <v>15222563</v>
      </c>
      <c r="E43" s="31">
        <v>2604940</v>
      </c>
      <c r="F43" s="26">
        <f t="shared" si="4"/>
        <v>0.17112361433485282</v>
      </c>
      <c r="G43" s="26">
        <f>AVERAGE(F43:F44)</f>
        <v>0.18806418876895115</v>
      </c>
      <c r="H43" s="2"/>
      <c r="I43" s="2"/>
      <c r="J43" s="2"/>
      <c r="K43" s="2"/>
      <c r="L43" s="2"/>
    </row>
    <row r="44" spans="1:12">
      <c r="A44" s="2"/>
      <c r="B44" s="32" t="s">
        <v>85</v>
      </c>
      <c r="C44" s="47">
        <v>10</v>
      </c>
      <c r="D44" s="31">
        <v>15617642</v>
      </c>
      <c r="E44" s="26">
        <v>3201691</v>
      </c>
      <c r="F44" s="26">
        <f t="shared" si="4"/>
        <v>0.20500476320304947</v>
      </c>
      <c r="G44" s="32"/>
      <c r="H44" s="2"/>
      <c r="I44" s="2"/>
      <c r="J44" s="2"/>
      <c r="K44" s="2"/>
      <c r="L44" s="2"/>
    </row>
    <row r="45" spans="1:12">
      <c r="A45" s="2"/>
      <c r="B45" s="32">
        <v>6</v>
      </c>
      <c r="C45" s="47">
        <v>20</v>
      </c>
      <c r="D45" s="26">
        <v>14847330</v>
      </c>
      <c r="E45" s="26">
        <v>4850980</v>
      </c>
      <c r="F45" s="26">
        <f t="shared" si="4"/>
        <v>0.326724064192013</v>
      </c>
      <c r="G45" s="26">
        <f>AVERAGE(F45:F46)</f>
        <v>0.34434669840936272</v>
      </c>
      <c r="H45" s="2"/>
      <c r="I45" s="2"/>
      <c r="J45" s="2"/>
      <c r="K45" s="2"/>
      <c r="L45" s="2"/>
    </row>
    <row r="46" spans="1:12">
      <c r="A46" s="2"/>
      <c r="B46" s="32" t="s">
        <v>86</v>
      </c>
      <c r="C46" s="47">
        <v>20</v>
      </c>
      <c r="D46" s="26">
        <v>15516099</v>
      </c>
      <c r="E46" s="26">
        <v>5616352</v>
      </c>
      <c r="F46" s="26">
        <f t="shared" si="4"/>
        <v>0.36196933262671244</v>
      </c>
      <c r="G46" s="32"/>
      <c r="H46" s="2"/>
      <c r="I46" s="2"/>
      <c r="J46" s="2"/>
      <c r="K46" s="2"/>
      <c r="L46" s="2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opLeftCell="D1" workbookViewId="0">
      <selection activeCell="D1" sqref="D1"/>
    </sheetView>
  </sheetViews>
  <sheetFormatPr baseColWidth="10" defaultRowHeight="15" x14ac:dyDescent="0"/>
  <cols>
    <col min="2" max="2" width="22" customWidth="1"/>
    <col min="3" max="3" width="8.5" customWidth="1"/>
    <col min="4" max="4" width="13.1640625" customWidth="1"/>
    <col min="5" max="5" width="11.33203125" customWidth="1"/>
    <col min="7" max="7" width="11.33203125" customWidth="1"/>
  </cols>
  <sheetData>
    <row r="1" spans="1:19">
      <c r="A1" s="3" t="s">
        <v>252</v>
      </c>
      <c r="D1" s="180" t="s">
        <v>252</v>
      </c>
      <c r="F1" t="s">
        <v>242</v>
      </c>
    </row>
    <row r="2" spans="1:19">
      <c r="E2" s="58" t="s">
        <v>39</v>
      </c>
      <c r="F2" s="58" t="s">
        <v>243</v>
      </c>
    </row>
    <row r="3" spans="1:19">
      <c r="A3" s="3" t="s">
        <v>41</v>
      </c>
      <c r="B3" s="3" t="s">
        <v>43</v>
      </c>
      <c r="C3" s="49" t="s">
        <v>44</v>
      </c>
      <c r="D3" s="3" t="s">
        <v>45</v>
      </c>
      <c r="E3" s="49">
        <v>182.0487</v>
      </c>
      <c r="F3" s="49">
        <v>288.12299999999999</v>
      </c>
      <c r="G3" s="5" t="s">
        <v>244</v>
      </c>
      <c r="H3" s="5" t="s">
        <v>87</v>
      </c>
      <c r="I3" s="5" t="s">
        <v>88</v>
      </c>
      <c r="J3" s="49" t="s">
        <v>49</v>
      </c>
      <c r="K3" s="2"/>
      <c r="L3" s="2"/>
      <c r="M3" s="2"/>
      <c r="N3" s="2"/>
      <c r="O3" s="25" t="s">
        <v>254</v>
      </c>
      <c r="P3" s="25"/>
      <c r="Q3" s="26"/>
      <c r="R3" s="2"/>
      <c r="S3" s="2"/>
    </row>
    <row r="4" spans="1:19">
      <c r="A4" s="34" t="s">
        <v>56</v>
      </c>
      <c r="B4" s="35" t="s">
        <v>57</v>
      </c>
      <c r="C4" s="31">
        <v>2</v>
      </c>
      <c r="D4" s="35" t="s">
        <v>89</v>
      </c>
      <c r="E4" s="36">
        <v>15587041</v>
      </c>
      <c r="F4" s="32">
        <v>46597</v>
      </c>
      <c r="G4" s="26">
        <f>(F4/E4)*C4</f>
        <v>5.9789410960040456E-3</v>
      </c>
      <c r="H4" s="26">
        <f>(G4-0.0017)/0.0118</f>
        <v>0.36262212678000388</v>
      </c>
      <c r="I4" s="31">
        <f>AVERAGE(H4:H6)</f>
        <v>0.34836957079616515</v>
      </c>
      <c r="J4" s="31">
        <f>STDEV(H4:H6)</f>
        <v>3.3504195431559802E-2</v>
      </c>
      <c r="K4" s="26"/>
      <c r="L4" s="25" t="s">
        <v>255</v>
      </c>
      <c r="M4" s="25"/>
      <c r="N4" s="26"/>
      <c r="O4" s="26"/>
      <c r="P4" s="27" t="s">
        <v>39</v>
      </c>
      <c r="Q4" s="27" t="s">
        <v>105</v>
      </c>
      <c r="R4" s="26"/>
    </row>
    <row r="5" spans="1:19">
      <c r="A5" s="2"/>
      <c r="B5" s="33"/>
      <c r="C5" s="26">
        <v>2</v>
      </c>
      <c r="D5" s="35" t="s">
        <v>90</v>
      </c>
      <c r="E5" s="32">
        <v>13097998</v>
      </c>
      <c r="F5" s="36">
        <v>39911</v>
      </c>
      <c r="G5" s="26">
        <f>(F5/E5)*C5</f>
        <v>6.0942137874811101E-3</v>
      </c>
      <c r="H5" s="26">
        <f t="shared" ref="H5:H6" si="0">(G5-0.0017)/0.0118</f>
        <v>0.37239099893907712</v>
      </c>
      <c r="I5" s="26"/>
      <c r="J5" s="26"/>
      <c r="K5" s="26"/>
      <c r="L5" s="26" t="s">
        <v>91</v>
      </c>
      <c r="M5" s="26"/>
      <c r="N5" s="26"/>
      <c r="O5" s="27" t="s">
        <v>78</v>
      </c>
      <c r="P5" s="27">
        <v>182.0487</v>
      </c>
      <c r="Q5" s="27">
        <v>288.12299999999999</v>
      </c>
      <c r="R5" s="57" t="s">
        <v>106</v>
      </c>
    </row>
    <row r="6" spans="1:19">
      <c r="A6" s="2"/>
      <c r="B6" s="33"/>
      <c r="C6" s="31">
        <v>2</v>
      </c>
      <c r="D6" s="35" t="s">
        <v>92</v>
      </c>
      <c r="E6" s="32">
        <v>12358354</v>
      </c>
      <c r="F6" s="32">
        <v>33115</v>
      </c>
      <c r="G6" s="26">
        <f>(F6/E6)*C6</f>
        <v>5.3591279226990907E-3</v>
      </c>
      <c r="H6" s="26">
        <f t="shared" si="0"/>
        <v>0.31009558666941445</v>
      </c>
      <c r="I6" s="26"/>
      <c r="J6" s="26"/>
      <c r="K6" s="26"/>
      <c r="L6" s="26"/>
      <c r="M6" s="26"/>
      <c r="N6" s="26"/>
      <c r="O6" s="47">
        <v>0.2</v>
      </c>
      <c r="P6" s="26">
        <v>15361734</v>
      </c>
      <c r="Q6" s="26">
        <v>32579</v>
      </c>
      <c r="R6" s="26">
        <f>Q6/P6</f>
        <v>2.1207892286118223E-3</v>
      </c>
    </row>
    <row r="7" spans="1:19">
      <c r="A7" s="2"/>
      <c r="B7" s="26"/>
      <c r="C7" s="26"/>
      <c r="D7" s="26"/>
      <c r="E7" s="32"/>
      <c r="F7" s="32"/>
      <c r="G7" s="26"/>
      <c r="H7" s="26"/>
      <c r="I7" s="26"/>
      <c r="J7" s="26"/>
      <c r="K7" s="2"/>
      <c r="L7" s="2"/>
      <c r="M7" s="2"/>
      <c r="N7" s="2"/>
      <c r="O7" s="47">
        <v>1</v>
      </c>
      <c r="P7" s="26">
        <v>15446785</v>
      </c>
      <c r="Q7" s="26">
        <v>206834</v>
      </c>
      <c r="R7" s="26">
        <f t="shared" ref="R7:R10" si="1">Q7/P7</f>
        <v>1.3390100270056196E-2</v>
      </c>
    </row>
    <row r="8" spans="1:19">
      <c r="A8" s="37" t="s">
        <v>61</v>
      </c>
      <c r="B8" s="38" t="s">
        <v>62</v>
      </c>
      <c r="C8" s="31">
        <v>1.05</v>
      </c>
      <c r="D8" s="38" t="s">
        <v>93</v>
      </c>
      <c r="E8" s="32">
        <v>15854936</v>
      </c>
      <c r="F8" s="36">
        <v>1063160</v>
      </c>
      <c r="G8" s="26">
        <f>(F8/E8)*C8</f>
        <v>7.0408231228432594E-2</v>
      </c>
      <c r="H8" s="26">
        <f t="shared" ref="H8:H9" si="2">(G8-0.0017)/0.0118</f>
        <v>5.8227314600366613</v>
      </c>
      <c r="I8" s="26">
        <f>AVERAGE(H8,H9)</f>
        <v>4.0867242665121228</v>
      </c>
      <c r="J8" s="26">
        <f>STDEV(H8:H9)</f>
        <v>2.4550849174596565</v>
      </c>
      <c r="K8" s="2"/>
      <c r="L8" s="2"/>
      <c r="M8" s="2"/>
      <c r="N8" s="2"/>
      <c r="O8" s="47">
        <v>2</v>
      </c>
      <c r="P8" s="26">
        <v>15378606</v>
      </c>
      <c r="Q8" s="26">
        <v>380484</v>
      </c>
      <c r="R8" s="26">
        <f t="shared" si="1"/>
        <v>2.4741124130496613E-2</v>
      </c>
    </row>
    <row r="9" spans="1:19">
      <c r="A9" s="2"/>
      <c r="B9" s="41"/>
      <c r="C9" s="26">
        <v>2</v>
      </c>
      <c r="D9" s="38" t="s">
        <v>94</v>
      </c>
      <c r="E9" s="32">
        <v>15841317</v>
      </c>
      <c r="F9" s="36">
        <v>233172</v>
      </c>
      <c r="G9" s="26">
        <f>(F9/E9)*C9</f>
        <v>2.9438461461253507E-2</v>
      </c>
      <c r="H9" s="26">
        <f t="shared" si="2"/>
        <v>2.3507170729875853</v>
      </c>
      <c r="I9" s="26"/>
      <c r="J9" s="26"/>
      <c r="K9" s="2"/>
      <c r="L9" s="2"/>
      <c r="M9" s="2"/>
      <c r="N9" s="2"/>
      <c r="O9" s="47">
        <v>10</v>
      </c>
      <c r="P9" s="26">
        <v>15524431</v>
      </c>
      <c r="Q9" s="26">
        <v>1931282</v>
      </c>
      <c r="R9" s="26">
        <f t="shared" si="1"/>
        <v>0.12440275588844447</v>
      </c>
    </row>
    <row r="10" spans="1:19">
      <c r="A10" s="2"/>
      <c r="B10" s="26"/>
      <c r="C10" s="26"/>
      <c r="D10" s="26"/>
      <c r="E10" s="32"/>
      <c r="F10" s="32"/>
      <c r="G10" s="26"/>
      <c r="H10" s="26"/>
      <c r="I10" s="26"/>
      <c r="J10" s="26"/>
      <c r="K10" s="2"/>
      <c r="L10" s="2"/>
      <c r="M10" s="2"/>
      <c r="N10" s="2"/>
      <c r="O10" s="47">
        <v>20</v>
      </c>
      <c r="P10" s="26">
        <v>15303890</v>
      </c>
      <c r="Q10" s="26">
        <v>3593295</v>
      </c>
      <c r="R10" s="26">
        <f t="shared" si="1"/>
        <v>0.23479618580635381</v>
      </c>
    </row>
    <row r="11" spans="1:19">
      <c r="A11" s="29" t="s">
        <v>95</v>
      </c>
      <c r="B11" s="50" t="s">
        <v>96</v>
      </c>
      <c r="C11" s="26">
        <v>2</v>
      </c>
      <c r="D11" s="50" t="s">
        <v>97</v>
      </c>
      <c r="E11" s="111">
        <v>10993139</v>
      </c>
      <c r="F11" s="111">
        <v>3979170</v>
      </c>
      <c r="G11" s="51">
        <f>(F11/E11)*C11</f>
        <v>0.72393699379221899</v>
      </c>
      <c r="H11" s="51">
        <f t="shared" ref="H11:H13" si="3">(G11-0.0017)/0.0118</f>
        <v>61.206524897645679</v>
      </c>
      <c r="I11" s="51">
        <f>AVERAGE(H11:H13)</f>
        <v>53.61636364982872</v>
      </c>
      <c r="J11" s="51">
        <f>STDEV(H11:H13)</f>
        <v>6.6071174635904883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/>
      <c r="B12" s="50"/>
      <c r="C12" s="26">
        <v>2</v>
      </c>
      <c r="D12" s="52" t="s">
        <v>98</v>
      </c>
      <c r="E12" s="111">
        <v>13181778</v>
      </c>
      <c r="F12" s="111">
        <v>3937874</v>
      </c>
      <c r="G12" s="51">
        <f>(F12/E12)*C12</f>
        <v>0.59747235919160524</v>
      </c>
      <c r="H12" s="51">
        <f t="shared" si="3"/>
        <v>50.489182982339422</v>
      </c>
      <c r="I12" s="51"/>
      <c r="J12" s="51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/>
      <c r="B13" s="26"/>
      <c r="C13" s="26">
        <v>2</v>
      </c>
      <c r="D13" s="52" t="s">
        <v>99</v>
      </c>
      <c r="E13" s="111">
        <v>14903631</v>
      </c>
      <c r="F13" s="111">
        <v>4334795</v>
      </c>
      <c r="G13" s="51">
        <f>(F13/E13)*C13</f>
        <v>0.58170992022011281</v>
      </c>
      <c r="H13" s="51">
        <f t="shared" si="3"/>
        <v>49.153383069501082</v>
      </c>
      <c r="I13" s="51"/>
      <c r="J13" s="51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/>
      <c r="B14" s="2"/>
      <c r="C14" s="2"/>
      <c r="D14" s="2"/>
      <c r="E14" s="112"/>
      <c r="F14" s="11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53" t="s">
        <v>100</v>
      </c>
      <c r="B15" s="54" t="s">
        <v>101</v>
      </c>
      <c r="C15" s="54">
        <v>1.05</v>
      </c>
      <c r="D15" s="54" t="s">
        <v>102</v>
      </c>
      <c r="E15" s="113">
        <v>5761680</v>
      </c>
      <c r="F15" s="113">
        <v>649141</v>
      </c>
      <c r="G15" s="54">
        <f>(F15/E15)*C15</f>
        <v>0.11829849106510602</v>
      </c>
      <c r="H15" s="54">
        <f t="shared" ref="H15:H16" si="4">(G15-0.000017)/0.003616</f>
        <v>32.710589343226225</v>
      </c>
      <c r="I15" s="54">
        <f>AVERAGE(H15:H16)</f>
        <v>33.981155964736928</v>
      </c>
      <c r="J15" s="54">
        <f>STDEV(H15:H16)</f>
        <v>1.7968525480389943</v>
      </c>
      <c r="K15" s="54"/>
      <c r="L15" s="55" t="s">
        <v>245</v>
      </c>
      <c r="M15" s="54"/>
      <c r="N15" s="2"/>
      <c r="O15" s="2"/>
      <c r="P15" s="2"/>
      <c r="Q15" s="2"/>
      <c r="R15" s="2"/>
      <c r="S15" s="2"/>
    </row>
    <row r="16" spans="1:19">
      <c r="A16" s="2"/>
      <c r="B16" s="54"/>
      <c r="C16" s="54">
        <v>1.05</v>
      </c>
      <c r="D16" s="54" t="s">
        <v>103</v>
      </c>
      <c r="E16" s="113">
        <v>4269983</v>
      </c>
      <c r="F16" s="113">
        <v>518446</v>
      </c>
      <c r="G16" s="54">
        <f>(F16/E16)*C16</f>
        <v>0.12748722887187139</v>
      </c>
      <c r="H16" s="54">
        <f t="shared" si="4"/>
        <v>35.251722586247624</v>
      </c>
      <c r="I16" s="54"/>
      <c r="J16" s="54"/>
      <c r="K16" s="54"/>
      <c r="L16" s="56" t="s">
        <v>104</v>
      </c>
      <c r="M16" s="54"/>
      <c r="N16" s="2"/>
      <c r="O16" s="2"/>
      <c r="P16" s="2"/>
      <c r="Q16" s="2"/>
      <c r="R16" s="2"/>
      <c r="S16" s="2"/>
    </row>
    <row r="17" spans="15:19">
      <c r="O17" s="2"/>
      <c r="P17" s="2"/>
      <c r="Q17" s="2"/>
      <c r="R17" s="2"/>
      <c r="S17" s="2"/>
    </row>
    <row r="18" spans="15:19">
      <c r="O18" s="2"/>
      <c r="P18" s="2"/>
      <c r="Q18" s="2"/>
      <c r="R18" s="2"/>
      <c r="S18" s="2"/>
    </row>
    <row r="19" spans="15:19">
      <c r="O19" s="2"/>
      <c r="P19" s="2"/>
      <c r="Q19" s="2"/>
      <c r="R19" s="2"/>
      <c r="S19" s="2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workbookViewId="0"/>
  </sheetViews>
  <sheetFormatPr baseColWidth="10" defaultRowHeight="15" x14ac:dyDescent="0"/>
  <cols>
    <col min="1" max="1" width="19.6640625" customWidth="1"/>
    <col min="2" max="2" width="12.6640625" customWidth="1"/>
    <col min="3" max="3" width="12" customWidth="1"/>
    <col min="8" max="8" width="13" customWidth="1"/>
    <col min="11" max="11" width="10.33203125" customWidth="1"/>
    <col min="12" max="12" width="12.33203125" customWidth="1"/>
  </cols>
  <sheetData>
    <row r="1" spans="1:13">
      <c r="A1" s="133" t="s">
        <v>246</v>
      </c>
      <c r="B1" s="3" t="s">
        <v>191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3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33" t="s">
        <v>41</v>
      </c>
      <c r="B3" s="133" t="s">
        <v>108</v>
      </c>
      <c r="C3" s="134" t="s">
        <v>110</v>
      </c>
      <c r="D3" s="134" t="s">
        <v>110</v>
      </c>
      <c r="E3" s="2" t="s">
        <v>249</v>
      </c>
      <c r="F3" s="2"/>
      <c r="G3" s="134"/>
      <c r="H3" s="133"/>
      <c r="I3" s="134" t="s">
        <v>109</v>
      </c>
      <c r="J3" s="134" t="s">
        <v>109</v>
      </c>
      <c r="K3" s="9"/>
      <c r="L3" s="135" t="s">
        <v>109</v>
      </c>
      <c r="M3" s="135"/>
    </row>
    <row r="4" spans="1:13">
      <c r="A4" s="2" t="s">
        <v>111</v>
      </c>
      <c r="B4" s="133" t="s">
        <v>112</v>
      </c>
      <c r="C4" s="134" t="s">
        <v>171</v>
      </c>
      <c r="D4" s="134" t="s">
        <v>113</v>
      </c>
      <c r="E4" s="134" t="s">
        <v>117</v>
      </c>
      <c r="F4" s="135" t="s">
        <v>118</v>
      </c>
      <c r="G4" s="135" t="s">
        <v>119</v>
      </c>
      <c r="H4" s="133"/>
      <c r="I4" s="134" t="s">
        <v>171</v>
      </c>
      <c r="J4" s="134" t="s">
        <v>113</v>
      </c>
      <c r="K4" s="134" t="s">
        <v>114</v>
      </c>
      <c r="L4" s="135" t="s">
        <v>115</v>
      </c>
      <c r="M4" s="135" t="s">
        <v>116</v>
      </c>
    </row>
    <row r="5" spans="1:13">
      <c r="A5" s="136" t="s">
        <v>120</v>
      </c>
      <c r="B5" s="137" t="s">
        <v>121</v>
      </c>
      <c r="C5" s="138">
        <v>20.023</v>
      </c>
      <c r="D5" s="138">
        <v>5364524</v>
      </c>
      <c r="E5" s="138">
        <v>0.2331</v>
      </c>
      <c r="F5" s="139">
        <f>((E5+E6+E7)/3)*1000</f>
        <v>239.99</v>
      </c>
      <c r="G5" s="140">
        <f xml:space="preserve"> STDEV(E5:E7)*1000</f>
        <v>8.99053391073077</v>
      </c>
      <c r="H5" s="137"/>
      <c r="I5" s="138" t="s">
        <v>122</v>
      </c>
      <c r="J5" s="138" t="s">
        <v>122</v>
      </c>
      <c r="K5" s="138" t="s">
        <v>122</v>
      </c>
      <c r="L5" s="139">
        <v>0</v>
      </c>
      <c r="M5" s="140">
        <v>0</v>
      </c>
    </row>
    <row r="6" spans="1:13">
      <c r="A6" s="141" t="s">
        <v>123</v>
      </c>
      <c r="B6" s="141" t="s">
        <v>124</v>
      </c>
      <c r="C6" s="142">
        <v>20.027999999999999</v>
      </c>
      <c r="D6" s="142">
        <v>5437232</v>
      </c>
      <c r="E6" s="142">
        <v>0.23671</v>
      </c>
      <c r="F6" s="143"/>
      <c r="G6" s="144"/>
      <c r="H6" s="141"/>
      <c r="I6" s="142" t="s">
        <v>122</v>
      </c>
      <c r="J6" s="142" t="s">
        <v>122</v>
      </c>
      <c r="K6" s="142" t="s">
        <v>122</v>
      </c>
      <c r="L6" s="143"/>
      <c r="M6" s="144"/>
    </row>
    <row r="7" spans="1:13">
      <c r="A7" s="141"/>
      <c r="B7" s="145" t="s">
        <v>125</v>
      </c>
      <c r="C7" s="146">
        <v>20.036000000000001</v>
      </c>
      <c r="D7" s="146">
        <v>5705658</v>
      </c>
      <c r="E7" s="146">
        <v>0.25015999999999999</v>
      </c>
      <c r="F7" s="147"/>
      <c r="G7" s="148"/>
      <c r="H7" s="145"/>
      <c r="I7" s="146" t="s">
        <v>122</v>
      </c>
      <c r="J7" s="146" t="s">
        <v>122</v>
      </c>
      <c r="K7" s="146" t="s">
        <v>122</v>
      </c>
      <c r="L7" s="147"/>
      <c r="M7" s="148"/>
    </row>
    <row r="8" spans="1:13">
      <c r="A8" s="149" t="s">
        <v>126</v>
      </c>
      <c r="B8" s="115" t="s">
        <v>127</v>
      </c>
      <c r="C8" s="116">
        <v>20.018000000000001</v>
      </c>
      <c r="D8" s="116">
        <v>225387</v>
      </c>
      <c r="E8" s="116">
        <v>9.0799999999999995E-3</v>
      </c>
      <c r="F8" s="117">
        <f>((E8+E9+E10)/3)*1000</f>
        <v>13.163333333333332</v>
      </c>
      <c r="G8" s="118">
        <f xml:space="preserve"> STDEV(E8:E10)*1000</f>
        <v>3.9932735109598201</v>
      </c>
      <c r="H8" s="115"/>
      <c r="I8" s="116">
        <v>21.402000000000001</v>
      </c>
      <c r="J8" s="116">
        <v>212691</v>
      </c>
      <c r="K8" s="116">
        <v>1.2529999999999999E-2</v>
      </c>
      <c r="L8" s="117">
        <f>((K8+K9+K10)/3)*1000</f>
        <v>17.566666666666663</v>
      </c>
      <c r="M8" s="118">
        <f>STDEV(K8:K10)*1000</f>
        <v>4.9287963371733436</v>
      </c>
    </row>
    <row r="9" spans="1:13">
      <c r="A9" s="119" t="s">
        <v>128</v>
      </c>
      <c r="B9" s="119" t="s">
        <v>129</v>
      </c>
      <c r="C9" s="120">
        <v>20.02</v>
      </c>
      <c r="D9" s="120">
        <v>334772</v>
      </c>
      <c r="E9" s="120">
        <v>1.3350000000000001E-2</v>
      </c>
      <c r="F9" s="121"/>
      <c r="G9" s="122"/>
      <c r="H9" s="119"/>
      <c r="I9" s="120">
        <v>21.402999999999999</v>
      </c>
      <c r="J9" s="120">
        <v>306442</v>
      </c>
      <c r="K9" s="120">
        <v>1.779E-2</v>
      </c>
      <c r="L9" s="121"/>
      <c r="M9" s="122"/>
    </row>
    <row r="10" spans="1:13">
      <c r="A10" s="119"/>
      <c r="B10" s="123"/>
      <c r="C10" s="124">
        <v>20.029</v>
      </c>
      <c r="D10" s="124">
        <v>429563</v>
      </c>
      <c r="E10" s="124">
        <v>1.7059999999999999E-2</v>
      </c>
      <c r="F10" s="125"/>
      <c r="G10" s="126"/>
      <c r="H10" s="123"/>
      <c r="I10" s="124">
        <v>21.408999999999999</v>
      </c>
      <c r="J10" s="124">
        <v>387916</v>
      </c>
      <c r="K10" s="124">
        <v>2.2380000000000001E-2</v>
      </c>
      <c r="L10" s="125"/>
      <c r="M10" s="126"/>
    </row>
    <row r="11" spans="1:13">
      <c r="A11" s="149" t="s">
        <v>126</v>
      </c>
      <c r="B11" s="115" t="s">
        <v>130</v>
      </c>
      <c r="C11" s="127"/>
      <c r="D11" s="127"/>
      <c r="E11" s="127"/>
      <c r="F11" s="128"/>
      <c r="G11" s="129"/>
      <c r="H11" s="150"/>
      <c r="I11" s="116">
        <v>21.398</v>
      </c>
      <c r="J11" s="116">
        <v>1085937</v>
      </c>
      <c r="K11" s="116">
        <v>6.2579999999999997E-2</v>
      </c>
      <c r="L11" s="117">
        <f>((K11+K12+K13)/3)*1000</f>
        <v>74.95</v>
      </c>
      <c r="M11" s="118">
        <f>STDEV(K11:K13)*1000</f>
        <v>12.315368447594228</v>
      </c>
    </row>
    <row r="12" spans="1:13">
      <c r="A12" s="119" t="s">
        <v>128</v>
      </c>
      <c r="B12" s="119" t="s">
        <v>131</v>
      </c>
      <c r="C12" s="127"/>
      <c r="D12" s="127"/>
      <c r="E12" s="127"/>
      <c r="F12" s="128"/>
      <c r="G12" s="129"/>
      <c r="H12" s="151"/>
      <c r="I12" s="120">
        <v>21.4</v>
      </c>
      <c r="J12" s="120">
        <v>1297252</v>
      </c>
      <c r="K12" s="120">
        <v>7.5060000000000002E-2</v>
      </c>
      <c r="L12" s="121"/>
      <c r="M12" s="152"/>
    </row>
    <row r="13" spans="1:13">
      <c r="A13" s="153"/>
      <c r="B13" s="123" t="s">
        <v>132</v>
      </c>
      <c r="C13" s="127"/>
      <c r="D13" s="127"/>
      <c r="E13" s="127"/>
      <c r="F13" s="128"/>
      <c r="G13" s="129"/>
      <c r="H13" s="154"/>
      <c r="I13" s="124">
        <v>21.41</v>
      </c>
      <c r="J13" s="124">
        <v>1500240</v>
      </c>
      <c r="K13" s="124">
        <v>8.7209999999999996E-2</v>
      </c>
      <c r="L13" s="125"/>
      <c r="M13" s="155"/>
    </row>
    <row r="14" spans="1:13">
      <c r="A14" s="149" t="s">
        <v>126</v>
      </c>
      <c r="B14" s="127" t="s">
        <v>133</v>
      </c>
      <c r="C14" s="116">
        <v>20.024000000000001</v>
      </c>
      <c r="D14" s="116">
        <v>2332935</v>
      </c>
      <c r="E14" s="116">
        <v>9.4640000000000002E-2</v>
      </c>
      <c r="F14" s="117">
        <f>((E14+E15+E16)/3)*1000</f>
        <v>112.55</v>
      </c>
      <c r="G14" s="118">
        <f xml:space="preserve"> STDEV(E14:E16)*1000</f>
        <v>18.897304040523867</v>
      </c>
      <c r="H14" s="127"/>
      <c r="I14" s="130">
        <v>21.401</v>
      </c>
      <c r="J14" s="130">
        <v>543710</v>
      </c>
      <c r="K14" s="130">
        <v>3.1220000000000001E-2</v>
      </c>
      <c r="L14" s="128">
        <f>((K14+K15+K16)/3)*1000</f>
        <v>41.606666666666676</v>
      </c>
      <c r="M14" s="129">
        <f>STDEV(K14:K16)*1000</f>
        <v>9.171490246046881</v>
      </c>
    </row>
    <row r="15" spans="1:13">
      <c r="A15" s="119" t="s">
        <v>128</v>
      </c>
      <c r="B15" s="127" t="s">
        <v>134</v>
      </c>
      <c r="C15" s="130">
        <v>20.026</v>
      </c>
      <c r="D15" s="130">
        <v>2708834</v>
      </c>
      <c r="E15" s="130">
        <v>0.11071</v>
      </c>
      <c r="F15" s="128"/>
      <c r="G15" s="129"/>
      <c r="H15" s="127"/>
      <c r="I15" s="130">
        <v>21.402999999999999</v>
      </c>
      <c r="J15" s="130">
        <v>784282</v>
      </c>
      <c r="K15" s="130">
        <v>4.5010000000000001E-2</v>
      </c>
      <c r="L15" s="128"/>
      <c r="M15" s="129"/>
    </row>
    <row r="16" spans="1:13">
      <c r="A16" s="153"/>
      <c r="B16" s="127"/>
      <c r="C16" s="130">
        <v>20.029</v>
      </c>
      <c r="D16" s="130">
        <v>3203750</v>
      </c>
      <c r="E16" s="130">
        <v>0.1323</v>
      </c>
      <c r="F16" s="128"/>
      <c r="G16" s="129"/>
      <c r="H16" s="156"/>
      <c r="I16" s="130">
        <v>21.408000000000001</v>
      </c>
      <c r="J16" s="130">
        <v>846097</v>
      </c>
      <c r="K16" s="130">
        <v>4.8590000000000001E-2</v>
      </c>
      <c r="L16" s="128"/>
      <c r="M16" s="129"/>
    </row>
    <row r="17" spans="1:13">
      <c r="A17" s="157" t="s">
        <v>135</v>
      </c>
      <c r="B17" s="158" t="s">
        <v>130</v>
      </c>
      <c r="C17" s="159" t="s">
        <v>122</v>
      </c>
      <c r="D17" s="159" t="s">
        <v>122</v>
      </c>
      <c r="E17" s="159" t="s">
        <v>122</v>
      </c>
      <c r="F17" s="160">
        <v>0</v>
      </c>
      <c r="G17" s="161">
        <v>0</v>
      </c>
      <c r="H17" s="158"/>
      <c r="I17" s="159">
        <v>21.396999999999998</v>
      </c>
      <c r="J17" s="159">
        <v>25896</v>
      </c>
      <c r="K17" s="159">
        <v>2.1199999999999999E-3</v>
      </c>
      <c r="L17" s="160">
        <f>((K17+K18+K19)/3)*1000</f>
        <v>2.8933333333333331</v>
      </c>
      <c r="M17" s="161">
        <f>STDEV(K17:K19)*1000</f>
        <v>0.75566747537083623</v>
      </c>
    </row>
    <row r="18" spans="1:13">
      <c r="A18" s="162" t="s">
        <v>136</v>
      </c>
      <c r="B18" s="162" t="s">
        <v>137</v>
      </c>
      <c r="C18" s="163" t="s">
        <v>122</v>
      </c>
      <c r="D18" s="163" t="s">
        <v>122</v>
      </c>
      <c r="E18" s="163" t="s">
        <v>122</v>
      </c>
      <c r="F18" s="164"/>
      <c r="G18" s="165"/>
      <c r="H18" s="162"/>
      <c r="I18" s="163">
        <v>21.396000000000001</v>
      </c>
      <c r="J18" s="163">
        <v>40486</v>
      </c>
      <c r="K18" s="163">
        <v>2.9299999999999999E-3</v>
      </c>
      <c r="L18" s="164"/>
      <c r="M18" s="165"/>
    </row>
    <row r="19" spans="1:13">
      <c r="A19" s="166"/>
      <c r="B19" s="166"/>
      <c r="C19" s="167" t="s">
        <v>122</v>
      </c>
      <c r="D19" s="167" t="s">
        <v>122</v>
      </c>
      <c r="E19" s="167" t="s">
        <v>122</v>
      </c>
      <c r="F19" s="168"/>
      <c r="G19" s="169"/>
      <c r="H19" s="166"/>
      <c r="I19" s="167">
        <v>21.404</v>
      </c>
      <c r="J19" s="167">
        <v>53148</v>
      </c>
      <c r="K19" s="167">
        <v>3.63E-3</v>
      </c>
      <c r="L19" s="168"/>
      <c r="M19" s="169"/>
    </row>
    <row r="20" spans="1:13">
      <c r="A20" s="157" t="s">
        <v>135</v>
      </c>
      <c r="B20" s="170" t="s">
        <v>138</v>
      </c>
      <c r="C20" s="171" t="s">
        <v>122</v>
      </c>
      <c r="D20" s="171" t="s">
        <v>122</v>
      </c>
      <c r="E20" s="171" t="s">
        <v>122</v>
      </c>
      <c r="F20" s="172">
        <v>0</v>
      </c>
      <c r="G20" s="173">
        <v>0</v>
      </c>
      <c r="H20" s="170"/>
      <c r="I20" s="171">
        <v>21.398</v>
      </c>
      <c r="J20" s="171">
        <v>35143</v>
      </c>
      <c r="K20" s="171">
        <v>2.64E-3</v>
      </c>
      <c r="L20" s="172">
        <f>((K20+K21+K22)/3)*1000</f>
        <v>3.43</v>
      </c>
      <c r="M20" s="173">
        <f>STDEV(K20:K22)*1000</f>
        <v>0.84445248534183381</v>
      </c>
    </row>
    <row r="21" spans="1:13">
      <c r="A21" s="162" t="s">
        <v>136</v>
      </c>
      <c r="B21" s="170" t="s">
        <v>139</v>
      </c>
      <c r="C21" s="171" t="s">
        <v>122</v>
      </c>
      <c r="D21" s="171" t="s">
        <v>122</v>
      </c>
      <c r="E21" s="171" t="s">
        <v>122</v>
      </c>
      <c r="F21" s="172"/>
      <c r="G21" s="173"/>
      <c r="H21" s="170"/>
      <c r="I21" s="171">
        <v>21.402999999999999</v>
      </c>
      <c r="J21" s="171">
        <v>47665</v>
      </c>
      <c r="K21" s="171">
        <v>3.3300000000000001E-3</v>
      </c>
      <c r="L21" s="172"/>
      <c r="M21" s="173"/>
    </row>
    <row r="22" spans="1:13">
      <c r="A22" s="127"/>
      <c r="B22" s="127"/>
      <c r="C22" s="171">
        <v>20.024999999999999</v>
      </c>
      <c r="D22" s="171">
        <v>2557</v>
      </c>
      <c r="E22" s="171">
        <v>4.2999999999999999E-4</v>
      </c>
      <c r="F22" s="128"/>
      <c r="G22" s="174"/>
      <c r="H22" s="170"/>
      <c r="I22" s="171">
        <v>21.405000000000001</v>
      </c>
      <c r="J22" s="171">
        <v>65484</v>
      </c>
      <c r="K22" s="171">
        <v>4.3200000000000001E-3</v>
      </c>
      <c r="L22" s="172"/>
      <c r="M22" s="173"/>
    </row>
    <row r="23" spans="1:13">
      <c r="A23" s="175" t="s">
        <v>140</v>
      </c>
      <c r="B23" s="115" t="s">
        <v>141</v>
      </c>
      <c r="C23" s="116">
        <v>20.015999999999998</v>
      </c>
      <c r="D23" s="116">
        <v>31782</v>
      </c>
      <c r="E23" s="116">
        <v>1.56E-3</v>
      </c>
      <c r="F23" s="117">
        <f>((E23+E24+E25)/3)*1000</f>
        <v>1.8633333333333331</v>
      </c>
      <c r="G23" s="118">
        <f xml:space="preserve"> STDEV(E23:E25)*1000</f>
        <v>0.26501572280401281</v>
      </c>
      <c r="H23" s="115"/>
      <c r="I23" s="116">
        <v>21.396000000000001</v>
      </c>
      <c r="J23" s="116">
        <v>885192</v>
      </c>
      <c r="K23" s="116">
        <v>5.0860000000000002E-2</v>
      </c>
      <c r="L23" s="117">
        <f>((K23+K24+K25)/3)*1000</f>
        <v>61.763333333333335</v>
      </c>
      <c r="M23" s="118">
        <f>STDEV(K23:K25)*1000</f>
        <v>11.662591192926792</v>
      </c>
    </row>
    <row r="24" spans="1:13">
      <c r="A24" s="119" t="s">
        <v>142</v>
      </c>
      <c r="B24" s="119" t="s">
        <v>143</v>
      </c>
      <c r="C24" s="120">
        <v>20.02</v>
      </c>
      <c r="D24" s="120">
        <v>42552</v>
      </c>
      <c r="E24" s="120">
        <v>1.98E-3</v>
      </c>
      <c r="F24" s="121"/>
      <c r="G24" s="122"/>
      <c r="H24" s="119"/>
      <c r="I24" s="120">
        <v>21.402000000000001</v>
      </c>
      <c r="J24" s="120">
        <v>1048281</v>
      </c>
      <c r="K24" s="120">
        <v>6.037E-2</v>
      </c>
      <c r="L24" s="121"/>
      <c r="M24" s="122"/>
    </row>
    <row r="25" spans="1:13">
      <c r="A25" s="119"/>
      <c r="B25" s="123" t="s">
        <v>144</v>
      </c>
      <c r="C25" s="124">
        <v>20.026</v>
      </c>
      <c r="D25" s="124">
        <v>44372</v>
      </c>
      <c r="E25" s="124">
        <v>2.0500000000000002E-3</v>
      </c>
      <c r="F25" s="125"/>
      <c r="G25" s="126"/>
      <c r="H25" s="123"/>
      <c r="I25" s="124">
        <v>21.407</v>
      </c>
      <c r="J25" s="124">
        <v>1280348</v>
      </c>
      <c r="K25" s="124">
        <v>7.4060000000000001E-2</v>
      </c>
      <c r="L25" s="125"/>
      <c r="M25" s="126"/>
    </row>
    <row r="26" spans="1:13">
      <c r="A26" s="175" t="s">
        <v>140</v>
      </c>
      <c r="B26" s="115" t="s">
        <v>145</v>
      </c>
      <c r="C26" s="116">
        <v>20.021000000000001</v>
      </c>
      <c r="D26" s="116">
        <v>3606</v>
      </c>
      <c r="E26" s="116">
        <v>4.6999999999999999E-4</v>
      </c>
      <c r="F26" s="117">
        <f>((E26+E27+E28)/3)*1000</f>
        <v>0.51999999999999991</v>
      </c>
      <c r="G26" s="118">
        <f xml:space="preserve"> STDEV(E26:E28)*1000</f>
        <v>4.5825756949558379E-2</v>
      </c>
      <c r="H26" s="115"/>
      <c r="I26" s="116">
        <v>21.404</v>
      </c>
      <c r="J26" s="116">
        <v>577340</v>
      </c>
      <c r="K26" s="116">
        <v>3.313E-2</v>
      </c>
      <c r="L26" s="117">
        <f>((K26+K27+K28)/3)*1000</f>
        <v>38.57</v>
      </c>
      <c r="M26" s="118">
        <f>STDEV(K26:K28)*1000</f>
        <v>5.291814433632382</v>
      </c>
    </row>
    <row r="27" spans="1:13">
      <c r="A27" s="119" t="s">
        <v>142</v>
      </c>
      <c r="B27" s="119" t="s">
        <v>146</v>
      </c>
      <c r="C27" s="120">
        <v>20.021000000000001</v>
      </c>
      <c r="D27" s="120">
        <v>5074</v>
      </c>
      <c r="E27" s="120">
        <v>5.2999999999999998E-4</v>
      </c>
      <c r="F27" s="121"/>
      <c r="G27" s="152"/>
      <c r="H27" s="119"/>
      <c r="I27" s="120">
        <v>21.404</v>
      </c>
      <c r="J27" s="120">
        <v>677788</v>
      </c>
      <c r="K27" s="120">
        <v>3.8879999999999998E-2</v>
      </c>
      <c r="L27" s="121"/>
      <c r="M27" s="122"/>
    </row>
    <row r="28" spans="1:13">
      <c r="A28" s="123"/>
      <c r="B28" s="123"/>
      <c r="C28" s="124">
        <v>20.026</v>
      </c>
      <c r="D28" s="124">
        <v>5813</v>
      </c>
      <c r="E28" s="124">
        <v>5.5999999999999995E-4</v>
      </c>
      <c r="F28" s="125"/>
      <c r="G28" s="176"/>
      <c r="H28" s="154"/>
      <c r="I28" s="124">
        <v>21.408999999999999</v>
      </c>
      <c r="J28" s="124">
        <v>761585</v>
      </c>
      <c r="K28" s="124">
        <v>4.3700000000000003E-2</v>
      </c>
      <c r="L28" s="125"/>
      <c r="M28" s="126"/>
    </row>
    <row r="29" spans="1:13">
      <c r="A29" s="17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178"/>
      <c r="B30" s="3" t="s">
        <v>172</v>
      </c>
      <c r="C30" s="49" t="s">
        <v>171</v>
      </c>
      <c r="D30" s="49" t="s">
        <v>113</v>
      </c>
      <c r="E30" s="49" t="s">
        <v>117</v>
      </c>
      <c r="F30" s="2"/>
      <c r="G30" s="2"/>
      <c r="H30" s="3" t="s">
        <v>172</v>
      </c>
      <c r="I30" s="49" t="s">
        <v>171</v>
      </c>
      <c r="J30" s="49" t="s">
        <v>113</v>
      </c>
      <c r="K30" s="49" t="s">
        <v>173</v>
      </c>
      <c r="L30" s="2"/>
      <c r="M30" s="2"/>
    </row>
    <row r="31" spans="1:13">
      <c r="A31" s="2"/>
      <c r="B31" s="2" t="s">
        <v>147</v>
      </c>
      <c r="C31" s="2">
        <v>19.940000000000001</v>
      </c>
      <c r="D31" s="2">
        <v>256</v>
      </c>
      <c r="E31" s="2">
        <v>3.5E-4</v>
      </c>
      <c r="F31" s="2"/>
      <c r="G31" s="2"/>
      <c r="H31" s="2" t="s">
        <v>147</v>
      </c>
      <c r="I31" s="2">
        <v>21.41</v>
      </c>
      <c r="J31" s="2">
        <v>5033</v>
      </c>
      <c r="K31" s="2">
        <v>9.7000000000000005E-4</v>
      </c>
      <c r="L31" s="2"/>
      <c r="M31" s="2"/>
    </row>
    <row r="32" spans="1:13">
      <c r="A32" s="2"/>
      <c r="B32" s="2" t="s">
        <v>148</v>
      </c>
      <c r="C32" s="2">
        <v>20.027999999999999</v>
      </c>
      <c r="D32" s="2">
        <v>130</v>
      </c>
      <c r="E32" s="2">
        <v>3.4000000000000002E-4</v>
      </c>
      <c r="F32" s="2"/>
      <c r="G32" s="2"/>
      <c r="H32" s="2" t="s">
        <v>148</v>
      </c>
      <c r="I32" s="2">
        <v>21.407</v>
      </c>
      <c r="J32" s="2">
        <v>4633</v>
      </c>
      <c r="K32" s="2">
        <v>9.3999999999999997E-4</v>
      </c>
      <c r="L32" s="2"/>
      <c r="M32" s="2"/>
    </row>
    <row r="33" spans="1:13">
      <c r="A33" s="2"/>
      <c r="B33" s="2" t="s">
        <v>149</v>
      </c>
      <c r="C33" s="2">
        <v>20.035</v>
      </c>
      <c r="D33" s="2">
        <v>189</v>
      </c>
      <c r="E33" s="2">
        <v>3.4000000000000002E-4</v>
      </c>
      <c r="F33" s="2"/>
      <c r="G33" s="2"/>
      <c r="H33" s="2" t="s">
        <v>149</v>
      </c>
      <c r="I33" s="2">
        <v>21.414000000000001</v>
      </c>
      <c r="J33" s="2">
        <v>3794</v>
      </c>
      <c r="K33" s="2">
        <v>8.9999999999999998E-4</v>
      </c>
      <c r="L33" s="2"/>
      <c r="M33" s="2"/>
    </row>
    <row r="34" spans="1:13">
      <c r="A34" s="2"/>
      <c r="B34" s="2" t="s">
        <v>150</v>
      </c>
      <c r="C34" s="2">
        <v>20.16</v>
      </c>
      <c r="D34" s="2">
        <v>14048</v>
      </c>
      <c r="E34" s="2">
        <v>8.8000000000000003E-4</v>
      </c>
      <c r="F34" s="2"/>
      <c r="G34" s="2"/>
      <c r="H34" s="2" t="s">
        <v>150</v>
      </c>
      <c r="I34" s="2">
        <v>21.414000000000001</v>
      </c>
      <c r="J34" s="2">
        <v>165024</v>
      </c>
      <c r="K34" s="2">
        <v>9.8600000000000007E-3</v>
      </c>
      <c r="L34" s="2"/>
      <c r="M34" s="2"/>
    </row>
    <row r="35" spans="1:13">
      <c r="A35" s="2"/>
      <c r="B35" s="2" t="s">
        <v>151</v>
      </c>
      <c r="C35" s="2">
        <v>20.059000000000001</v>
      </c>
      <c r="D35" s="2">
        <v>176</v>
      </c>
      <c r="E35" s="2">
        <v>3.4000000000000002E-4</v>
      </c>
      <c r="F35" s="2"/>
      <c r="G35" s="2"/>
      <c r="H35" s="2" t="s">
        <v>151</v>
      </c>
      <c r="I35" s="2">
        <v>21.411999999999999</v>
      </c>
      <c r="J35" s="2">
        <v>162156</v>
      </c>
      <c r="K35" s="2">
        <v>9.7000000000000003E-3</v>
      </c>
      <c r="L35" s="2"/>
      <c r="M35" s="2"/>
    </row>
    <row r="36" spans="1:13">
      <c r="A36" s="2"/>
      <c r="B36" s="2" t="s">
        <v>152</v>
      </c>
      <c r="C36" s="2">
        <v>20.018999999999998</v>
      </c>
      <c r="D36" s="2">
        <v>161</v>
      </c>
      <c r="E36" s="2">
        <v>3.4000000000000002E-4</v>
      </c>
      <c r="F36" s="2"/>
      <c r="G36" s="2"/>
      <c r="H36" s="2" t="s">
        <v>152</v>
      </c>
      <c r="I36" s="2">
        <v>21.416</v>
      </c>
      <c r="J36" s="2">
        <v>179144</v>
      </c>
      <c r="K36" s="2">
        <v>1.065E-2</v>
      </c>
      <c r="L36" s="2"/>
      <c r="M36" s="2"/>
    </row>
    <row r="37" spans="1:13">
      <c r="A37" s="2"/>
      <c r="B37" s="2" t="s">
        <v>153</v>
      </c>
      <c r="C37" s="2">
        <v>19.991</v>
      </c>
      <c r="D37" s="2">
        <v>273</v>
      </c>
      <c r="E37" s="2">
        <v>3.5E-4</v>
      </c>
      <c r="F37" s="2"/>
      <c r="G37" s="2"/>
      <c r="H37" s="2" t="s">
        <v>153</v>
      </c>
      <c r="I37" s="2">
        <v>21.419</v>
      </c>
      <c r="J37" s="2">
        <v>1578031</v>
      </c>
      <c r="K37" s="2">
        <v>9.1899999999999996E-2</v>
      </c>
      <c r="L37" s="2"/>
      <c r="M37" s="2"/>
    </row>
    <row r="38" spans="1:13">
      <c r="A38" s="2"/>
      <c r="B38" s="2" t="s">
        <v>154</v>
      </c>
      <c r="C38" s="2">
        <v>20.155000000000001</v>
      </c>
      <c r="D38" s="2">
        <v>5681</v>
      </c>
      <c r="E38" s="2">
        <v>5.5999999999999995E-4</v>
      </c>
      <c r="F38" s="2"/>
      <c r="G38" s="2"/>
      <c r="H38" s="2" t="s">
        <v>154</v>
      </c>
      <c r="I38" s="2">
        <v>21.417000000000002</v>
      </c>
      <c r="J38" s="2">
        <v>1719783</v>
      </c>
      <c r="K38" s="2">
        <v>0.10051</v>
      </c>
      <c r="L38" s="2"/>
      <c r="M38" s="2"/>
    </row>
    <row r="39" spans="1:13">
      <c r="A39" s="2"/>
      <c r="B39" s="2" t="s">
        <v>155</v>
      </c>
      <c r="C39" s="2">
        <v>20.166</v>
      </c>
      <c r="D39" s="2">
        <v>9868</v>
      </c>
      <c r="E39" s="2">
        <v>7.2000000000000005E-4</v>
      </c>
      <c r="F39" s="2"/>
      <c r="G39" s="2"/>
      <c r="H39" s="2" t="s">
        <v>155</v>
      </c>
      <c r="I39" s="2">
        <v>21.419</v>
      </c>
      <c r="J39" s="2">
        <v>1835967</v>
      </c>
      <c r="K39" s="2">
        <v>0.10763</v>
      </c>
      <c r="L39" s="2"/>
      <c r="M39" s="2"/>
    </row>
    <row r="40" spans="1:13">
      <c r="A40" s="2"/>
      <c r="B40" s="2" t="s">
        <v>156</v>
      </c>
      <c r="C40" s="2">
        <v>20.04</v>
      </c>
      <c r="D40" s="2">
        <v>310</v>
      </c>
      <c r="E40" s="2">
        <v>3.5E-4</v>
      </c>
      <c r="F40" s="2"/>
      <c r="G40" s="2"/>
      <c r="H40" s="2" t="s">
        <v>156</v>
      </c>
      <c r="I40" s="2">
        <v>21.477</v>
      </c>
      <c r="J40" s="2">
        <v>9212462</v>
      </c>
      <c r="K40" s="2">
        <v>0.83042000000000005</v>
      </c>
      <c r="L40" s="2"/>
      <c r="M40" s="2"/>
    </row>
    <row r="41" spans="1:13">
      <c r="A41" s="2"/>
      <c r="B41" s="2" t="s">
        <v>157</v>
      </c>
      <c r="C41" s="2">
        <v>20.071000000000002</v>
      </c>
      <c r="D41" s="2">
        <v>291</v>
      </c>
      <c r="E41" s="2">
        <v>3.5E-4</v>
      </c>
      <c r="F41" s="2"/>
      <c r="G41" s="2"/>
      <c r="H41" s="2" t="s">
        <v>157</v>
      </c>
      <c r="I41" s="2">
        <v>21.475999999999999</v>
      </c>
      <c r="J41" s="2">
        <v>9655307</v>
      </c>
      <c r="K41" s="2">
        <v>0.98724000000000001</v>
      </c>
      <c r="L41" s="2"/>
      <c r="M41" s="2"/>
    </row>
    <row r="42" spans="1:13">
      <c r="A42" s="2"/>
      <c r="B42" s="2" t="s">
        <v>158</v>
      </c>
      <c r="C42" s="2">
        <v>20.064</v>
      </c>
      <c r="D42" s="2">
        <v>126</v>
      </c>
      <c r="E42" s="2">
        <v>3.4000000000000002E-4</v>
      </c>
      <c r="F42" s="2"/>
      <c r="G42" s="2"/>
      <c r="H42" s="2" t="s">
        <v>158</v>
      </c>
      <c r="I42" s="2">
        <v>21.484999999999999</v>
      </c>
      <c r="J42" s="2">
        <v>10151771</v>
      </c>
      <c r="K42" s="112" t="s">
        <v>12</v>
      </c>
      <c r="L42" s="2"/>
      <c r="M42" s="2"/>
    </row>
    <row r="43" spans="1:13">
      <c r="A43" s="2"/>
      <c r="B43" s="2" t="s">
        <v>159</v>
      </c>
      <c r="C43" s="2">
        <v>20.032</v>
      </c>
      <c r="D43" s="2">
        <v>9295</v>
      </c>
      <c r="E43" s="2">
        <v>6.8999999999999997E-4</v>
      </c>
      <c r="F43" s="2"/>
      <c r="G43" s="2"/>
      <c r="H43" s="2" t="s">
        <v>159</v>
      </c>
      <c r="I43" s="2">
        <v>21.437000000000001</v>
      </c>
      <c r="J43" s="2">
        <v>271</v>
      </c>
      <c r="K43" s="2">
        <v>6.9999999999999999E-4</v>
      </c>
      <c r="L43" s="2"/>
      <c r="M43" s="2"/>
    </row>
    <row r="44" spans="1:13">
      <c r="A44" s="2"/>
      <c r="B44" s="2" t="s">
        <v>160</v>
      </c>
      <c r="C44" s="2">
        <v>20.026</v>
      </c>
      <c r="D44" s="2">
        <v>8039</v>
      </c>
      <c r="E44" s="2">
        <v>6.4999999999999997E-4</v>
      </c>
      <c r="F44" s="2"/>
      <c r="G44" s="2"/>
      <c r="H44" s="2" t="s">
        <v>160</v>
      </c>
      <c r="I44" s="2">
        <v>21.373999999999999</v>
      </c>
      <c r="J44" s="2">
        <v>172</v>
      </c>
      <c r="K44" s="2">
        <v>6.9999999999999999E-4</v>
      </c>
      <c r="L44" s="2"/>
      <c r="M44" s="2"/>
    </row>
    <row r="45" spans="1:13">
      <c r="A45" s="2"/>
      <c r="B45" s="2" t="s">
        <v>161</v>
      </c>
      <c r="C45" s="2">
        <v>20.038</v>
      </c>
      <c r="D45" s="2">
        <v>7528</v>
      </c>
      <c r="E45" s="2">
        <v>6.3000000000000003E-4</v>
      </c>
      <c r="F45" s="2"/>
      <c r="G45" s="2"/>
      <c r="H45" s="2" t="s">
        <v>161</v>
      </c>
      <c r="I45" s="2">
        <v>21.443000000000001</v>
      </c>
      <c r="J45" s="2">
        <v>178</v>
      </c>
      <c r="K45" s="2">
        <v>6.9999999999999999E-4</v>
      </c>
      <c r="L45" s="2"/>
      <c r="M45" s="2"/>
    </row>
    <row r="46" spans="1:13">
      <c r="A46" s="2"/>
      <c r="B46" s="2" t="s">
        <v>162</v>
      </c>
      <c r="C46" s="2">
        <v>20.033999999999999</v>
      </c>
      <c r="D46" s="2">
        <v>249616</v>
      </c>
      <c r="E46" s="2">
        <v>1.0019999999999999E-2</v>
      </c>
      <c r="F46" s="2"/>
      <c r="G46" s="2"/>
      <c r="H46" s="2" t="s">
        <v>162</v>
      </c>
      <c r="I46" s="2">
        <v>21.324999999999999</v>
      </c>
      <c r="J46" s="2">
        <v>222</v>
      </c>
      <c r="K46" s="2">
        <v>6.9999999999999999E-4</v>
      </c>
      <c r="L46" s="2"/>
      <c r="M46" s="2"/>
    </row>
    <row r="47" spans="1:13">
      <c r="A47" s="2"/>
      <c r="B47" s="2" t="s">
        <v>163</v>
      </c>
      <c r="C47" s="2">
        <v>20.033000000000001</v>
      </c>
      <c r="D47" s="2">
        <v>247125</v>
      </c>
      <c r="E47" s="2">
        <v>9.92E-3</v>
      </c>
      <c r="F47" s="2"/>
      <c r="G47" s="2"/>
      <c r="H47" s="2" t="s">
        <v>163</v>
      </c>
      <c r="I47" s="2">
        <v>21.686</v>
      </c>
      <c r="J47" s="2">
        <v>267</v>
      </c>
      <c r="K47" s="2">
        <v>6.9999999999999999E-4</v>
      </c>
      <c r="L47" s="2"/>
      <c r="M47" s="2"/>
    </row>
    <row r="48" spans="1:13">
      <c r="A48" s="2"/>
      <c r="B48" s="2" t="s">
        <v>164</v>
      </c>
      <c r="C48" s="2">
        <v>20.033999999999999</v>
      </c>
      <c r="D48" s="2">
        <v>280148</v>
      </c>
      <c r="E48" s="2">
        <v>1.1209999999999999E-2</v>
      </c>
      <c r="F48" s="2"/>
      <c r="G48" s="2"/>
      <c r="H48" s="2" t="s">
        <v>164</v>
      </c>
      <c r="I48" s="2">
        <v>21.411000000000001</v>
      </c>
      <c r="J48" s="2">
        <v>156</v>
      </c>
      <c r="K48" s="2">
        <v>6.9999999999999999E-4</v>
      </c>
      <c r="L48" s="2"/>
      <c r="M48" s="2"/>
    </row>
    <row r="49" spans="1:13">
      <c r="A49" s="2"/>
      <c r="B49" s="2" t="s">
        <v>165</v>
      </c>
      <c r="C49" s="2">
        <v>20.042000000000002</v>
      </c>
      <c r="D49" s="2">
        <v>2235932</v>
      </c>
      <c r="E49" s="2">
        <v>9.0539999999999995E-2</v>
      </c>
      <c r="F49" s="2"/>
      <c r="G49" s="2"/>
      <c r="H49" s="2" t="s">
        <v>165</v>
      </c>
      <c r="I49" s="112" t="s">
        <v>122</v>
      </c>
      <c r="J49" s="112" t="s">
        <v>122</v>
      </c>
      <c r="K49" s="112" t="s">
        <v>122</v>
      </c>
      <c r="L49" s="2"/>
      <c r="M49" s="2"/>
    </row>
    <row r="50" spans="1:13">
      <c r="A50" s="2"/>
      <c r="B50" s="2" t="s">
        <v>166</v>
      </c>
      <c r="C50" s="2">
        <v>20.045000000000002</v>
      </c>
      <c r="D50" s="2">
        <v>2397592</v>
      </c>
      <c r="E50" s="2">
        <v>9.7390000000000004E-2</v>
      </c>
      <c r="F50" s="2"/>
      <c r="G50" s="2"/>
      <c r="H50" s="2" t="s">
        <v>166</v>
      </c>
      <c r="I50" s="112" t="s">
        <v>122</v>
      </c>
      <c r="J50" s="112" t="s">
        <v>122</v>
      </c>
      <c r="K50" s="112" t="s">
        <v>122</v>
      </c>
      <c r="L50" s="2"/>
      <c r="M50" s="2"/>
    </row>
    <row r="51" spans="1:13">
      <c r="A51" s="2"/>
      <c r="B51" s="2" t="s">
        <v>167</v>
      </c>
      <c r="C51" s="2">
        <v>20.045999999999999</v>
      </c>
      <c r="D51" s="2">
        <v>2740521</v>
      </c>
      <c r="E51" s="2">
        <v>0.11208</v>
      </c>
      <c r="F51" s="2"/>
      <c r="G51" s="2"/>
      <c r="H51" s="2" t="s">
        <v>167</v>
      </c>
      <c r="I51" s="112" t="s">
        <v>122</v>
      </c>
      <c r="J51" s="112" t="s">
        <v>122</v>
      </c>
      <c r="K51" s="112" t="s">
        <v>122</v>
      </c>
      <c r="L51" s="2"/>
      <c r="M51" s="2"/>
    </row>
    <row r="52" spans="1:13">
      <c r="A52" s="2"/>
      <c r="B52" s="2" t="s">
        <v>168</v>
      </c>
      <c r="C52" s="2">
        <v>20.114000000000001</v>
      </c>
      <c r="D52" s="2">
        <v>12935378</v>
      </c>
      <c r="E52" s="2">
        <v>0.80701999999999996</v>
      </c>
      <c r="F52" s="2"/>
      <c r="G52" s="2"/>
      <c r="H52" s="2" t="s">
        <v>168</v>
      </c>
      <c r="I52" s="112" t="s">
        <v>122</v>
      </c>
      <c r="J52" s="112" t="s">
        <v>122</v>
      </c>
      <c r="K52" s="112" t="s">
        <v>122</v>
      </c>
      <c r="L52" s="2"/>
      <c r="M52" s="2"/>
    </row>
    <row r="53" spans="1:13">
      <c r="A53" s="2"/>
      <c r="B53" s="2" t="s">
        <v>169</v>
      </c>
      <c r="C53" s="2">
        <v>20.116</v>
      </c>
      <c r="D53" s="2">
        <v>13590901</v>
      </c>
      <c r="E53" s="2">
        <v>0.95838999999999996</v>
      </c>
      <c r="F53" s="2"/>
      <c r="G53" s="2"/>
      <c r="H53" s="2" t="s">
        <v>169</v>
      </c>
      <c r="I53" s="2">
        <v>21.305</v>
      </c>
      <c r="J53" s="2">
        <v>7074</v>
      </c>
      <c r="K53" s="2">
        <v>1.08E-3</v>
      </c>
      <c r="L53" s="2"/>
      <c r="M53" s="2"/>
    </row>
    <row r="54" spans="1:13">
      <c r="A54" s="2"/>
      <c r="B54" s="2" t="s">
        <v>170</v>
      </c>
      <c r="C54" s="2">
        <v>20.131</v>
      </c>
      <c r="D54" s="2">
        <v>14492769</v>
      </c>
      <c r="E54" s="112" t="s">
        <v>12</v>
      </c>
      <c r="F54" s="2"/>
      <c r="G54" s="2"/>
      <c r="H54" s="2" t="s">
        <v>170</v>
      </c>
      <c r="I54" s="2">
        <v>21.306999999999999</v>
      </c>
      <c r="J54" s="2">
        <v>12045</v>
      </c>
      <c r="K54" s="2">
        <v>1.3500000000000001E-3</v>
      </c>
      <c r="L54" s="2"/>
      <c r="M54" s="2"/>
    </row>
    <row r="55" spans="1:1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>
      <c r="A57" s="133" t="s">
        <v>107</v>
      </c>
      <c r="B57" s="3" t="s">
        <v>192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>
      <c r="A59" s="106" t="s">
        <v>174</v>
      </c>
      <c r="B59" s="179" t="s">
        <v>175</v>
      </c>
      <c r="C59" s="13" t="s">
        <v>176</v>
      </c>
      <c r="D59" s="13" t="s">
        <v>177</v>
      </c>
      <c r="E59" s="13" t="s">
        <v>178</v>
      </c>
      <c r="F59" s="13" t="s">
        <v>179</v>
      </c>
      <c r="G59" s="13" t="s">
        <v>180</v>
      </c>
      <c r="H59" s="13" t="s">
        <v>181</v>
      </c>
      <c r="I59" s="13" t="s">
        <v>182</v>
      </c>
      <c r="J59" s="2"/>
      <c r="K59" s="2"/>
      <c r="L59" s="2"/>
      <c r="M59" s="2"/>
    </row>
    <row r="60" spans="1:13">
      <c r="A60" s="84" t="s">
        <v>183</v>
      </c>
      <c r="B60" s="91" t="s">
        <v>184</v>
      </c>
      <c r="C60" s="131">
        <v>204790428</v>
      </c>
      <c r="D60" s="131">
        <v>18431590</v>
      </c>
      <c r="E60" s="85">
        <v>12.481</v>
      </c>
      <c r="F60" s="85">
        <v>13.952</v>
      </c>
      <c r="G60" s="85">
        <f>F60*25</f>
        <v>348.8</v>
      </c>
      <c r="H60" s="130"/>
      <c r="I60" s="130"/>
      <c r="J60" s="2"/>
      <c r="K60" s="2"/>
      <c r="L60" s="2"/>
      <c r="M60" s="2"/>
    </row>
    <row r="61" spans="1:13">
      <c r="A61" s="84" t="s">
        <v>183</v>
      </c>
      <c r="B61" s="91" t="s">
        <v>185</v>
      </c>
      <c r="C61" s="131">
        <v>198620983</v>
      </c>
      <c r="D61" s="131">
        <v>18117454</v>
      </c>
      <c r="E61" s="85">
        <v>12.486000000000001</v>
      </c>
      <c r="F61" s="85">
        <v>14.566000000000001</v>
      </c>
      <c r="G61" s="85">
        <f t="shared" ref="G61" si="0">F61*25</f>
        <v>364.15000000000003</v>
      </c>
      <c r="H61" s="85">
        <f>AVERAGE(G60:G61)</f>
        <v>356.47500000000002</v>
      </c>
      <c r="I61" s="85">
        <f>STDEV(G60:G61)</f>
        <v>10.85408909121352</v>
      </c>
      <c r="J61" s="2"/>
      <c r="K61" s="2"/>
      <c r="L61" s="2"/>
      <c r="M61" s="2"/>
    </row>
    <row r="62" spans="1:13">
      <c r="A62" s="2"/>
      <c r="B62" s="106" t="s">
        <v>186</v>
      </c>
      <c r="C62" s="132">
        <v>1108380</v>
      </c>
      <c r="D62" s="132">
        <v>108378</v>
      </c>
      <c r="E62" s="17">
        <v>12.51</v>
      </c>
      <c r="F62" s="17">
        <v>6.6000000000000003E-2</v>
      </c>
      <c r="G62" s="9"/>
      <c r="H62" s="9"/>
      <c r="I62" s="9"/>
      <c r="J62" s="2"/>
      <c r="K62" s="2"/>
      <c r="L62" s="2"/>
      <c r="M62" s="2"/>
    </row>
    <row r="63" spans="1:13">
      <c r="A63" s="2"/>
      <c r="B63" s="106" t="s">
        <v>186</v>
      </c>
      <c r="C63" s="132">
        <v>1086071</v>
      </c>
      <c r="D63" s="132">
        <v>103618</v>
      </c>
      <c r="E63" s="17">
        <v>12.513999999999999</v>
      </c>
      <c r="F63" s="17">
        <v>6.7000000000000004E-2</v>
      </c>
      <c r="G63" s="9"/>
      <c r="H63" s="9"/>
      <c r="I63" s="9"/>
      <c r="J63" s="2"/>
      <c r="K63" s="2"/>
      <c r="L63" s="2"/>
      <c r="M63" s="2"/>
    </row>
    <row r="64" spans="1:13">
      <c r="A64" s="2"/>
      <c r="B64" s="106" t="s">
        <v>187</v>
      </c>
      <c r="C64" s="132">
        <v>2236346</v>
      </c>
      <c r="D64" s="132">
        <v>215650</v>
      </c>
      <c r="E64" s="17">
        <v>12.516</v>
      </c>
      <c r="F64" s="17">
        <v>0.14299999999999999</v>
      </c>
      <c r="G64" s="9"/>
      <c r="H64" s="9"/>
      <c r="I64" s="9"/>
      <c r="J64" s="2"/>
      <c r="K64" s="2"/>
      <c r="L64" s="2"/>
      <c r="M64" s="2"/>
    </row>
    <row r="65" spans="1:13">
      <c r="A65" s="2"/>
      <c r="B65" s="106" t="s">
        <v>187</v>
      </c>
      <c r="C65" s="132">
        <v>2280095</v>
      </c>
      <c r="D65" s="132">
        <v>218435</v>
      </c>
      <c r="E65" s="17">
        <v>12.52</v>
      </c>
      <c r="F65" s="17">
        <v>0.129</v>
      </c>
      <c r="G65" s="9"/>
      <c r="H65" s="9"/>
      <c r="I65" s="9"/>
      <c r="J65" s="2"/>
      <c r="K65" s="2"/>
      <c r="L65" s="2"/>
      <c r="M65" s="2"/>
    </row>
    <row r="66" spans="1:13">
      <c r="A66" s="2"/>
      <c r="B66" s="106" t="s">
        <v>188</v>
      </c>
      <c r="C66" s="132">
        <v>11832593</v>
      </c>
      <c r="D66" s="132">
        <v>1109658</v>
      </c>
      <c r="E66" s="17">
        <v>12.507999999999999</v>
      </c>
      <c r="F66" s="17">
        <v>0.58599999999999997</v>
      </c>
      <c r="G66" s="9"/>
      <c r="H66" s="9"/>
      <c r="I66" s="9"/>
      <c r="J66" s="2"/>
      <c r="K66" s="2"/>
      <c r="L66" s="2"/>
      <c r="M66" s="2"/>
    </row>
    <row r="67" spans="1:13">
      <c r="A67" s="2"/>
      <c r="B67" s="106" t="s">
        <v>188</v>
      </c>
      <c r="C67" s="132">
        <v>11373379</v>
      </c>
      <c r="D67" s="132">
        <v>1082496</v>
      </c>
      <c r="E67" s="17">
        <v>12.521000000000001</v>
      </c>
      <c r="F67" s="17">
        <v>0.70299999999999996</v>
      </c>
      <c r="G67" s="9"/>
      <c r="H67" s="9"/>
      <c r="I67" s="9"/>
      <c r="J67" s="2"/>
      <c r="K67" s="2"/>
      <c r="L67" s="2"/>
      <c r="M67" s="2"/>
    </row>
    <row r="68" spans="1:13">
      <c r="A68" s="2"/>
      <c r="B68" s="106" t="s">
        <v>189</v>
      </c>
      <c r="C68" s="132">
        <v>21909100</v>
      </c>
      <c r="D68" s="132">
        <v>2069005</v>
      </c>
      <c r="E68" s="17">
        <v>12.513</v>
      </c>
      <c r="F68" s="17">
        <v>1.3460000000000001</v>
      </c>
      <c r="G68" s="9"/>
      <c r="H68" s="9"/>
      <c r="I68" s="9"/>
      <c r="J68" s="2"/>
      <c r="K68" s="2"/>
      <c r="L68" s="2"/>
      <c r="M68" s="2"/>
    </row>
    <row r="69" spans="1:13">
      <c r="A69" s="2"/>
      <c r="B69" s="106" t="s">
        <v>189</v>
      </c>
      <c r="C69" s="132">
        <v>22548341</v>
      </c>
      <c r="D69" s="132">
        <v>2070815</v>
      </c>
      <c r="E69" s="17">
        <v>12.529</v>
      </c>
      <c r="F69" s="17">
        <v>1.365</v>
      </c>
      <c r="G69" s="9"/>
      <c r="H69" s="9"/>
      <c r="I69" s="9"/>
      <c r="J69" s="2"/>
      <c r="K69" s="2"/>
      <c r="L69" s="2"/>
      <c r="M69" s="2"/>
    </row>
    <row r="70" spans="1:13">
      <c r="A70" s="2"/>
      <c r="B70" s="106" t="s">
        <v>190</v>
      </c>
      <c r="C70" s="132">
        <v>89826589</v>
      </c>
      <c r="D70" s="132">
        <v>7958089</v>
      </c>
      <c r="E70" s="17">
        <v>12.522</v>
      </c>
      <c r="F70" s="17">
        <v>5.91</v>
      </c>
      <c r="G70" s="9"/>
      <c r="H70" s="9"/>
      <c r="I70" s="9"/>
      <c r="J70" s="2"/>
      <c r="K70" s="2"/>
      <c r="L70" s="2"/>
      <c r="M70" s="2"/>
    </row>
    <row r="71" spans="1:13">
      <c r="A71" s="2"/>
      <c r="B71" s="106" t="s">
        <v>190</v>
      </c>
      <c r="C71" s="132">
        <v>89241511</v>
      </c>
      <c r="D71" s="132">
        <v>7987454</v>
      </c>
      <c r="E71" s="17">
        <v>12.516999999999999</v>
      </c>
      <c r="F71" s="17">
        <v>5.319</v>
      </c>
      <c r="G71" s="9"/>
      <c r="H71" s="9"/>
      <c r="I71" s="9"/>
      <c r="J71" s="2"/>
      <c r="K71" s="2"/>
      <c r="L71" s="2"/>
      <c r="M71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/>
  </sheetViews>
  <sheetFormatPr baseColWidth="10" defaultRowHeight="15" x14ac:dyDescent="0"/>
  <cols>
    <col min="1" max="1" width="17.83203125" customWidth="1"/>
  </cols>
  <sheetData>
    <row r="1" spans="1:21">
      <c r="A1" s="25" t="s">
        <v>247</v>
      </c>
      <c r="B1" s="2"/>
      <c r="C1" s="2"/>
      <c r="D1" s="2"/>
      <c r="E1" s="110" t="s">
        <v>240</v>
      </c>
      <c r="F1" s="2"/>
      <c r="G1" s="2"/>
      <c r="H1" s="2"/>
      <c r="I1" s="2"/>
      <c r="J1" s="2"/>
      <c r="K1" s="2"/>
      <c r="L1" s="24" t="s">
        <v>193</v>
      </c>
      <c r="M1" s="26"/>
      <c r="N1" s="26"/>
      <c r="O1" s="59" t="s">
        <v>194</v>
      </c>
      <c r="Q1" s="60" t="s">
        <v>77</v>
      </c>
      <c r="R1" s="61"/>
      <c r="S1" s="61"/>
      <c r="T1" s="62"/>
      <c r="U1" s="63" t="s">
        <v>195</v>
      </c>
    </row>
    <row r="2" spans="1:21">
      <c r="A2" s="59"/>
      <c r="B2" s="59"/>
      <c r="C2" s="59"/>
      <c r="D2" s="59" t="s">
        <v>39</v>
      </c>
      <c r="E2" s="64" t="s">
        <v>196</v>
      </c>
      <c r="F2" s="59"/>
      <c r="G2" s="59"/>
      <c r="H2" s="65" t="s">
        <v>197</v>
      </c>
      <c r="I2" s="63"/>
      <c r="J2" s="63"/>
      <c r="K2" s="66"/>
      <c r="L2" s="66"/>
      <c r="M2" s="59" t="s">
        <v>39</v>
      </c>
      <c r="N2" s="67" t="s">
        <v>110</v>
      </c>
      <c r="O2" s="66"/>
      <c r="P2" s="68"/>
      <c r="Q2" s="61"/>
      <c r="R2" s="69" t="s">
        <v>39</v>
      </c>
      <c r="S2" s="69" t="s">
        <v>40</v>
      </c>
      <c r="T2" s="61"/>
      <c r="U2" s="61"/>
    </row>
    <row r="3" spans="1:21">
      <c r="A3" s="59" t="s">
        <v>198</v>
      </c>
      <c r="B3" s="67" t="s">
        <v>44</v>
      </c>
      <c r="C3" s="59" t="s">
        <v>8</v>
      </c>
      <c r="D3" s="59">
        <v>182.0487</v>
      </c>
      <c r="E3" s="59">
        <v>306.19709999999998</v>
      </c>
      <c r="F3" s="64" t="s">
        <v>199</v>
      </c>
      <c r="G3" s="64" t="s">
        <v>117</v>
      </c>
      <c r="H3" s="63">
        <v>335.20139999999998</v>
      </c>
      <c r="I3" s="65" t="s">
        <v>200</v>
      </c>
      <c r="J3" s="65" t="s">
        <v>201</v>
      </c>
      <c r="K3" s="2"/>
      <c r="L3" s="27" t="s">
        <v>78</v>
      </c>
      <c r="M3" s="28">
        <v>182.0487</v>
      </c>
      <c r="N3" s="27">
        <v>300.15940000000001</v>
      </c>
      <c r="O3" s="28" t="s">
        <v>202</v>
      </c>
      <c r="Q3" s="69" t="s">
        <v>78</v>
      </c>
      <c r="R3" s="69">
        <v>182.0487</v>
      </c>
      <c r="S3" s="60">
        <v>330.17</v>
      </c>
      <c r="T3" s="70" t="s">
        <v>79</v>
      </c>
      <c r="U3" s="70" t="s">
        <v>80</v>
      </c>
    </row>
    <row r="4" spans="1:21">
      <c r="A4" s="66" t="s">
        <v>203</v>
      </c>
      <c r="B4" s="66">
        <v>1.05</v>
      </c>
      <c r="C4" s="66" t="s">
        <v>204</v>
      </c>
      <c r="D4" s="71">
        <v>11146046</v>
      </c>
      <c r="E4" s="72">
        <v>41096</v>
      </c>
      <c r="F4" s="72">
        <f>E4/D4</f>
        <v>3.6870474067664891E-3</v>
      </c>
      <c r="G4" s="72">
        <f>(F4/0.0194)*B4</f>
        <v>0.19955668954148523</v>
      </c>
      <c r="H4" s="73">
        <v>673943</v>
      </c>
      <c r="I4" s="62">
        <f>H4/D4</f>
        <v>6.0464760328460876E-2</v>
      </c>
      <c r="J4" s="73">
        <f>(I4/0.0189)*B4</f>
        <v>3.3591533515811598</v>
      </c>
      <c r="K4" s="2"/>
      <c r="L4" s="47">
        <v>0.2</v>
      </c>
      <c r="M4" s="26">
        <v>16248128</v>
      </c>
      <c r="N4" s="26">
        <v>171044</v>
      </c>
      <c r="O4" s="26">
        <f>N4/M4</f>
        <v>1.052699732547651E-2</v>
      </c>
      <c r="Q4" s="74">
        <v>0.1</v>
      </c>
      <c r="R4" s="75">
        <v>15433925</v>
      </c>
      <c r="S4" s="61">
        <v>27848</v>
      </c>
      <c r="T4" s="61">
        <f t="shared" ref="T4:T13" si="0">+S4/R4</f>
        <v>1.8043368747742393E-3</v>
      </c>
      <c r="U4" s="61">
        <f>AVERAGE(T4:T5)</f>
        <v>2.1288134496535698E-3</v>
      </c>
    </row>
    <row r="5" spans="1:21">
      <c r="A5" s="66" t="s">
        <v>205</v>
      </c>
      <c r="B5" s="66">
        <v>1.05</v>
      </c>
      <c r="C5" s="66" t="s">
        <v>206</v>
      </c>
      <c r="D5" s="71">
        <v>12137650</v>
      </c>
      <c r="E5" s="72">
        <v>40541</v>
      </c>
      <c r="F5" s="72">
        <f>E5/D5</f>
        <v>3.3401029029507361E-3</v>
      </c>
      <c r="G5" s="72">
        <f t="shared" ref="G5:G6" si="1">(F5/0.0194)*B5</f>
        <v>0.18077876536589035</v>
      </c>
      <c r="H5" s="73">
        <v>698336</v>
      </c>
      <c r="I5" s="62">
        <f>H5/D5</f>
        <v>5.7534695760711504E-2</v>
      </c>
      <c r="J5" s="73">
        <f>(I5/0.0189)*B5</f>
        <v>3.1963719867061946</v>
      </c>
      <c r="K5" s="2"/>
      <c r="L5" s="47">
        <v>1</v>
      </c>
      <c r="M5" s="26">
        <v>16472740</v>
      </c>
      <c r="N5" s="26">
        <v>541639</v>
      </c>
      <c r="O5" s="26">
        <f>N5/M5</f>
        <v>3.288092934144532E-2</v>
      </c>
      <c r="P5" s="43"/>
      <c r="Q5" s="74">
        <v>0.1</v>
      </c>
      <c r="R5" s="75">
        <v>15841584</v>
      </c>
      <c r="S5" s="75">
        <v>38864</v>
      </c>
      <c r="T5" s="61">
        <f t="shared" si="0"/>
        <v>2.4532900245329003E-3</v>
      </c>
      <c r="U5" s="61"/>
    </row>
    <row r="6" spans="1:21">
      <c r="A6" s="66"/>
      <c r="B6" s="66">
        <v>1.05</v>
      </c>
      <c r="C6" s="66" t="s">
        <v>207</v>
      </c>
      <c r="D6" s="71">
        <v>13970430</v>
      </c>
      <c r="E6" s="72">
        <v>25690</v>
      </c>
      <c r="F6" s="72">
        <f>E6/D6</f>
        <v>1.8388839856754587E-3</v>
      </c>
      <c r="G6" s="72">
        <f t="shared" si="1"/>
        <v>9.9527226028826368E-2</v>
      </c>
      <c r="H6" s="73">
        <v>396754</v>
      </c>
      <c r="I6" s="62">
        <f>H6/D6</f>
        <v>2.8399555346542663E-2</v>
      </c>
      <c r="J6" s="73">
        <f>(I6/0.0189)*B6</f>
        <v>1.5777530748079258</v>
      </c>
      <c r="K6" s="2"/>
      <c r="L6" s="47">
        <v>2</v>
      </c>
      <c r="M6" s="26">
        <v>16441752</v>
      </c>
      <c r="N6" s="26">
        <v>837338</v>
      </c>
      <c r="O6" s="26">
        <f>N6/M6</f>
        <v>5.0927541055235476E-2</v>
      </c>
      <c r="P6" s="43"/>
      <c r="Q6" s="74">
        <v>0.2</v>
      </c>
      <c r="R6" s="75">
        <v>15120652</v>
      </c>
      <c r="S6" s="61">
        <v>49668</v>
      </c>
      <c r="T6" s="61">
        <f t="shared" si="0"/>
        <v>3.2847789896890689E-3</v>
      </c>
      <c r="U6" s="61">
        <f>AVERAGE(T6:T7)</f>
        <v>4.0545784332352598E-3</v>
      </c>
    </row>
    <row r="7" spans="1:21">
      <c r="A7" s="76"/>
      <c r="B7" s="76"/>
      <c r="C7" s="77"/>
      <c r="D7" s="78"/>
      <c r="E7" s="79"/>
      <c r="F7" s="80" t="s">
        <v>80</v>
      </c>
      <c r="G7" s="81">
        <f>AVERAGE(G4:G6)</f>
        <v>0.15995422697873399</v>
      </c>
      <c r="H7" s="79"/>
      <c r="I7" s="82" t="s">
        <v>80</v>
      </c>
      <c r="J7" s="83">
        <f>AVERAGE(J4:J6)</f>
        <v>2.7110928043650939</v>
      </c>
      <c r="K7" s="2"/>
      <c r="L7" s="47">
        <v>10</v>
      </c>
      <c r="M7" s="26">
        <v>16452368</v>
      </c>
      <c r="N7" s="26">
        <v>3737463</v>
      </c>
      <c r="O7" s="26">
        <f>N7/M7</f>
        <v>0.22716869693165143</v>
      </c>
      <c r="P7" s="43"/>
      <c r="Q7" s="74">
        <v>0.2</v>
      </c>
      <c r="R7" s="75">
        <v>15397633</v>
      </c>
      <c r="S7" s="61">
        <v>74284</v>
      </c>
      <c r="T7" s="61">
        <f t="shared" si="0"/>
        <v>4.8243778767814507E-3</v>
      </c>
      <c r="U7" s="61"/>
    </row>
    <row r="8" spans="1:21">
      <c r="A8" s="76"/>
      <c r="B8" s="76"/>
      <c r="C8" s="76"/>
      <c r="D8" s="76"/>
      <c r="E8" s="84"/>
      <c r="F8" s="80" t="s">
        <v>49</v>
      </c>
      <c r="G8" s="81">
        <f>STDEV(G4:G6)</f>
        <v>5.3166901752276306E-2</v>
      </c>
      <c r="H8" s="85"/>
      <c r="I8" s="82" t="s">
        <v>49</v>
      </c>
      <c r="J8" s="83">
        <f>STDEV(J4:J6)</f>
        <v>0.98486986456697412</v>
      </c>
      <c r="K8" s="2"/>
      <c r="L8" s="47">
        <v>20</v>
      </c>
      <c r="M8" s="26">
        <v>16562600</v>
      </c>
      <c r="N8" s="26">
        <v>6107005</v>
      </c>
      <c r="O8" s="26">
        <f>N8/M8</f>
        <v>0.36872260393899509</v>
      </c>
      <c r="P8" s="43"/>
      <c r="Q8" s="74">
        <v>1</v>
      </c>
      <c r="R8" s="75">
        <v>15325315</v>
      </c>
      <c r="S8" s="61">
        <v>263505</v>
      </c>
      <c r="T8" s="61">
        <f t="shared" si="0"/>
        <v>1.7194100088644183E-2</v>
      </c>
      <c r="U8" s="61">
        <f>AVERAGE(T8:T9)</f>
        <v>2.0435404115705089E-2</v>
      </c>
    </row>
    <row r="9" spans="1:21">
      <c r="A9" s="76"/>
      <c r="B9" s="76"/>
      <c r="C9" s="77"/>
      <c r="D9" s="76"/>
      <c r="E9" s="79"/>
      <c r="F9" s="86"/>
      <c r="G9" s="79"/>
      <c r="H9" s="85"/>
      <c r="I9" s="87"/>
      <c r="J9" s="87"/>
      <c r="K9" s="2"/>
      <c r="P9" s="43"/>
      <c r="Q9" s="74">
        <v>1</v>
      </c>
      <c r="R9" s="88">
        <v>15912136</v>
      </c>
      <c r="S9" s="61">
        <v>376747</v>
      </c>
      <c r="T9" s="61">
        <f t="shared" si="0"/>
        <v>2.3676708142765998E-2</v>
      </c>
      <c r="U9" s="61"/>
    </row>
    <row r="10" spans="1:21">
      <c r="A10" s="76"/>
      <c r="B10" s="76"/>
      <c r="C10" s="77"/>
      <c r="D10" s="76"/>
      <c r="E10" s="86"/>
      <c r="F10" s="86"/>
      <c r="G10" s="79"/>
      <c r="H10" s="85"/>
      <c r="I10" s="87"/>
      <c r="J10" s="87"/>
      <c r="K10" s="2"/>
      <c r="P10" s="43"/>
      <c r="Q10" s="74">
        <v>2</v>
      </c>
      <c r="R10" s="75">
        <v>15020097</v>
      </c>
      <c r="S10" s="61">
        <v>509625</v>
      </c>
      <c r="T10" s="61">
        <f t="shared" si="0"/>
        <v>3.3929541200699305E-2</v>
      </c>
      <c r="U10" s="61">
        <f>AVERAGE(T10:T11)</f>
        <v>3.9051261381675945E-2</v>
      </c>
    </row>
    <row r="11" spans="1:21">
      <c r="A11" s="76"/>
      <c r="B11" s="76"/>
      <c r="C11" s="77"/>
      <c r="D11" s="76"/>
      <c r="E11" s="86"/>
      <c r="F11" s="86"/>
      <c r="G11" s="79"/>
      <c r="H11" s="85"/>
      <c r="I11" s="87"/>
      <c r="J11" s="87"/>
      <c r="K11" s="2"/>
      <c r="P11" s="43"/>
      <c r="Q11" s="74">
        <v>2</v>
      </c>
      <c r="R11" s="75">
        <v>15558583</v>
      </c>
      <c r="S11" s="61">
        <v>687269</v>
      </c>
      <c r="T11" s="61">
        <f t="shared" si="0"/>
        <v>4.4172981562652591E-2</v>
      </c>
      <c r="U11" s="61"/>
    </row>
    <row r="12" spans="1:21">
      <c r="A12" s="66" t="s">
        <v>208</v>
      </c>
      <c r="B12" s="66">
        <v>1.05</v>
      </c>
      <c r="C12" s="89" t="s">
        <v>209</v>
      </c>
      <c r="D12" s="66">
        <v>11935849</v>
      </c>
      <c r="E12" s="90">
        <v>10799</v>
      </c>
      <c r="F12" s="90">
        <f>E12/D12</f>
        <v>9.0475340296278879E-4</v>
      </c>
      <c r="G12" s="72">
        <f>(F12/0.0194)*B12</f>
        <v>4.896861201602723E-2</v>
      </c>
      <c r="H12" s="73">
        <v>60604</v>
      </c>
      <c r="I12" s="73">
        <f>H12/D12</f>
        <v>5.0774771028018204E-3</v>
      </c>
      <c r="J12" s="73">
        <f>(I12/0.0189)*B12</f>
        <v>0.28208206126676777</v>
      </c>
      <c r="K12" s="2"/>
      <c r="P12" s="43"/>
      <c r="Q12" s="74">
        <v>10</v>
      </c>
      <c r="R12" s="75">
        <v>15222563</v>
      </c>
      <c r="S12" s="61">
        <v>2604940</v>
      </c>
      <c r="T12" s="61">
        <f t="shared" si="0"/>
        <v>0.17112361433485282</v>
      </c>
      <c r="U12" s="61">
        <f>AVERAGE(T12:T13)</f>
        <v>0.18806418876895115</v>
      </c>
    </row>
    <row r="13" spans="1:21">
      <c r="A13" s="66" t="s">
        <v>205</v>
      </c>
      <c r="B13" s="66">
        <v>1.05</v>
      </c>
      <c r="C13" s="89" t="s">
        <v>210</v>
      </c>
      <c r="D13" s="66">
        <v>12032412</v>
      </c>
      <c r="E13" s="90">
        <v>18514</v>
      </c>
      <c r="F13" s="90">
        <f>E13/D13</f>
        <v>1.5386773657683928E-3</v>
      </c>
      <c r="G13" s="72">
        <f t="shared" ref="G13:G14" si="2">(F13/0.0194)*B13</f>
        <v>8.3278929590557341E-2</v>
      </c>
      <c r="H13" s="73">
        <v>66058</v>
      </c>
      <c r="I13" s="73">
        <f>H13/D13</f>
        <v>5.4900048302867288E-3</v>
      </c>
      <c r="J13" s="73">
        <f>(I13/0.0189)*B13</f>
        <v>0.30500026834926269</v>
      </c>
      <c r="K13" s="2"/>
      <c r="P13" s="43"/>
      <c r="Q13" s="74">
        <v>10</v>
      </c>
      <c r="R13" s="75">
        <v>15617642</v>
      </c>
      <c r="S13" s="61">
        <v>3201691</v>
      </c>
      <c r="T13" s="61">
        <f t="shared" si="0"/>
        <v>0.20500476320304947</v>
      </c>
      <c r="U13" s="75"/>
    </row>
    <row r="14" spans="1:21">
      <c r="A14" s="66"/>
      <c r="B14" s="66">
        <v>1.05</v>
      </c>
      <c r="C14" s="89" t="s">
        <v>211</v>
      </c>
      <c r="D14" s="66">
        <v>13367852</v>
      </c>
      <c r="E14" s="90">
        <v>13089</v>
      </c>
      <c r="F14" s="90">
        <f>E14/D14</f>
        <v>9.791401041842774E-4</v>
      </c>
      <c r="G14" s="72">
        <f t="shared" si="2"/>
        <v>5.2994696360489237E-2</v>
      </c>
      <c r="H14" s="73">
        <v>30214</v>
      </c>
      <c r="I14" s="73">
        <f>H14/D14</f>
        <v>2.2601985719171635E-3</v>
      </c>
      <c r="J14" s="73">
        <f>(I14/0.0189)*B14</f>
        <v>0.1255665873287313</v>
      </c>
      <c r="K14" s="19"/>
      <c r="Q14" s="2"/>
    </row>
    <row r="15" spans="1:21">
      <c r="A15" s="91"/>
      <c r="B15" s="91"/>
      <c r="C15" s="2"/>
      <c r="E15" s="84"/>
      <c r="F15" s="80" t="s">
        <v>80</v>
      </c>
      <c r="G15" s="81">
        <f>AVERAGE(G12:G14)</f>
        <v>6.1747412655691274E-2</v>
      </c>
      <c r="H15" s="79"/>
      <c r="I15" s="82" t="s">
        <v>80</v>
      </c>
      <c r="J15" s="83">
        <f>AVERAGE(J12:J14)</f>
        <v>0.23754963898158724</v>
      </c>
      <c r="K15" s="19"/>
      <c r="Q15" s="2"/>
      <c r="R15" s="43"/>
    </row>
    <row r="16" spans="1:21">
      <c r="A16" s="91"/>
      <c r="B16" s="91"/>
      <c r="C16" s="91"/>
      <c r="E16" s="84"/>
      <c r="F16" s="80" t="s">
        <v>49</v>
      </c>
      <c r="G16" s="81">
        <f>STDEV(G12:G14)</f>
        <v>1.875518608077506E-2</v>
      </c>
      <c r="H16" s="85"/>
      <c r="I16" s="82" t="s">
        <v>49</v>
      </c>
      <c r="J16" s="83">
        <f>STDEV(J12:J14)</f>
        <v>9.7654820398604417E-2</v>
      </c>
      <c r="K16" s="19"/>
      <c r="L16" s="92"/>
      <c r="M16" s="92"/>
      <c r="N16" s="92"/>
      <c r="P16" s="92"/>
      <c r="Q16" s="2"/>
      <c r="R16" s="43"/>
    </row>
    <row r="17" spans="1:18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2"/>
      <c r="L17" s="92"/>
      <c r="M17" s="92"/>
      <c r="N17" s="92"/>
      <c r="P17" s="93"/>
      <c r="Q17" s="2"/>
      <c r="R17" s="43"/>
    </row>
    <row r="18" spans="1: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43"/>
    </row>
    <row r="19" spans="1:1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43"/>
    </row>
    <row r="20" spans="1:18">
      <c r="B20" s="94" t="s">
        <v>212</v>
      </c>
      <c r="C20" s="95"/>
      <c r="D20" s="2"/>
      <c r="E20" t="s">
        <v>241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43"/>
    </row>
    <row r="21" spans="1:18">
      <c r="B21" s="96"/>
      <c r="C21" s="97">
        <v>201014</v>
      </c>
      <c r="D21" s="98" t="s">
        <v>39</v>
      </c>
      <c r="E21" s="98" t="s">
        <v>213</v>
      </c>
      <c r="F21" s="96"/>
      <c r="G21" s="98" t="s">
        <v>214</v>
      </c>
      <c r="H21" s="98" t="s">
        <v>215</v>
      </c>
      <c r="I21" s="99"/>
      <c r="J21" s="99" t="s">
        <v>216</v>
      </c>
      <c r="K21" s="98" t="s">
        <v>217</v>
      </c>
      <c r="L21" s="99"/>
      <c r="M21" s="99" t="s">
        <v>214</v>
      </c>
      <c r="N21" s="98" t="s">
        <v>218</v>
      </c>
      <c r="O21" s="99"/>
      <c r="P21" s="98" t="s">
        <v>219</v>
      </c>
      <c r="Q21" s="19"/>
      <c r="R21" s="43"/>
    </row>
    <row r="22" spans="1:18">
      <c r="B22" s="97" t="s">
        <v>44</v>
      </c>
      <c r="C22" s="99" t="s">
        <v>8</v>
      </c>
      <c r="D22" s="98">
        <v>182.0487</v>
      </c>
      <c r="E22" s="98">
        <v>272.12810000000002</v>
      </c>
      <c r="F22" s="98" t="s">
        <v>220</v>
      </c>
      <c r="G22" s="98" t="s">
        <v>221</v>
      </c>
      <c r="H22" s="98">
        <v>276.15320000000003</v>
      </c>
      <c r="I22" s="98" t="s">
        <v>222</v>
      </c>
      <c r="J22" s="99" t="s">
        <v>221</v>
      </c>
      <c r="K22" s="98">
        <v>300.15940000000001</v>
      </c>
      <c r="L22" s="98" t="s">
        <v>223</v>
      </c>
      <c r="M22" s="99" t="s">
        <v>117</v>
      </c>
      <c r="N22" s="98">
        <v>304.18450000000001</v>
      </c>
      <c r="O22" s="98" t="s">
        <v>224</v>
      </c>
      <c r="P22" s="98" t="s">
        <v>117</v>
      </c>
      <c r="Q22" s="19"/>
      <c r="R22" s="43"/>
    </row>
    <row r="23" spans="1:18">
      <c r="B23" s="100">
        <v>4</v>
      </c>
      <c r="C23" s="96" t="s">
        <v>225</v>
      </c>
      <c r="D23" s="101">
        <v>4695073</v>
      </c>
      <c r="E23" s="101">
        <v>359770</v>
      </c>
      <c r="F23" s="101">
        <f>E23/D23</f>
        <v>7.6627136574873272E-2</v>
      </c>
      <c r="G23" s="101">
        <f>((F23-0.0002)/0.006)*B23</f>
        <v>50.951424383248842</v>
      </c>
      <c r="H23" s="101">
        <v>510526</v>
      </c>
      <c r="I23" s="96">
        <f>H23/D23</f>
        <v>0.1087365414765649</v>
      </c>
      <c r="J23" s="96">
        <f>((I23-0.0002)/0.006)*B23</f>
        <v>72.357694317709928</v>
      </c>
      <c r="K23" s="101">
        <v>395546</v>
      </c>
      <c r="L23" s="96">
        <f>K23/D23</f>
        <v>8.4247039396405557E-2</v>
      </c>
      <c r="M23" s="96">
        <f>((L23+0.0013)/0.0094)*B23</f>
        <v>36.40299548783215</v>
      </c>
      <c r="N23" s="101">
        <v>432110</v>
      </c>
      <c r="O23" s="96">
        <f>N23/D23</f>
        <v>9.2034777734020329E-2</v>
      </c>
      <c r="P23" s="101">
        <f>((O23+0.0013)/0.0094)*B23</f>
        <v>39.716926695327793</v>
      </c>
      <c r="Q23" s="19"/>
      <c r="R23" s="43"/>
    </row>
    <row r="24" spans="1:18">
      <c r="B24" s="100">
        <v>4</v>
      </c>
      <c r="C24" s="96" t="s">
        <v>226</v>
      </c>
      <c r="D24" s="101">
        <v>4654190</v>
      </c>
      <c r="E24" s="101">
        <v>354601</v>
      </c>
      <c r="F24" s="101">
        <f>E24/D24</f>
        <v>7.6189626981279235E-2</v>
      </c>
      <c r="G24" s="101">
        <f>((F24-0.0002)/0.006)*B24</f>
        <v>50.65975132085282</v>
      </c>
      <c r="H24" s="101">
        <v>508850</v>
      </c>
      <c r="I24" s="96">
        <f>H24/D24</f>
        <v>0.10933159153365032</v>
      </c>
      <c r="J24" s="96">
        <f>((I24-0.0002)/0.006)*B24</f>
        <v>72.754394355766877</v>
      </c>
      <c r="K24" s="101">
        <v>375343</v>
      </c>
      <c r="L24" s="96">
        <f>K24/D24</f>
        <v>8.0646256384032458E-2</v>
      </c>
      <c r="M24" s="96">
        <f>((L24+0.0013)/0.0094)*B24</f>
        <v>34.870747397460619</v>
      </c>
      <c r="N24" s="101">
        <v>412118</v>
      </c>
      <c r="O24" s="96">
        <f>N24/D24</f>
        <v>8.8547738704264328E-2</v>
      </c>
      <c r="P24" s="101">
        <f>((O24+0.0013)/0.0094)*B24</f>
        <v>38.233080299686947</v>
      </c>
      <c r="Q24" s="19"/>
      <c r="R24" s="43"/>
    </row>
    <row r="25" spans="1:18">
      <c r="B25" s="100">
        <v>4</v>
      </c>
      <c r="C25" s="96" t="s">
        <v>227</v>
      </c>
      <c r="D25" s="101">
        <v>4468993</v>
      </c>
      <c r="E25" s="101">
        <v>360578</v>
      </c>
      <c r="F25" s="101">
        <f>E25/D25</f>
        <v>8.0684395791177116E-2</v>
      </c>
      <c r="G25" s="101">
        <f>((F25-0.0002)/0.006)*B25</f>
        <v>53.65626386078474</v>
      </c>
      <c r="H25" s="101">
        <v>519041</v>
      </c>
      <c r="I25" s="96">
        <f>H25/D25</f>
        <v>0.11614271940009752</v>
      </c>
      <c r="J25" s="96">
        <f>((I25-0.0002)/0.006)*B25</f>
        <v>77.295146266731678</v>
      </c>
      <c r="K25" s="101">
        <v>384024</v>
      </c>
      <c r="L25" s="96">
        <f>K25/D25</f>
        <v>8.5930767848595865E-2</v>
      </c>
      <c r="M25" s="96">
        <f>((L25+0.0013)/0.0094)*B25</f>
        <v>37.119475680253558</v>
      </c>
      <c r="N25" s="101">
        <v>420437</v>
      </c>
      <c r="O25" s="96">
        <f>N25/D25</f>
        <v>9.4078688420411491E-2</v>
      </c>
      <c r="P25" s="101">
        <f>((O25+0.0013)/0.0094)*B25</f>
        <v>40.586675923579357</v>
      </c>
      <c r="Q25" s="19"/>
      <c r="R25" s="43"/>
    </row>
    <row r="26" spans="1:18">
      <c r="E26" s="102" t="s">
        <v>80</v>
      </c>
      <c r="F26" s="103">
        <f>AVERAGE(F23:F25)</f>
        <v>7.7833719782443203E-2</v>
      </c>
      <c r="G26" s="103">
        <f>AVERAGE(G23:G25)</f>
        <v>51.75581318829547</v>
      </c>
      <c r="H26" s="96"/>
      <c r="I26" s="104">
        <f>AVERAGE(I23:I25)</f>
        <v>0.11140361747010424</v>
      </c>
      <c r="J26" s="104">
        <f>AVERAGE(J23:J25)</f>
        <v>74.135744980069504</v>
      </c>
      <c r="K26" s="96"/>
      <c r="L26" s="104">
        <f>AVERAGE(L23:L25)</f>
        <v>8.360802120967796E-2</v>
      </c>
      <c r="M26" s="104">
        <f>AVERAGE(M23:M25)</f>
        <v>36.131072855182104</v>
      </c>
      <c r="N26" s="96"/>
      <c r="O26" s="104">
        <f>AVERAGE(O23:O25)</f>
        <v>9.1553734952898716E-2</v>
      </c>
      <c r="P26" s="103">
        <f>AVERAGE(P23:P25)</f>
        <v>39.512227639531368</v>
      </c>
      <c r="Q26" s="19"/>
      <c r="R26" s="43"/>
    </row>
    <row r="27" spans="1:18">
      <c r="E27" s="102" t="s">
        <v>49</v>
      </c>
      <c r="F27" s="103">
        <f>STDEV(F23:F25)</f>
        <v>2.4784307416589272E-3</v>
      </c>
      <c r="G27" s="103">
        <f>STDEV(G23:G25)</f>
        <v>1.652287161105952</v>
      </c>
      <c r="H27" s="96"/>
      <c r="I27" s="104">
        <f>STDEV(I23:I25)</f>
        <v>4.114952790708391E-3</v>
      </c>
      <c r="J27" s="104">
        <f>STDEV(J23:J25)</f>
        <v>2.7433018604722652</v>
      </c>
      <c r="K27" s="96"/>
      <c r="L27" s="104">
        <f>STDEV(L23:L25)</f>
        <v>2.699587660551513E-3</v>
      </c>
      <c r="M27" s="104">
        <f>STDEV(M23:M25)</f>
        <v>1.1487607066176653</v>
      </c>
      <c r="N27" s="96"/>
      <c r="O27" s="104">
        <f>STDEV(O23:O25)</f>
        <v>2.7966771012380041E-3</v>
      </c>
      <c r="P27" s="103">
        <f>STDEV(P23:P25)</f>
        <v>1.1900753622289377</v>
      </c>
      <c r="Q27" s="19"/>
      <c r="R27" s="43"/>
    </row>
    <row r="28" spans="1:18">
      <c r="E28" s="102" t="s">
        <v>228</v>
      </c>
      <c r="F28" s="101"/>
      <c r="G28" s="101"/>
      <c r="H28" s="96"/>
      <c r="I28" s="104">
        <f>I26/(I26+F26)</f>
        <v>0.58869787055516487</v>
      </c>
      <c r="J28" s="96"/>
      <c r="K28" s="96"/>
      <c r="L28" s="96"/>
      <c r="M28" s="96"/>
      <c r="N28" s="96"/>
      <c r="O28" s="104">
        <f>O26/(O26+L26)</f>
        <v>0.52268107467433111</v>
      </c>
      <c r="P28" s="104"/>
      <c r="Q28" s="19"/>
      <c r="R28" s="43"/>
    </row>
    <row r="29" spans="1:18">
      <c r="E29" s="9"/>
      <c r="F29" s="9"/>
      <c r="G29" s="9"/>
      <c r="H29" s="2"/>
      <c r="I29" s="2"/>
      <c r="J29" s="2"/>
      <c r="K29" s="2"/>
      <c r="L29" s="2"/>
      <c r="M29" s="2"/>
      <c r="N29" s="105"/>
      <c r="O29" s="105"/>
      <c r="P29" s="105"/>
      <c r="Q29" s="19"/>
      <c r="R29" s="43"/>
    </row>
    <row r="30" spans="1:18">
      <c r="B30" s="106"/>
      <c r="C30" s="107" t="s">
        <v>229</v>
      </c>
      <c r="D30" s="96"/>
      <c r="E30" s="101"/>
      <c r="F30" s="101"/>
      <c r="G30" s="101"/>
      <c r="H30" s="96"/>
      <c r="I30" s="96"/>
      <c r="J30" s="96"/>
      <c r="K30" s="99"/>
      <c r="L30" s="107" t="s">
        <v>230</v>
      </c>
      <c r="M30" s="96"/>
      <c r="N30" s="96"/>
      <c r="O30" s="96"/>
      <c r="P30" s="96"/>
      <c r="Q30" s="19"/>
      <c r="R30" s="43"/>
    </row>
    <row r="31" spans="1:18">
      <c r="B31" s="106"/>
      <c r="C31" s="100">
        <v>0.1</v>
      </c>
      <c r="D31" s="99" t="s">
        <v>231</v>
      </c>
      <c r="E31" s="101">
        <v>4631703</v>
      </c>
      <c r="F31" s="101">
        <v>3312</v>
      </c>
      <c r="G31" s="101">
        <f>F31/E31</f>
        <v>7.1507175654397532E-4</v>
      </c>
      <c r="H31" s="96"/>
      <c r="I31" s="96"/>
      <c r="J31" s="96"/>
      <c r="K31" s="99"/>
      <c r="L31" s="101"/>
      <c r="M31" s="96"/>
      <c r="N31" s="96"/>
      <c r="O31" s="96"/>
      <c r="P31" s="108" t="s">
        <v>232</v>
      </c>
      <c r="Q31" s="19"/>
      <c r="R31" s="43"/>
    </row>
    <row r="32" spans="1:18">
      <c r="B32" s="19"/>
      <c r="C32" s="100">
        <v>0.2</v>
      </c>
      <c r="D32" s="99" t="s">
        <v>233</v>
      </c>
      <c r="E32" s="101">
        <v>4676629</v>
      </c>
      <c r="F32" s="101">
        <v>5606</v>
      </c>
      <c r="G32" s="101">
        <f t="shared" ref="G32:G37" si="3">F32/E32</f>
        <v>1.1987266896732668E-3</v>
      </c>
      <c r="H32" s="96"/>
      <c r="I32" s="96"/>
      <c r="J32" s="96"/>
      <c r="K32" s="99" t="s">
        <v>233</v>
      </c>
      <c r="L32" s="101">
        <v>12855</v>
      </c>
      <c r="M32" s="96">
        <f t="shared" ref="M32:M37" si="4">L32/E32</f>
        <v>2.7487748119425339E-3</v>
      </c>
      <c r="N32" s="96"/>
      <c r="O32" s="109" t="s">
        <v>234</v>
      </c>
      <c r="P32" s="96">
        <f>J26/G26</f>
        <v>1.4324138761060996</v>
      </c>
      <c r="Q32" s="19"/>
      <c r="R32" s="43"/>
    </row>
    <row r="33" spans="2:18">
      <c r="B33" s="19"/>
      <c r="C33" s="100">
        <v>1</v>
      </c>
      <c r="D33" s="99" t="s">
        <v>235</v>
      </c>
      <c r="E33" s="101">
        <v>4668541</v>
      </c>
      <c r="F33" s="101">
        <v>29981</v>
      </c>
      <c r="G33" s="101">
        <f t="shared" si="3"/>
        <v>6.4219206814291659E-3</v>
      </c>
      <c r="H33" s="96"/>
      <c r="I33" s="96"/>
      <c r="J33" s="96"/>
      <c r="K33" s="99" t="s">
        <v>235</v>
      </c>
      <c r="L33" s="101">
        <v>43489</v>
      </c>
      <c r="M33" s="96">
        <f t="shared" si="4"/>
        <v>9.3153299928178841E-3</v>
      </c>
      <c r="N33" s="96"/>
      <c r="O33" s="109" t="s">
        <v>110</v>
      </c>
      <c r="P33" s="96">
        <f>P26/M26</f>
        <v>1.0935802487211315</v>
      </c>
      <c r="Q33" s="19"/>
      <c r="R33" s="43"/>
    </row>
    <row r="34" spans="2:18">
      <c r="B34" s="19"/>
      <c r="C34" s="100">
        <v>2</v>
      </c>
      <c r="D34" s="99" t="s">
        <v>236</v>
      </c>
      <c r="E34" s="101">
        <v>4778731</v>
      </c>
      <c r="F34" s="101">
        <v>62649</v>
      </c>
      <c r="G34" s="101">
        <f t="shared" si="3"/>
        <v>1.3109965804729331E-2</v>
      </c>
      <c r="H34" s="96"/>
      <c r="I34" s="96"/>
      <c r="J34" s="96"/>
      <c r="K34" s="99" t="s">
        <v>236</v>
      </c>
      <c r="L34" s="101">
        <v>126083</v>
      </c>
      <c r="M34" s="96">
        <f t="shared" si="4"/>
        <v>2.6384201161354343E-2</v>
      </c>
      <c r="N34" s="19"/>
      <c r="O34" s="19"/>
      <c r="P34" s="19"/>
      <c r="Q34" s="19"/>
      <c r="R34" s="43"/>
    </row>
    <row r="35" spans="2:18">
      <c r="B35" s="19"/>
      <c r="C35" s="100">
        <v>10</v>
      </c>
      <c r="D35" s="99" t="s">
        <v>237</v>
      </c>
      <c r="E35" s="101">
        <v>4745391</v>
      </c>
      <c r="F35" s="101">
        <v>291533</v>
      </c>
      <c r="G35" s="101">
        <f t="shared" si="3"/>
        <v>6.1434979751931927E-2</v>
      </c>
      <c r="H35" s="96"/>
      <c r="I35" s="96"/>
      <c r="J35" s="96"/>
      <c r="K35" s="99" t="s">
        <v>237</v>
      </c>
      <c r="L35" s="101">
        <v>434011</v>
      </c>
      <c r="M35" s="96">
        <f t="shared" si="4"/>
        <v>9.1459481421025154E-2</v>
      </c>
      <c r="N35" s="19"/>
      <c r="O35" s="19"/>
      <c r="P35" s="19"/>
      <c r="Q35" s="19"/>
      <c r="R35" s="43"/>
    </row>
    <row r="36" spans="2:18">
      <c r="B36" s="19"/>
      <c r="C36" s="100">
        <v>20</v>
      </c>
      <c r="D36" s="99" t="s">
        <v>238</v>
      </c>
      <c r="E36" s="101">
        <v>4780657</v>
      </c>
      <c r="F36" s="101">
        <v>571798</v>
      </c>
      <c r="G36" s="101">
        <f t="shared" si="3"/>
        <v>0.11960657290410084</v>
      </c>
      <c r="H36" s="96"/>
      <c r="I36" s="96"/>
      <c r="J36" s="96"/>
      <c r="K36" s="99" t="s">
        <v>238</v>
      </c>
      <c r="L36" s="101">
        <v>831234</v>
      </c>
      <c r="M36" s="96">
        <f t="shared" si="4"/>
        <v>0.17387442771987197</v>
      </c>
      <c r="N36" s="19"/>
      <c r="O36" s="19"/>
      <c r="P36" s="19"/>
      <c r="Q36" s="19"/>
      <c r="R36" s="43"/>
    </row>
    <row r="37" spans="2:18">
      <c r="B37" s="19"/>
      <c r="C37" s="100">
        <v>100</v>
      </c>
      <c r="D37" s="99" t="s">
        <v>239</v>
      </c>
      <c r="E37" s="101">
        <v>4779716</v>
      </c>
      <c r="F37" s="101">
        <v>2893307</v>
      </c>
      <c r="G37" s="101">
        <f t="shared" si="3"/>
        <v>0.6053303166966405</v>
      </c>
      <c r="H37" s="96"/>
      <c r="I37" s="96"/>
      <c r="J37" s="96"/>
      <c r="K37" s="99" t="s">
        <v>239</v>
      </c>
      <c r="L37" s="101">
        <v>4513740</v>
      </c>
      <c r="M37" s="96">
        <f t="shared" si="4"/>
        <v>0.94435317914286121</v>
      </c>
      <c r="N37" s="19"/>
      <c r="O37" s="19"/>
      <c r="P37" s="19"/>
      <c r="Q37" s="19"/>
      <c r="R37" s="43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3c</vt:lpstr>
      <vt:lpstr>Fig 5d</vt:lpstr>
      <vt:lpstr>Fig 6b</vt:lpstr>
      <vt:lpstr>Fig 7a-b</vt:lpstr>
      <vt:lpstr>Fig 8a</vt:lpstr>
      <vt:lpstr>Fig 8b-c</vt:lpstr>
    </vt:vector>
  </TitlesOfParts>
  <Company>Kobe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Vavricka</dc:creator>
  <cp:lastModifiedBy>Christopher Vavricka</cp:lastModifiedBy>
  <dcterms:created xsi:type="dcterms:W3CDTF">2021-12-02T05:53:27Z</dcterms:created>
  <dcterms:modified xsi:type="dcterms:W3CDTF">2022-02-01T05:54:23Z</dcterms:modified>
</cp:coreProperties>
</file>