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Protein-Chemistry-Enzyme-Technology\Restricted data\Milkome\Akkermansia_stuff\Revised\Editorial revision\ExtendedData\"/>
    </mc:Choice>
  </mc:AlternateContent>
  <bookViews>
    <workbookView xWindow="0" yWindow="0" windowWidth="28800" windowHeight="14100" activeTab="4"/>
  </bookViews>
  <sheets>
    <sheet name="PGM_PCM_Fetuin_Fucosidases" sheetId="3" r:id="rId1"/>
    <sheet name="Human N-glycan_Fucosidases" sheetId="6" r:id="rId2"/>
    <sheet name="PCM_SIalidases" sheetId="7" r:id="rId3"/>
    <sheet name="PGM_Sialidases" sheetId="8" r:id="rId4"/>
    <sheet name="Mouse Muc2_Sialidases" sheetId="9" r:id="rId5"/>
    <sheet name="Human IgG_Sialidases" sheetId="10" r:id="rId6"/>
  </sheets>
  <calcPr calcId="162913"/>
</workbook>
</file>

<file path=xl/calcChain.xml><?xml version="1.0" encoding="utf-8"?>
<calcChain xmlns="http://schemas.openxmlformats.org/spreadsheetml/2006/main">
  <c r="U28" i="10" l="1"/>
  <c r="V19" i="10" s="1"/>
  <c r="R28" i="10"/>
  <c r="O28" i="10"/>
  <c r="P13" i="10" s="1"/>
  <c r="L28" i="10"/>
  <c r="M26" i="10" s="1"/>
  <c r="I28" i="10"/>
  <c r="J23" i="10" s="1"/>
  <c r="S27" i="10"/>
  <c r="J27" i="10"/>
  <c r="S26" i="10"/>
  <c r="P26" i="10"/>
  <c r="S25" i="10"/>
  <c r="M25" i="10"/>
  <c r="S24" i="10"/>
  <c r="S23" i="10"/>
  <c r="P23" i="10"/>
  <c r="M23" i="10"/>
  <c r="S22" i="10"/>
  <c r="J22" i="10"/>
  <c r="S21" i="10"/>
  <c r="P21" i="10"/>
  <c r="S20" i="10"/>
  <c r="M20" i="10"/>
  <c r="J20" i="10"/>
  <c r="S19" i="10"/>
  <c r="S18" i="10"/>
  <c r="P18" i="10"/>
  <c r="M18" i="10"/>
  <c r="S17" i="10"/>
  <c r="P17" i="10"/>
  <c r="J17" i="10"/>
  <c r="V16" i="10"/>
  <c r="S16" i="10"/>
  <c r="S15" i="10"/>
  <c r="M15" i="10"/>
  <c r="J15" i="10"/>
  <c r="S14" i="10"/>
  <c r="M14" i="10"/>
  <c r="S13" i="10"/>
  <c r="S12" i="10"/>
  <c r="P12" i="10"/>
  <c r="J12" i="10"/>
  <c r="S11" i="10"/>
  <c r="J11" i="10"/>
  <c r="S10" i="10"/>
  <c r="P10" i="10"/>
  <c r="S9" i="10"/>
  <c r="M9" i="10"/>
  <c r="S8" i="10"/>
  <c r="S7" i="10"/>
  <c r="P7" i="10"/>
  <c r="M7" i="10"/>
  <c r="S6" i="10"/>
  <c r="J6" i="10"/>
  <c r="S5" i="10"/>
  <c r="P5" i="10"/>
  <c r="S4" i="10"/>
  <c r="S28" i="10" s="1"/>
  <c r="M4" i="10"/>
  <c r="J4" i="10"/>
  <c r="AK98" i="9"/>
  <c r="AH98" i="9"/>
  <c r="AI81" i="9" s="1"/>
  <c r="AE98" i="9"/>
  <c r="AF52" i="9" s="1"/>
  <c r="AB98" i="9"/>
  <c r="AC90" i="9" s="1"/>
  <c r="Y98" i="9"/>
  <c r="Z96" i="9" s="1"/>
  <c r="V98" i="9"/>
  <c r="W95" i="9" s="1"/>
  <c r="S98" i="9"/>
  <c r="T90" i="9" s="1"/>
  <c r="P98" i="9"/>
  <c r="Q92" i="9" s="1"/>
  <c r="M98" i="9"/>
  <c r="N70" i="9" s="1"/>
  <c r="J98" i="9"/>
  <c r="K82" i="9" s="1"/>
  <c r="H98" i="9"/>
  <c r="G98" i="9"/>
  <c r="F98" i="9"/>
  <c r="E98" i="9"/>
  <c r="AL97" i="9"/>
  <c r="Z97" i="9"/>
  <c r="T97" i="9"/>
  <c r="AL96" i="9"/>
  <c r="AI96" i="9"/>
  <c r="AF96" i="9"/>
  <c r="AC96" i="9"/>
  <c r="AL95" i="9"/>
  <c r="Z95" i="9"/>
  <c r="T95" i="9"/>
  <c r="AL94" i="9"/>
  <c r="AI94" i="9"/>
  <c r="AF94" i="9"/>
  <c r="AC94" i="9"/>
  <c r="AL93" i="9"/>
  <c r="Z93" i="9"/>
  <c r="AL92" i="9"/>
  <c r="Z92" i="9"/>
  <c r="W92" i="9"/>
  <c r="AL91" i="9"/>
  <c r="Z91" i="9"/>
  <c r="AL90" i="9"/>
  <c r="Z90" i="9"/>
  <c r="N90" i="9"/>
  <c r="AL89" i="9"/>
  <c r="Z89" i="9"/>
  <c r="AL88" i="9"/>
  <c r="AI88" i="9"/>
  <c r="Z88" i="9"/>
  <c r="T88" i="9"/>
  <c r="N88" i="9"/>
  <c r="AL87" i="9"/>
  <c r="Z87" i="9"/>
  <c r="AL86" i="9"/>
  <c r="AI86" i="9"/>
  <c r="Z86" i="9"/>
  <c r="W86" i="9"/>
  <c r="T86" i="9"/>
  <c r="N86" i="9"/>
  <c r="AL85" i="9"/>
  <c r="AL84" i="9"/>
  <c r="AI84" i="9"/>
  <c r="Z84" i="9"/>
  <c r="W84" i="9"/>
  <c r="T84" i="9"/>
  <c r="N84" i="9"/>
  <c r="AL83" i="9"/>
  <c r="AL82" i="9"/>
  <c r="AI82" i="9"/>
  <c r="Z82" i="9"/>
  <c r="AL81" i="9"/>
  <c r="AL80" i="9"/>
  <c r="AI80" i="9"/>
  <c r="AF80" i="9"/>
  <c r="Z80" i="9"/>
  <c r="T80" i="9"/>
  <c r="AL79" i="9"/>
  <c r="T79" i="9"/>
  <c r="AL78" i="9"/>
  <c r="AI78" i="9"/>
  <c r="AF78" i="9"/>
  <c r="Z78" i="9"/>
  <c r="W78" i="9"/>
  <c r="T78" i="9"/>
  <c r="N78" i="9"/>
  <c r="AL77" i="9"/>
  <c r="Z77" i="9"/>
  <c r="AL76" i="9"/>
  <c r="AI76" i="9"/>
  <c r="Z76" i="9"/>
  <c r="W76" i="9"/>
  <c r="T76" i="9"/>
  <c r="N76" i="9"/>
  <c r="AL75" i="9"/>
  <c r="AI75" i="9"/>
  <c r="AL74" i="9"/>
  <c r="Z74" i="9"/>
  <c r="T74" i="9"/>
  <c r="N74" i="9"/>
  <c r="AL73" i="9"/>
  <c r="AI73" i="9"/>
  <c r="AL72" i="9"/>
  <c r="Z72" i="9"/>
  <c r="T72" i="9"/>
  <c r="N72" i="9"/>
  <c r="AL71" i="9"/>
  <c r="AI71" i="9"/>
  <c r="AL70" i="9"/>
  <c r="Z70" i="9"/>
  <c r="W70" i="9"/>
  <c r="T70" i="9"/>
  <c r="AL69" i="9"/>
  <c r="T69" i="9"/>
  <c r="AL68" i="9"/>
  <c r="Z68" i="9"/>
  <c r="W68" i="9"/>
  <c r="AL67" i="9"/>
  <c r="AI67" i="9"/>
  <c r="Z67" i="9"/>
  <c r="T67" i="9"/>
  <c r="N67" i="9"/>
  <c r="AL66" i="9"/>
  <c r="AI66" i="9"/>
  <c r="AF66" i="9"/>
  <c r="AC66" i="9"/>
  <c r="Z66" i="9"/>
  <c r="AL65" i="9"/>
  <c r="AI65" i="9"/>
  <c r="Z65" i="9"/>
  <c r="T65" i="9"/>
  <c r="N65" i="9"/>
  <c r="AL64" i="9"/>
  <c r="AI64" i="9"/>
  <c r="AF64" i="9"/>
  <c r="AC64" i="9"/>
  <c r="Z64" i="9"/>
  <c r="AL63" i="9"/>
  <c r="AI63" i="9"/>
  <c r="Z63" i="9"/>
  <c r="T63" i="9"/>
  <c r="N63" i="9"/>
  <c r="AL62" i="9"/>
  <c r="AI62" i="9"/>
  <c r="AF62" i="9"/>
  <c r="AC62" i="9"/>
  <c r="Z62" i="9"/>
  <c r="AL61" i="9"/>
  <c r="Z61" i="9"/>
  <c r="T61" i="9"/>
  <c r="AL60" i="9"/>
  <c r="AI60" i="9"/>
  <c r="AF60" i="9"/>
  <c r="AC60" i="9"/>
  <c r="T60" i="9"/>
  <c r="AL59" i="9"/>
  <c r="Z59" i="9"/>
  <c r="AL58" i="9"/>
  <c r="AI58" i="9"/>
  <c r="AF58" i="9"/>
  <c r="T58" i="9"/>
  <c r="AL57" i="9"/>
  <c r="Z57" i="9"/>
  <c r="AL56" i="9"/>
  <c r="AI56" i="9"/>
  <c r="AF56" i="9"/>
  <c r="T56" i="9"/>
  <c r="AL55" i="9"/>
  <c r="Z55" i="9"/>
  <c r="AL54" i="9"/>
  <c r="AI54" i="9"/>
  <c r="AF54" i="9"/>
  <c r="W54" i="9"/>
  <c r="AL53" i="9"/>
  <c r="AI53" i="9"/>
  <c r="AF53" i="9"/>
  <c r="AC53" i="9"/>
  <c r="Z53" i="9"/>
  <c r="AL52" i="9"/>
  <c r="AI52" i="9"/>
  <c r="Z52" i="9"/>
  <c r="T52" i="9"/>
  <c r="AL51" i="9"/>
  <c r="AI51" i="9"/>
  <c r="AF51" i="9"/>
  <c r="Z51" i="9"/>
  <c r="T51" i="9"/>
  <c r="AL50" i="9"/>
  <c r="T50" i="9"/>
  <c r="AL49" i="9"/>
  <c r="AI49" i="9"/>
  <c r="AF49" i="9"/>
  <c r="Z49" i="9"/>
  <c r="T49" i="9"/>
  <c r="Q49" i="9"/>
  <c r="N49" i="9"/>
  <c r="K49" i="9"/>
  <c r="AL48" i="9"/>
  <c r="Z48" i="9"/>
  <c r="AL47" i="9"/>
  <c r="AI47" i="9"/>
  <c r="Z47" i="9"/>
  <c r="T47" i="9"/>
  <c r="N47" i="9"/>
  <c r="K47" i="9"/>
  <c r="AL46" i="9"/>
  <c r="Z46" i="9"/>
  <c r="W46" i="9"/>
  <c r="AL45" i="9"/>
  <c r="Z45" i="9"/>
  <c r="T45" i="9"/>
  <c r="N45" i="9"/>
  <c r="AL44" i="9"/>
  <c r="AI44" i="9"/>
  <c r="Z44" i="9"/>
  <c r="W44" i="9"/>
  <c r="T44" i="9"/>
  <c r="AL43" i="9"/>
  <c r="Z43" i="9"/>
  <c r="T43" i="9"/>
  <c r="AL42" i="9"/>
  <c r="Z42" i="9"/>
  <c r="T42" i="9"/>
  <c r="AL41" i="9"/>
  <c r="Z41" i="9"/>
  <c r="T41" i="9"/>
  <c r="AL40" i="9"/>
  <c r="AI40" i="9"/>
  <c r="Z40" i="9"/>
  <c r="T40" i="9"/>
  <c r="N40" i="9"/>
  <c r="AL39" i="9"/>
  <c r="AI39" i="9"/>
  <c r="AF39" i="9"/>
  <c r="AC39" i="9"/>
  <c r="Z39" i="9"/>
  <c r="AL38" i="9"/>
  <c r="AI38" i="9"/>
  <c r="Z38" i="9"/>
  <c r="W38" i="9"/>
  <c r="T38" i="9"/>
  <c r="AL37" i="9"/>
  <c r="AI37" i="9"/>
  <c r="AF37" i="9"/>
  <c r="AC37" i="9"/>
  <c r="Z37" i="9"/>
  <c r="AL36" i="9"/>
  <c r="Z36" i="9"/>
  <c r="W36" i="9"/>
  <c r="AL35" i="9"/>
  <c r="AI35" i="9"/>
  <c r="AF35" i="9"/>
  <c r="Z35" i="9"/>
  <c r="T35" i="9"/>
  <c r="AL34" i="9"/>
  <c r="Z34" i="9"/>
  <c r="AL33" i="9"/>
  <c r="AI33" i="9"/>
  <c r="AF33" i="9"/>
  <c r="Z33" i="9"/>
  <c r="T33" i="9"/>
  <c r="AL32" i="9"/>
  <c r="AI32" i="9"/>
  <c r="AF32" i="9"/>
  <c r="AC32" i="9"/>
  <c r="Z32" i="9"/>
  <c r="AL31" i="9"/>
  <c r="AI31" i="9"/>
  <c r="Z31" i="9"/>
  <c r="AL30" i="9"/>
  <c r="AI30" i="9"/>
  <c r="AF30" i="9"/>
  <c r="AC30" i="9"/>
  <c r="Z30" i="9"/>
  <c r="W30" i="9"/>
  <c r="T30" i="9"/>
  <c r="AL29" i="9"/>
  <c r="Z29" i="9"/>
  <c r="T29" i="9"/>
  <c r="AL28" i="9"/>
  <c r="AI28" i="9"/>
  <c r="AF28" i="9"/>
  <c r="Z28" i="9"/>
  <c r="W28" i="9"/>
  <c r="T28" i="9"/>
  <c r="N28" i="9"/>
  <c r="K28" i="9"/>
  <c r="AL27" i="9"/>
  <c r="Z27" i="9"/>
  <c r="AL26" i="9"/>
  <c r="AI26" i="9"/>
  <c r="Z26" i="9"/>
  <c r="T26" i="9"/>
  <c r="N26" i="9"/>
  <c r="K26" i="9"/>
  <c r="AL25" i="9"/>
  <c r="Z25" i="9"/>
  <c r="AL24" i="9"/>
  <c r="Z24" i="9"/>
  <c r="T24" i="9"/>
  <c r="N24" i="9"/>
  <c r="AL23" i="9"/>
  <c r="AI23" i="9"/>
  <c r="Z23" i="9"/>
  <c r="AL22" i="9"/>
  <c r="Z22" i="9"/>
  <c r="W22" i="9"/>
  <c r="T22" i="9"/>
  <c r="AL21" i="9"/>
  <c r="Z21" i="9"/>
  <c r="T21" i="9"/>
  <c r="AL20" i="9"/>
  <c r="Z20" i="9"/>
  <c r="W20" i="9"/>
  <c r="AL19" i="9"/>
  <c r="AI19" i="9"/>
  <c r="Z19" i="9"/>
  <c r="T19" i="9"/>
  <c r="N19" i="9"/>
  <c r="AL18" i="9"/>
  <c r="AI18" i="9"/>
  <c r="AF18" i="9"/>
  <c r="AC18" i="9"/>
  <c r="Z18" i="9"/>
  <c r="AL17" i="9"/>
  <c r="AI17" i="9"/>
  <c r="Z17" i="9"/>
  <c r="T17" i="9"/>
  <c r="Q17" i="9"/>
  <c r="AL16" i="9"/>
  <c r="AI16" i="9"/>
  <c r="AF16" i="9"/>
  <c r="AC16" i="9"/>
  <c r="Z16" i="9"/>
  <c r="AL15" i="9"/>
  <c r="Z15" i="9"/>
  <c r="T15" i="9"/>
  <c r="AL14" i="9"/>
  <c r="AI14" i="9"/>
  <c r="AF14" i="9"/>
  <c r="AC14" i="9"/>
  <c r="Z14" i="9"/>
  <c r="W14" i="9"/>
  <c r="T14" i="9"/>
  <c r="AL13" i="9"/>
  <c r="Z13" i="9"/>
  <c r="AL12" i="9"/>
  <c r="AI12" i="9"/>
  <c r="AF12" i="9"/>
  <c r="Z12" i="9"/>
  <c r="W12" i="9"/>
  <c r="AL11" i="9"/>
  <c r="AI11" i="9"/>
  <c r="AF11" i="9"/>
  <c r="AC11" i="9"/>
  <c r="Z11" i="9"/>
  <c r="AL10" i="9"/>
  <c r="AI10" i="9"/>
  <c r="Z10" i="9"/>
  <c r="AL9" i="9"/>
  <c r="AI9" i="9"/>
  <c r="AF9" i="9"/>
  <c r="AC9" i="9"/>
  <c r="Z9" i="9"/>
  <c r="AL8" i="9"/>
  <c r="Z8" i="9"/>
  <c r="T8" i="9"/>
  <c r="AL7" i="9"/>
  <c r="AI7" i="9"/>
  <c r="AF7" i="9"/>
  <c r="Z7" i="9"/>
  <c r="T7" i="9"/>
  <c r="AL6" i="9"/>
  <c r="Z6" i="9"/>
  <c r="W6" i="9"/>
  <c r="AL5" i="9"/>
  <c r="AI5" i="9"/>
  <c r="Z5" i="9"/>
  <c r="T5" i="9"/>
  <c r="N5" i="9"/>
  <c r="K5" i="9"/>
  <c r="T25" i="8"/>
  <c r="Q25" i="8"/>
  <c r="N25" i="8"/>
  <c r="O23" i="8" s="1"/>
  <c r="K25" i="8"/>
  <c r="L17" i="8" s="1"/>
  <c r="H25" i="8"/>
  <c r="I14" i="8" s="1"/>
  <c r="U24" i="8"/>
  <c r="R24" i="8"/>
  <c r="O24" i="8"/>
  <c r="L24" i="8"/>
  <c r="I24" i="8"/>
  <c r="U23" i="8"/>
  <c r="R23" i="8"/>
  <c r="U22" i="8"/>
  <c r="R22" i="8"/>
  <c r="O22" i="8"/>
  <c r="L22" i="8"/>
  <c r="U21" i="8"/>
  <c r="R21" i="8"/>
  <c r="O21" i="8"/>
  <c r="L21" i="8"/>
  <c r="I21" i="8"/>
  <c r="U20" i="8"/>
  <c r="R20" i="8"/>
  <c r="O20" i="8"/>
  <c r="U19" i="8"/>
  <c r="R19" i="8"/>
  <c r="O19" i="8"/>
  <c r="U18" i="8"/>
  <c r="R18" i="8"/>
  <c r="O18" i="8"/>
  <c r="L18" i="8"/>
  <c r="I18" i="8"/>
  <c r="U17" i="8"/>
  <c r="R17" i="8"/>
  <c r="O17" i="8"/>
  <c r="U16" i="8"/>
  <c r="R16" i="8"/>
  <c r="O16" i="8"/>
  <c r="U15" i="8"/>
  <c r="R15" i="8"/>
  <c r="O15" i="8"/>
  <c r="L15" i="8"/>
  <c r="I15" i="8"/>
  <c r="U14" i="8"/>
  <c r="R14" i="8"/>
  <c r="O14" i="8"/>
  <c r="L14" i="8"/>
  <c r="U13" i="8"/>
  <c r="R13" i="8"/>
  <c r="O13" i="8"/>
  <c r="L13" i="8"/>
  <c r="U12" i="8"/>
  <c r="R12" i="8"/>
  <c r="O12" i="8"/>
  <c r="L12" i="8"/>
  <c r="I12" i="8"/>
  <c r="U11" i="8"/>
  <c r="R11" i="8"/>
  <c r="O11" i="8"/>
  <c r="L11" i="8"/>
  <c r="I11" i="8"/>
  <c r="U10" i="8"/>
  <c r="R10" i="8"/>
  <c r="O10" i="8"/>
  <c r="U9" i="8"/>
  <c r="R9" i="8"/>
  <c r="O9" i="8"/>
  <c r="L9" i="8"/>
  <c r="U8" i="8"/>
  <c r="R8" i="8"/>
  <c r="O8" i="8"/>
  <c r="L8" i="8"/>
  <c r="I8" i="8"/>
  <c r="U7" i="8"/>
  <c r="R7" i="8"/>
  <c r="O7" i="8"/>
  <c r="U6" i="8"/>
  <c r="R6" i="8"/>
  <c r="O6" i="8"/>
  <c r="L6" i="8"/>
  <c r="U5" i="8"/>
  <c r="R5" i="8"/>
  <c r="O5" i="8"/>
  <c r="L5" i="8"/>
  <c r="I5" i="8"/>
  <c r="U4" i="8"/>
  <c r="U25" i="8" s="1"/>
  <c r="R4" i="8"/>
  <c r="R25" i="8" s="1"/>
  <c r="O4" i="8"/>
  <c r="O25" i="8" s="1"/>
  <c r="V86" i="7"/>
  <c r="S86" i="7"/>
  <c r="T78" i="7" s="1"/>
  <c r="P86" i="7"/>
  <c r="Q75" i="7" s="1"/>
  <c r="M86" i="7"/>
  <c r="N72" i="7" s="1"/>
  <c r="N86" i="7" s="1"/>
  <c r="J86" i="7"/>
  <c r="K85" i="7" s="1"/>
  <c r="H86" i="7"/>
  <c r="F86" i="7"/>
  <c r="E86" i="7"/>
  <c r="W85" i="7"/>
  <c r="Q85" i="7"/>
  <c r="N85" i="7"/>
  <c r="W84" i="7"/>
  <c r="Q84" i="7"/>
  <c r="N84" i="7"/>
  <c r="W83" i="7"/>
  <c r="Q83" i="7"/>
  <c r="N83" i="7"/>
  <c r="K83" i="7"/>
  <c r="W82" i="7"/>
  <c r="Q82" i="7"/>
  <c r="N82" i="7"/>
  <c r="K82" i="7"/>
  <c r="W81" i="7"/>
  <c r="Q81" i="7"/>
  <c r="N81" i="7"/>
  <c r="W80" i="7"/>
  <c r="Q80" i="7"/>
  <c r="N80" i="7"/>
  <c r="K80" i="7"/>
  <c r="W79" i="7"/>
  <c r="N79" i="7"/>
  <c r="W78" i="7"/>
  <c r="Q78" i="7"/>
  <c r="N78" i="7"/>
  <c r="K78" i="7"/>
  <c r="W77" i="7"/>
  <c r="N77" i="7"/>
  <c r="K77" i="7"/>
  <c r="W76" i="7"/>
  <c r="Q76" i="7"/>
  <c r="N76" i="7"/>
  <c r="W75" i="7"/>
  <c r="N75" i="7"/>
  <c r="W74" i="7"/>
  <c r="Q74" i="7"/>
  <c r="N74" i="7"/>
  <c r="W73" i="7"/>
  <c r="Q73" i="7"/>
  <c r="N73" i="7"/>
  <c r="W72" i="7"/>
  <c r="Q72" i="7"/>
  <c r="W71" i="7"/>
  <c r="Q71" i="7"/>
  <c r="N71" i="7"/>
  <c r="W70" i="7"/>
  <c r="Q70" i="7"/>
  <c r="N70" i="7"/>
  <c r="K70" i="7"/>
  <c r="W69" i="7"/>
  <c r="Q69" i="7"/>
  <c r="N69" i="7"/>
  <c r="W68" i="7"/>
  <c r="Q68" i="7"/>
  <c r="N68" i="7"/>
  <c r="W67" i="7"/>
  <c r="Q67" i="7"/>
  <c r="N67" i="7"/>
  <c r="K67" i="7"/>
  <c r="W66" i="7"/>
  <c r="Q66" i="7"/>
  <c r="N66" i="7"/>
  <c r="K66" i="7"/>
  <c r="W65" i="7"/>
  <c r="Q65" i="7"/>
  <c r="N65" i="7"/>
  <c r="W64" i="7"/>
  <c r="Q64" i="7"/>
  <c r="N64" i="7"/>
  <c r="K64" i="7"/>
  <c r="W63" i="7"/>
  <c r="Q63" i="7"/>
  <c r="N63" i="7"/>
  <c r="W62" i="7"/>
  <c r="Q62" i="7"/>
  <c r="N62" i="7"/>
  <c r="K62" i="7"/>
  <c r="W61" i="7"/>
  <c r="N61" i="7"/>
  <c r="K61" i="7"/>
  <c r="W60" i="7"/>
  <c r="Q60" i="7"/>
  <c r="N60" i="7"/>
  <c r="W59" i="7"/>
  <c r="N59" i="7"/>
  <c r="W58" i="7"/>
  <c r="Q58" i="7"/>
  <c r="N58" i="7"/>
  <c r="W57" i="7"/>
  <c r="Q57" i="7"/>
  <c r="N57" i="7"/>
  <c r="W56" i="7"/>
  <c r="Q56" i="7"/>
  <c r="N56" i="7"/>
  <c r="W55" i="7"/>
  <c r="Q55" i="7"/>
  <c r="N55" i="7"/>
  <c r="W54" i="7"/>
  <c r="Q54" i="7"/>
  <c r="N54" i="7"/>
  <c r="K54" i="7"/>
  <c r="W53" i="7"/>
  <c r="Q53" i="7"/>
  <c r="N53" i="7"/>
  <c r="W52" i="7"/>
  <c r="Q52" i="7"/>
  <c r="N52" i="7"/>
  <c r="W51" i="7"/>
  <c r="Q51" i="7"/>
  <c r="N51" i="7"/>
  <c r="K51" i="7"/>
  <c r="W50" i="7"/>
  <c r="Q50" i="7"/>
  <c r="N50" i="7"/>
  <c r="K50" i="7"/>
  <c r="W49" i="7"/>
  <c r="Q49" i="7"/>
  <c r="N49" i="7"/>
  <c r="W48" i="7"/>
  <c r="Q48" i="7"/>
  <c r="N48" i="7"/>
  <c r="K48" i="7"/>
  <c r="W47" i="7"/>
  <c r="Q47" i="7"/>
  <c r="N47" i="7"/>
  <c r="W46" i="7"/>
  <c r="Q46" i="7"/>
  <c r="N46" i="7"/>
  <c r="K46" i="7"/>
  <c r="W45" i="7"/>
  <c r="N45" i="7"/>
  <c r="K45" i="7"/>
  <c r="W44" i="7"/>
  <c r="Q44" i="7"/>
  <c r="N44" i="7"/>
  <c r="W43" i="7"/>
  <c r="N43" i="7"/>
  <c r="W42" i="7"/>
  <c r="Q42" i="7"/>
  <c r="N42" i="7"/>
  <c r="W41" i="7"/>
  <c r="Q41" i="7"/>
  <c r="N41" i="7"/>
  <c r="W40" i="7"/>
  <c r="Q40" i="7"/>
  <c r="N40" i="7"/>
  <c r="W39" i="7"/>
  <c r="Q39" i="7"/>
  <c r="N39" i="7"/>
  <c r="W38" i="7"/>
  <c r="Q38" i="7"/>
  <c r="N38" i="7"/>
  <c r="K38" i="7"/>
  <c r="W37" i="7"/>
  <c r="Q37" i="7"/>
  <c r="N37" i="7"/>
  <c r="W36" i="7"/>
  <c r="Q36" i="7"/>
  <c r="N36" i="7"/>
  <c r="W35" i="7"/>
  <c r="Q35" i="7"/>
  <c r="N35" i="7"/>
  <c r="K35" i="7"/>
  <c r="W34" i="7"/>
  <c r="Q34" i="7"/>
  <c r="N34" i="7"/>
  <c r="K34" i="7"/>
  <c r="W33" i="7"/>
  <c r="Q33" i="7"/>
  <c r="N33" i="7"/>
  <c r="W32" i="7"/>
  <c r="Q32" i="7"/>
  <c r="N32" i="7"/>
  <c r="K32" i="7"/>
  <c r="W31" i="7"/>
  <c r="Q31" i="7"/>
  <c r="N31" i="7"/>
  <c r="W30" i="7"/>
  <c r="Q30" i="7"/>
  <c r="N30" i="7"/>
  <c r="K30" i="7"/>
  <c r="W29" i="7"/>
  <c r="Q29" i="7"/>
  <c r="N29" i="7"/>
  <c r="K29" i="7"/>
  <c r="W28" i="7"/>
  <c r="Q28" i="7"/>
  <c r="N28" i="7"/>
  <c r="W27" i="7"/>
  <c r="N27" i="7"/>
  <c r="K27" i="7"/>
  <c r="W26" i="7"/>
  <c r="Q26" i="7"/>
  <c r="N26" i="7"/>
  <c r="W25" i="7"/>
  <c r="Q25" i="7"/>
  <c r="N25" i="7"/>
  <c r="W24" i="7"/>
  <c r="Q24" i="7"/>
  <c r="N24" i="7"/>
  <c r="W23" i="7"/>
  <c r="Q23" i="7"/>
  <c r="N23" i="7"/>
  <c r="W22" i="7"/>
  <c r="Q22" i="7"/>
  <c r="N22" i="7"/>
  <c r="K22" i="7"/>
  <c r="W21" i="7"/>
  <c r="Q21" i="7"/>
  <c r="N21" i="7"/>
  <c r="W20" i="7"/>
  <c r="Q20" i="7"/>
  <c r="N20" i="7"/>
  <c r="K20" i="7"/>
  <c r="W19" i="7"/>
  <c r="Q19" i="7"/>
  <c r="N19" i="7"/>
  <c r="K19" i="7"/>
  <c r="W18" i="7"/>
  <c r="Q18" i="7"/>
  <c r="N18" i="7"/>
  <c r="K18" i="7"/>
  <c r="W17" i="7"/>
  <c r="Q17" i="7"/>
  <c r="N17" i="7"/>
  <c r="W16" i="7"/>
  <c r="Q16" i="7"/>
  <c r="N16" i="7"/>
  <c r="K16" i="7"/>
  <c r="W15" i="7"/>
  <c r="Q15" i="7"/>
  <c r="N15" i="7"/>
  <c r="W14" i="7"/>
  <c r="Q14" i="7"/>
  <c r="N14" i="7"/>
  <c r="K14" i="7"/>
  <c r="W13" i="7"/>
  <c r="Q13" i="7"/>
  <c r="N13" i="7"/>
  <c r="K13" i="7"/>
  <c r="W12" i="7"/>
  <c r="Q12" i="7"/>
  <c r="N12" i="7"/>
  <c r="W11" i="7"/>
  <c r="N11" i="7"/>
  <c r="K11" i="7"/>
  <c r="W10" i="7"/>
  <c r="Q10" i="7"/>
  <c r="N10" i="7"/>
  <c r="W9" i="7"/>
  <c r="Q9" i="7"/>
  <c r="N9" i="7"/>
  <c r="W8" i="7"/>
  <c r="Q8" i="7"/>
  <c r="N8" i="7"/>
  <c r="W7" i="7"/>
  <c r="W86" i="7" s="1"/>
  <c r="Q7" i="7"/>
  <c r="N7" i="7"/>
  <c r="W6" i="7"/>
  <c r="Q6" i="7"/>
  <c r="N6" i="7"/>
  <c r="K6" i="7"/>
  <c r="W5" i="7"/>
  <c r="Q5" i="7"/>
  <c r="N5" i="7"/>
  <c r="W4" i="7"/>
  <c r="Q4" i="7"/>
  <c r="N4" i="7"/>
  <c r="K4" i="7"/>
  <c r="K78" i="9" l="1"/>
  <c r="K88" i="9"/>
  <c r="K7" i="9"/>
  <c r="K30" i="9"/>
  <c r="K51" i="9"/>
  <c r="N7" i="9"/>
  <c r="AC20" i="9"/>
  <c r="K32" i="9"/>
  <c r="AC43" i="9"/>
  <c r="N51" i="9"/>
  <c r="N80" i="9"/>
  <c r="Q9" i="9"/>
  <c r="K13" i="9"/>
  <c r="AF20" i="9"/>
  <c r="AC24" i="9"/>
  <c r="N32" i="9"/>
  <c r="AF41" i="9"/>
  <c r="AC45" i="9"/>
  <c r="N53" i="9"/>
  <c r="K57" i="9"/>
  <c r="AF68" i="9"/>
  <c r="AC72" i="9"/>
  <c r="AF90" i="9"/>
  <c r="AF92" i="9"/>
  <c r="AC5" i="9"/>
  <c r="T9" i="9"/>
  <c r="T11" i="9"/>
  <c r="N13" i="9"/>
  <c r="K15" i="9"/>
  <c r="K17" i="9"/>
  <c r="AI20" i="9"/>
  <c r="AF22" i="9"/>
  <c r="AF24" i="9"/>
  <c r="AC26" i="9"/>
  <c r="T32" i="9"/>
  <c r="N34" i="9"/>
  <c r="N36" i="9"/>
  <c r="K38" i="9"/>
  <c r="AI41" i="9"/>
  <c r="AI43" i="9"/>
  <c r="AF45" i="9"/>
  <c r="AC47" i="9"/>
  <c r="T53" i="9"/>
  <c r="N55" i="9"/>
  <c r="N57" i="9"/>
  <c r="N59" i="9"/>
  <c r="K61" i="9"/>
  <c r="AI68" i="9"/>
  <c r="AF70" i="9"/>
  <c r="AF72" i="9"/>
  <c r="AF74" i="9"/>
  <c r="AC76" i="9"/>
  <c r="AC82" i="9"/>
  <c r="AC84" i="9"/>
  <c r="AC86" i="9"/>
  <c r="AC88" i="9"/>
  <c r="AI90" i="9"/>
  <c r="AI92" i="9"/>
  <c r="K95" i="9"/>
  <c r="K97" i="9"/>
  <c r="N9" i="9"/>
  <c r="K11" i="9"/>
  <c r="N30" i="9"/>
  <c r="AC41" i="9"/>
  <c r="K53" i="9"/>
  <c r="AC68" i="9"/>
  <c r="N82" i="9"/>
  <c r="AC92" i="9"/>
  <c r="N11" i="9"/>
  <c r="AC22" i="9"/>
  <c r="K34" i="9"/>
  <c r="K36" i="9"/>
  <c r="AF43" i="9"/>
  <c r="K55" i="9"/>
  <c r="K59" i="9"/>
  <c r="AC70" i="9"/>
  <c r="AC74" i="9"/>
  <c r="AF5" i="9"/>
  <c r="AC7" i="9"/>
  <c r="T13" i="9"/>
  <c r="N15" i="9"/>
  <c r="N17" i="9"/>
  <c r="K19" i="9"/>
  <c r="AI22" i="9"/>
  <c r="AI24" i="9"/>
  <c r="AF26" i="9"/>
  <c r="AC28" i="9"/>
  <c r="T34" i="9"/>
  <c r="T36" i="9"/>
  <c r="N38" i="9"/>
  <c r="K40" i="9"/>
  <c r="AI45" i="9"/>
  <c r="AF47" i="9"/>
  <c r="AC49" i="9"/>
  <c r="AC51" i="9"/>
  <c r="T55" i="9"/>
  <c r="T57" i="9"/>
  <c r="T59" i="9"/>
  <c r="N61" i="9"/>
  <c r="K63" i="9"/>
  <c r="K65" i="9"/>
  <c r="K67" i="9"/>
  <c r="AI70" i="9"/>
  <c r="AI72" i="9"/>
  <c r="AI74" i="9"/>
  <c r="AF76" i="9"/>
  <c r="AC78" i="9"/>
  <c r="AC80" i="9"/>
  <c r="AF82" i="9"/>
  <c r="AF84" i="9"/>
  <c r="AF86" i="9"/>
  <c r="AF88" i="9"/>
  <c r="N95" i="9"/>
  <c r="N97" i="9"/>
  <c r="K91" i="9"/>
  <c r="K93" i="9"/>
  <c r="N21" i="9"/>
  <c r="AC34" i="9"/>
  <c r="N44" i="9"/>
  <c r="K71" i="9"/>
  <c r="N93" i="9"/>
  <c r="K6" i="9"/>
  <c r="AF13" i="9"/>
  <c r="AC15" i="9"/>
  <c r="N23" i="9"/>
  <c r="N25" i="9"/>
  <c r="K27" i="9"/>
  <c r="AF34" i="9"/>
  <c r="AC36" i="9"/>
  <c r="K48" i="9"/>
  <c r="AF57" i="9"/>
  <c r="N6" i="9"/>
  <c r="K8" i="9"/>
  <c r="AI13" i="9"/>
  <c r="AF15" i="9"/>
  <c r="AC17" i="9"/>
  <c r="AC19" i="9"/>
  <c r="T23" i="9"/>
  <c r="Q25" i="9"/>
  <c r="N27" i="9"/>
  <c r="K29" i="9"/>
  <c r="AI34" i="9"/>
  <c r="AF36" i="9"/>
  <c r="AC38" i="9"/>
  <c r="AC40" i="9"/>
  <c r="T46" i="9"/>
  <c r="N48" i="9"/>
  <c r="K50" i="9"/>
  <c r="K52" i="9"/>
  <c r="AI55" i="9"/>
  <c r="AI57" i="9"/>
  <c r="AI59" i="9"/>
  <c r="AF61" i="9"/>
  <c r="AC63" i="9"/>
  <c r="AC65" i="9"/>
  <c r="AC67" i="9"/>
  <c r="Z69" i="9"/>
  <c r="T71" i="9"/>
  <c r="T73" i="9"/>
  <c r="T75" i="9"/>
  <c r="N77" i="9"/>
  <c r="K79" i="9"/>
  <c r="K81" i="9"/>
  <c r="N83" i="9"/>
  <c r="N85" i="9"/>
  <c r="N87" i="9"/>
  <c r="N89" i="9"/>
  <c r="AC91" i="9"/>
  <c r="AF93" i="9"/>
  <c r="AF95" i="9"/>
  <c r="AF97" i="9"/>
  <c r="AL98" i="9"/>
  <c r="AC57" i="9"/>
  <c r="N46" i="9"/>
  <c r="AF55" i="9"/>
  <c r="AF59" i="9"/>
  <c r="AC61" i="9"/>
  <c r="N71" i="9"/>
  <c r="N73" i="9"/>
  <c r="N75" i="9"/>
  <c r="K77" i="9"/>
  <c r="K83" i="9"/>
  <c r="K85" i="9"/>
  <c r="K87" i="9"/>
  <c r="K89" i="9"/>
  <c r="AC95" i="9"/>
  <c r="AC97" i="9"/>
  <c r="T6" i="9"/>
  <c r="N8" i="9"/>
  <c r="N98" i="9" s="1"/>
  <c r="K10" i="9"/>
  <c r="K12" i="9"/>
  <c r="AI15" i="9"/>
  <c r="AF17" i="9"/>
  <c r="AF19" i="9"/>
  <c r="AC21" i="9"/>
  <c r="T25" i="9"/>
  <c r="T27" i="9"/>
  <c r="N29" i="9"/>
  <c r="K31" i="9"/>
  <c r="K33" i="9"/>
  <c r="AI36" i="9"/>
  <c r="AF38" i="9"/>
  <c r="AF40" i="9"/>
  <c r="AC42" i="9"/>
  <c r="T48" i="9"/>
  <c r="N50" i="9"/>
  <c r="N52" i="9"/>
  <c r="K54" i="9"/>
  <c r="AI61" i="9"/>
  <c r="AF63" i="9"/>
  <c r="AF65" i="9"/>
  <c r="AF67" i="9"/>
  <c r="AC69" i="9"/>
  <c r="Z71" i="9"/>
  <c r="Z73" i="9"/>
  <c r="Z75" i="9"/>
  <c r="T77" i="9"/>
  <c r="N79" i="9"/>
  <c r="N81" i="9"/>
  <c r="Z83" i="9"/>
  <c r="Z85" i="9"/>
  <c r="T87" i="9"/>
  <c r="T89" i="9"/>
  <c r="AF91" i="9"/>
  <c r="AI93" i="9"/>
  <c r="AI95" i="9"/>
  <c r="AI97" i="9"/>
  <c r="K69" i="9"/>
  <c r="K23" i="9"/>
  <c r="K46" i="9"/>
  <c r="AC55" i="9"/>
  <c r="K75" i="9"/>
  <c r="N91" i="9"/>
  <c r="N10" i="9"/>
  <c r="N12" i="9"/>
  <c r="K14" i="9"/>
  <c r="AF21" i="9"/>
  <c r="AC23" i="9"/>
  <c r="N31" i="9"/>
  <c r="N33" i="9"/>
  <c r="K35" i="9"/>
  <c r="AF42" i="9"/>
  <c r="AC44" i="9"/>
  <c r="N54" i="9"/>
  <c r="K56" i="9"/>
  <c r="K58" i="9"/>
  <c r="K60" i="9"/>
  <c r="AF69" i="9"/>
  <c r="AC71" i="9"/>
  <c r="AC73" i="9"/>
  <c r="AC75" i="9"/>
  <c r="T81" i="9"/>
  <c r="AC83" i="9"/>
  <c r="AC85" i="9"/>
  <c r="AI91" i="9"/>
  <c r="T10" i="9"/>
  <c r="T12" i="9"/>
  <c r="N14" i="9"/>
  <c r="K16" i="9"/>
  <c r="AI21" i="9"/>
  <c r="AF23" i="9"/>
  <c r="AC25" i="9"/>
  <c r="AC27" i="9"/>
  <c r="T31" i="9"/>
  <c r="Q33" i="9"/>
  <c r="N35" i="9"/>
  <c r="K37" i="9"/>
  <c r="AI42" i="9"/>
  <c r="AF44" i="9"/>
  <c r="AC46" i="9"/>
  <c r="AC48" i="9"/>
  <c r="Z50" i="9"/>
  <c r="W52" i="9"/>
  <c r="T54" i="9"/>
  <c r="N56" i="9"/>
  <c r="N58" i="9"/>
  <c r="N60" i="9"/>
  <c r="K62" i="9"/>
  <c r="AI69" i="9"/>
  <c r="AF71" i="9"/>
  <c r="AF73" i="9"/>
  <c r="AF75" i="9"/>
  <c r="AC77" i="9"/>
  <c r="Z79" i="9"/>
  <c r="Z81" i="9"/>
  <c r="AF83" i="9"/>
  <c r="AF85" i="9"/>
  <c r="AC87" i="9"/>
  <c r="AC89" i="9"/>
  <c r="K94" i="9"/>
  <c r="K96" i="9"/>
  <c r="K44" i="9"/>
  <c r="K25" i="9"/>
  <c r="N69" i="9"/>
  <c r="AC8" i="9"/>
  <c r="N16" i="9"/>
  <c r="K20" i="9"/>
  <c r="AF27" i="9"/>
  <c r="N37" i="9"/>
  <c r="K66" i="9"/>
  <c r="AF6" i="9"/>
  <c r="AF8" i="9"/>
  <c r="AC10" i="9"/>
  <c r="T16" i="9"/>
  <c r="N18" i="9"/>
  <c r="N20" i="9"/>
  <c r="K22" i="9"/>
  <c r="AI25" i="9"/>
  <c r="AI27" i="9"/>
  <c r="AF29" i="9"/>
  <c r="AC31" i="9"/>
  <c r="T37" i="9"/>
  <c r="N39" i="9"/>
  <c r="N41" i="9"/>
  <c r="K43" i="9"/>
  <c r="AI46" i="9"/>
  <c r="AI48" i="9"/>
  <c r="AF50" i="9"/>
  <c r="AC52" i="9"/>
  <c r="Z54" i="9"/>
  <c r="Z56" i="9"/>
  <c r="Z58" i="9"/>
  <c r="W60" i="9"/>
  <c r="T62" i="9"/>
  <c r="N64" i="9"/>
  <c r="N66" i="9"/>
  <c r="N68" i="9"/>
  <c r="K70" i="9"/>
  <c r="AI77" i="9"/>
  <c r="AF79" i="9"/>
  <c r="AF81" i="9"/>
  <c r="AI87" i="9"/>
  <c r="AI89" i="9"/>
  <c r="N92" i="9"/>
  <c r="W94" i="9"/>
  <c r="T96" i="9"/>
  <c r="K21" i="9"/>
  <c r="K42" i="9"/>
  <c r="AC13" i="9"/>
  <c r="N42" i="9"/>
  <c r="AC59" i="9"/>
  <c r="K73" i="9"/>
  <c r="AC6" i="9"/>
  <c r="K18" i="9"/>
  <c r="AF25" i="9"/>
  <c r="AC29" i="9"/>
  <c r="K39" i="9"/>
  <c r="K41" i="9"/>
  <c r="AF46" i="9"/>
  <c r="AF48" i="9"/>
  <c r="AC50" i="9"/>
  <c r="N62" i="9"/>
  <c r="K64" i="9"/>
  <c r="K68" i="9"/>
  <c r="AF77" i="9"/>
  <c r="AC79" i="9"/>
  <c r="AC81" i="9"/>
  <c r="AI83" i="9"/>
  <c r="AI85" i="9"/>
  <c r="AF87" i="9"/>
  <c r="AF89" i="9"/>
  <c r="K92" i="9"/>
  <c r="N94" i="9"/>
  <c r="N96" i="9"/>
  <c r="AI6" i="9"/>
  <c r="AI98" i="9" s="1"/>
  <c r="AI8" i="9"/>
  <c r="AF10" i="9"/>
  <c r="AC12" i="9"/>
  <c r="T18" i="9"/>
  <c r="T20" i="9"/>
  <c r="N22" i="9"/>
  <c r="K24" i="9"/>
  <c r="AI29" i="9"/>
  <c r="AF31" i="9"/>
  <c r="AC33" i="9"/>
  <c r="AC35" i="9"/>
  <c r="T39" i="9"/>
  <c r="Q41" i="9"/>
  <c r="N43" i="9"/>
  <c r="K45" i="9"/>
  <c r="AI50" i="9"/>
  <c r="AC54" i="9"/>
  <c r="AC56" i="9"/>
  <c r="AC58" i="9"/>
  <c r="Z60" i="9"/>
  <c r="Z98" i="9" s="1"/>
  <c r="W62" i="9"/>
  <c r="T64" i="9"/>
  <c r="T66" i="9"/>
  <c r="T68" i="9"/>
  <c r="K72" i="9"/>
  <c r="K74" i="9"/>
  <c r="K76" i="9"/>
  <c r="AI79" i="9"/>
  <c r="K84" i="9"/>
  <c r="K86" i="9"/>
  <c r="T92" i="9"/>
  <c r="Z94" i="9"/>
  <c r="K90" i="9"/>
  <c r="K9" i="9"/>
  <c r="K80" i="9"/>
  <c r="V13" i="10"/>
  <c r="P4" i="10"/>
  <c r="P28" i="10" s="1"/>
  <c r="V10" i="10"/>
  <c r="J14" i="10"/>
  <c r="M17" i="10"/>
  <c r="P20" i="10"/>
  <c r="V26" i="10"/>
  <c r="V7" i="10"/>
  <c r="V23" i="10"/>
  <c r="V4" i="10"/>
  <c r="J8" i="10"/>
  <c r="M11" i="10"/>
  <c r="P14" i="10"/>
  <c r="V20" i="10"/>
  <c r="J24" i="10"/>
  <c r="M27" i="10"/>
  <c r="J5" i="10"/>
  <c r="J28" i="10" s="1"/>
  <c r="M8" i="10"/>
  <c r="M28" i="10" s="1"/>
  <c r="P11" i="10"/>
  <c r="V17" i="10"/>
  <c r="J21" i="10"/>
  <c r="M24" i="10"/>
  <c r="P27" i="10"/>
  <c r="M5" i="10"/>
  <c r="P8" i="10"/>
  <c r="V14" i="10"/>
  <c r="J18" i="10"/>
  <c r="M21" i="10"/>
  <c r="P24" i="10"/>
  <c r="V11" i="10"/>
  <c r="V27" i="10"/>
  <c r="V8" i="10"/>
  <c r="V24" i="10"/>
  <c r="V5" i="10"/>
  <c r="J9" i="10"/>
  <c r="M12" i="10"/>
  <c r="P15" i="10"/>
  <c r="V21" i="10"/>
  <c r="J25" i="10"/>
  <c r="V18" i="10"/>
  <c r="M6" i="10"/>
  <c r="P9" i="10"/>
  <c r="V15" i="10"/>
  <c r="J19" i="10"/>
  <c r="M22" i="10"/>
  <c r="P25" i="10"/>
  <c r="V9" i="10"/>
  <c r="J13" i="10"/>
  <c r="M16" i="10"/>
  <c r="P19" i="10"/>
  <c r="V25" i="10"/>
  <c r="P6" i="10"/>
  <c r="V12" i="10"/>
  <c r="V6" i="10"/>
  <c r="J10" i="10"/>
  <c r="M13" i="10"/>
  <c r="P16" i="10"/>
  <c r="V22" i="10"/>
  <c r="J26" i="10"/>
  <c r="J16" i="10"/>
  <c r="M19" i="10"/>
  <c r="P22" i="10"/>
  <c r="J7" i="10"/>
  <c r="M10" i="10"/>
  <c r="Q6" i="9"/>
  <c r="W9" i="9"/>
  <c r="Q14" i="9"/>
  <c r="W17" i="9"/>
  <c r="Q22" i="9"/>
  <c r="W25" i="9"/>
  <c r="Q30" i="9"/>
  <c r="W33" i="9"/>
  <c r="Q38" i="9"/>
  <c r="W41" i="9"/>
  <c r="Q46" i="9"/>
  <c r="W49" i="9"/>
  <c r="Q54" i="9"/>
  <c r="W57" i="9"/>
  <c r="Q62" i="9"/>
  <c r="W65" i="9"/>
  <c r="Q70" i="9"/>
  <c r="W73" i="9"/>
  <c r="Q78" i="9"/>
  <c r="W81" i="9"/>
  <c r="Q86" i="9"/>
  <c r="W89" i="9"/>
  <c r="Q94" i="9"/>
  <c r="W97" i="9"/>
  <c r="Q57" i="9"/>
  <c r="Q73" i="9"/>
  <c r="Q97" i="9"/>
  <c r="T94" i="9"/>
  <c r="Q11" i="9"/>
  <c r="Q43" i="9"/>
  <c r="Q51" i="9"/>
  <c r="T83" i="9"/>
  <c r="T91" i="9"/>
  <c r="Q19" i="9"/>
  <c r="Q59" i="9"/>
  <c r="Q67" i="9"/>
  <c r="Q75" i="9"/>
  <c r="Q83" i="9"/>
  <c r="Q91" i="9"/>
  <c r="Q8" i="9"/>
  <c r="W11" i="9"/>
  <c r="Q16" i="9"/>
  <c r="W19" i="9"/>
  <c r="Q24" i="9"/>
  <c r="W27" i="9"/>
  <c r="Q32" i="9"/>
  <c r="W35" i="9"/>
  <c r="Q40" i="9"/>
  <c r="W43" i="9"/>
  <c r="Q48" i="9"/>
  <c r="W51" i="9"/>
  <c r="Q56" i="9"/>
  <c r="W59" i="9"/>
  <c r="Q64" i="9"/>
  <c r="W67" i="9"/>
  <c r="Q72" i="9"/>
  <c r="W75" i="9"/>
  <c r="Q80" i="9"/>
  <c r="W83" i="9"/>
  <c r="Q88" i="9"/>
  <c r="W91" i="9"/>
  <c r="Q96" i="9"/>
  <c r="Q35" i="9"/>
  <c r="Q5" i="9"/>
  <c r="W8" i="9"/>
  <c r="Q13" i="9"/>
  <c r="W16" i="9"/>
  <c r="Q21" i="9"/>
  <c r="W24" i="9"/>
  <c r="Q29" i="9"/>
  <c r="W32" i="9"/>
  <c r="Q37" i="9"/>
  <c r="W40" i="9"/>
  <c r="Q45" i="9"/>
  <c r="W48" i="9"/>
  <c r="Q53" i="9"/>
  <c r="W56" i="9"/>
  <c r="Q61" i="9"/>
  <c r="W64" i="9"/>
  <c r="Q69" i="9"/>
  <c r="W72" i="9"/>
  <c r="Q77" i="9"/>
  <c r="W80" i="9"/>
  <c r="Q85" i="9"/>
  <c r="W88" i="9"/>
  <c r="Q93" i="9"/>
  <c r="W96" i="9"/>
  <c r="Q65" i="9"/>
  <c r="Q81" i="9"/>
  <c r="T85" i="9"/>
  <c r="T93" i="9"/>
  <c r="W5" i="9"/>
  <c r="Q10" i="9"/>
  <c r="W13" i="9"/>
  <c r="Q18" i="9"/>
  <c r="W21" i="9"/>
  <c r="Q26" i="9"/>
  <c r="W29" i="9"/>
  <c r="Q34" i="9"/>
  <c r="W37" i="9"/>
  <c r="Q42" i="9"/>
  <c r="W45" i="9"/>
  <c r="Q50" i="9"/>
  <c r="W53" i="9"/>
  <c r="Q58" i="9"/>
  <c r="W61" i="9"/>
  <c r="Q66" i="9"/>
  <c r="W69" i="9"/>
  <c r="Q74" i="9"/>
  <c r="W77" i="9"/>
  <c r="Q82" i="9"/>
  <c r="W85" i="9"/>
  <c r="Q90" i="9"/>
  <c r="W93" i="9"/>
  <c r="T82" i="9"/>
  <c r="Q89" i="9"/>
  <c r="Q27" i="9"/>
  <c r="Q7" i="9"/>
  <c r="W10" i="9"/>
  <c r="Q15" i="9"/>
  <c r="W18" i="9"/>
  <c r="Q23" i="9"/>
  <c r="W26" i="9"/>
  <c r="Q31" i="9"/>
  <c r="W34" i="9"/>
  <c r="Q39" i="9"/>
  <c r="W42" i="9"/>
  <c r="Q47" i="9"/>
  <c r="W50" i="9"/>
  <c r="Q55" i="9"/>
  <c r="W58" i="9"/>
  <c r="Q63" i="9"/>
  <c r="W66" i="9"/>
  <c r="Q71" i="9"/>
  <c r="W74" i="9"/>
  <c r="Q79" i="9"/>
  <c r="W82" i="9"/>
  <c r="Q87" i="9"/>
  <c r="W90" i="9"/>
  <c r="AC93" i="9"/>
  <c r="AC98" i="9" s="1"/>
  <c r="Q95" i="9"/>
  <c r="W7" i="9"/>
  <c r="Q12" i="9"/>
  <c r="W15" i="9"/>
  <c r="Q20" i="9"/>
  <c r="W23" i="9"/>
  <c r="Q28" i="9"/>
  <c r="W31" i="9"/>
  <c r="Q36" i="9"/>
  <c r="W39" i="9"/>
  <c r="Q44" i="9"/>
  <c r="W47" i="9"/>
  <c r="Q52" i="9"/>
  <c r="W55" i="9"/>
  <c r="Q60" i="9"/>
  <c r="W63" i="9"/>
  <c r="Q68" i="9"/>
  <c r="W71" i="9"/>
  <c r="Q76" i="9"/>
  <c r="W79" i="9"/>
  <c r="Q84" i="9"/>
  <c r="W87" i="9"/>
  <c r="I22" i="8"/>
  <c r="I19" i="8"/>
  <c r="I16" i="8"/>
  <c r="L19" i="8"/>
  <c r="I13" i="8"/>
  <c r="L16" i="8"/>
  <c r="I10" i="8"/>
  <c r="I7" i="8"/>
  <c r="L10" i="8"/>
  <c r="I23" i="8"/>
  <c r="I4" i="8"/>
  <c r="L7" i="8"/>
  <c r="I20" i="8"/>
  <c r="L23" i="8"/>
  <c r="I6" i="8"/>
  <c r="L4" i="8"/>
  <c r="L25" i="8" s="1"/>
  <c r="I17" i="8"/>
  <c r="L20" i="8"/>
  <c r="I9" i="8"/>
  <c r="T23" i="7"/>
  <c r="T39" i="7"/>
  <c r="T27" i="7"/>
  <c r="T43" i="7"/>
  <c r="T59" i="7"/>
  <c r="T8" i="7"/>
  <c r="K15" i="7"/>
  <c r="T24" i="7"/>
  <c r="T40" i="7"/>
  <c r="T5" i="7"/>
  <c r="T21" i="7"/>
  <c r="K28" i="7"/>
  <c r="K44" i="7"/>
  <c r="T53" i="7"/>
  <c r="K60" i="7"/>
  <c r="T69" i="7"/>
  <c r="K76" i="7"/>
  <c r="T85" i="7"/>
  <c r="T11" i="7"/>
  <c r="T75" i="7"/>
  <c r="K31" i="7"/>
  <c r="K47" i="7"/>
  <c r="T56" i="7"/>
  <c r="K63" i="7"/>
  <c r="T72" i="7"/>
  <c r="K79" i="7"/>
  <c r="K12" i="7"/>
  <c r="T37" i="7"/>
  <c r="K9" i="7"/>
  <c r="T18" i="7"/>
  <c r="K25" i="7"/>
  <c r="T34" i="7"/>
  <c r="K41" i="7"/>
  <c r="T50" i="7"/>
  <c r="K57" i="7"/>
  <c r="T66" i="7"/>
  <c r="K73" i="7"/>
  <c r="Q79" i="7"/>
  <c r="T82" i="7"/>
  <c r="T47" i="7"/>
  <c r="T63" i="7"/>
  <c r="T79" i="7"/>
  <c r="T12" i="7"/>
  <c r="T44" i="7"/>
  <c r="T60" i="7"/>
  <c r="T76" i="7"/>
  <c r="T31" i="7"/>
  <c r="T9" i="7"/>
  <c r="T73" i="7"/>
  <c r="T57" i="7"/>
  <c r="T38" i="7"/>
  <c r="T54" i="7"/>
  <c r="T70" i="7"/>
  <c r="K10" i="7"/>
  <c r="T19" i="7"/>
  <c r="K26" i="7"/>
  <c r="T35" i="7"/>
  <c r="K42" i="7"/>
  <c r="T51" i="7"/>
  <c r="K58" i="7"/>
  <c r="T67" i="7"/>
  <c r="K74" i="7"/>
  <c r="T83" i="7"/>
  <c r="K7" i="7"/>
  <c r="T16" i="7"/>
  <c r="K23" i="7"/>
  <c r="T32" i="7"/>
  <c r="K39" i="7"/>
  <c r="Q45" i="7"/>
  <c r="T48" i="7"/>
  <c r="K55" i="7"/>
  <c r="Q61" i="7"/>
  <c r="T64" i="7"/>
  <c r="K71" i="7"/>
  <c r="Q77" i="7"/>
  <c r="T80" i="7"/>
  <c r="T15" i="7"/>
  <c r="T25" i="7"/>
  <c r="T41" i="7"/>
  <c r="T6" i="7"/>
  <c r="T22" i="7"/>
  <c r="T13" i="7"/>
  <c r="T29" i="7"/>
  <c r="K36" i="7"/>
  <c r="T45" i="7"/>
  <c r="K52" i="7"/>
  <c r="T61" i="7"/>
  <c r="K68" i="7"/>
  <c r="T77" i="7"/>
  <c r="K84" i="7"/>
  <c r="T10" i="7"/>
  <c r="K17" i="7"/>
  <c r="T26" i="7"/>
  <c r="K33" i="7"/>
  <c r="T42" i="7"/>
  <c r="K49" i="7"/>
  <c r="T58" i="7"/>
  <c r="K65" i="7"/>
  <c r="T74" i="7"/>
  <c r="K81" i="7"/>
  <c r="T7" i="7"/>
  <c r="T71" i="7"/>
  <c r="T28" i="7"/>
  <c r="T55" i="7"/>
  <c r="T4" i="7"/>
  <c r="T20" i="7"/>
  <c r="T36" i="7"/>
  <c r="K43" i="7"/>
  <c r="T52" i="7"/>
  <c r="K59" i="7"/>
  <c r="T68" i="7"/>
  <c r="K75" i="7"/>
  <c r="T84" i="7"/>
  <c r="K8" i="7"/>
  <c r="T17" i="7"/>
  <c r="K24" i="7"/>
  <c r="T33" i="7"/>
  <c r="K40" i="7"/>
  <c r="T49" i="7"/>
  <c r="K56" i="7"/>
  <c r="T65" i="7"/>
  <c r="K72" i="7"/>
  <c r="T81" i="7"/>
  <c r="K5" i="7"/>
  <c r="Q11" i="7"/>
  <c r="T14" i="7"/>
  <c r="K21" i="7"/>
  <c r="Q27" i="7"/>
  <c r="T30" i="7"/>
  <c r="K37" i="7"/>
  <c r="Q43" i="7"/>
  <c r="T46" i="7"/>
  <c r="K53" i="7"/>
  <c r="Q59" i="7"/>
  <c r="T62" i="7"/>
  <c r="K69" i="7"/>
  <c r="AF98" i="9" l="1"/>
  <c r="K98" i="9"/>
  <c r="T98" i="9"/>
  <c r="V28" i="10"/>
  <c r="W98" i="9"/>
  <c r="Q98" i="9"/>
  <c r="I25" i="8"/>
  <c r="K86" i="7"/>
  <c r="Q86" i="7"/>
  <c r="T86" i="7"/>
  <c r="T26" i="6" l="1"/>
  <c r="Q26" i="6"/>
  <c r="N26" i="6"/>
  <c r="K26" i="6"/>
  <c r="H26" i="6"/>
  <c r="U14" i="6" l="1"/>
  <c r="U17" i="6"/>
  <c r="R25" i="6"/>
  <c r="R17" i="6"/>
  <c r="O24" i="6"/>
  <c r="O17" i="6"/>
  <c r="L25" i="6"/>
  <c r="L17" i="6"/>
  <c r="I23" i="6"/>
  <c r="I17" i="6"/>
  <c r="I25" i="6"/>
  <c r="I14" i="6"/>
  <c r="I11" i="6"/>
  <c r="I19" i="6"/>
  <c r="I20" i="6"/>
  <c r="O7" i="6"/>
  <c r="O9" i="6"/>
  <c r="O14" i="6"/>
  <c r="O6" i="6"/>
  <c r="O11" i="6"/>
  <c r="O22" i="6"/>
  <c r="O12" i="6"/>
  <c r="O16" i="6"/>
  <c r="R8" i="6"/>
  <c r="O8" i="6"/>
  <c r="O4" i="6"/>
  <c r="O10" i="6"/>
  <c r="O13" i="6"/>
  <c r="O15" i="6"/>
  <c r="O20" i="6"/>
  <c r="O25" i="6"/>
  <c r="L13" i="6"/>
  <c r="L22" i="6"/>
  <c r="I4" i="6"/>
  <c r="U8" i="6"/>
  <c r="R10" i="6"/>
  <c r="O18" i="6"/>
  <c r="O23" i="6"/>
  <c r="O5" i="6"/>
  <c r="L8" i="6"/>
  <c r="L4" i="6"/>
  <c r="I18" i="6"/>
  <c r="I24" i="6"/>
  <c r="I8" i="6"/>
  <c r="U4" i="6"/>
  <c r="U9" i="6"/>
  <c r="U24" i="6"/>
  <c r="U18" i="6"/>
  <c r="U22" i="6"/>
  <c r="R9" i="6"/>
  <c r="R12" i="6"/>
  <c r="R14" i="6"/>
  <c r="R4" i="6"/>
  <c r="R11" i="6"/>
  <c r="I5" i="6"/>
  <c r="U15" i="6"/>
  <c r="U16" i="6"/>
  <c r="U20" i="6"/>
  <c r="U21" i="6"/>
  <c r="U6" i="6"/>
  <c r="U12" i="6"/>
  <c r="U19" i="6"/>
  <c r="U23" i="6"/>
  <c r="U10" i="6"/>
  <c r="U11" i="6"/>
  <c r="U25" i="6"/>
  <c r="O19" i="6"/>
  <c r="O21" i="6"/>
  <c r="L9" i="6"/>
  <c r="L10" i="6"/>
  <c r="L15" i="6"/>
  <c r="L23" i="6"/>
  <c r="I12" i="6"/>
  <c r="I13" i="6"/>
  <c r="I16" i="6"/>
  <c r="U5" i="6"/>
  <c r="U26" i="6" s="1"/>
  <c r="R5" i="6"/>
  <c r="R13" i="6"/>
  <c r="R15" i="6"/>
  <c r="R16" i="6"/>
  <c r="R18" i="6"/>
  <c r="R19" i="6"/>
  <c r="R20" i="6"/>
  <c r="R7" i="6"/>
  <c r="R6" i="6"/>
  <c r="R21" i="6"/>
  <c r="R22" i="6"/>
  <c r="R23" i="6"/>
  <c r="R24" i="6"/>
  <c r="L5" i="6"/>
  <c r="L19" i="6"/>
  <c r="I6" i="6"/>
  <c r="U7" i="6"/>
  <c r="U13" i="6"/>
  <c r="L6" i="6"/>
  <c r="L14" i="6"/>
  <c r="L20" i="6"/>
  <c r="I7" i="6"/>
  <c r="I9" i="6"/>
  <c r="I15" i="6"/>
  <c r="I21" i="6"/>
  <c r="I22" i="6"/>
  <c r="I10" i="6"/>
  <c r="L7" i="6"/>
  <c r="L11" i="6"/>
  <c r="L16" i="6"/>
  <c r="L24" i="6"/>
  <c r="L12" i="6"/>
  <c r="L18" i="6"/>
  <c r="L21" i="6"/>
  <c r="O26" i="6" l="1"/>
  <c r="R26" i="6"/>
  <c r="I26" i="6"/>
  <c r="L26" i="6"/>
  <c r="R170" i="3"/>
  <c r="S6" i="3" s="1"/>
  <c r="S7" i="3"/>
  <c r="S9" i="3"/>
  <c r="S10" i="3"/>
  <c r="S11" i="3"/>
  <c r="S15" i="3"/>
  <c r="S17" i="3"/>
  <c r="S18" i="3"/>
  <c r="S19" i="3"/>
  <c r="S23" i="3"/>
  <c r="S25" i="3"/>
  <c r="S26" i="3"/>
  <c r="S27" i="3"/>
  <c r="S31" i="3"/>
  <c r="S33" i="3"/>
  <c r="S34" i="3"/>
  <c r="S35" i="3"/>
  <c r="S39" i="3"/>
  <c r="S41" i="3"/>
  <c r="S42" i="3"/>
  <c r="S43" i="3"/>
  <c r="S47" i="3"/>
  <c r="S49" i="3"/>
  <c r="S50" i="3"/>
  <c r="S51" i="3"/>
  <c r="S55" i="3"/>
  <c r="S57" i="3"/>
  <c r="S58" i="3"/>
  <c r="S59" i="3"/>
  <c r="S63" i="3"/>
  <c r="S64" i="3"/>
  <c r="S65" i="3"/>
  <c r="S66" i="3"/>
  <c r="S67" i="3"/>
  <c r="S71" i="3"/>
  <c r="S72" i="3"/>
  <c r="S73" i="3"/>
  <c r="S74" i="3"/>
  <c r="S75" i="3"/>
  <c r="S79" i="3"/>
  <c r="S80" i="3"/>
  <c r="S81" i="3"/>
  <c r="S82" i="3"/>
  <c r="S83" i="3"/>
  <c r="S87" i="3"/>
  <c r="S88" i="3"/>
  <c r="S89" i="3"/>
  <c r="S90" i="3"/>
  <c r="S91" i="3"/>
  <c r="S95" i="3"/>
  <c r="S96" i="3"/>
  <c r="S97" i="3"/>
  <c r="S98" i="3"/>
  <c r="S99" i="3"/>
  <c r="S100" i="3"/>
  <c r="S101" i="3"/>
  <c r="S102" i="3"/>
  <c r="S103" i="3"/>
  <c r="S104" i="3"/>
  <c r="S105" i="3"/>
  <c r="S106" i="3"/>
  <c r="S107" i="3"/>
  <c r="S108" i="3"/>
  <c r="S109" i="3"/>
  <c r="S110" i="3"/>
  <c r="S111" i="3"/>
  <c r="S112" i="3"/>
  <c r="S113" i="3"/>
  <c r="S114" i="3"/>
  <c r="S115" i="3"/>
  <c r="S116" i="3"/>
  <c r="S117" i="3"/>
  <c r="S118" i="3"/>
  <c r="S119" i="3"/>
  <c r="S120" i="3"/>
  <c r="S121" i="3"/>
  <c r="S122" i="3"/>
  <c r="S123" i="3"/>
  <c r="S124" i="3"/>
  <c r="S125" i="3"/>
  <c r="S126" i="3"/>
  <c r="S127" i="3"/>
  <c r="S128" i="3"/>
  <c r="S129" i="3"/>
  <c r="S130" i="3"/>
  <c r="S131" i="3"/>
  <c r="S132" i="3"/>
  <c r="S133" i="3"/>
  <c r="S134" i="3"/>
  <c r="S135" i="3"/>
  <c r="S136" i="3"/>
  <c r="S137" i="3"/>
  <c r="S138" i="3"/>
  <c r="S139" i="3"/>
  <c r="S140" i="3"/>
  <c r="S141" i="3"/>
  <c r="S142" i="3"/>
  <c r="S143" i="3"/>
  <c r="S144" i="3"/>
  <c r="S145" i="3"/>
  <c r="S146" i="3"/>
  <c r="S147" i="3"/>
  <c r="S148" i="3"/>
  <c r="S149" i="3"/>
  <c r="S150" i="3"/>
  <c r="S151" i="3"/>
  <c r="S152" i="3"/>
  <c r="S153" i="3"/>
  <c r="S154" i="3"/>
  <c r="S155" i="3"/>
  <c r="S156" i="3"/>
  <c r="S157" i="3"/>
  <c r="S158" i="3"/>
  <c r="S159" i="3"/>
  <c r="S160" i="3"/>
  <c r="S161" i="3"/>
  <c r="S162" i="3"/>
  <c r="S163" i="3"/>
  <c r="S164" i="3"/>
  <c r="S165" i="3"/>
  <c r="S166" i="3"/>
  <c r="S167" i="3"/>
  <c r="S168" i="3"/>
  <c r="S169" i="3"/>
  <c r="L170" i="3"/>
  <c r="M146" i="3" s="1"/>
  <c r="O170" i="3"/>
  <c r="P110" i="3" s="1"/>
  <c r="U170" i="3"/>
  <c r="V146" i="3" s="1"/>
  <c r="X170" i="3"/>
  <c r="AA170" i="3"/>
  <c r="AB75" i="3" s="1"/>
  <c r="V149" i="3"/>
  <c r="P147" i="3"/>
  <c r="AB147" i="3"/>
  <c r="P137" i="3"/>
  <c r="P136" i="3"/>
  <c r="P75" i="3"/>
  <c r="Y75" i="3"/>
  <c r="P150" i="3"/>
  <c r="P151" i="3"/>
  <c r="P104" i="3"/>
  <c r="V98" i="3"/>
  <c r="P130" i="3"/>
  <c r="V40" i="3"/>
  <c r="P135" i="3"/>
  <c r="P132" i="3"/>
  <c r="P133" i="3"/>
  <c r="V132" i="3"/>
  <c r="V134" i="3"/>
  <c r="AB132" i="3"/>
  <c r="P81" i="3"/>
  <c r="AB81" i="3"/>
  <c r="AB4" i="3"/>
  <c r="AB11" i="3"/>
  <c r="AB19" i="3"/>
  <c r="AB20" i="3"/>
  <c r="AB27" i="3"/>
  <c r="AB28" i="3"/>
  <c r="AB35" i="3"/>
  <c r="AB36" i="3"/>
  <c r="AB44" i="3"/>
  <c r="AB52" i="3"/>
  <c r="AB53" i="3"/>
  <c r="AB60" i="3"/>
  <c r="AB61" i="3"/>
  <c r="AB68" i="3"/>
  <c r="AB69" i="3"/>
  <c r="AB77" i="3"/>
  <c r="AB78" i="3"/>
  <c r="AB86" i="3"/>
  <c r="AB87" i="3"/>
  <c r="AB94" i="3"/>
  <c r="AB95" i="3"/>
  <c r="AB103" i="3"/>
  <c r="AB105" i="3"/>
  <c r="AB113" i="3"/>
  <c r="AB114" i="3"/>
  <c r="AB121" i="3"/>
  <c r="AB122" i="3"/>
  <c r="AB129" i="3"/>
  <c r="AB131" i="3"/>
  <c r="AB144" i="3"/>
  <c r="AB145" i="3"/>
  <c r="AB158" i="3"/>
  <c r="AB159" i="3"/>
  <c r="AB166" i="3"/>
  <c r="AB167" i="3"/>
  <c r="Y8" i="3"/>
  <c r="Y9" i="3"/>
  <c r="Y13" i="3"/>
  <c r="Y15" i="3"/>
  <c r="Y19" i="3"/>
  <c r="Y20" i="3"/>
  <c r="Y24" i="3"/>
  <c r="Y25" i="3"/>
  <c r="Y29" i="3"/>
  <c r="Y31" i="3"/>
  <c r="Y35" i="3"/>
  <c r="Y36" i="3"/>
  <c r="Y41" i="3"/>
  <c r="Y42" i="3"/>
  <c r="Y46" i="3"/>
  <c r="Y50" i="3"/>
  <c r="Y54" i="3"/>
  <c r="Y55" i="3"/>
  <c r="Y59" i="3"/>
  <c r="Y60" i="3"/>
  <c r="Y64" i="3"/>
  <c r="Y66" i="3"/>
  <c r="Y70" i="3"/>
  <c r="Y71" i="3"/>
  <c r="Y76" i="3"/>
  <c r="Y77" i="3"/>
  <c r="Y82" i="3"/>
  <c r="Y84" i="3"/>
  <c r="Y88" i="3"/>
  <c r="Y89" i="3"/>
  <c r="Y93" i="3"/>
  <c r="Y94" i="3"/>
  <c r="Y99" i="3"/>
  <c r="Y101" i="3"/>
  <c r="Y108" i="3"/>
  <c r="Y109" i="3"/>
  <c r="Y114" i="3"/>
  <c r="Y115" i="3"/>
  <c r="Y119" i="3"/>
  <c r="Y121" i="3"/>
  <c r="Y125" i="3"/>
  <c r="Y126" i="3"/>
  <c r="Y131" i="3"/>
  <c r="Y138" i="3"/>
  <c r="Y142" i="3"/>
  <c r="Y144" i="3"/>
  <c r="Y154" i="3"/>
  <c r="Y155" i="3"/>
  <c r="Y159" i="3"/>
  <c r="Y160" i="3"/>
  <c r="Y164" i="3"/>
  <c r="Y166" i="3"/>
  <c r="V4" i="3"/>
  <c r="V5" i="3"/>
  <c r="V6" i="3"/>
  <c r="V8" i="3"/>
  <c r="V9" i="3"/>
  <c r="V10" i="3"/>
  <c r="V12" i="3"/>
  <c r="V13" i="3"/>
  <c r="V14" i="3"/>
  <c r="V16" i="3"/>
  <c r="V17" i="3"/>
  <c r="V18" i="3"/>
  <c r="V20" i="3"/>
  <c r="V21" i="3"/>
  <c r="V22" i="3"/>
  <c r="V24" i="3"/>
  <c r="V25" i="3"/>
  <c r="V26" i="3"/>
  <c r="V28" i="3"/>
  <c r="V29" i="3"/>
  <c r="V30" i="3"/>
  <c r="V32" i="3"/>
  <c r="V33" i="3"/>
  <c r="V34" i="3"/>
  <c r="V36" i="3"/>
  <c r="V37" i="3"/>
  <c r="V38" i="3"/>
  <c r="V41" i="3"/>
  <c r="V42" i="3"/>
  <c r="V43" i="3"/>
  <c r="V45" i="3"/>
  <c r="V46" i="3"/>
  <c r="V47" i="3"/>
  <c r="V49" i="3"/>
  <c r="V50" i="3"/>
  <c r="V51" i="3"/>
  <c r="V53" i="3"/>
  <c r="V54" i="3"/>
  <c r="V55" i="3"/>
  <c r="V57" i="3"/>
  <c r="V58" i="3"/>
  <c r="V59" i="3"/>
  <c r="V61" i="3"/>
  <c r="V62" i="3"/>
  <c r="V63" i="3"/>
  <c r="V65" i="3"/>
  <c r="V66" i="3"/>
  <c r="V67" i="3"/>
  <c r="V69" i="3"/>
  <c r="V70" i="3"/>
  <c r="V71" i="3"/>
  <c r="V73" i="3"/>
  <c r="V74" i="3"/>
  <c r="V76" i="3"/>
  <c r="V78" i="3"/>
  <c r="V79" i="3"/>
  <c r="V80" i="3"/>
  <c r="V83" i="3"/>
  <c r="V84" i="3"/>
  <c r="V85" i="3"/>
  <c r="V87" i="3"/>
  <c r="V88" i="3"/>
  <c r="V89" i="3"/>
  <c r="V91" i="3"/>
  <c r="V92" i="3"/>
  <c r="V93" i="3"/>
  <c r="V95" i="3"/>
  <c r="V96" i="3"/>
  <c r="V97" i="3"/>
  <c r="V100" i="3"/>
  <c r="V101" i="3"/>
  <c r="V102" i="3"/>
  <c r="V105" i="3"/>
  <c r="V106" i="3"/>
  <c r="V107" i="3"/>
  <c r="V109" i="3"/>
  <c r="V111" i="3"/>
  <c r="V112" i="3"/>
  <c r="V114" i="3"/>
  <c r="V115" i="3"/>
  <c r="V116" i="3"/>
  <c r="V118" i="3"/>
  <c r="V119" i="3"/>
  <c r="V120" i="3"/>
  <c r="V122" i="3"/>
  <c r="V123" i="3"/>
  <c r="V124" i="3"/>
  <c r="V126" i="3"/>
  <c r="V127" i="3"/>
  <c r="V128" i="3"/>
  <c r="V131" i="3"/>
  <c r="V138" i="3"/>
  <c r="V139" i="3"/>
  <c r="V141" i="3"/>
  <c r="V142" i="3"/>
  <c r="V143" i="3"/>
  <c r="V145" i="3"/>
  <c r="V148" i="3"/>
  <c r="V153" i="3"/>
  <c r="V155" i="3"/>
  <c r="V156" i="3"/>
  <c r="V157" i="3"/>
  <c r="V159" i="3"/>
  <c r="V160" i="3"/>
  <c r="V161" i="3"/>
  <c r="V163" i="3"/>
  <c r="V164" i="3"/>
  <c r="V165" i="3"/>
  <c r="V167" i="3"/>
  <c r="V168" i="3"/>
  <c r="V169" i="3"/>
  <c r="P122" i="3"/>
  <c r="P119" i="3"/>
  <c r="P117" i="3"/>
  <c r="P37" i="3"/>
  <c r="P32" i="3"/>
  <c r="M111" i="3"/>
  <c r="M79" i="3"/>
  <c r="M124" i="3"/>
  <c r="M99" i="3"/>
  <c r="M46" i="3"/>
  <c r="M38" i="3"/>
  <c r="M35" i="3"/>
  <c r="M26" i="3"/>
  <c r="M138" i="3"/>
  <c r="M113" i="3"/>
  <c r="M42" i="3"/>
  <c r="M33" i="3"/>
  <c r="M41" i="3"/>
  <c r="M31" i="3"/>
  <c r="M62" i="3"/>
  <c r="M54" i="3"/>
  <c r="I170" i="3"/>
  <c r="P121" i="3"/>
  <c r="P15" i="3"/>
  <c r="P154" i="3"/>
  <c r="P82" i="3"/>
  <c r="P55" i="3"/>
  <c r="P144" i="3"/>
  <c r="P139" i="3"/>
  <c r="P168" i="3"/>
  <c r="P127" i="3"/>
  <c r="P163" i="3"/>
  <c r="P153" i="3"/>
  <c r="P10" i="3"/>
  <c r="P159" i="3"/>
  <c r="P112" i="3"/>
  <c r="P4" i="3"/>
  <c r="P99" i="3"/>
  <c r="P161" i="3"/>
  <c r="P148" i="3"/>
  <c r="P131" i="3"/>
  <c r="P91" i="3"/>
  <c r="P19" i="3"/>
  <c r="P169" i="3"/>
  <c r="P160" i="3"/>
  <c r="P145" i="3"/>
  <c r="P129" i="3"/>
  <c r="P113" i="3"/>
  <c r="P17" i="3"/>
  <c r="P167" i="3"/>
  <c r="P158" i="3"/>
  <c r="P142" i="3"/>
  <c r="P126" i="3"/>
  <c r="P74" i="3"/>
  <c r="P166" i="3"/>
  <c r="P157" i="3"/>
  <c r="P141" i="3"/>
  <c r="P124" i="3"/>
  <c r="P106" i="3"/>
  <c r="P66" i="3"/>
  <c r="P165" i="3"/>
  <c r="P156" i="3"/>
  <c r="P140" i="3"/>
  <c r="P123" i="3"/>
  <c r="P100" i="3"/>
  <c r="P57" i="3"/>
  <c r="P162" i="3"/>
  <c r="P155" i="3"/>
  <c r="P138" i="3"/>
  <c r="P120" i="3"/>
  <c r="P97" i="3"/>
  <c r="P36" i="3"/>
  <c r="P9" i="3"/>
  <c r="P108" i="3"/>
  <c r="P96" i="3"/>
  <c r="P72" i="3"/>
  <c r="P46" i="3"/>
  <c r="P5" i="3"/>
  <c r="P118" i="3"/>
  <c r="P107" i="3"/>
  <c r="P71" i="3"/>
  <c r="P115" i="3"/>
  <c r="P105" i="3"/>
  <c r="P90" i="3"/>
  <c r="P64" i="3"/>
  <c r="P28" i="3"/>
  <c r="P114" i="3"/>
  <c r="P103" i="3"/>
  <c r="P84" i="3"/>
  <c r="P63" i="3"/>
  <c r="P26" i="3"/>
  <c r="P53" i="3"/>
  <c r="P45" i="3"/>
  <c r="P35" i="3"/>
  <c r="P25" i="3"/>
  <c r="P16" i="3"/>
  <c r="P89" i="3"/>
  <c r="P80" i="3"/>
  <c r="P61" i="3"/>
  <c r="P52" i="3"/>
  <c r="P44" i="3"/>
  <c r="P34" i="3"/>
  <c r="P24" i="3"/>
  <c r="P14" i="3"/>
  <c r="P88" i="3"/>
  <c r="P79" i="3"/>
  <c r="P69" i="3"/>
  <c r="P60" i="3"/>
  <c r="P51" i="3"/>
  <c r="P43" i="3"/>
  <c r="P33" i="3"/>
  <c r="P23" i="3"/>
  <c r="P13" i="3"/>
  <c r="P95" i="3"/>
  <c r="P87" i="3"/>
  <c r="P77" i="3"/>
  <c r="P68" i="3"/>
  <c r="P59" i="3"/>
  <c r="P50" i="3"/>
  <c r="P42" i="3"/>
  <c r="P31" i="3"/>
  <c r="P22" i="3"/>
  <c r="P11" i="3"/>
  <c r="P94" i="3"/>
  <c r="P85" i="3"/>
  <c r="P76" i="3"/>
  <c r="P67" i="3"/>
  <c r="P58" i="3"/>
  <c r="P49" i="3"/>
  <c r="P41" i="3"/>
  <c r="P30" i="3"/>
  <c r="P20" i="3"/>
  <c r="P111" i="3"/>
  <c r="P101" i="3"/>
  <c r="P92" i="3"/>
  <c r="P83" i="3"/>
  <c r="P73" i="3"/>
  <c r="P65" i="3"/>
  <c r="P56" i="3"/>
  <c r="P48" i="3"/>
  <c r="P38" i="3"/>
  <c r="P27" i="3"/>
  <c r="P18" i="3"/>
  <c r="P7" i="3"/>
  <c r="P8" i="3"/>
  <c r="P6" i="3"/>
  <c r="P164" i="3"/>
  <c r="P143" i="3"/>
  <c r="P128" i="3"/>
  <c r="P116" i="3"/>
  <c r="P109" i="3"/>
  <c r="P102" i="3"/>
  <c r="P93" i="3"/>
  <c r="P86" i="3"/>
  <c r="P78" i="3"/>
  <c r="P70" i="3"/>
  <c r="P62" i="3"/>
  <c r="P54" i="3"/>
  <c r="P47" i="3"/>
  <c r="P39" i="3"/>
  <c r="P29" i="3"/>
  <c r="P21" i="3"/>
  <c r="P12" i="3"/>
  <c r="P125" i="3"/>
  <c r="J45" i="3" l="1"/>
  <c r="J109" i="3"/>
  <c r="J6" i="3"/>
  <c r="J70" i="3"/>
  <c r="J134" i="3"/>
  <c r="J13" i="3"/>
  <c r="J77" i="3"/>
  <c r="J141" i="3"/>
  <c r="Y152" i="3"/>
  <c r="Y110" i="3"/>
  <c r="Y102" i="3"/>
  <c r="Y135" i="3"/>
  <c r="Y147" i="3"/>
  <c r="Y48" i="3"/>
  <c r="Y103" i="3"/>
  <c r="Y130" i="3"/>
  <c r="Y133" i="3"/>
  <c r="Y6" i="3"/>
  <c r="Y10" i="3"/>
  <c r="Y14" i="3"/>
  <c r="Y18" i="3"/>
  <c r="Y22" i="3"/>
  <c r="Y26" i="3"/>
  <c r="Y30" i="3"/>
  <c r="Y34" i="3"/>
  <c r="Y38" i="3"/>
  <c r="Y43" i="3"/>
  <c r="Y47" i="3"/>
  <c r="Y53" i="3"/>
  <c r="Y57" i="3"/>
  <c r="Y61" i="3"/>
  <c r="Y65" i="3"/>
  <c r="Y69" i="3"/>
  <c r="Y73" i="3"/>
  <c r="Y78" i="3"/>
  <c r="Y83" i="3"/>
  <c r="Y87" i="3"/>
  <c r="Y91" i="3"/>
  <c r="Y95" i="3"/>
  <c r="Y100" i="3"/>
  <c r="Y107" i="3"/>
  <c r="Y112" i="3"/>
  <c r="Y116" i="3"/>
  <c r="Y120" i="3"/>
  <c r="Y124" i="3"/>
  <c r="Y128" i="3"/>
  <c r="Y139" i="3"/>
  <c r="Y143" i="3"/>
  <c r="Y153" i="3"/>
  <c r="Y157" i="3"/>
  <c r="Y161" i="3"/>
  <c r="Y165" i="3"/>
  <c r="Y169" i="3"/>
  <c r="Y134" i="3"/>
  <c r="Y7" i="3"/>
  <c r="Y49" i="3"/>
  <c r="Y81" i="3"/>
  <c r="J166" i="3"/>
  <c r="Y168" i="3"/>
  <c r="Y163" i="3"/>
  <c r="Y158" i="3"/>
  <c r="Y148" i="3"/>
  <c r="Y141" i="3"/>
  <c r="Y129" i="3"/>
  <c r="Y123" i="3"/>
  <c r="Y118" i="3"/>
  <c r="Y113" i="3"/>
  <c r="Y106" i="3"/>
  <c r="Y97" i="3"/>
  <c r="Y92" i="3"/>
  <c r="Y86" i="3"/>
  <c r="Y80" i="3"/>
  <c r="Y74" i="3"/>
  <c r="Y68" i="3"/>
  <c r="Y63" i="3"/>
  <c r="Y58" i="3"/>
  <c r="Y52" i="3"/>
  <c r="Y45" i="3"/>
  <c r="Y39" i="3"/>
  <c r="Y33" i="3"/>
  <c r="Y28" i="3"/>
  <c r="Y23" i="3"/>
  <c r="Y17" i="3"/>
  <c r="Y12" i="3"/>
  <c r="Y5" i="3"/>
  <c r="J102" i="3"/>
  <c r="Y167" i="3"/>
  <c r="Y162" i="3"/>
  <c r="Y156" i="3"/>
  <c r="Y145" i="3"/>
  <c r="Y140" i="3"/>
  <c r="Y127" i="3"/>
  <c r="Y122" i="3"/>
  <c r="Y117" i="3"/>
  <c r="Y111" i="3"/>
  <c r="Y105" i="3"/>
  <c r="Y96" i="3"/>
  <c r="Y90" i="3"/>
  <c r="Y85" i="3"/>
  <c r="Y79" i="3"/>
  <c r="Y72" i="3"/>
  <c r="Y67" i="3"/>
  <c r="Y62" i="3"/>
  <c r="Y56" i="3"/>
  <c r="Y51" i="3"/>
  <c r="Y44" i="3"/>
  <c r="Y37" i="3"/>
  <c r="Y32" i="3"/>
  <c r="Y27" i="3"/>
  <c r="Y21" i="3"/>
  <c r="Y16" i="3"/>
  <c r="Y11" i="3"/>
  <c r="Y4" i="3"/>
  <c r="J38" i="3"/>
  <c r="V166" i="3"/>
  <c r="V162" i="3"/>
  <c r="V158" i="3"/>
  <c r="V154" i="3"/>
  <c r="V144" i="3"/>
  <c r="V140" i="3"/>
  <c r="V129" i="3"/>
  <c r="V125" i="3"/>
  <c r="V121" i="3"/>
  <c r="V117" i="3"/>
  <c r="V113" i="3"/>
  <c r="V108" i="3"/>
  <c r="V103" i="3"/>
  <c r="V99" i="3"/>
  <c r="V94" i="3"/>
  <c r="V90" i="3"/>
  <c r="V86" i="3"/>
  <c r="V82" i="3"/>
  <c r="V77" i="3"/>
  <c r="V72" i="3"/>
  <c r="V68" i="3"/>
  <c r="V64" i="3"/>
  <c r="V60" i="3"/>
  <c r="V56" i="3"/>
  <c r="V52" i="3"/>
  <c r="V48" i="3"/>
  <c r="V44" i="3"/>
  <c r="V39" i="3"/>
  <c r="V35" i="3"/>
  <c r="V31" i="3"/>
  <c r="V27" i="3"/>
  <c r="V23" i="3"/>
  <c r="V19" i="3"/>
  <c r="V15" i="3"/>
  <c r="V11" i="3"/>
  <c r="V7" i="3"/>
  <c r="V81" i="3"/>
  <c r="V152" i="3"/>
  <c r="V136" i="3"/>
  <c r="V130" i="3"/>
  <c r="V151" i="3"/>
  <c r="V147" i="3"/>
  <c r="J9" i="3"/>
  <c r="J17" i="3"/>
  <c r="J25" i="3"/>
  <c r="J33" i="3"/>
  <c r="J41" i="3"/>
  <c r="J49" i="3"/>
  <c r="J57" i="3"/>
  <c r="J65" i="3"/>
  <c r="J73" i="3"/>
  <c r="J81" i="3"/>
  <c r="J89" i="3"/>
  <c r="J97" i="3"/>
  <c r="J105" i="3"/>
  <c r="J113" i="3"/>
  <c r="J121" i="3"/>
  <c r="J129" i="3"/>
  <c r="J137" i="3"/>
  <c r="J145" i="3"/>
  <c r="J153" i="3"/>
  <c r="J161" i="3"/>
  <c r="J169" i="3"/>
  <c r="J10" i="3"/>
  <c r="J18" i="3"/>
  <c r="J26" i="3"/>
  <c r="J34" i="3"/>
  <c r="J42" i="3"/>
  <c r="J50" i="3"/>
  <c r="J58" i="3"/>
  <c r="J66" i="3"/>
  <c r="J74" i="3"/>
  <c r="J82" i="3"/>
  <c r="J90" i="3"/>
  <c r="J98" i="3"/>
  <c r="J106" i="3"/>
  <c r="J114" i="3"/>
  <c r="J122" i="3"/>
  <c r="J130" i="3"/>
  <c r="J138" i="3"/>
  <c r="J146" i="3"/>
  <c r="J154" i="3"/>
  <c r="J162" i="3"/>
  <c r="J11" i="3"/>
  <c r="J19" i="3"/>
  <c r="J27" i="3"/>
  <c r="J35" i="3"/>
  <c r="J43" i="3"/>
  <c r="J51" i="3"/>
  <c r="J59" i="3"/>
  <c r="J67" i="3"/>
  <c r="J75" i="3"/>
  <c r="J83" i="3"/>
  <c r="J91" i="3"/>
  <c r="J99" i="3"/>
  <c r="J107" i="3"/>
  <c r="J115" i="3"/>
  <c r="J123" i="3"/>
  <c r="J131" i="3"/>
  <c r="J139" i="3"/>
  <c r="J147" i="3"/>
  <c r="J155" i="3"/>
  <c r="J163" i="3"/>
  <c r="J12" i="3"/>
  <c r="J20" i="3"/>
  <c r="J28" i="3"/>
  <c r="J36" i="3"/>
  <c r="J44" i="3"/>
  <c r="J52" i="3"/>
  <c r="J60" i="3"/>
  <c r="J68" i="3"/>
  <c r="J76" i="3"/>
  <c r="J84" i="3"/>
  <c r="J92" i="3"/>
  <c r="J100" i="3"/>
  <c r="J108" i="3"/>
  <c r="J116" i="3"/>
  <c r="J124" i="3"/>
  <c r="J132" i="3"/>
  <c r="J140" i="3"/>
  <c r="J148" i="3"/>
  <c r="J156" i="3"/>
  <c r="J164" i="3"/>
  <c r="J7" i="3"/>
  <c r="J15" i="3"/>
  <c r="J23" i="3"/>
  <c r="J31" i="3"/>
  <c r="J39" i="3"/>
  <c r="J47" i="3"/>
  <c r="J55" i="3"/>
  <c r="J63" i="3"/>
  <c r="J71" i="3"/>
  <c r="J79" i="3"/>
  <c r="J87" i="3"/>
  <c r="J95" i="3"/>
  <c r="J103" i="3"/>
  <c r="J111" i="3"/>
  <c r="J119" i="3"/>
  <c r="J127" i="3"/>
  <c r="J135" i="3"/>
  <c r="J143" i="3"/>
  <c r="J151" i="3"/>
  <c r="J159" i="3"/>
  <c r="J167" i="3"/>
  <c r="J8" i="3"/>
  <c r="J16" i="3"/>
  <c r="J24" i="3"/>
  <c r="J32" i="3"/>
  <c r="J40" i="3"/>
  <c r="J48" i="3"/>
  <c r="J56" i="3"/>
  <c r="J64" i="3"/>
  <c r="J72" i="3"/>
  <c r="J80" i="3"/>
  <c r="J88" i="3"/>
  <c r="J96" i="3"/>
  <c r="J104" i="3"/>
  <c r="J112" i="3"/>
  <c r="J120" i="3"/>
  <c r="J128" i="3"/>
  <c r="J136" i="3"/>
  <c r="J144" i="3"/>
  <c r="J152" i="3"/>
  <c r="J160" i="3"/>
  <c r="J168" i="3"/>
  <c r="M22" i="3"/>
  <c r="M161" i="3"/>
  <c r="M131" i="3"/>
  <c r="M90" i="3"/>
  <c r="M125" i="3"/>
  <c r="M167" i="3"/>
  <c r="M160" i="3"/>
  <c r="J149" i="3"/>
  <c r="J117" i="3"/>
  <c r="J85" i="3"/>
  <c r="J53" i="3"/>
  <c r="J21" i="3"/>
  <c r="J4" i="3"/>
  <c r="M47" i="3"/>
  <c r="M23" i="3"/>
  <c r="M24" i="3"/>
  <c r="M97" i="3"/>
  <c r="M18" i="3"/>
  <c r="M140" i="3"/>
  <c r="M94" i="3"/>
  <c r="M164" i="3"/>
  <c r="M119" i="3"/>
  <c r="J142" i="3"/>
  <c r="J110" i="3"/>
  <c r="J78" i="3"/>
  <c r="J46" i="3"/>
  <c r="J14" i="3"/>
  <c r="M147" i="3"/>
  <c r="M70" i="3"/>
  <c r="M56" i="3"/>
  <c r="M154" i="3"/>
  <c r="M52" i="3"/>
  <c r="M53" i="3"/>
  <c r="M159" i="3"/>
  <c r="J165" i="3"/>
  <c r="J133" i="3"/>
  <c r="J101" i="3"/>
  <c r="J69" i="3"/>
  <c r="J37" i="3"/>
  <c r="J5" i="3"/>
  <c r="M75" i="3"/>
  <c r="M81" i="3"/>
  <c r="M80" i="3"/>
  <c r="M10" i="3"/>
  <c r="M106" i="3"/>
  <c r="M118" i="3"/>
  <c r="M87" i="3"/>
  <c r="M114" i="3"/>
  <c r="M77" i="3"/>
  <c r="M11" i="3"/>
  <c r="M92" i="3"/>
  <c r="M27" i="3"/>
  <c r="M123" i="3"/>
  <c r="M17" i="3"/>
  <c r="M153" i="3"/>
  <c r="M65" i="3"/>
  <c r="M162" i="3"/>
  <c r="M71" i="3"/>
  <c r="M48" i="3"/>
  <c r="M86" i="3"/>
  <c r="M21" i="3"/>
  <c r="M132" i="3"/>
  <c r="M82" i="3"/>
  <c r="M166" i="3"/>
  <c r="M74" i="3"/>
  <c r="M91" i="3"/>
  <c r="M55" i="3"/>
  <c r="M83" i="3"/>
  <c r="M69" i="3"/>
  <c r="M165" i="3"/>
  <c r="M84" i="3"/>
  <c r="M19" i="3"/>
  <c r="M105" i="3"/>
  <c r="M8" i="3"/>
  <c r="M145" i="3"/>
  <c r="M57" i="3"/>
  <c r="M169" i="3"/>
  <c r="M64" i="3"/>
  <c r="M30" i="3"/>
  <c r="M78" i="3"/>
  <c r="M12" i="3"/>
  <c r="M150" i="3"/>
  <c r="M130" i="3"/>
  <c r="M133" i="3"/>
  <c r="M122" i="3"/>
  <c r="M37" i="3"/>
  <c r="M142" i="3"/>
  <c r="M163" i="3"/>
  <c r="M59" i="3"/>
  <c r="M103" i="3"/>
  <c r="M51" i="3"/>
  <c r="M61" i="3"/>
  <c r="M157" i="3"/>
  <c r="M76" i="3"/>
  <c r="M44" i="3"/>
  <c r="M136" i="3"/>
  <c r="M151" i="3"/>
  <c r="M134" i="3"/>
  <c r="M110" i="3"/>
  <c r="M137" i="3"/>
  <c r="M104" i="3"/>
  <c r="M117" i="3"/>
  <c r="M4" i="3"/>
  <c r="M155" i="3"/>
  <c r="M63" i="3"/>
  <c r="M168" i="3"/>
  <c r="M156" i="3"/>
  <c r="M101" i="3"/>
  <c r="M28" i="3"/>
  <c r="M107" i="3"/>
  <c r="M45" i="3"/>
  <c r="M9" i="3"/>
  <c r="M43" i="3"/>
  <c r="M66" i="3"/>
  <c r="M89" i="3"/>
  <c r="M16" i="3"/>
  <c r="M95" i="3"/>
  <c r="M14" i="3"/>
  <c r="M102" i="3"/>
  <c r="M39" i="3"/>
  <c r="M149" i="3"/>
  <c r="M40" i="3"/>
  <c r="M15" i="3"/>
  <c r="M139" i="3"/>
  <c r="M158" i="3"/>
  <c r="M116" i="3"/>
  <c r="M143" i="3"/>
  <c r="M85" i="3"/>
  <c r="M20" i="3"/>
  <c r="M100" i="3"/>
  <c r="M36" i="3"/>
  <c r="M148" i="3"/>
  <c r="M25" i="3"/>
  <c r="M34" i="3"/>
  <c r="M72" i="3"/>
  <c r="M7" i="3"/>
  <c r="M88" i="3"/>
  <c r="M6" i="3"/>
  <c r="M93" i="3"/>
  <c r="M29" i="3"/>
  <c r="M32" i="3"/>
  <c r="M109" i="3"/>
  <c r="M120" i="3"/>
  <c r="M96" i="3"/>
  <c r="M50" i="3"/>
  <c r="M60" i="3"/>
  <c r="M108" i="3"/>
  <c r="M127" i="3"/>
  <c r="M98" i="3"/>
  <c r="J158" i="3"/>
  <c r="J126" i="3"/>
  <c r="J94" i="3"/>
  <c r="J62" i="3"/>
  <c r="J30" i="3"/>
  <c r="M49" i="3"/>
  <c r="M5" i="3"/>
  <c r="M129" i="3"/>
  <c r="M112" i="3"/>
  <c r="M58" i="3"/>
  <c r="M68" i="3"/>
  <c r="M126" i="3"/>
  <c r="M128" i="3"/>
  <c r="AB135" i="3"/>
  <c r="AB7" i="3"/>
  <c r="AB15" i="3"/>
  <c r="AB23" i="3"/>
  <c r="AB31" i="3"/>
  <c r="AB39" i="3"/>
  <c r="AB48" i="3"/>
  <c r="AB56" i="3"/>
  <c r="AB64" i="3"/>
  <c r="AB72" i="3"/>
  <c r="AB82" i="3"/>
  <c r="AB90" i="3"/>
  <c r="AB99" i="3"/>
  <c r="AB108" i="3"/>
  <c r="AB117" i="3"/>
  <c r="AB125" i="3"/>
  <c r="AB140" i="3"/>
  <c r="AB154" i="3"/>
  <c r="AB162" i="3"/>
  <c r="AB152" i="3"/>
  <c r="AB98" i="3"/>
  <c r="AB8" i="3"/>
  <c r="AB16" i="3"/>
  <c r="AB24" i="3"/>
  <c r="AB32" i="3"/>
  <c r="AB41" i="3"/>
  <c r="AB49" i="3"/>
  <c r="AB57" i="3"/>
  <c r="AB65" i="3"/>
  <c r="AB73" i="3"/>
  <c r="AB83" i="3"/>
  <c r="AB91" i="3"/>
  <c r="AB100" i="3"/>
  <c r="AB109" i="3"/>
  <c r="AB118" i="3"/>
  <c r="AB126" i="3"/>
  <c r="AB141" i="3"/>
  <c r="AB155" i="3"/>
  <c r="AB163" i="3"/>
  <c r="AB137" i="3"/>
  <c r="AB150" i="3"/>
  <c r="AB104" i="3"/>
  <c r="AB9" i="3"/>
  <c r="AB17" i="3"/>
  <c r="AB25" i="3"/>
  <c r="AB33" i="3"/>
  <c r="AB42" i="3"/>
  <c r="AB50" i="3"/>
  <c r="AB58" i="3"/>
  <c r="AB66" i="3"/>
  <c r="AB74" i="3"/>
  <c r="AB84" i="3"/>
  <c r="AB92" i="3"/>
  <c r="AB101" i="3"/>
  <c r="AB111" i="3"/>
  <c r="AB119" i="3"/>
  <c r="AB127" i="3"/>
  <c r="AB142" i="3"/>
  <c r="AB156" i="3"/>
  <c r="AB164" i="3"/>
  <c r="AB149" i="3"/>
  <c r="AB151" i="3"/>
  <c r="AB40" i="3"/>
  <c r="AB10" i="3"/>
  <c r="AB18" i="3"/>
  <c r="AB26" i="3"/>
  <c r="AB34" i="3"/>
  <c r="AB43" i="3"/>
  <c r="AB51" i="3"/>
  <c r="AB59" i="3"/>
  <c r="AB67" i="3"/>
  <c r="AB76" i="3"/>
  <c r="AB85" i="3"/>
  <c r="AB93" i="3"/>
  <c r="AB102" i="3"/>
  <c r="AB112" i="3"/>
  <c r="AB120" i="3"/>
  <c r="AB128" i="3"/>
  <c r="AB143" i="3"/>
  <c r="AB157" i="3"/>
  <c r="AB165" i="3"/>
  <c r="AB110" i="3"/>
  <c r="AB130" i="3"/>
  <c r="AB133" i="3"/>
  <c r="AB5" i="3"/>
  <c r="AB13" i="3"/>
  <c r="AB21" i="3"/>
  <c r="AB29" i="3"/>
  <c r="AB37" i="3"/>
  <c r="AB46" i="3"/>
  <c r="AB54" i="3"/>
  <c r="AB62" i="3"/>
  <c r="AB70" i="3"/>
  <c r="AB79" i="3"/>
  <c r="AB88" i="3"/>
  <c r="AB96" i="3"/>
  <c r="AB106" i="3"/>
  <c r="AB115" i="3"/>
  <c r="AB123" i="3"/>
  <c r="AB138" i="3"/>
  <c r="AB148" i="3"/>
  <c r="AB160" i="3"/>
  <c r="AB168" i="3"/>
  <c r="AB136" i="3"/>
  <c r="AB134" i="3"/>
  <c r="AB6" i="3"/>
  <c r="AB14" i="3"/>
  <c r="AB22" i="3"/>
  <c r="AB30" i="3"/>
  <c r="AB38" i="3"/>
  <c r="AB47" i="3"/>
  <c r="AB55" i="3"/>
  <c r="AB63" i="3"/>
  <c r="AB71" i="3"/>
  <c r="AB80" i="3"/>
  <c r="AB89" i="3"/>
  <c r="AB97" i="3"/>
  <c r="AB107" i="3"/>
  <c r="AB116" i="3"/>
  <c r="AB124" i="3"/>
  <c r="AB139" i="3"/>
  <c r="AB153" i="3"/>
  <c r="AB161" i="3"/>
  <c r="AB169" i="3"/>
  <c r="J157" i="3"/>
  <c r="J125" i="3"/>
  <c r="J93" i="3"/>
  <c r="J61" i="3"/>
  <c r="J29" i="3"/>
  <c r="M13" i="3"/>
  <c r="M144" i="3"/>
  <c r="M121" i="3"/>
  <c r="M73" i="3"/>
  <c r="M115" i="3"/>
  <c r="M141" i="3"/>
  <c r="M67" i="3"/>
  <c r="AB45" i="3"/>
  <c r="AB12" i="3"/>
  <c r="M135" i="3"/>
  <c r="M152" i="3"/>
  <c r="AB146" i="3"/>
  <c r="J150" i="3"/>
  <c r="J118" i="3"/>
  <c r="J86" i="3"/>
  <c r="J54" i="3"/>
  <c r="J22" i="3"/>
  <c r="S93" i="3"/>
  <c r="S85" i="3"/>
  <c r="S77" i="3"/>
  <c r="S69" i="3"/>
  <c r="S61" i="3"/>
  <c r="S53" i="3"/>
  <c r="S45" i="3"/>
  <c r="S37" i="3"/>
  <c r="S29" i="3"/>
  <c r="S21" i="3"/>
  <c r="S13" i="3"/>
  <c r="S5" i="3"/>
  <c r="P134" i="3"/>
  <c r="V135" i="3"/>
  <c r="P98" i="3"/>
  <c r="V150" i="3"/>
  <c r="P152" i="3"/>
  <c r="Y136" i="3"/>
  <c r="P146" i="3"/>
  <c r="S92" i="3"/>
  <c r="S84" i="3"/>
  <c r="S76" i="3"/>
  <c r="S68" i="3"/>
  <c r="S60" i="3"/>
  <c r="S52" i="3"/>
  <c r="S44" i="3"/>
  <c r="S36" i="3"/>
  <c r="S28" i="3"/>
  <c r="S20" i="3"/>
  <c r="S12" i="3"/>
  <c r="S4" i="3"/>
  <c r="Y132" i="3"/>
  <c r="Y40" i="3"/>
  <c r="Y170" i="3" s="1"/>
  <c r="V75" i="3"/>
  <c r="Y146" i="3"/>
  <c r="Y149" i="3"/>
  <c r="V110" i="3"/>
  <c r="S56" i="3"/>
  <c r="S48" i="3"/>
  <c r="S40" i="3"/>
  <c r="S32" i="3"/>
  <c r="S24" i="3"/>
  <c r="S16" i="3"/>
  <c r="S8" i="3"/>
  <c r="Y104" i="3"/>
  <c r="Y151" i="3"/>
  <c r="Y137" i="3"/>
  <c r="V133" i="3"/>
  <c r="P40" i="3"/>
  <c r="P170" i="3" s="1"/>
  <c r="Y98" i="3"/>
  <c r="V104" i="3"/>
  <c r="Y150" i="3"/>
  <c r="V137" i="3"/>
  <c r="P149" i="3"/>
  <c r="S94" i="3"/>
  <c r="S86" i="3"/>
  <c r="S78" i="3"/>
  <c r="S70" i="3"/>
  <c r="S62" i="3"/>
  <c r="S54" i="3"/>
  <c r="S46" i="3"/>
  <c r="S38" i="3"/>
  <c r="S30" i="3"/>
  <c r="S22" i="3"/>
  <c r="S14" i="3"/>
  <c r="AB170" i="3" l="1"/>
  <c r="V170" i="3"/>
  <c r="M170" i="3"/>
  <c r="S170" i="3"/>
  <c r="J170" i="3"/>
</calcChain>
</file>

<file path=xl/sharedStrings.xml><?xml version="1.0" encoding="utf-8"?>
<sst xmlns="http://schemas.openxmlformats.org/spreadsheetml/2006/main" count="2271" uniqueCount="892">
  <si>
    <r>
      <t>Mass</t>
    </r>
    <r>
      <rPr>
        <vertAlign val="superscript"/>
        <sz val="11"/>
        <color theme="1"/>
        <rFont val="Calibri"/>
        <family val="2"/>
      </rPr>
      <t>[1]</t>
    </r>
  </si>
  <si>
    <r>
      <t>Composition</t>
    </r>
    <r>
      <rPr>
        <vertAlign val="superscript"/>
        <sz val="11"/>
        <color theme="1"/>
        <rFont val="Calibri"/>
        <family val="2"/>
      </rPr>
      <t>[2]</t>
    </r>
  </si>
  <si>
    <r>
      <t xml:space="preserve">Putative structures </t>
    </r>
    <r>
      <rPr>
        <vertAlign val="superscript"/>
        <sz val="11"/>
        <color theme="1"/>
        <rFont val="Calibri"/>
        <family val="2"/>
      </rPr>
      <t>[3]</t>
    </r>
  </si>
  <si>
    <t>Percentage</t>
  </si>
  <si>
    <t>NeuAc2Hex5HexNAc4</t>
  </si>
  <si>
    <t>Footnote:</t>
  </si>
  <si>
    <t>[1]</t>
  </si>
  <si>
    <t>mass of strucutre in negative ion mode; mass with hyphens indicates the isomeric structures;</t>
  </si>
  <si>
    <t>[2]</t>
  </si>
  <si>
    <t>Hex, hexose; HexNAc, N-acetylhexosamine; deHex, fucose; NeuAc, N-acetylneuraminic acid; NeuGc, N-acetyl glycolylneuraminic acid; S, sulphate</t>
  </si>
  <si>
    <t>[3]</t>
  </si>
  <si>
    <t>structures are given in the text according following rules: the structure is described clockwise and left-to-right where reducing end locates righmost side (as shown in cartoon figure); "+" is used for uncertain location</t>
  </si>
  <si>
    <t>The cartoon figure is described as "NeuAcα2-6Galβ1-4GlcNAcβ1-2(Galβ1-4GlcNAcβ1-4)Manα1-3(GlcNAcβ1-4)(Galβ1-4GlcNAcβ1-2Manα1-6)Manβ1-4GlcNAcβ1-4(Fucα1-6)GlcNAcol"</t>
  </si>
  <si>
    <t>[4]</t>
  </si>
  <si>
    <t>[5]</t>
  </si>
  <si>
    <t>[6]</t>
  </si>
  <si>
    <t>Retention time (RT) of selected structure on LC;</t>
  </si>
  <si>
    <t>The intensity is area-under-the-curves (AUCs) of each glycan. For comparsion of glycan abundances between samples, the intensity is normalised to total AUC (summed AUCs of all glycans in a sample) and expressed as a percentage.</t>
  </si>
  <si>
    <t>Hex3HexNAc4deHex1</t>
  </si>
  <si>
    <r>
      <t xml:space="preserve">RT </t>
    </r>
    <r>
      <rPr>
        <vertAlign val="superscript"/>
        <sz val="11"/>
        <color theme="1"/>
        <rFont val="Calibri"/>
        <family val="2"/>
      </rPr>
      <t>[5]</t>
    </r>
  </si>
  <si>
    <r>
      <t>Intensity</t>
    </r>
    <r>
      <rPr>
        <vertAlign val="superscript"/>
        <sz val="11"/>
        <color theme="1"/>
        <rFont val="Calibri"/>
        <family val="2"/>
      </rPr>
      <t xml:space="preserve"> [6]</t>
    </r>
  </si>
  <si>
    <t>Percentage2</t>
  </si>
  <si>
    <t>nd</t>
  </si>
  <si>
    <r>
      <t>Type</t>
    </r>
    <r>
      <rPr>
        <vertAlign val="superscript"/>
        <sz val="11"/>
        <color theme="1"/>
        <rFont val="Calibri"/>
        <family val="2"/>
      </rPr>
      <t xml:space="preserve"> [4]</t>
    </r>
  </si>
  <si>
    <t>RT4</t>
  </si>
  <si>
    <t>Intensity4</t>
  </si>
  <si>
    <t>Hex1HexNAc1</t>
  </si>
  <si>
    <r>
      <t>GlcNAc</t>
    </r>
    <r>
      <rPr>
        <sz val="11"/>
        <color theme="1"/>
        <rFont val="Calibri"/>
        <family val="2"/>
      </rPr>
      <t>α1-4Galol</t>
    </r>
  </si>
  <si>
    <t>p</t>
  </si>
  <si>
    <t>Hex1HexNAc1deHex1</t>
  </si>
  <si>
    <t>Fucα1-2Galβ1-3GalNAcol</t>
  </si>
  <si>
    <t>Hex1HexNAc2</t>
  </si>
  <si>
    <t>GlcNAcα1-4Galβ1-3GalNAcol</t>
  </si>
  <si>
    <t>Hex1HexNAc2Sul1</t>
  </si>
  <si>
    <t>Galβ1-3(6SGlcNAcβ1-6)GalNAcol</t>
  </si>
  <si>
    <t>675-1</t>
  </si>
  <si>
    <t>NeuAc1Hex1HexNAc1</t>
  </si>
  <si>
    <t>Galβ1-3(NeuAcα2-6)GalNAcol</t>
  </si>
  <si>
    <t>675-2</t>
  </si>
  <si>
    <t>NeuAcα2-3Galβ1-3GalNAcol</t>
  </si>
  <si>
    <t>733-1</t>
  </si>
  <si>
    <t>Hex1HexNAc2deHex1</t>
  </si>
  <si>
    <t>Fucα1-2(GalNAcα1-3)Galβ1-3GalNAcol</t>
  </si>
  <si>
    <t>733-2</t>
  </si>
  <si>
    <t>Fucα1-2Galβ1-3(GlcNAcβ1-6)GalNAcol</t>
  </si>
  <si>
    <t>Hex2HexNAc2</t>
  </si>
  <si>
    <t>Galβ1-3(Galβ1-4GlcNAcβ1-6)GalNAcol</t>
  </si>
  <si>
    <t>749-2</t>
  </si>
  <si>
    <t>Galβ1-4GlcNAcβ1-3Galβ1-3GalNAcol</t>
  </si>
  <si>
    <t>Hex1HexNAc3</t>
  </si>
  <si>
    <t>GlcNAcα1-4Galβ1-3(GlcNAcβ1-6)GalNAcol</t>
  </si>
  <si>
    <t>Hex1HexNAc2deHex1Sul1</t>
  </si>
  <si>
    <t>Fucα1-2Galβ1-3(6S-GlcNAcβ1-6)GalNAcol</t>
  </si>
  <si>
    <t>Hex1HexNAc3Sul1</t>
  </si>
  <si>
    <t>NeuAc1Hex1HexNAc2</t>
  </si>
  <si>
    <t>895-1</t>
  </si>
  <si>
    <t>Hex2HexNAc2deHex1</t>
  </si>
  <si>
    <t>Fucα1-2Galβ1-4GlcNAcβ1-3Galβ1-3GalNAcol</t>
  </si>
  <si>
    <t>Galβ1-3(Fucα1-2Galβ1-4GlcNAcβ1-6)GalNAcol</t>
  </si>
  <si>
    <t>Fucα1-2Galβ1-3(Galβ1-4GlcNAcβ1-6)GalNAcol</t>
  </si>
  <si>
    <t>936-1</t>
  </si>
  <si>
    <t>Hex1HexNAc3deHex1</t>
  </si>
  <si>
    <t>936-2</t>
  </si>
  <si>
    <t>Fucα1-2Galβ1-3(GalNAcβ1-4GlcNAcβ1-6)GalNAcol</t>
  </si>
  <si>
    <t>952-1</t>
  </si>
  <si>
    <t>Hex2HexNAc3</t>
  </si>
  <si>
    <r>
      <t>Gal</t>
    </r>
    <r>
      <rPr>
        <sz val="11"/>
        <color theme="1"/>
        <rFont val="Calibri"/>
        <family val="2"/>
      </rPr>
      <t>β1-4GlcNAcβ1-3(GlcNAcβ1-6)Galβ1-3GalNAcol</t>
    </r>
  </si>
  <si>
    <t>952-2</t>
  </si>
  <si>
    <t>GlcNAcα1-4Galβ1-3(Galβ1-4GlcNAcβ1-6)GalNAcol</t>
  </si>
  <si>
    <t>NeuAc2Hex1HexNAc1</t>
  </si>
  <si>
    <t>NeuAcα2-3Galβ1-3(NeuAcα2-6)GalNAcol</t>
  </si>
  <si>
    <t>Hex2HexNAc2deHex1Sul1</t>
  </si>
  <si>
    <t>Hex1HexNAc4</t>
  </si>
  <si>
    <r>
      <t>GlcNAc</t>
    </r>
    <r>
      <rPr>
        <sz val="11"/>
        <color theme="1"/>
        <rFont val="Calibri"/>
        <family val="2"/>
      </rPr>
      <t>α1-4Galβ1-3(GalNAcβ1-4GlcNAcβ1-6)GalNAcol</t>
    </r>
  </si>
  <si>
    <t>Hex1HexNAc3deHex1Sul1</t>
  </si>
  <si>
    <t>NeuAc1Hex2HexNAc2</t>
  </si>
  <si>
    <r>
      <t>Gal</t>
    </r>
    <r>
      <rPr>
        <sz val="11"/>
        <color theme="1"/>
        <rFont val="Calibri"/>
        <family val="2"/>
      </rPr>
      <t>β1-4GlcNAcβ1-3Galβ1-3(NeuAcα2-6)GalNAcol</t>
    </r>
  </si>
  <si>
    <t>1040-2</t>
  </si>
  <si>
    <t>NeuAcα2-3Galβ1-3(Galβ1-4GlcNAcβ1-6)GalNAcol</t>
  </si>
  <si>
    <t>Hex2HexNAc2deHex2</t>
  </si>
  <si>
    <t>1098-1</t>
  </si>
  <si>
    <t>Hex2HexNAc3deHex1</t>
  </si>
  <si>
    <t>1098-3</t>
  </si>
  <si>
    <r>
      <t>GlcNAc</t>
    </r>
    <r>
      <rPr>
        <sz val="11"/>
        <color theme="1"/>
        <rFont val="Calibri"/>
        <family val="2"/>
      </rPr>
      <t>α1-4Galβ1-3(Fucα1-2Galβ1-4GlcNAcβ1-6)GalNAcol</t>
    </r>
  </si>
  <si>
    <t>1098-4</t>
  </si>
  <si>
    <t>Hex2HexNAc2deHex2Sul1</t>
  </si>
  <si>
    <t>Fucα1-2Galβ1-3[Fucα1-2Galβ1-4(6S)GlcNAcβ1-6]GalNAcol</t>
  </si>
  <si>
    <t>Hex2HexNAc4</t>
  </si>
  <si>
    <t>GlcNAcα1-4Galβ1-3(GlcNAcα1-4Galβ1-4GlcNAcβ1-6)GalNAcol</t>
  </si>
  <si>
    <t>Hex2HexNAc3deHex1Sul1</t>
  </si>
  <si>
    <t>NeuAc1Hex2HexNAc3</t>
  </si>
  <si>
    <t>GlcNAcα1-4Galβ1-4GlcNAcβ1-3Galβ1-3(NeuAcα2-6)GalNAcol</t>
  </si>
  <si>
    <t>Hex2HexNAc3deHex1Sul2</t>
  </si>
  <si>
    <t>1301-1</t>
  </si>
  <si>
    <t>Hex2HexNAc4deHex1</t>
  </si>
  <si>
    <t>GlcNAcα1-4Galβ1-3[GalNAcα1-3(Fucα1-2)Galβ1-4GlcNAcβ1-6]GalNAcol</t>
  </si>
  <si>
    <t>1301-2</t>
  </si>
  <si>
    <t>GalNAcα1-3(Fucα1-2)Galβ1-3(GlcNAcα1-4Galβ1-4GlcNAcβ1-6)GalNAcol</t>
  </si>
  <si>
    <t>NeuAc2Hex2HexNAc2</t>
  </si>
  <si>
    <t>NeuAcα2-3Galβ1-3(NeuAcα2-3Galβ1-4GlcNAcβ1-6)GalNAcol</t>
  </si>
  <si>
    <t>Hex2HexNAc4deHex2</t>
  </si>
  <si>
    <t>GalNAcα1-3(Fucα1-2)Galβ1-3[GalNAcα1-3(Fucα1-2)Galβ1-4GlcNAcβ1-6]GalNAcol</t>
  </si>
  <si>
    <t>Gal-GlcNAcβ1-3(Fucα1-2Galβ1-4GlcNAcβ1-6)Galβ1-3(GlcNAcβ1-6)GalNAcol</t>
  </si>
  <si>
    <t>Hex4HexNAc5deHex2</t>
  </si>
  <si>
    <t>Fucα1-2Galβ1-4GlcNAcβ1-3(Fucα1-2Galβ1-4GlcNAcβ1-6)Galβ1-3(GlcNAcα1-4Galβ1-4GlcNAcβ1-6)GalNAcol</t>
  </si>
  <si>
    <t>Hex4HexNAc7</t>
  </si>
  <si>
    <t>GlcNAcα1-4Galβ1-4GlcNAcβ1-3(GlcNAcα1-4Galβ1-4GlcNAcβ1-6)Galβ1-3(GlcNAcα1-4Galβ1-4GlcNAcβ1-6)GalNAcol</t>
  </si>
  <si>
    <r>
      <t>Types of O-glycans: core 1 (1), core 2 (2) and peeling products (p); presence (1) and absence (0) of GlcNAc</t>
    </r>
    <r>
      <rPr>
        <sz val="11"/>
        <color theme="1"/>
        <rFont val="Calibri"/>
        <family val="2"/>
      </rPr>
      <t>α1-4Galβ and blood type A;</t>
    </r>
  </si>
  <si>
    <t>749-3</t>
  </si>
  <si>
    <t>Hex2HexNAc3deHex2</t>
  </si>
  <si>
    <t>Sulfation</t>
  </si>
  <si>
    <r>
      <t>Control</t>
    </r>
    <r>
      <rPr>
        <vertAlign val="superscript"/>
        <sz val="16"/>
        <color rgb="FFFF0000"/>
        <rFont val="Calibri"/>
        <family val="2"/>
        <scheme val="minor"/>
      </rPr>
      <t xml:space="preserve"> (overnight)</t>
    </r>
  </si>
  <si>
    <t>Galβ1-3GalNAcol</t>
  </si>
  <si>
    <t>384-2</t>
  </si>
  <si>
    <t>384-1</t>
  </si>
  <si>
    <t>425-1</t>
  </si>
  <si>
    <t>425-2</t>
  </si>
  <si>
    <t>HexNAc2</t>
  </si>
  <si>
    <r>
      <t>GlcNAc</t>
    </r>
    <r>
      <rPr>
        <sz val="11"/>
        <color theme="1"/>
        <rFont val="Calibri"/>
        <family val="2"/>
      </rPr>
      <t>β1-4GlcNAcol</t>
    </r>
  </si>
  <si>
    <t>N</t>
  </si>
  <si>
    <t>NeuAc1Hex1</t>
  </si>
  <si>
    <t>NeuAcα2-3Galol</t>
  </si>
  <si>
    <t>NeuAc1HexNAc1</t>
  </si>
  <si>
    <t>NeuAcα2-6GalNAcol</t>
  </si>
  <si>
    <t>587-1</t>
  </si>
  <si>
    <t>Galβ1-3(GlcNAcβ1-6)GalNAcol</t>
  </si>
  <si>
    <t>587-2</t>
  </si>
  <si>
    <t>587-3</t>
  </si>
  <si>
    <t>HexNAc3</t>
  </si>
  <si>
    <r>
      <t>GlcNAc</t>
    </r>
    <r>
      <rPr>
        <sz val="11"/>
        <color theme="1"/>
        <rFont val="Calibri"/>
        <family val="2"/>
      </rPr>
      <t>β1-3(GlcNAcβ1-6)GalNAcol</t>
    </r>
  </si>
  <si>
    <t>691-1</t>
  </si>
  <si>
    <t>691-2</t>
  </si>
  <si>
    <t>Galβ1-3(NeuGcα2-6)GalNAcol</t>
  </si>
  <si>
    <t>NeuGc1Hex1HexNAc1</t>
  </si>
  <si>
    <r>
      <t>GlcNAc</t>
    </r>
    <r>
      <rPr>
        <sz val="11"/>
        <color theme="1"/>
        <rFont val="Calibri"/>
        <family val="2"/>
      </rPr>
      <t>β1-3(6S-GlcNAcβ1-6)GalNAcol</t>
    </r>
  </si>
  <si>
    <t>HexNAc3Sul1</t>
  </si>
  <si>
    <t>716-1</t>
  </si>
  <si>
    <t>716-2</t>
  </si>
  <si>
    <t>NeuAc1HexNAc2</t>
  </si>
  <si>
    <t>GlcNAcβ1-3(NeuAcα2-6)GalNAcol</t>
  </si>
  <si>
    <t>GalNAcα1-3(NeuAcα2-6)GalNAcol</t>
  </si>
  <si>
    <t>732-1</t>
  </si>
  <si>
    <t>732-2</t>
  </si>
  <si>
    <t>NeuGc1HexNAc2</t>
  </si>
  <si>
    <t>GlcNAcβ1-3(NeuGcα2-6)GalNAcol</t>
  </si>
  <si>
    <t>GalNAcα1-3(NeuGcα2-6)GalNAcol</t>
  </si>
  <si>
    <t>Galβ1-4(Fucα1-3)GlcNAcβ1-3GalNAcol</t>
  </si>
  <si>
    <t>Fucα1-2Galβ1-3GlcNAcβ1-3GalNAcol</t>
  </si>
  <si>
    <t>733-3</t>
  </si>
  <si>
    <t>733-4</t>
  </si>
  <si>
    <t>Fucα1-2Galβ1-4GlcNAcβ1-3GalNAcol</t>
  </si>
  <si>
    <t>733-5</t>
  </si>
  <si>
    <t>790-1</t>
  </si>
  <si>
    <t>790-2</t>
  </si>
  <si>
    <t>GlcNAcβ1-3(Galβ1-4GlcNAcβ1-6)GalNAcol</t>
  </si>
  <si>
    <t>Hex2HexNAc2Sul1</t>
  </si>
  <si>
    <t>Galβ1-3[Galβ1-4(6S)GlcNAcβ1-6]GalNAcol</t>
  </si>
  <si>
    <t>870-2</t>
  </si>
  <si>
    <r>
      <t>GlcNAc</t>
    </r>
    <r>
      <rPr>
        <sz val="11"/>
        <color theme="1"/>
        <rFont val="Calibri"/>
        <family val="2"/>
      </rPr>
      <t>β1-3[Gal-(6S)GlcNAcβ1-6]GalNAcol</t>
    </r>
  </si>
  <si>
    <t>870-3</t>
  </si>
  <si>
    <t>Galβ1-4(6S)GlcNAcβ1-3(GlcNAcβ1-6)GalNAcol</t>
  </si>
  <si>
    <t>GlcNAca1-4Galβ1-3(NeuAcα2-6)GalNAcol</t>
  </si>
  <si>
    <t>Hex1HexNAc2deHex2</t>
  </si>
  <si>
    <t>NeuGc1Hex1HexNAc2</t>
  </si>
  <si>
    <t>NeuGcα2-3Galβ1-3(GlcNAcβ1-6)GalNAcol</t>
  </si>
  <si>
    <t>Galβ1-3(Fucα1-4)GlcNAcβ1-3Galβ1-3GalNAcol</t>
  </si>
  <si>
    <t>895-4</t>
  </si>
  <si>
    <t>GlcNAcβ1-3[Gal-(Fuc)GlcNAcβ1-6]GalNAcol</t>
  </si>
  <si>
    <t>936-3</t>
  </si>
  <si>
    <r>
      <t>GlcNAc</t>
    </r>
    <r>
      <rPr>
        <sz val="11"/>
        <color theme="1"/>
        <rFont val="Calibri"/>
        <family val="2"/>
      </rPr>
      <t>β1-3(Fucα1-2Galβ1-4GlcNAcβ1-6)GalNAcol</t>
    </r>
  </si>
  <si>
    <t>?</t>
  </si>
  <si>
    <t>952-3</t>
  </si>
  <si>
    <t>Galβ1-4GlcNAcβ1-3(Galβ1-4GlcNAcβ1-6)GalNAcol</t>
  </si>
  <si>
    <t>NeuAc1Hex1HexNAc2Sul1</t>
  </si>
  <si>
    <t>NeuAcα2-3Galβ1-3[(6S)GlcNAcβ1-6]GalNAcol</t>
  </si>
  <si>
    <t>NeuGc1Hex1HexNAc2Sul1</t>
  </si>
  <si>
    <t>NeuGcα2-3Galβ1-3(6SGlcNAcβ1-6)GalNAcol</t>
  </si>
  <si>
    <t>975-1</t>
  </si>
  <si>
    <t>975-2</t>
  </si>
  <si>
    <t>Galβ1-3[Fucα1-2Galβ1-4(6S)GlcNAcβ1-6]GalNAcol</t>
  </si>
  <si>
    <t>975-3</t>
  </si>
  <si>
    <t>1016-1</t>
  </si>
  <si>
    <t>GlcNAcβ1-3[Galβ1-4(Fucα1-3)(6S)GlcNAcβ1-6]GalNAcol</t>
  </si>
  <si>
    <t>1016-2</t>
  </si>
  <si>
    <t>Galβ1-4(Fucα1-3)(6S)GlcNAcβ1-3(GlcNAcβ1-6)GalNAcol</t>
  </si>
  <si>
    <t>1016-3</t>
  </si>
  <si>
    <t>GlcNAcβ1-3[Fucα1-2Galβ1-4(6S)GlcNAcβ1-6]GalNAcol</t>
  </si>
  <si>
    <t>1016-4</t>
  </si>
  <si>
    <t>Fucα1-2Galβ1-4(6S)GlcNAcβ1-3(GlcNAcβ1-6)GalNAcol</t>
  </si>
  <si>
    <t>1016-5</t>
  </si>
  <si>
    <t>1016-6</t>
  </si>
  <si>
    <t>Fucα1-2Galβ1-4GlcNAcβ-3(6SGlcNAcβ1-6)GalNAcol</t>
  </si>
  <si>
    <t>NeuAc1Hex1HexNAc2deHex1</t>
  </si>
  <si>
    <t>Hex2HexNAc3Sul1</t>
  </si>
  <si>
    <r>
      <t>Gal-GlcNAc</t>
    </r>
    <r>
      <rPr>
        <sz val="11"/>
        <color theme="1"/>
        <rFont val="Calibri"/>
        <family val="2"/>
      </rPr>
      <t>β1-3[Gal-(6S)GlcNAcβ1-6]GalNAcol</t>
    </r>
  </si>
  <si>
    <t>Hex1HexNAc3deHex2</t>
  </si>
  <si>
    <t>GlcNAcβ1-3[Fucα1-2Gal-(Fuc)GlcNAcβ1-6]GalNAcol</t>
  </si>
  <si>
    <t>Gal-(Fuc-)GlcNAcβ1-3(Gal-GlcNAcβ1-6)GalNAcol</t>
  </si>
  <si>
    <t>Fucα1-2Galβ1-3(GlcNAcα1-4Galβ1-4GlcNAcβ1-6)GalNAcol</t>
  </si>
  <si>
    <t>1121-2</t>
  </si>
  <si>
    <t>1121-1</t>
  </si>
  <si>
    <t>1162-1</t>
  </si>
  <si>
    <t>1162-2</t>
  </si>
  <si>
    <t>Hex1HexNAc3deHex2Sul1</t>
  </si>
  <si>
    <t>GlcNAcβ1-3[Fucα1-2Galβ1-(Fucα1-)(6S)GlcNAcβ1-6]GalNAcol</t>
  </si>
  <si>
    <t>6SGlcNAcβ1-3[Fucα1-2Galβ1-(Fucα1-)GlcNAcβ1-6]GalNAcol</t>
  </si>
  <si>
    <t>Gal-GlcNAcβ1-3[Gal(Fuc)(6S)GlcNAcβ1-6]GalNAcol</t>
  </si>
  <si>
    <t>Gal(Fuc)GlcNAcβ1-3[Gal(Fuc)GlcNAcβ1-6]GalNAcol</t>
  </si>
  <si>
    <t>Gal(Fuc)(6S)GlcNAcβ1-3(SGalβ1-4GlcNAcβ1-6)GalNAcol</t>
  </si>
  <si>
    <t>Hex2HexNAc2deHex3Sul1</t>
  </si>
  <si>
    <t>Hex2HexNAc3deHex2Sul1</t>
  </si>
  <si>
    <t>Gal(Fuc)GlcNAcβ1-3[Gal(Fuc)(6S)GlcNAcβ1-6]GalNAcol</t>
  </si>
  <si>
    <t>NeuAc1Hex2HexNAc2deHex2</t>
  </si>
  <si>
    <t>NeuAcα2-3Gaβ1-3[Fucα1-2Galβ1-4(Fucα1-3)GlcNAcβ1-6]GalNAcol</t>
  </si>
  <si>
    <t>NeuGc1Hex2HexNAc2deHex2</t>
  </si>
  <si>
    <t>NeuGcα2-3Galβ1-3[Fucα1-2Gal-(Fuc)GlcNAcβ1-6]GalNAcol</t>
  </si>
  <si>
    <t>Hex2HexNAc4deHex1Sul1</t>
  </si>
  <si>
    <t>Hex2HexNAc3deHex3</t>
  </si>
  <si>
    <t>1390-1</t>
  </si>
  <si>
    <t>1390-2</t>
  </si>
  <si>
    <t>1390-3</t>
  </si>
  <si>
    <t>Gal(Fuc)GlcNAcβ1-3[Fucα1-2Gal(Fuc)GlcNAcβ1-6]GalNAcol</t>
  </si>
  <si>
    <t>GalNAcα1-3(Fucα1-2)Galβ1-3[Fucα1-2Gal(Fuc)GlcNAcβ1-6]GalNAcol</t>
  </si>
  <si>
    <t>Fucα1-2Gal-(Fuc)GlcNAcβ1-3(Fucα1-2Gal-GlcNAcβ1-6)GalNAcol</t>
  </si>
  <si>
    <t>1470-1</t>
  </si>
  <si>
    <t>Hex2HexNAc3deHe3Sul1</t>
  </si>
  <si>
    <t>1470-2</t>
  </si>
  <si>
    <t>1470-3</t>
  </si>
  <si>
    <t>1470-4</t>
  </si>
  <si>
    <t>1470-5</t>
  </si>
  <si>
    <t>Gal-(Fuc-)GlcNAcβ1-3[Fucα1-2Gal-(Fuc)(6S)GlcNAcβ1-6]GalNAcol</t>
  </si>
  <si>
    <t>Fucα1-2Gal-(6S)GlcNAcβ1-3[Fucα1-2Gal-(Fuc)GlcNAcβ1-6]GalNAcol</t>
  </si>
  <si>
    <t>Hex2HexNAc3deHex4</t>
  </si>
  <si>
    <t>Fucα1-2Gal(Fuc)GlcNAcβ1-3[Fucα1-2Gal(Fuc)GlcNAcβ1-6]GalNAcol</t>
  </si>
  <si>
    <t>Hex2HexNAc3deHex4Sul1</t>
  </si>
  <si>
    <t>Fucα1-2Gal(Fuc)GlcNAcβ1-3[Fucα1-2Gal-(Fuc)(6S)GlcNAcβ1-6]GalNAcol</t>
  </si>
  <si>
    <t>Hex3HexNAc4deHex3Sul2</t>
  </si>
  <si>
    <t>2223-2</t>
  </si>
  <si>
    <t>2223-3</t>
  </si>
  <si>
    <t>NeuAcα2-3Galβ1-4GlcNAcβ1-2Manα1-3(NeuAcα2-6Galβ1-4GlcNAcβ1-2Manα1-6)Manβ1-4GlcNAcβ1-4GlcNAcol</t>
  </si>
  <si>
    <t>NeuAcα2-6Galβ1-4GlcNAcβ1-2Manα1-3(NeuAcα2-3Galβ1-4GlcNAcβ1-2Manα1-6)Manβ1-4GlcNAcβ1-4GlcNAcol</t>
  </si>
  <si>
    <t>NeuAcα2-3Galβ1-4GlcNAcβ1-2Manα1-3(NeuAcα2-3Galβ1-4GlcNAcβ1-2Manα1-6)Manβ1-4GlcNAcβ1-4GlcNAcol</t>
  </si>
  <si>
    <t>2588-1</t>
  </si>
  <si>
    <t>2588-2</t>
  </si>
  <si>
    <t>2588-3</t>
  </si>
  <si>
    <t>NeuAc2Hex6HexNAc5</t>
  </si>
  <si>
    <t>2NeuAc+Galβ1-4GlcNAcβ1-2(Galβ1-4GlcNAcβ1-6)Manα1-3(Galβ1-4GlcNAcβ1-2Manα1-6)Manβ1-4GlcNAcβ1-4GlcNAcol</t>
  </si>
  <si>
    <t>2880-1</t>
  </si>
  <si>
    <t>2880-2</t>
  </si>
  <si>
    <t>2880-3</t>
  </si>
  <si>
    <t>2880-4</t>
  </si>
  <si>
    <t>NeuAc3Hex6HexNAc5</t>
  </si>
  <si>
    <t>NeuAcα2-6Galβ1-4GlcNAcβ1-2(NeuAcα2-6Galβ1-4GlcNAcβ1-6)Manα1-3(NeuAcα2-6Galβ1-4GlcNAcβ1-2Manα1-6)Manβ1-4GlcNAcβ1-4GlcNAcol</t>
  </si>
  <si>
    <t>NeuAcα2-6Galβ1-4GlcNAcβ1-2(NeuAcα2-3Galβ1-4GlcNAcβ1-6)Manα1-3(NeuAcα2-6Galβ1-4GlcNAcβ1-2Manα1-6)Manβ1-4GlcNAcβ1-4GlcNAcol</t>
  </si>
  <si>
    <t>NeuAcα2-3Galβ1-4GlcNAcβ1-2(NeuAcα2-3Galβ1-4GlcNAcβ1-6)Manα1-3(NeuAcα2-6Galβ1-4GlcNAcβ1-2Manα1-6)Manβ1-4GlcNAcβ1-4GlcNAcol</t>
  </si>
  <si>
    <t>NeuAcα2-3Galβ1-4GlcNAcβ1-2(NeuAcα2-3Galβ1-4GlcNAcβ1-6)Manα1-3(NeuAcα2-3Galβ1-4GlcNAcβ1-2Manα1-6)Manβ1-4GlcNAcβ1-4GlcNAcol</t>
  </si>
  <si>
    <t>3171-1</t>
  </si>
  <si>
    <t>3171-2</t>
  </si>
  <si>
    <t>3171-3</t>
  </si>
  <si>
    <t>NeuAc4Hex6HexNAc5</t>
  </si>
  <si>
    <t>NeuAcα2-6+NeuAcα2-3Galβ1-4GlcNAcβ1-2(NeuAcα2-3Galβ1-4GlcNAcβ1-6)Manα1-3(NeuAcα2-3Galβ1-4GlcNAcβ1-2Manα1-6)Manβ1-4GlcNAcβ1-4GlcNAcol</t>
  </si>
  <si>
    <t>975-4</t>
  </si>
  <si>
    <r>
      <t>GlcNAc</t>
    </r>
    <r>
      <rPr>
        <sz val="11"/>
        <color theme="1"/>
        <rFont val="Calibri"/>
        <family val="2"/>
      </rPr>
      <t>β</t>
    </r>
    <r>
      <rPr>
        <sz val="11"/>
        <color theme="1"/>
        <rFont val="Calibri"/>
        <family val="2"/>
        <scheme val="minor"/>
      </rPr>
      <t>1-3GalNAcol</t>
    </r>
  </si>
  <si>
    <r>
      <t>Gal</t>
    </r>
    <r>
      <rPr>
        <sz val="11"/>
        <color theme="1"/>
        <rFont val="Calibri"/>
        <family val="2"/>
      </rPr>
      <t>β</t>
    </r>
    <r>
      <rPr>
        <sz val="11"/>
        <color theme="1"/>
        <rFont val="Calibri"/>
        <family val="2"/>
        <scheme val="minor"/>
      </rPr>
      <t>1-4GlcNAc</t>
    </r>
    <r>
      <rPr>
        <sz val="11"/>
        <color theme="1"/>
        <rFont val="Calibri"/>
        <family val="2"/>
      </rPr>
      <t>β</t>
    </r>
    <r>
      <rPr>
        <sz val="11"/>
        <color theme="1"/>
        <rFont val="Calibri"/>
        <family val="2"/>
        <scheme val="minor"/>
      </rPr>
      <t>1-3GalNAcol</t>
    </r>
  </si>
  <si>
    <r>
      <t>NeuGc</t>
    </r>
    <r>
      <rPr>
        <sz val="11"/>
        <color theme="1"/>
        <rFont val="Calibri"/>
        <family val="2"/>
      </rPr>
      <t>α</t>
    </r>
    <r>
      <rPr>
        <sz val="11"/>
        <color theme="1"/>
        <rFont val="Calibri"/>
        <family val="2"/>
        <scheme val="minor"/>
      </rPr>
      <t>2-3Gal</t>
    </r>
    <r>
      <rPr>
        <sz val="11"/>
        <color theme="1"/>
        <rFont val="Calibri"/>
        <family val="2"/>
      </rPr>
      <t>β</t>
    </r>
    <r>
      <rPr>
        <sz val="11"/>
        <color theme="1"/>
        <rFont val="Calibri"/>
        <family val="2"/>
        <scheme val="minor"/>
      </rPr>
      <t>1-3GalNAcol</t>
    </r>
  </si>
  <si>
    <r>
      <t>Galβ1-3</t>
    </r>
    <r>
      <rPr>
        <sz val="11"/>
        <color theme="1"/>
        <rFont val="Calibri"/>
        <family val="2"/>
      </rPr>
      <t>[Galβ</t>
    </r>
    <r>
      <rPr>
        <sz val="11"/>
        <color theme="1"/>
        <rFont val="Calibri"/>
        <family val="2"/>
        <scheme val="minor"/>
      </rPr>
      <t>1-4</t>
    </r>
    <r>
      <rPr>
        <sz val="11"/>
        <color theme="1"/>
        <rFont val="Calibri"/>
        <family val="2"/>
      </rPr>
      <t>(Fucα</t>
    </r>
    <r>
      <rPr>
        <sz val="11"/>
        <color theme="1"/>
        <rFont val="Calibri"/>
        <family val="2"/>
        <scheme val="minor"/>
      </rPr>
      <t>1-3</t>
    </r>
    <r>
      <rPr>
        <sz val="11"/>
        <color theme="1"/>
        <rFont val="Calibri"/>
        <family val="2"/>
      </rPr>
      <t>)(6S)GlcNAcβ1-6]</t>
    </r>
    <r>
      <rPr>
        <sz val="11"/>
        <color theme="1"/>
        <rFont val="Calibri"/>
        <family val="2"/>
        <scheme val="minor"/>
      </rPr>
      <t>GalNAcol</t>
    </r>
  </si>
  <si>
    <r>
      <t>Fuc</t>
    </r>
    <r>
      <rPr>
        <sz val="11"/>
        <color theme="1"/>
        <rFont val="Calibri"/>
        <family val="2"/>
      </rPr>
      <t>α1-2</t>
    </r>
    <r>
      <rPr>
        <sz val="11"/>
        <color theme="1"/>
        <rFont val="Calibri"/>
        <family val="2"/>
        <scheme val="minor"/>
      </rPr>
      <t>Gal</t>
    </r>
    <r>
      <rPr>
        <sz val="11"/>
        <color theme="1"/>
        <rFont val="Calibri"/>
        <family val="2"/>
      </rPr>
      <t>β1-4</t>
    </r>
    <r>
      <rPr>
        <sz val="11"/>
        <color theme="1"/>
        <rFont val="Calibri"/>
        <family val="2"/>
        <scheme val="minor"/>
      </rPr>
      <t>(6S)GlcNAc</t>
    </r>
    <r>
      <rPr>
        <sz val="11"/>
        <color theme="1"/>
        <rFont val="Times New Roman"/>
        <family val="1"/>
      </rPr>
      <t>β1</t>
    </r>
    <r>
      <rPr>
        <sz val="11"/>
        <color theme="1"/>
        <rFont val="Calibri"/>
        <family val="2"/>
        <scheme val="minor"/>
      </rPr>
      <t>-3Galβ1-3GalNAcol</t>
    </r>
  </si>
  <si>
    <r>
      <t>Fucα1-2Galβ1-3</t>
    </r>
    <r>
      <rPr>
        <sz val="11"/>
        <color theme="1"/>
        <rFont val="Calibri"/>
        <family val="2"/>
      </rPr>
      <t>(Fucα1-2Galβ1-4GlcNAcβ1-6)</t>
    </r>
    <r>
      <rPr>
        <sz val="11"/>
        <color theme="1"/>
        <rFont val="Calibri"/>
        <family val="2"/>
        <scheme val="minor"/>
      </rPr>
      <t>GalNAcol</t>
    </r>
  </si>
  <si>
    <t>GlcNAcβ1-3(SGalβ1-4GlcNAcβ1-6)GalNAcol</t>
  </si>
  <si>
    <t>Fucα1-2Galβ1-3[Galβ1-4(6S)GlcNAcβ1-6]GalNAcol</t>
  </si>
  <si>
    <r>
      <t>Gal-GlcNAcβ1-3[Fuc</t>
    </r>
    <r>
      <rPr>
        <sz val="11"/>
        <color theme="1"/>
        <rFont val="Calibri"/>
        <family val="2"/>
      </rPr>
      <t>α1-2</t>
    </r>
    <r>
      <rPr>
        <sz val="11"/>
        <color theme="1"/>
        <rFont val="Calibri"/>
        <family val="2"/>
        <scheme val="minor"/>
      </rPr>
      <t>Gal(6S)GlcNAcβ1-6]GalNAcol</t>
    </r>
  </si>
  <si>
    <t>Fucosylation</t>
  </si>
  <si>
    <t>A</t>
  </si>
  <si>
    <t>H3</t>
  </si>
  <si>
    <t>x</t>
  </si>
  <si>
    <t>H1</t>
  </si>
  <si>
    <t>H2</t>
  </si>
  <si>
    <t>878-1</t>
  </si>
  <si>
    <t>878-2</t>
  </si>
  <si>
    <t>Fucα1-2Galβ1-4(Fucα1-3)GlcNAcβ1-3GalNAcol</t>
  </si>
  <si>
    <t>y</t>
  </si>
  <si>
    <t>a/x</t>
  </si>
  <si>
    <t>GlcNAcβ1-3[SGalβ1-4(Fucα1-3)GlcNAcβ1-6]GalNAcol</t>
  </si>
  <si>
    <r>
      <t>Gal</t>
    </r>
    <r>
      <rPr>
        <sz val="11"/>
        <color theme="1"/>
        <rFont val="Calibri"/>
        <family val="2"/>
      </rPr>
      <t>β1-4</t>
    </r>
    <r>
      <rPr>
        <sz val="11"/>
        <color theme="1"/>
        <rFont val="Calibri"/>
        <family val="2"/>
        <scheme val="minor"/>
      </rPr>
      <t>(Fuc</t>
    </r>
    <r>
      <rPr>
        <sz val="11"/>
        <color theme="1"/>
        <rFont val="Calibri"/>
        <family val="2"/>
      </rPr>
      <t>α1-3</t>
    </r>
    <r>
      <rPr>
        <sz val="11"/>
        <color theme="1"/>
        <rFont val="Calibri"/>
        <family val="2"/>
        <scheme val="minor"/>
      </rPr>
      <t>)GlcNAcβ1-3(NeuAcα2-6)GalNAcol</t>
    </r>
  </si>
  <si>
    <t>NeuGc1Hex2HexNAc2</t>
  </si>
  <si>
    <t>NeuGcα2-3Galβ1-3(Galβ1-4GlcNAcβ1-6)GalNAcol</t>
  </si>
  <si>
    <r>
      <t>Fucα1-2(GalNAcα1-3)Galβ1-4GlcNAc</t>
    </r>
    <r>
      <rPr>
        <sz val="11"/>
        <color theme="1"/>
        <rFont val="Calibri"/>
        <family val="2"/>
      </rPr>
      <t>β1</t>
    </r>
    <r>
      <rPr>
        <sz val="11"/>
        <color theme="1"/>
        <rFont val="Calibri"/>
        <family val="2"/>
        <scheme val="minor"/>
      </rPr>
      <t>-3Galβ1-3GalNAcol</t>
    </r>
  </si>
  <si>
    <r>
      <t>Fuc</t>
    </r>
    <r>
      <rPr>
        <sz val="11"/>
        <color theme="1"/>
        <rFont val="Calibri"/>
        <family val="2"/>
      </rPr>
      <t>α1-2</t>
    </r>
    <r>
      <rPr>
        <sz val="11"/>
        <color theme="1"/>
        <rFont val="Calibri"/>
        <family val="2"/>
        <scheme val="minor"/>
      </rPr>
      <t>Galβ1-4GlcNAcβ1-3(Galβ1-4GlcNAcβ1-6)GalNAcol</t>
    </r>
  </si>
  <si>
    <t>1098-5</t>
  </si>
  <si>
    <t>1032-1</t>
  </si>
  <si>
    <t>1032-2</t>
  </si>
  <si>
    <t>1112-1</t>
  </si>
  <si>
    <t>1112-2</t>
  </si>
  <si>
    <t>Hex2HexNAc3Sul2</t>
  </si>
  <si>
    <t>SGalβ1-3GlcNAcβ1-3[Galβ1-4(6S)GlcNAcβ1-6]GalNAcol</t>
  </si>
  <si>
    <t>Hex3HexNAc3</t>
  </si>
  <si>
    <r>
      <t>Gal</t>
    </r>
    <r>
      <rPr>
        <sz val="11"/>
        <color theme="1"/>
        <rFont val="Calibri"/>
        <family val="2"/>
      </rPr>
      <t>β1</t>
    </r>
    <r>
      <rPr>
        <sz val="11"/>
        <color theme="1"/>
        <rFont val="Calibri"/>
        <family val="2"/>
        <scheme val="minor"/>
      </rPr>
      <t>-4GlcNAcβ1-3Galβ1-3(Galβ1-4GlcNAcβ1-6)GalNAcol</t>
    </r>
  </si>
  <si>
    <t>NeuAc1Hex2HexNAc2Sul1</t>
  </si>
  <si>
    <t>NeuAcα2-3Galβ1-3[Galβ1-4(6S)GlcNAcβ1-6]GalNAcol</t>
  </si>
  <si>
    <t>H</t>
  </si>
  <si>
    <t>Galβ1-3[Fucα1-2Galβ1-4(Fucα-3)(6S)GlcNAcβ1-6]GalNAcol</t>
  </si>
  <si>
    <t>1178-1</t>
  </si>
  <si>
    <t>1178-2</t>
  </si>
  <si>
    <t>1178-3</t>
  </si>
  <si>
    <t>1178-4</t>
  </si>
  <si>
    <t>1178-5</t>
  </si>
  <si>
    <t>1178-6</t>
  </si>
  <si>
    <t>Fucα1-2Galβ1-4(6S)GlcNAcβ1-3(Galβ1-4GlcNAcβ1-6)GalNAcol</t>
  </si>
  <si>
    <t>Galβ1-4(6S)GlcNAcβ1-3[Fucα1-2Galβ1-4GlcNAcβ1-6]GalNAcol</t>
  </si>
  <si>
    <t>Fucα1-2Galβ1-4GlcNAcβ1-3[Galβ1-4(6S)GlcNAcβ1-6]GalNAcol</t>
  </si>
  <si>
    <t>Fucα1-2Galβ1-4GlcNAcβ1-3(SGalβ1-4GlcNAcβ1-6)GalNAcol</t>
  </si>
  <si>
    <t>NeuAc1Hex2HexNAc2deHex1</t>
  </si>
  <si>
    <t>NeuAcα2-3Galβ1-3(Fucα1-2Galβ1-4GlcNAcβ1-6)GalNAcol</t>
  </si>
  <si>
    <t>NeuGc1Hex2HexNAc2deHex1</t>
  </si>
  <si>
    <t>1235-1</t>
  </si>
  <si>
    <t>1235-2</t>
  </si>
  <si>
    <t>Hex2HexNAc4Sul1</t>
  </si>
  <si>
    <t>GlcNAcβ1-3[Galβ1-4(6S)GlcNAcβ1-3Galβ1-4GlcNAcβ1-6]GalNAcol</t>
  </si>
  <si>
    <t>GlcNAcβ1-3[Galβ1-4GlcNAcβ1-3Galβ1-4(6S)GlcNAcβ1-6]GalNAcol</t>
  </si>
  <si>
    <t>1244-1</t>
  </si>
  <si>
    <t>1244-2</t>
  </si>
  <si>
    <t>1244-3</t>
  </si>
  <si>
    <r>
      <t>Fuc</t>
    </r>
    <r>
      <rPr>
        <sz val="11"/>
        <color theme="1"/>
        <rFont val="Calibri"/>
        <family val="2"/>
      </rPr>
      <t>α1-2Galβ1-4GlcNAcβ1-3(Fucα1-2Galβ1-4GlcNAcβ1-6)GalNAcol</t>
    </r>
  </si>
  <si>
    <r>
      <t>Fuc</t>
    </r>
    <r>
      <rPr>
        <sz val="11"/>
        <color theme="1"/>
        <rFont val="Calibri"/>
        <family val="2"/>
      </rPr>
      <t>α1-2Galβ1-4GlcNAcβ1-3(Fucα1-2Galβ1-3GlcNAcβ1-6)GalNAcol</t>
    </r>
  </si>
  <si>
    <t>Fucα1-2Galβ1-3[Fucα1-2Galβ1-4(Fucα1-3)(6S)GlcNAcβ1-6]GalNAcol</t>
  </si>
  <si>
    <t>b/y</t>
  </si>
  <si>
    <t>Fucα1-2Galβ1-3GlcNAcβ1-3[Fucα1-2Galβ1-3(6S)GlcNAcβ1-6]GalNAcol</t>
  </si>
  <si>
    <t>NeuGc1Hex2HexNAc3Sul1</t>
  </si>
  <si>
    <t>NeuAc1Hex3HexNAc4deHex1Sul2</t>
  </si>
  <si>
    <t>BA_181106_392</t>
  </si>
  <si>
    <t>BA_181106_186</t>
  </si>
  <si>
    <t>RT</t>
  </si>
  <si>
    <t>Intensity</t>
  </si>
  <si>
    <t>Percentage3</t>
  </si>
  <si>
    <t>NeuGc1HexNAc1</t>
  </si>
  <si>
    <t>NeuGcα2-6GalNAcol</t>
  </si>
  <si>
    <t>587-4</t>
  </si>
  <si>
    <r>
      <t>Gal</t>
    </r>
    <r>
      <rPr>
        <sz val="11"/>
        <color theme="1"/>
        <rFont val="Calibri"/>
        <family val="2"/>
      </rPr>
      <t>β</t>
    </r>
    <r>
      <rPr>
        <sz val="11"/>
        <color theme="1"/>
        <rFont val="Calibri"/>
        <family val="2"/>
        <scheme val="minor"/>
      </rPr>
      <t>1-3GlcNAc</t>
    </r>
    <r>
      <rPr>
        <sz val="11"/>
        <color theme="1"/>
        <rFont val="Calibri"/>
        <family val="2"/>
      </rPr>
      <t>β</t>
    </r>
    <r>
      <rPr>
        <sz val="11"/>
        <color theme="1"/>
        <rFont val="Calibri"/>
        <family val="2"/>
        <scheme val="minor"/>
      </rPr>
      <t>1-3GalNAcol</t>
    </r>
  </si>
  <si>
    <t>749-1</t>
  </si>
  <si>
    <t>GlcNAcα1-4Galβ1-4GlcNAcβ1-3Galol</t>
  </si>
  <si>
    <t>6SGalβ1-4(Fucα1-3)GlcNAcβ1-3GalNAcol</t>
  </si>
  <si>
    <t>NeuAcα2-3Galβ1-3(GlcNAcβ1-6)GalNAcol</t>
  </si>
  <si>
    <t>H/a/x</t>
  </si>
  <si>
    <t>Percentage24</t>
  </si>
  <si>
    <t>Percentage27</t>
  </si>
  <si>
    <t>Percentage30</t>
  </si>
  <si>
    <t>RT2</t>
  </si>
  <si>
    <t>Intensity2</t>
  </si>
  <si>
    <t>RT3</t>
  </si>
  <si>
    <t>Intensity3</t>
  </si>
  <si>
    <t>RT5</t>
  </si>
  <si>
    <t>Intensity5</t>
  </si>
  <si>
    <t>BA_181106_0010</t>
  </si>
  <si>
    <t>BA_181106_146</t>
  </si>
  <si>
    <t>BA_181106_1120</t>
  </si>
  <si>
    <t>11.04*</t>
  </si>
  <si>
    <t>Hex1HexNAc3deHex1Sul2</t>
  </si>
  <si>
    <t>6SGalβ1-(Fucα1-)(6S)GlcNAcβ1-3(GlcNAcβ1-6)GalNAcol</t>
  </si>
  <si>
    <t>14.39*</t>
  </si>
  <si>
    <t>HexNAc-(S)Galβ1-4GlcNAcβ1-3Galβ1-3(NeuGcα2-6)GalNAcol</t>
  </si>
  <si>
    <t>Hex2HexNAc3deHex2Sul2</t>
  </si>
  <si>
    <t>SGal-(Fuc)GlcNAcβ1-3[Gal-(Fuc)(6S)GlcNAcβ1-6]GalNAcol</t>
  </si>
  <si>
    <t>SGal-(Fuc)(6S)GlcNAcβ1-3[Gal-(Fuc)GlcNAcβ1-6]GalNAcol</t>
  </si>
  <si>
    <t>SGal-(Fuc)(6S)GlcNAcβ1-3(Fucα1-2Gal-GlcNAcβ1-6)GalNAcol</t>
  </si>
  <si>
    <t>a/x and H1/2</t>
  </si>
  <si>
    <t>17.68*</t>
  </si>
  <si>
    <t>17.44*</t>
  </si>
  <si>
    <t>17.67*</t>
  </si>
  <si>
    <t>20.31*</t>
  </si>
  <si>
    <t>20.27*</t>
  </si>
  <si>
    <t>Percentage232</t>
  </si>
  <si>
    <t>RT6</t>
  </si>
  <si>
    <t>Intensity6</t>
  </si>
  <si>
    <t>BA_181106_846</t>
  </si>
  <si>
    <t>16.08*</t>
  </si>
  <si>
    <t>17.59*</t>
  </si>
  <si>
    <t>20.32*</t>
  </si>
  <si>
    <t>Hex3HexNAc3deHex2</t>
  </si>
  <si>
    <t>Fucα1-2Galβ1-4GlcNAcβ1-3(Fucα1-2Galβ1-4GlcNAcβ1-6)Galβ1-3GalNAcol</t>
  </si>
  <si>
    <t>14.59*</t>
  </si>
  <si>
    <t>14.57*</t>
  </si>
  <si>
    <t>Fucα1-2Gal-(Fuc)GlcNAcβ1-3[Fucα1-2Gal-(6S)GlcNAcβ1-6]GalNAcol</t>
  </si>
  <si>
    <t>b/y and a/x</t>
  </si>
  <si>
    <t>Fucα1-2Gal-(Fuc)(6S)GlcNAcβ1-3[Gal-(Fuc-)GlcNAcβ1-6]GalNAcol</t>
  </si>
  <si>
    <t>b/y and H</t>
  </si>
  <si>
    <t>12.56*</t>
  </si>
  <si>
    <t>Hex2HexNAc2Sul2</t>
  </si>
  <si>
    <r>
      <t>Gal</t>
    </r>
    <r>
      <rPr>
        <sz val="11"/>
        <color theme="1"/>
        <rFont val="Calibri"/>
        <family val="2"/>
      </rPr>
      <t>β1-4(6S)GlcNAcβ1-3Galβ1-3GalNAcol</t>
    </r>
  </si>
  <si>
    <t>19.58*</t>
  </si>
  <si>
    <t>15.31*</t>
  </si>
  <si>
    <t>16.85*</t>
  </si>
  <si>
    <t>Fucα1-2Gal-GlcNAcβ1-3[Gal-(Fuc)(6S)GlcNAcβ1-6]GalNAcol</t>
  </si>
  <si>
    <t>Gal-GlcNAcβ1-3Gal-(Fuc)(6S)GlcNAcβ1-3(GlcNAcβ1-6)GalNAcol</t>
  </si>
  <si>
    <t>1390-4</t>
  </si>
  <si>
    <t>H/b/y</t>
  </si>
  <si>
    <r>
      <t>Fucα1-2Gal-GlcNAcβ1-3</t>
    </r>
    <r>
      <rPr>
        <sz val="11"/>
        <color theme="1"/>
        <rFont val="Calibri"/>
        <family val="2"/>
      </rPr>
      <t>[Fucα1-2Gal(Fuc)GlcNAcβ1-6]</t>
    </r>
    <r>
      <rPr>
        <sz val="11"/>
        <color theme="1"/>
        <rFont val="Calibri"/>
        <family val="2"/>
        <scheme val="minor"/>
      </rPr>
      <t>GalNAcol</t>
    </r>
  </si>
  <si>
    <t>a/x/b/y</t>
  </si>
  <si>
    <t>25.20*</t>
  </si>
  <si>
    <t>19.40*</t>
  </si>
  <si>
    <t>NeuGcα2-3Galβ1-3[Galβ1-4(Fucα1-3)GlcNAcβ1-6]GalNAcol</t>
  </si>
  <si>
    <t>17.57*</t>
  </si>
  <si>
    <t>1/2</t>
  </si>
  <si>
    <t>NeuGc1Hex3HexNAc4deHex1Sul1</t>
  </si>
  <si>
    <t>Not assign</t>
  </si>
  <si>
    <t>26.04*</t>
  </si>
  <si>
    <t>25.91*</t>
  </si>
  <si>
    <t>26.07*</t>
  </si>
  <si>
    <t>Hex4HexNAc6</t>
  </si>
  <si>
    <r>
      <t>GlcNAc</t>
    </r>
    <r>
      <rPr>
        <sz val="11"/>
        <color theme="1"/>
        <rFont val="Calibri"/>
        <family val="2"/>
      </rPr>
      <t>α1</t>
    </r>
    <r>
      <rPr>
        <sz val="11"/>
        <color theme="1"/>
        <rFont val="Calibri"/>
        <family val="2"/>
        <scheme val="minor"/>
      </rPr>
      <t>-4Gal</t>
    </r>
    <r>
      <rPr>
        <sz val="11"/>
        <color theme="1"/>
        <rFont val="Calibri"/>
        <family val="2"/>
      </rPr>
      <t>β1-4GlcNAcβ1-3(Galβ1-4GlcNAcβ1-6)Galβ1-3(GlcNAcα1-4Galβ1-4GlcNAcβ</t>
    </r>
    <r>
      <rPr>
        <sz val="11"/>
        <color theme="1"/>
        <rFont val="Calibri"/>
        <family val="2"/>
        <scheme val="minor"/>
      </rPr>
      <t>1-6)GalNAcol</t>
    </r>
  </si>
  <si>
    <t>16.31*</t>
  </si>
  <si>
    <t>27.26*</t>
  </si>
  <si>
    <t>27.71*</t>
  </si>
  <si>
    <t>NeuGc1Hex1HexNAc2deHex1</t>
  </si>
  <si>
    <t>Gal-(Fuc)GlcNAcβ1-3(NeuGcα2-6)GalNAcol</t>
  </si>
  <si>
    <t>13.14*</t>
  </si>
  <si>
    <t>13.13*</t>
  </si>
  <si>
    <t>19.26*</t>
  </si>
  <si>
    <t>19.13*</t>
  </si>
  <si>
    <t>19.35*</t>
  </si>
  <si>
    <t>Hex3HexNAc3deHex1Sul2</t>
  </si>
  <si>
    <t>21.14*</t>
  </si>
  <si>
    <t>21.23*</t>
  </si>
  <si>
    <t>NeuGc1Hex2HexNAc2deHex2Sul1</t>
  </si>
  <si>
    <t>NeuGcα2-3Galβ1-3[Fucα1-2Galβ1-(Fucα1-)(6S)GlcNAcβ1-6]GalNAcol</t>
  </si>
  <si>
    <t>1609-1</t>
  </si>
  <si>
    <t>1609-2</t>
  </si>
  <si>
    <t>Hex3HexNAc4deHex2</t>
  </si>
  <si>
    <t>Fucα1-2Galβ1-4GlcNAcβ1-3(Fucα1-2Galβ1-4GlcNAcβ1-6)Galβ1-3(GlcNAcβ1-6)GalNAcol</t>
  </si>
  <si>
    <t>Fucα1-2Galβ1-4GlcNAcβ1-3(GlcNAcβ1-6)Galβ1-3(Fucα1-2Galβ1-4GlcNAcβ1-6)GalNAcol</t>
  </si>
  <si>
    <t>NeuGc1Hex3HexNAc3deHex1Sul2</t>
  </si>
  <si>
    <t>22.01*</t>
  </si>
  <si>
    <t>Fucα1-2Galβ1-3[GalNAcα1-3(Fucα1-2)Galβ1-4GlcNAcβ1-6]GalNAcol</t>
  </si>
  <si>
    <t>A/H</t>
  </si>
  <si>
    <t>26.18*</t>
  </si>
  <si>
    <t>26.14*</t>
  </si>
  <si>
    <t>27.60*</t>
  </si>
  <si>
    <t>y/H</t>
  </si>
  <si>
    <t>870-1</t>
  </si>
  <si>
    <t>895-2</t>
  </si>
  <si>
    <t>895-3</t>
  </si>
  <si>
    <t>1040-1</t>
  </si>
  <si>
    <t>1098-2</t>
  </si>
  <si>
    <t>1178-7</t>
  </si>
  <si>
    <t>1244-4</t>
  </si>
  <si>
    <t>1324-1</t>
  </si>
  <si>
    <t>1324-2</t>
  </si>
  <si>
    <t>1324-3</t>
  </si>
  <si>
    <t>1324-4</t>
  </si>
  <si>
    <t>1324-5</t>
  </si>
  <si>
    <t>1324-6</t>
  </si>
  <si>
    <t>1324-7</t>
  </si>
  <si>
    <t>1404-1</t>
  </si>
  <si>
    <t>1404-2</t>
  </si>
  <si>
    <t>1404-3</t>
  </si>
  <si>
    <t>1850-1</t>
  </si>
  <si>
    <t>1850-2</t>
  </si>
  <si>
    <t>2223-1</t>
  </si>
  <si>
    <r>
      <t>Control</t>
    </r>
    <r>
      <rPr>
        <vertAlign val="superscript"/>
        <sz val="16"/>
        <color rgb="FFFF0000"/>
        <rFont val="Calibri"/>
        <family val="2"/>
        <scheme val="minor"/>
      </rPr>
      <t xml:space="preserve"> [4]</t>
    </r>
  </si>
  <si>
    <t>Fuccosylation</t>
  </si>
  <si>
    <t>sialylation</t>
  </si>
  <si>
    <t>Percentage5</t>
  </si>
  <si>
    <t>Percentage8</t>
  </si>
  <si>
    <t>Percentage11</t>
  </si>
  <si>
    <t>Hex3HexNAc4</t>
  </si>
  <si>
    <t>GlcNAcβ1-2Manα1-3(GlcNAcβ1-2Manα1-6)Manβ1-4GlcNAcβ1-4GlcNAcol</t>
  </si>
  <si>
    <t>GlcNAcβ1-2Manα1-3(GlcNAcβ1-2Manα1-6)Manβ1-4GlcNAcβ1-4(Fucα1-6)GlcNAcol</t>
  </si>
  <si>
    <t>Hex4HexNAc4</t>
  </si>
  <si>
    <t>Galβ1-4GlcNAcβ1-2Manα1-3(GlcNAcβ1-2Manα1-6)Manβ1-4GlcNAcβ1-4GlcNAcol</t>
  </si>
  <si>
    <t>Hex4HexNAc4deHex1</t>
  </si>
  <si>
    <t>GlcNAcβ1-2Manα1-3(Galβ1-4GlcNAcβ1-2Manα1-6)Manβ1-4GlcNAcβ1-4(Fucα1-6)GlcNAcol</t>
  </si>
  <si>
    <t>Hex5HexNAc4</t>
  </si>
  <si>
    <t>Galβ1-4GlcNAcβ1-2Manα1-3(Galβ1-4GlcNAcβ1-2Manα1-6)Manβ1-4GlcNAcβ1-4GlcNAcol</t>
  </si>
  <si>
    <t>Hex3HexNAc5deHex1</t>
  </si>
  <si>
    <t>GlcNAcβ1-2Manα1-3(GlcNAcβ1-4)(GlcNAcβ1-2Manα1-6)Manβ1-4GlcNAcβ1-4(Fucα1-6)GlcNAcol</t>
  </si>
  <si>
    <t>Hex4HexNAc5</t>
  </si>
  <si>
    <t>GlcNAcβ1-2Manα1-3(GlcNAcβ1-4)(Galβ1-4GlcNAcβ1-2Manα1-6)Manβ1-4GlcNAcβ1-4GlcNAcol</t>
  </si>
  <si>
    <t>Hex5HexNAc4deHex1</t>
  </si>
  <si>
    <t>Galβ1-4GlcNAcβ1-2Manα1-3(Galβ1-4GlcNAcβ1-2Manα1-6)Manβ1-4GlcNAcβ1-4(Fucα1-6)GlcNAcol</t>
  </si>
  <si>
    <t>Hex4HexNAc5deHex1</t>
  </si>
  <si>
    <t>GlcNAcβ1-2Manα1-3(GlcNAcβ1-4)(Galβ1-4GlcNAcβ1-2Manα1-6)Manβ1-4GlcNAcβ1-4(Fucα1-6)GlcNAcol</t>
  </si>
  <si>
    <t>NeuAc1Hex4HexNAc4deHex1</t>
  </si>
  <si>
    <t>GlcNAcβ1-2Manα1-3(NeuAcα2-6Galβ1-4GlcNAcβ1-2Manα1-6)Manβ1-4GlcNAcβ1-4(Fucα1-6)GlcNAcol</t>
  </si>
  <si>
    <t>Hex5HexNAc5deHex1</t>
  </si>
  <si>
    <t>Galβ1-4GlcNAcβ1-2Manα1-3(GlcNAcβ1-4)(Galβ1-4GlcNAcβ1-2Manα1-6)Manβ1-4GlcNAcβ1-4(Fucα1-6)GlcNAcol</t>
  </si>
  <si>
    <t>NeuAc1Hex5HexNAc4deHex1</t>
  </si>
  <si>
    <t>Galβ1-4GlcNAcβ1-2Manα1-3(NeuAcα2-6Galβ1-4GlcNAcβ1-2Manα1-6)Manβ1-4GlcNAcβ1-4(Fucα1-6)GlcNAcol</t>
  </si>
  <si>
    <t>NeuAc1Hex4HexNAc5deHex1</t>
  </si>
  <si>
    <t>NeuAcα2-6GlcNAcβ1-2Manα1-3(GlcNAcβ1-4)(Galβ1-4GlcNAcβ1-2Manα1-6)Manβ1-4GlcNAcβ1-4(Fucα1-6)GlcNAcol</t>
  </si>
  <si>
    <t>NeuAc1Hex5HexNAc5</t>
  </si>
  <si>
    <t>Galβ1-4GlcNAcβ1-2Manα1-3(GlcNAcβ1-4)(NeuAcα2-6Galβ1-4GlcNAcβ1-2Manα1-6)Manβ1-4GlcNAcβ1-4GlcNAcol</t>
  </si>
  <si>
    <t>2223</t>
  </si>
  <si>
    <t>NeuAcα2-6Galβ1-4GlcNAcβ1-2Manα1-3(NeuAcα2-6Galβ1-4GlcNAcβ1-2Manα1-6)Manβ1-4GlcNAcβ1-4GlcNAcol</t>
  </si>
  <si>
    <t>NeuAc1Hex5HexNAc5deHex1</t>
  </si>
  <si>
    <t>NeuAcα2-6Galβ1-4GlcNAcβ1-2Manα1-3(GlcNAcβ1-4)(Galβ1-4GlcNAcβ1-2Manα1-6)Manβ1-4GlcNAcβ1-4(Fucα1-6)GlcNAcol</t>
  </si>
  <si>
    <t>NeuAc2Hex5HexNAc4deHex1</t>
  </si>
  <si>
    <t>NeuAcα2-6Galβ1-4GlcNAcβ1-2Manα1-3(NeuAcα2-6Galβ1-4GlcNAcβ1-2Manα1-6)Manβ1-4GlcNAcβ1-4(Fucα1-6)GlcNAcol</t>
  </si>
  <si>
    <t>NeuAc2Hex5HexNAc5</t>
  </si>
  <si>
    <r>
      <t>NeuAcα2-6Galβ1-4GlcNAcβ1-2Manα1-3(GlcNAcβ1-4)(NeuAcα2-6Galβ1-4GlcNAcβ1-2Manα1-6)Man</t>
    </r>
    <r>
      <rPr>
        <sz val="11"/>
        <color theme="1"/>
        <rFont val="Calibri"/>
        <family val="2"/>
      </rPr>
      <t>β1-4GlcNAcβ</t>
    </r>
    <r>
      <rPr>
        <sz val="11"/>
        <color theme="1"/>
        <rFont val="Calibri"/>
        <family val="2"/>
        <scheme val="minor"/>
      </rPr>
      <t>1-4GlcNAcol</t>
    </r>
  </si>
  <si>
    <t>NeuAc2Hex5HexNAc5deHex1</t>
  </si>
  <si>
    <t>NeuAcα2-6Galβ1-4GlcNAcβ1-2Manα1-3(GlcNAcβ1-4)(NeuAcα2-6Galβ1-4GlcNAcβ1-2Manα1-6)Manβ1-4GlcNAcβ1-4(Fucα1-6)GlcNAcol</t>
  </si>
  <si>
    <t>Name of sample</t>
  </si>
  <si>
    <t>BA_190219_Ngly_146</t>
  </si>
  <si>
    <t>BA_190219_Ngly_392</t>
  </si>
  <si>
    <t>BA_190219_Ngly_846</t>
  </si>
  <si>
    <t>BA_10219Ngly_cont</t>
  </si>
  <si>
    <t xml:space="preserve">BA_190219Ngly_0010
</t>
  </si>
  <si>
    <t>1463-1</t>
  </si>
  <si>
    <t>1463-2</t>
  </si>
  <si>
    <t>GlcNAcβ1-2Manα1-3(Manα1-6)(GlcNAcβ1-4)Manβ1-4GlcNAcβ1-4(Fucα1-6)GlcNAcol</t>
  </si>
  <si>
    <t>1625-1</t>
  </si>
  <si>
    <t>1625-2</t>
  </si>
  <si>
    <t>Galβ1-4GlcNAcβ1-2Manα1-3(GlcNAcβ1-2Manα1-6)Manβ1-4GlcNAcβ1-4(Fucα1-6)GlcNAcol</t>
  </si>
  <si>
    <t>17.72*</t>
  </si>
  <si>
    <t>14.48*</t>
  </si>
  <si>
    <t>NeuAcα2-6Galβ1-4GlcNAcβ1-2Manα1-3(Galβ1-4GlcNAcβ1-2Manα1-6)Manβ1-4GlcNAcβ1-4(Fucα1-6)GlcNAcol</t>
  </si>
  <si>
    <t>19.36*</t>
  </si>
  <si>
    <t>16.21*</t>
  </si>
  <si>
    <t>16.11*</t>
  </si>
  <si>
    <t>20.38*</t>
  </si>
  <si>
    <t>21.53*</t>
  </si>
  <si>
    <t>21.37*</t>
  </si>
  <si>
    <t>17.84*</t>
  </si>
  <si>
    <t>17.82*</t>
  </si>
  <si>
    <r>
      <t xml:space="preserve">Amuc_0186 </t>
    </r>
    <r>
      <rPr>
        <vertAlign val="superscript"/>
        <sz val="16"/>
        <color rgb="FFFF0000"/>
        <rFont val="Calibri"/>
        <family val="2"/>
        <scheme val="minor"/>
      </rPr>
      <t>(overnight)</t>
    </r>
  </si>
  <si>
    <r>
      <t>Amuc_0392</t>
    </r>
    <r>
      <rPr>
        <vertAlign val="superscript"/>
        <sz val="16"/>
        <color rgb="FFFF0000"/>
        <rFont val="Calibri"/>
        <family val="2"/>
        <scheme val="minor"/>
      </rPr>
      <t>(overnight)</t>
    </r>
  </si>
  <si>
    <r>
      <t>Amuc_0846</t>
    </r>
    <r>
      <rPr>
        <vertAlign val="superscript"/>
        <sz val="16"/>
        <color rgb="FFFF0000"/>
        <rFont val="Calibri"/>
        <family val="2"/>
        <scheme val="minor"/>
      </rPr>
      <t>(overnight)</t>
    </r>
  </si>
  <si>
    <r>
      <t>Amuc_1120</t>
    </r>
    <r>
      <rPr>
        <vertAlign val="superscript"/>
        <sz val="16"/>
        <color rgb="FFFF0000"/>
        <rFont val="Calibri"/>
        <family val="2"/>
        <scheme val="minor"/>
      </rPr>
      <t>(overnight)</t>
    </r>
  </si>
  <si>
    <r>
      <t>Amuc_0010</t>
    </r>
    <r>
      <rPr>
        <vertAlign val="superscript"/>
        <sz val="16"/>
        <color rgb="FFFF0000"/>
        <rFont val="Calibri"/>
        <family val="2"/>
        <scheme val="minor"/>
      </rPr>
      <t>(overnight)</t>
    </r>
  </si>
  <si>
    <r>
      <t>Amuc_0146</t>
    </r>
    <r>
      <rPr>
        <vertAlign val="superscript"/>
        <sz val="16"/>
        <color rgb="FFFF0000"/>
        <rFont val="Calibri"/>
        <family val="2"/>
        <scheme val="minor"/>
      </rPr>
      <t>(overnight)</t>
    </r>
  </si>
  <si>
    <t>AmGH95A</t>
  </si>
  <si>
    <t>AmGH29C</t>
  </si>
  <si>
    <t>AmGH29D</t>
  </si>
  <si>
    <t>AmGH95B</t>
  </si>
  <si>
    <t>AmGH29A</t>
  </si>
  <si>
    <t>AmGH29B</t>
  </si>
  <si>
    <t>Amuc_0010</t>
  </si>
  <si>
    <t>Amuc_0846</t>
  </si>
  <si>
    <t>Amuc_0146</t>
  </si>
  <si>
    <t>Amuc_0392</t>
  </si>
  <si>
    <t>JC_210812C1</t>
  </si>
  <si>
    <t>JC_210812C2</t>
  </si>
  <si>
    <t>JC_210812C3</t>
  </si>
  <si>
    <t>AmGH33A</t>
  </si>
  <si>
    <t>JC_210812C5</t>
  </si>
  <si>
    <t>AmGH181</t>
  </si>
  <si>
    <t>JC_210812C4</t>
  </si>
  <si>
    <t>AmGH33B</t>
  </si>
  <si>
    <t>Control</t>
  </si>
  <si>
    <t>Amuc623</t>
  </si>
  <si>
    <t>Amuc625</t>
  </si>
  <si>
    <t>Amuc1547</t>
  </si>
  <si>
    <t>Amuc1835</t>
  </si>
  <si>
    <t>Species</t>
  </si>
  <si>
    <t>Name</t>
  </si>
  <si>
    <t>Sample name</t>
  </si>
  <si>
    <t>Neu</t>
  </si>
  <si>
    <t>Sul</t>
  </si>
  <si>
    <t>Core</t>
  </si>
  <si>
    <t>Fuc</t>
  </si>
  <si>
    <t>RT7</t>
  </si>
  <si>
    <t>Intensity7</t>
  </si>
  <si>
    <t>RT8</t>
  </si>
  <si>
    <t>Intensity8</t>
  </si>
  <si>
    <t>Percentage44</t>
  </si>
  <si>
    <t>Percentage22</t>
  </si>
  <si>
    <t>Percentage23</t>
  </si>
  <si>
    <t>RT9</t>
  </si>
  <si>
    <t>Intensity9</t>
  </si>
  <si>
    <t>Percentage6</t>
  </si>
  <si>
    <t>Percentage32</t>
  </si>
  <si>
    <t>Percentage33</t>
  </si>
  <si>
    <t>Percentage34</t>
  </si>
  <si>
    <r>
      <t>GalNAc</t>
    </r>
    <r>
      <rPr>
        <sz val="11"/>
        <color theme="1"/>
        <rFont val="Calibri"/>
        <family val="2"/>
      </rPr>
      <t>α</t>
    </r>
    <r>
      <rPr>
        <sz val="11"/>
        <color theme="1"/>
        <rFont val="Calibri"/>
        <family val="2"/>
        <scheme val="minor"/>
      </rPr>
      <t>1-3GalNAcol</t>
    </r>
  </si>
  <si>
    <t>HexNAc2Sul1</t>
  </si>
  <si>
    <r>
      <t>6SGlcNAc</t>
    </r>
    <r>
      <rPr>
        <sz val="11"/>
        <color theme="1"/>
        <rFont val="Calibri"/>
        <family val="2"/>
      </rPr>
      <t>β1-6GalNAcol</t>
    </r>
  </si>
  <si>
    <r>
      <t>NeuAc</t>
    </r>
    <r>
      <rPr>
        <sz val="11"/>
        <color theme="1"/>
        <rFont val="Calibri"/>
        <family val="2"/>
      </rPr>
      <t>α2-6GalNAcol</t>
    </r>
  </si>
  <si>
    <t>530-1</t>
  </si>
  <si>
    <t>Fucα1-2(GalNAcα1-3)Galol</t>
  </si>
  <si>
    <t>15.88*</t>
  </si>
  <si>
    <t>15.91*</t>
  </si>
  <si>
    <t>530-2</t>
  </si>
  <si>
    <r>
      <t>Fuc</t>
    </r>
    <r>
      <rPr>
        <sz val="11"/>
        <color theme="1"/>
        <rFont val="Calibri"/>
        <family val="2"/>
      </rPr>
      <t>α1-2Galβ1-4GlcNAcol</t>
    </r>
  </si>
  <si>
    <t>20.74*</t>
  </si>
  <si>
    <t>20.66*</t>
  </si>
  <si>
    <t>20.55*</t>
  </si>
  <si>
    <t>530-3</t>
  </si>
  <si>
    <t>13.73*</t>
  </si>
  <si>
    <t>13.72*</t>
  </si>
  <si>
    <t>13.68*</t>
  </si>
  <si>
    <t>13.67*</t>
  </si>
  <si>
    <t>13.62*</t>
  </si>
  <si>
    <t>Hex2HexNAc1deHex1</t>
  </si>
  <si>
    <t>Fucα1-2Galβ-4GlcNAcβ1-3Galol</t>
  </si>
  <si>
    <r>
      <t>GalNAcα1-3</t>
    </r>
    <r>
      <rPr>
        <sz val="11"/>
        <color theme="1"/>
        <rFont val="Calibri"/>
        <family val="2"/>
      </rPr>
      <t>(NeuAcα2-6)</t>
    </r>
    <r>
      <rPr>
        <sz val="11"/>
        <color theme="1"/>
        <rFont val="Calibri"/>
        <family val="2"/>
        <scheme val="minor"/>
      </rPr>
      <t>GalNAcol</t>
    </r>
  </si>
  <si>
    <t>HexNAc3Sul2</t>
  </si>
  <si>
    <t>6SGlcNAcβ1-3(6SGlcNAcβ1-6)GalNAcol</t>
  </si>
  <si>
    <t>14.70*</t>
  </si>
  <si>
    <r>
      <t>GlcNAc</t>
    </r>
    <r>
      <rPr>
        <sz val="11"/>
        <color theme="1"/>
        <rFont val="Calibri"/>
        <family val="2"/>
      </rPr>
      <t>β1-3(Galβ1-4GlcNAcβ1-6)GalNAcol</t>
    </r>
  </si>
  <si>
    <t>NeuAc1Hex1HexNAc1deHex1</t>
  </si>
  <si>
    <r>
      <t>Fuc</t>
    </r>
    <r>
      <rPr>
        <sz val="11"/>
        <color theme="1"/>
        <rFont val="Calibri"/>
        <family val="2"/>
      </rPr>
      <t>α1-2Galβ1-3(NeuAcα2-6)GalNAcol</t>
    </r>
  </si>
  <si>
    <t>Hex2HexNAcSul1</t>
  </si>
  <si>
    <t>NeuGc1Hex1HexNAc1deHex1</t>
  </si>
  <si>
    <t>Fucα1-2Galβ1-3(NeuGcα2-6)GalNAcol</t>
  </si>
  <si>
    <t>GlcNAcα1-4Galβ1-3[(6S)GlcNAcβ1-6]GalNAcol</t>
  </si>
  <si>
    <t>17.01*</t>
  </si>
  <si>
    <t>GlcNAcβ1-3[Galβ1-4(6S)GlcNAcβ1-6]GalNAcol</t>
  </si>
  <si>
    <t>18.12*</t>
  </si>
  <si>
    <t>18.14*</t>
  </si>
  <si>
    <t>Galβ1-4GlcNAcβ1-3(6SGlcNAcβ1-6)GalNAcol</t>
  </si>
  <si>
    <t>NeuAcα2-3(GalNAcβ1-4)Galβ1-3GalNAcol</t>
  </si>
  <si>
    <t>894-1</t>
  </si>
  <si>
    <t>GalNAcβ1-4(NeuGcα2-3)Galβ1-3GalNAcol</t>
  </si>
  <si>
    <t>894-2</t>
  </si>
  <si>
    <t>28.68*</t>
  </si>
  <si>
    <t>911-1</t>
  </si>
  <si>
    <t>Hex3HexNAc2</t>
  </si>
  <si>
    <t>Galβ1-3(Galα1-3Galβ1-4GlcNAcβ1-6)GalNAcol</t>
  </si>
  <si>
    <t>911-2</t>
  </si>
  <si>
    <t>Galα1-3Galβ1-4GlcNAcβ1-3Galβ1-3GalNAcol</t>
  </si>
  <si>
    <t>Fucα1-2(GalNAcα1-3)Galβ1-4GlcNAcβ1-3GalNAcol</t>
  </si>
  <si>
    <t>GlcNAcβ1-3(Fucα1-2Galβ1-4GlcNAcβ1-6)GalNAcol</t>
  </si>
  <si>
    <t>NeuAc1NeuGc1Hex1HexNAc1</t>
  </si>
  <si>
    <t>NeuAcα2-3Galβ1-3(NeuGcα2-6)GalNAcol</t>
  </si>
  <si>
    <t>NeuGc2Hex1HexNAc1</t>
  </si>
  <si>
    <t>NeuGcα2-3Galβ1-3(NeuGcα2-6)GalNAcol</t>
  </si>
  <si>
    <t>18.48*</t>
  </si>
  <si>
    <t>GalNAcα1-3(Fucα1-2)Galβ1-3(6SGlcNAcβ1-6)GalNAcol</t>
  </si>
  <si>
    <t>Fucα1-2Galβ1-4GlcNAcβ1-3(NeuAcα2-6)GalNAcol</t>
  </si>
  <si>
    <t>Galβ1-4GlcNAcβ1-3[Galβ1-4(6S)GlcNAcβ1-6]GalNAcol</t>
  </si>
  <si>
    <t>Fucα1-2Galβ1-4GlcNAcβ1-3(NeuGcα2-6)GalNAcol</t>
  </si>
  <si>
    <t>1041-2</t>
  </si>
  <si>
    <t>Fucα1-2Galβ1-3(Fucα1-2Galβ1-4GlcNAcβ1-6)GalNAcol</t>
  </si>
  <si>
    <t>Galβ1-3[Fucα1-2(GalNAcα1-3)Galβ1-4GlcNAcβ1-6]GalNAcol</t>
  </si>
  <si>
    <t>Hex1HexNAc4deHex1</t>
  </si>
  <si>
    <t>GlcNAcβ1-3[GalNAcα1-3(Fucα1-2)Galβ1-3GlcNAcβ1-6]GalNAcol</t>
  </si>
  <si>
    <t>NeuAc1Hex1HexNAc3Sul1</t>
  </si>
  <si>
    <t>NeuAcα2-3(GalNAcβ1-4)Galβ1-3(6SGlcNAcβ1-6)GalNAcol</t>
  </si>
  <si>
    <t>23.32*</t>
  </si>
  <si>
    <t>23.64*</t>
  </si>
  <si>
    <t>NeuAc2Hex1HexNAc2</t>
  </si>
  <si>
    <t>NeuAcα2-3(GalNAcβ1-4)Galβ1-3(NeuAcα2-6)GalNAcol</t>
  </si>
  <si>
    <t>NeuGc1Hex1HexNAc3Sul1</t>
  </si>
  <si>
    <t>GlcNAcβ1-3[NeuGcα2-3Galβ1-4(6S)GlcNAcβ1-6]GalNAcol</t>
  </si>
  <si>
    <t>15.29*</t>
  </si>
  <si>
    <t>15.97*</t>
  </si>
  <si>
    <t>15.32*</t>
  </si>
  <si>
    <t>15.34*</t>
  </si>
  <si>
    <t>Galβ1-3[GalNAcα1-3(Fucα1-2)Galβ1-4(6S)GlcNAcβ1-6]GalNAcol</t>
  </si>
  <si>
    <t>16.09*</t>
  </si>
  <si>
    <t>Galβ1-3GlcNAcβ1-3[Fucα1-2Galβ1-4(6S)GlcNAcβ1-6]GalNAcol</t>
  </si>
  <si>
    <t>19.92*</t>
  </si>
  <si>
    <t>20.18*</t>
  </si>
  <si>
    <t>Galβ1-4GlcNAcβ1-3[Fucα1-2Galβ1-3(6S)GlcNAcβ1-6]GalNAcol</t>
  </si>
  <si>
    <t>25.49*</t>
  </si>
  <si>
    <t>25.57*</t>
  </si>
  <si>
    <t>25.56*</t>
  </si>
  <si>
    <t>NeuGc2Hex1HexNAc2</t>
  </si>
  <si>
    <t>NeuGcα2-3(GalNAcβ1-4)Galβ1-3(NeuGcα2-6)GalNAcol</t>
  </si>
  <si>
    <t>NeuGcα2-3Galβ1-3 (Fucα1-2Galβ1-4GlcNAcβ1-6)GalNAcol</t>
  </si>
  <si>
    <t>NeuGc1Hex3HexNAc2</t>
  </si>
  <si>
    <t>Galα1-3Galβ1-3(NeuGcα2-3Gal β1-4GlcNAcβ1-6)GalNAcol</t>
  </si>
  <si>
    <t>22.91*</t>
  </si>
  <si>
    <t>1219-1</t>
  </si>
  <si>
    <t>Hex1HexNAc4deHex1Sul1</t>
  </si>
  <si>
    <t>GlcNAcβ1-3[GalNAcα1-3(Fucα1-2)Galβ1-(6S)GlcNAcβ1-6]GalNAcol</t>
  </si>
  <si>
    <t>17.26*</t>
  </si>
  <si>
    <t>1219-2</t>
  </si>
  <si>
    <t>GalNAcα1-3(Fucα1-2)Galβ1-3GlcNAcβ1-3(6SGlcNAcβ1-6)GalNAcol</t>
  </si>
  <si>
    <t>NeuAc1Hex1HexNAc3deHex1</t>
  </si>
  <si>
    <t>GlcNAcα1-4(Fucα1-2)Galβ1-4GlcNAcβ1-3(NeuAcα2-6)GalNAcol</t>
  </si>
  <si>
    <t>NeuAc1Hex2HexNAc2deHex1Sul1</t>
  </si>
  <si>
    <t>NeuAcα2-3Galβ1-3[Fucα1-2Galβ1-4(6S)GlcNAcβ1-6]GalNAcol</t>
  </si>
  <si>
    <t>Fucα1-2Galβ1-3[GalNAcα1-3(Fucα1-2)Galβ1-3(6S)GlcNAcβ1-6]GalNAcol</t>
  </si>
  <si>
    <t>Fucα1-2Galβ1-4GlcNAcβ1-3[Fucα1-2Galβ1-4(6S)GlcNAcβ1-6]GalNAcol</t>
  </si>
  <si>
    <t>Fucα1-2Galβ1-3[GalNAcα1-3(Fucα1-2)Galβ1-4(6S)GlcNAcβ1-6]GalNAcol</t>
  </si>
  <si>
    <t>28.41*</t>
  </si>
  <si>
    <t>28.48*</t>
  </si>
  <si>
    <t>28.50*</t>
  </si>
  <si>
    <t>21.41*</t>
  </si>
  <si>
    <t>21.27*</t>
  </si>
  <si>
    <t>1485-2</t>
  </si>
  <si>
    <t>NeuGc1Hex2HexNAc3deHex1Sul1</t>
  </si>
  <si>
    <t>GlcNAcα1-4Galβ1-3[NeuGcα2-6Gal-(Fuc)(6S)GlcNAcβ1-6]GalNAcol</t>
  </si>
  <si>
    <t>Hex2HexNAc4deHex2Sul1</t>
  </si>
  <si>
    <t>GlcNAcα1-4(Fucα1-2)GlcNAcβ1-3[Fucα1-2)Galβ1-4(6S)GlcNAcβ1-6]GalNAcol</t>
  </si>
  <si>
    <t>NeuAc1Hex2HexNAc4deHex1Sul1</t>
  </si>
  <si>
    <t>JC_210812G1</t>
  </si>
  <si>
    <t>JC_210825A7</t>
  </si>
  <si>
    <t>JC_210812G3</t>
  </si>
  <si>
    <t>JC_210812G5</t>
  </si>
  <si>
    <t>JC_210812G4</t>
  </si>
  <si>
    <t>Sialylation</t>
  </si>
  <si>
    <t>Blood type</t>
  </si>
  <si>
    <r>
      <t xml:space="preserve">RT </t>
    </r>
    <r>
      <rPr>
        <vertAlign val="superscript"/>
        <sz val="11"/>
        <color theme="1"/>
        <rFont val="Calibri"/>
        <family val="2"/>
      </rPr>
      <t>[7]</t>
    </r>
  </si>
  <si>
    <r>
      <t>Intensity</t>
    </r>
    <r>
      <rPr>
        <vertAlign val="superscript"/>
        <sz val="11"/>
        <color theme="1"/>
        <rFont val="Calibri"/>
        <family val="2"/>
      </rPr>
      <t xml:space="preserve"> [8]</t>
    </r>
  </si>
  <si>
    <t>Percentages</t>
  </si>
  <si>
    <t>Percentage4</t>
  </si>
  <si>
    <r>
      <t>GlcNAc</t>
    </r>
    <r>
      <rPr>
        <sz val="11"/>
        <color theme="1"/>
        <rFont val="Symbol"/>
        <family val="1"/>
        <charset val="2"/>
      </rPr>
      <t>a</t>
    </r>
    <r>
      <rPr>
        <sz val="11"/>
        <color theme="1"/>
        <rFont val="Calibri"/>
        <family val="2"/>
      </rPr>
      <t>1-4Galβ1-3(NeuAcα2-6)GalNAcol</t>
    </r>
  </si>
  <si>
    <t>NeuGcα2-3Galβ1-3(NeuAcα2-6)GalNAcol</t>
  </si>
  <si>
    <t>NeuAc1Hex1HexNAc3</t>
  </si>
  <si>
    <t>GalNAcβ1-4GlcNAcβ1-3Galβ1-3(NeuAcα2-6)GalNAcol</t>
  </si>
  <si>
    <t>1186-1</t>
  </si>
  <si>
    <r>
      <t>Fuc</t>
    </r>
    <r>
      <rPr>
        <sz val="11"/>
        <color theme="1"/>
        <rFont val="Calibri"/>
        <family val="2"/>
      </rPr>
      <t>α1-2</t>
    </r>
    <r>
      <rPr>
        <sz val="11"/>
        <color theme="1"/>
        <rFont val="Calibri"/>
        <family val="2"/>
        <scheme val="minor"/>
      </rPr>
      <t>Gal</t>
    </r>
    <r>
      <rPr>
        <sz val="11"/>
        <color theme="1"/>
        <rFont val="Calibri"/>
        <family val="2"/>
      </rPr>
      <t>β1-4</t>
    </r>
    <r>
      <rPr>
        <sz val="11"/>
        <color theme="1"/>
        <rFont val="Calibri"/>
        <family val="2"/>
        <scheme val="minor"/>
      </rPr>
      <t>GlcNAc</t>
    </r>
    <r>
      <rPr>
        <sz val="11"/>
        <color theme="1"/>
        <rFont val="Calibri"/>
        <family val="2"/>
      </rPr>
      <t>β1</t>
    </r>
    <r>
      <rPr>
        <sz val="11"/>
        <color theme="1"/>
        <rFont val="Calibri"/>
        <family val="2"/>
        <scheme val="minor"/>
      </rPr>
      <t>-3Gal</t>
    </r>
    <r>
      <rPr>
        <sz val="11"/>
        <color theme="1"/>
        <rFont val="Calibri"/>
        <family val="2"/>
      </rPr>
      <t>β1-3(NeuAcα</t>
    </r>
    <r>
      <rPr>
        <sz val="11"/>
        <color theme="1"/>
        <rFont val="Calibri"/>
        <family val="2"/>
        <scheme val="minor"/>
      </rPr>
      <t>2-6)GalNAcol</t>
    </r>
  </si>
  <si>
    <t>22.34*</t>
  </si>
  <si>
    <t>21.54*</t>
  </si>
  <si>
    <t>1186-2</t>
  </si>
  <si>
    <t>1243-1</t>
  </si>
  <si>
    <t>1243-2</t>
  </si>
  <si>
    <t>NeuAcα2-3Galβ1-3[GlcNAcα1-4Galβ1-4GlcNAcβ1-6]GalNAcol</t>
  </si>
  <si>
    <t>1389-1</t>
  </si>
  <si>
    <t>NeuAc1Hex2HexNAc3deHex1</t>
  </si>
  <si>
    <t>GalNAcα1-3(Fucα1-2)Galβ1-4GlcNAcβ1-3Galβ1-3(NeuAcα2-6)GalNAcol</t>
  </si>
  <si>
    <t>16.78*</t>
  </si>
  <si>
    <t>1389-2</t>
  </si>
  <si>
    <t>NeuAcα2-3Galβ1-3[GalNAcα1-3(Fucα1-2)Galβ1-4GlcNAcβ1-6]GalNAcol</t>
  </si>
  <si>
    <t>Type of fucosylation</t>
  </si>
  <si>
    <t>Type of terminals</t>
  </si>
  <si>
    <t>[7]</t>
  </si>
  <si>
    <t>[8]</t>
  </si>
  <si>
    <t>1 h incubation</t>
  </si>
  <si>
    <t>overnight incubation</t>
  </si>
  <si>
    <t>JC_210811M1</t>
  </si>
  <si>
    <t>JC_210811M2</t>
  </si>
  <si>
    <t>JC_210811M3</t>
  </si>
  <si>
    <t>JC_210811M5</t>
  </si>
  <si>
    <t>JC_210811M4</t>
  </si>
  <si>
    <t>JC_170918M6</t>
  </si>
  <si>
    <t>JC_170918M1</t>
  </si>
  <si>
    <t>JC_170918M2</t>
  </si>
  <si>
    <t>JC_170918M3</t>
  </si>
  <si>
    <t>JC_170918M4</t>
  </si>
  <si>
    <r>
      <t>Amuc623</t>
    </r>
    <r>
      <rPr>
        <vertAlign val="superscript"/>
        <sz val="16"/>
        <color rgb="FFFF0000"/>
        <rFont val="Calibri"/>
        <family val="2"/>
        <scheme val="minor"/>
      </rPr>
      <t xml:space="preserve"> [8]</t>
    </r>
  </si>
  <si>
    <r>
      <t xml:space="preserve">Sialylation </t>
    </r>
    <r>
      <rPr>
        <vertAlign val="superscript"/>
        <sz val="11"/>
        <color theme="1"/>
        <rFont val="Calibri"/>
        <family val="2"/>
      </rPr>
      <t>[4]</t>
    </r>
  </si>
  <si>
    <r>
      <t xml:space="preserve">Sda </t>
    </r>
    <r>
      <rPr>
        <vertAlign val="superscript"/>
        <sz val="11"/>
        <color theme="1"/>
        <rFont val="Calibri"/>
        <family val="2"/>
      </rPr>
      <t>[5]</t>
    </r>
  </si>
  <si>
    <r>
      <t>Fucosylation</t>
    </r>
    <r>
      <rPr>
        <vertAlign val="superscript"/>
        <sz val="11"/>
        <color theme="1"/>
        <rFont val="Calibri"/>
        <family val="2"/>
      </rPr>
      <t xml:space="preserve"> [6]</t>
    </r>
  </si>
  <si>
    <r>
      <t xml:space="preserve">Sulfation </t>
    </r>
    <r>
      <rPr>
        <vertAlign val="superscript"/>
        <sz val="11"/>
        <color theme="1"/>
        <rFont val="Calibri"/>
        <family val="2"/>
      </rPr>
      <t>[7]</t>
    </r>
  </si>
  <si>
    <t>Percentage10</t>
  </si>
  <si>
    <t>Percentage7</t>
  </si>
  <si>
    <r>
      <t xml:space="preserve">RT </t>
    </r>
    <r>
      <rPr>
        <vertAlign val="superscript"/>
        <sz val="11"/>
        <color theme="1"/>
        <rFont val="Calibri"/>
        <family val="2"/>
      </rPr>
      <t>[9]</t>
    </r>
  </si>
  <si>
    <r>
      <t>Intensity</t>
    </r>
    <r>
      <rPr>
        <vertAlign val="superscript"/>
        <sz val="11"/>
        <color theme="1"/>
        <rFont val="Calibri"/>
        <family val="2"/>
      </rPr>
      <t xml:space="preserve"> [10]</t>
    </r>
  </si>
  <si>
    <r>
      <t>6SGlcNAc</t>
    </r>
    <r>
      <rPr>
        <sz val="11"/>
        <color theme="1"/>
        <rFont val="Calibri"/>
        <family val="2"/>
      </rPr>
      <t>β1-3GalNAcol</t>
    </r>
  </si>
  <si>
    <t>14.60*</t>
  </si>
  <si>
    <t>NeuAcαα2-3Galβ1-3GalNAcol</t>
  </si>
  <si>
    <t>15.13*</t>
  </si>
  <si>
    <t>Galβ1-3(Galβ1-3GlcNAcβ1-6)GalNAcol</t>
  </si>
  <si>
    <t>Galβ1-3GlcNAcβ1-3Galβ1-3GalNAcol</t>
  </si>
  <si>
    <t>829-1</t>
  </si>
  <si>
    <t>829-2</t>
  </si>
  <si>
    <t>Galβ1-3(3SGalβ1-4GlcNAcβ1-6)GalNAcol</t>
  </si>
  <si>
    <t>829-3</t>
  </si>
  <si>
    <t>6SGalβ1-3GlcNAcβ1-3Galβ1-3GalNAcol</t>
  </si>
  <si>
    <r>
      <t>GalNAc</t>
    </r>
    <r>
      <rPr>
        <sz val="11"/>
        <color theme="1"/>
        <rFont val="Calibri"/>
        <family val="2"/>
      </rPr>
      <t>β</t>
    </r>
    <r>
      <rPr>
        <sz val="11"/>
        <color theme="1"/>
        <rFont val="Calibri"/>
        <family val="2"/>
        <scheme val="minor"/>
      </rPr>
      <t>1-4Galβ1-3[(6S)GlcNAcβ1-6]GalNAcol</t>
    </r>
  </si>
  <si>
    <r>
      <t>Galβ1-3(GalNAc</t>
    </r>
    <r>
      <rPr>
        <sz val="11"/>
        <color theme="1"/>
        <rFont val="Calibri"/>
        <family val="2"/>
      </rPr>
      <t>β</t>
    </r>
    <r>
      <rPr>
        <sz val="11"/>
        <color theme="1"/>
        <rFont val="Calibri"/>
        <family val="2"/>
        <scheme val="minor"/>
      </rPr>
      <t>1-4Galβ1-4GlcNAcb1,6)GalNAcol</t>
    </r>
  </si>
  <si>
    <t>Galβ1-3[GlcNAcα1-4Galβ1-4(6S)GlcNAcβ1-6]GalNAcol</t>
  </si>
  <si>
    <t>Galβ1-3[GalNAcβ1-4Galβ1-4(6S)GlcNAcβ1-6]GalNAcol</t>
  </si>
  <si>
    <t>GlcNAcβ1-3(NeuAcα2-3Galβ1-4GlcNAcβ1-6)Galol</t>
  </si>
  <si>
    <t>1040-3</t>
  </si>
  <si>
    <t>Galβ1-3(NeuAcα2-3Galβ1-4GlcNAcβ1-6)GalNAcol</t>
  </si>
  <si>
    <t>1041-1</t>
  </si>
  <si>
    <r>
      <t>NeuAc</t>
    </r>
    <r>
      <rPr>
        <sz val="11"/>
        <color theme="1"/>
        <rFont val="Calibri"/>
        <family val="2"/>
      </rPr>
      <t>α2-3(GalNAcβ1-4)Galβ1-3(GlcNAcβ1-6)GalNAcol</t>
    </r>
  </si>
  <si>
    <r>
      <t>GalNAc</t>
    </r>
    <r>
      <rPr>
        <sz val="11"/>
        <color theme="1"/>
        <rFont val="Calibri"/>
        <family val="2"/>
      </rPr>
      <t>β1-4Galβ1-3(Fucα1-2Galβ1-4GlcNAcβ1-6)GalNAcol</t>
    </r>
  </si>
  <si>
    <r>
      <t>Fucα1-2Galβ1-3(GalNAc</t>
    </r>
    <r>
      <rPr>
        <sz val="11"/>
        <color theme="1"/>
        <rFont val="Calibri"/>
        <family val="2"/>
      </rPr>
      <t>β1</t>
    </r>
    <r>
      <rPr>
        <sz val="11"/>
        <color theme="1"/>
        <rFont val="Calibri"/>
        <family val="2"/>
        <scheme val="minor"/>
      </rPr>
      <t>-4Galβ1-4GlcNAcβ1-6)GalNAcol</t>
    </r>
  </si>
  <si>
    <t>1120-1</t>
  </si>
  <si>
    <t>Galβ1-3[NeuAcα2-3(6S)Gal-GlcNAcβ1-6]GalNAcol</t>
  </si>
  <si>
    <t>1120-2</t>
  </si>
  <si>
    <t>NeuAcα2-3Galβ1-4GlcNAcβ1-3(6S)Galβ1-3GalNAcol</t>
  </si>
  <si>
    <r>
      <t>GalNAc</t>
    </r>
    <r>
      <rPr>
        <sz val="11"/>
        <color theme="1"/>
        <rFont val="Calibri"/>
        <family val="2"/>
      </rPr>
      <t>β</t>
    </r>
    <r>
      <rPr>
        <sz val="11"/>
        <color theme="1"/>
        <rFont val="Calibri"/>
        <family val="2"/>
        <scheme val="minor"/>
      </rPr>
      <t>1-4Galβ1-3(GalNAc</t>
    </r>
    <r>
      <rPr>
        <sz val="11"/>
        <color theme="1"/>
        <rFont val="Calibri"/>
        <family val="2"/>
      </rPr>
      <t>β</t>
    </r>
    <r>
      <rPr>
        <sz val="11"/>
        <color theme="1"/>
        <rFont val="Calibri"/>
        <family val="2"/>
        <scheme val="minor"/>
      </rPr>
      <t>1-4Galβ1-4GlcNAcβ1-6)GalNAcol</t>
    </r>
  </si>
  <si>
    <t>Fucα1-2Galβ1-3[GalNAcβ1-4Galβ1-4(6S)GlcNAcβ1-6]GalNAcol</t>
  </si>
  <si>
    <t>Fucα1-2Galβ1-3(NeuAcα2-3Galβ1-4GlcNAcβ1-6)GalNAcol</t>
  </si>
  <si>
    <t>GlcNAcα1-4Galβ1-3[GalNAcβ1-4Galβ1-4(6S)GlcNAcβ1-6]GalNAcol</t>
  </si>
  <si>
    <t>GalNAcβ1-4Galβ1-3[GalNAcβ1-4Galβ1-4(6S)GlcNAcβ1-6]GalNAcol</t>
  </si>
  <si>
    <t>Galβ1-3[NeuAcα2-3(GalNAcβ1-4)Galβ1-4GlcNAcβ1-6]GalNAcol</t>
  </si>
  <si>
    <t>NeuAcα2-3(GalNAcβ1-4)Galβ1-4GlcNAcβ1-3Galβ1-3GalNAcol</t>
  </si>
  <si>
    <t>18.46*</t>
  </si>
  <si>
    <t>Fucα1-2Galβ1-4(6S)GlcNAcβ1-3Galβ1-3(NeuAcα2-6)GalNAcol</t>
  </si>
  <si>
    <t>27.44*</t>
  </si>
  <si>
    <t>Hex3HexNAc3Sul2</t>
  </si>
  <si>
    <r>
      <t>3SGal</t>
    </r>
    <r>
      <rPr>
        <sz val="11"/>
        <color theme="1"/>
        <rFont val="Calibri"/>
        <family val="2"/>
      </rPr>
      <t>β</t>
    </r>
    <r>
      <rPr>
        <sz val="8.8000000000000007"/>
        <color theme="1"/>
        <rFont val="Calibri"/>
        <family val="2"/>
      </rPr>
      <t>1</t>
    </r>
    <r>
      <rPr>
        <sz val="11"/>
        <color theme="1"/>
        <rFont val="Calibri"/>
        <family val="2"/>
        <scheme val="minor"/>
      </rPr>
      <t>-4GlcNAcβ1-3Galβ1-3[Gal</t>
    </r>
    <r>
      <rPr>
        <sz val="11"/>
        <color theme="1"/>
        <rFont val="Calibri"/>
        <family val="2"/>
      </rPr>
      <t>β</t>
    </r>
    <r>
      <rPr>
        <sz val="8.8000000000000007"/>
        <color theme="1"/>
        <rFont val="Calibri"/>
        <family val="2"/>
      </rPr>
      <t>1</t>
    </r>
    <r>
      <rPr>
        <sz val="11"/>
        <color theme="1"/>
        <rFont val="Calibri"/>
        <family val="2"/>
        <scheme val="minor"/>
      </rPr>
      <t>-4(6S)GlcNAcβ1-6]GalNAcol</t>
    </r>
  </si>
  <si>
    <t>1317-1</t>
  </si>
  <si>
    <t>Galβ1-4GlcNAcβ1-3Galβ1-3(GalNAcβ1-4Galβ1-4GlcNAcβ1-6)GalNAcol</t>
  </si>
  <si>
    <t>1317-2</t>
  </si>
  <si>
    <t>Galβ1-3(GalNAcβ1-4 Galβ1-4GlcNAcβ1-3Galβ1-4GlcNAcβ1-6)GalNAcol</t>
  </si>
  <si>
    <t>NeuAc1Hex2HexNAc3Sul1</t>
  </si>
  <si>
    <t>NeuAcα2-3(GalNAcβ1-4)Galβ1-3[Galβ1-4(6S)GlcNAcβ1-6]GalNAcol</t>
  </si>
  <si>
    <t>16.92*</t>
  </si>
  <si>
    <t>16.81*</t>
  </si>
  <si>
    <t>16.98*</t>
  </si>
  <si>
    <t>NeuAcα2-6+NeuAc1Hex2HexNAc2</t>
  </si>
  <si>
    <r>
      <t>Fuc</t>
    </r>
    <r>
      <rPr>
        <sz val="11"/>
        <color theme="1"/>
        <rFont val="Calibri"/>
        <family val="2"/>
        <scheme val="minor"/>
      </rPr>
      <t>α1-2Galβ1-3[NeuAcα2-3(GalNAcβ1-4)Galβ1-4GlcNAcβ1-6]GalNAcol</t>
    </r>
  </si>
  <si>
    <t>Hex3HexNAc4Sul1</t>
  </si>
  <si>
    <r>
      <t>Galβ1-3[GalNAc</t>
    </r>
    <r>
      <rPr>
        <sz val="11"/>
        <color theme="1"/>
        <rFont val="Calibri"/>
        <family val="2"/>
      </rPr>
      <t>β</t>
    </r>
    <r>
      <rPr>
        <sz val="11"/>
        <color theme="1"/>
        <rFont val="Calibri"/>
        <family val="2"/>
        <scheme val="minor"/>
      </rPr>
      <t>1-4Gal</t>
    </r>
    <r>
      <rPr>
        <sz val="11"/>
        <color theme="1"/>
        <rFont val="Calibri"/>
        <family val="2"/>
      </rPr>
      <t>β1</t>
    </r>
    <r>
      <rPr>
        <sz val="11"/>
        <color theme="1"/>
        <rFont val="Calibri"/>
        <family val="2"/>
        <scheme val="minor"/>
      </rPr>
      <t>-4GlcNAcβ1-3Gal</t>
    </r>
    <r>
      <rPr>
        <sz val="11"/>
        <color theme="1"/>
        <rFont val="Calibri"/>
        <family val="2"/>
      </rPr>
      <t>β1</t>
    </r>
    <r>
      <rPr>
        <sz val="11"/>
        <color theme="1"/>
        <rFont val="Calibri"/>
        <family val="2"/>
        <scheme val="minor"/>
      </rPr>
      <t>-4(6S)GlcNAcβ1-6]GalNAcol</t>
    </r>
  </si>
  <si>
    <t>NeuAc1Hex2HexNAc3deHex1Sul1</t>
  </si>
  <si>
    <t>Fucα1-2Galβ1-3[NeuAcα2-3(GalNAcβ1-4)Galβ1-4(6S)GlcNAcβ1-6]GalNAcol</t>
  </si>
  <si>
    <t>28.40*</t>
  </si>
  <si>
    <t>NeuAc2Hex2HexNAc2deHex1</t>
  </si>
  <si>
    <t>Galβ1-3[GlcNAcα1-4(S)Galβ1-4GlcNAcβ1-3Galβ1-4(6S)GlcNAcβ1-6]GalNAcol</t>
  </si>
  <si>
    <t>27.35*</t>
  </si>
  <si>
    <t>NeuAc1Hex3HexNAc3Sul1</t>
  </si>
  <si>
    <t>Hex3HexNAc5</t>
  </si>
  <si>
    <t>GalNAcβ1-4Galβ1-4GlcNAcβ1-3Galβ1-3(GalNAcβ1-4 Galβ1-4GlcNAcβ1-6)GalNAcol</t>
  </si>
  <si>
    <t>NeuAc1Hex2HexNAc4Sul1</t>
  </si>
  <si>
    <r>
      <t>NeuAc</t>
    </r>
    <r>
      <rPr>
        <sz val="11"/>
        <color theme="1"/>
        <rFont val="Calibri"/>
        <family val="2"/>
      </rPr>
      <t>α2-3(GalNAcβ1-4)Galβ1-3[GlcNAcα1-4Galβ1-4(6S)GlcNAcβ1-6]GalNAcol</t>
    </r>
  </si>
  <si>
    <t>1534-1</t>
  </si>
  <si>
    <t>NeuAc2Hex2HexNAc3</t>
  </si>
  <si>
    <t>NeuAcα2-3(GalNAcβ1-4)Galβ1-3(NeuAcα2-3Galβ1-4GlcNAcβ1-6)GalNAcol</t>
  </si>
  <si>
    <t>1534-2</t>
  </si>
  <si>
    <t>NeuAcα2-3Galβ1-3[NeuAcα2-3(GalNAcβ1-4)Galβ1-4GlcNAcβ1-6]GalNAcol</t>
  </si>
  <si>
    <t>NeuAc1Hex3HexNAc3Sul2</t>
  </si>
  <si>
    <r>
      <t>3SGal</t>
    </r>
    <r>
      <rPr>
        <sz val="11"/>
        <color theme="1"/>
        <rFont val="Calibri"/>
        <family val="2"/>
      </rPr>
      <t>β</t>
    </r>
    <r>
      <rPr>
        <sz val="8.8000000000000007"/>
        <color theme="1"/>
        <rFont val="Calibri"/>
        <family val="2"/>
      </rPr>
      <t>1</t>
    </r>
    <r>
      <rPr>
        <sz val="11"/>
        <color theme="1"/>
        <rFont val="Calibri"/>
        <family val="2"/>
        <scheme val="minor"/>
      </rPr>
      <t>-4GlcNAcβ1-3Galβ1-3[NeuAcα2-3Gal</t>
    </r>
    <r>
      <rPr>
        <sz val="11"/>
        <color theme="1"/>
        <rFont val="Calibri"/>
        <family val="2"/>
      </rPr>
      <t>β</t>
    </r>
    <r>
      <rPr>
        <sz val="8.8000000000000007"/>
        <color theme="1"/>
        <rFont val="Calibri"/>
        <family val="2"/>
      </rPr>
      <t>1</t>
    </r>
    <r>
      <rPr>
        <sz val="11"/>
        <color theme="1"/>
        <rFont val="Calibri"/>
        <family val="2"/>
        <scheme val="minor"/>
      </rPr>
      <t>-4(6S)GlcNAcβ1-6]GalNAcol</t>
    </r>
  </si>
  <si>
    <t>NeuAc1Hex3HexNAc4</t>
  </si>
  <si>
    <t>Galβ1-3[NeuAcα2-3(GalNAcβ1-4)Galβ1-4GlcNAcβ1-3Galβ1-4GlcNAcβ1-6]GalNAcol</t>
  </si>
  <si>
    <t>NeuAc2Hex2HexNAc3deHex1</t>
  </si>
  <si>
    <t>27.16*</t>
  </si>
  <si>
    <t>1688-1</t>
  </si>
  <si>
    <t>NeuAc1Hex3HexNAc4Sul1</t>
  </si>
  <si>
    <t>NeuAcα2-3(GalNAcβ1-4)Galβ1-3[Galβ1-4GlcNAcβ1-3Galβ1-4(6S)GlcNAcβ1-6]GalNAcol</t>
  </si>
  <si>
    <t>1688-2</t>
  </si>
  <si>
    <r>
      <t>Galβ1-3[NeuAcα2-3(GalNAc</t>
    </r>
    <r>
      <rPr>
        <sz val="11"/>
        <color theme="1"/>
        <rFont val="Calibri"/>
        <family val="2"/>
      </rPr>
      <t>β</t>
    </r>
    <r>
      <rPr>
        <sz val="11"/>
        <color theme="1"/>
        <rFont val="Calibri"/>
        <family val="2"/>
        <scheme val="minor"/>
      </rPr>
      <t>1-4)Galβ1-4GlcNAcβ1-3(S)Galβ1-4GlcNAcβ1-6]GalNAcol</t>
    </r>
  </si>
  <si>
    <t>NeuAc2Hex3HexNAc3</t>
  </si>
  <si>
    <t>NeuAc1Hex3HexNAc3deHex1Sul2</t>
  </si>
  <si>
    <t>NeuAc2Hex2HexNAc4</t>
  </si>
  <si>
    <t>NeuAcα2-3(GalNAcβ1-4)Galβ1-3[NeuAcα2-3(GalNAcβ1-4)Galβ1-4GlcNAcβ1-6]GalNAcol</t>
  </si>
  <si>
    <t>NeuAc1Hex3HexNAc5</t>
  </si>
  <si>
    <t>GalNAcβ1-4Galβ1-3[NeuAcα2-3(GalNAcβ1-4)Galβ1-4GlcNAcβ1-3Galβ1-4GlcNAcβ1-6]GalNAcol</t>
  </si>
  <si>
    <t>NeuAc2Hex2HexNAc4Sul1</t>
  </si>
  <si>
    <t>NeuAcα2-3(GalNAcβ1-4)Galβ1-3[NeuAcα2-3(GalNAcβ1-4)Galβ1-4(6S)GlcNAcβ1-6]GalNAcol</t>
  </si>
  <si>
    <t>NeuAc1Hex4HexNAc4Sul1</t>
  </si>
  <si>
    <t>29.56*</t>
  </si>
  <si>
    <t>NeuAc2Hex2HexNAc4deHex1</t>
  </si>
  <si>
    <t>HexNAc1-4Galβ1-4GlcNAcβ1-3(Galβ1-4GlcNAcβ1-6)Galβ1-3(HexNAc1-4Galβ1-4GlcNAcβ1-6)GalNAcol</t>
  </si>
  <si>
    <t>1899-1</t>
  </si>
  <si>
    <t>NeuAc2Hex3HexNAc4</t>
  </si>
  <si>
    <t>21.46*</t>
  </si>
  <si>
    <t>1899-2</t>
  </si>
  <si>
    <t>Hex4HexNAc6Sul1</t>
  </si>
  <si>
    <t>S+HexNAc1-4Galβ1-4GlcNAcβ1-3(Galβ1-4GlcNAcβ1-6)Galβ1-3(HexNAc1-4Galβ1-4GlcNAcβ1-6)GalNAcol</t>
  </si>
  <si>
    <t>NeuAc2Hex3HexNAc4Sul1</t>
  </si>
  <si>
    <t>Hex4HexNAc6Sul2</t>
  </si>
  <si>
    <t>2S+HexNAc1-4Galβ1-4GlcNAcβ1-3(Galβ1-4GlcNAcβ1-6)Galβ1-3(HexNAc1-4Galβ1-4GlcNAcβ1-6)GalNAcol</t>
  </si>
  <si>
    <t>2102-1</t>
  </si>
  <si>
    <t>NeuAc2Hex3HexNAc5</t>
  </si>
  <si>
    <t>NeuAcα2-3(GalNAcβ1-4)Galβ1-3[NeuAcα2-3(GalNAcβ1-4)Galβ1-4GlcNcβ1-3Galβ1-4GlcNAcβ1-6]GalNAcol</t>
  </si>
  <si>
    <t>2102-2</t>
  </si>
  <si>
    <t>NeuAc2Hex3HexNAc4deHex1Sul1</t>
  </si>
  <si>
    <t>27.25*</t>
  </si>
  <si>
    <t>NeuAc2Hex3HexNAc5Sul1</t>
  </si>
  <si>
    <t>NeuAcα2-3(GalNAcβ1-4)Galβ1-3[NeuAcα2-3(GalNAcβ1-4)Galβ1-4GlcNAcβ1-3(S)Galβ1-4GlcNAcβ1-6]GalNAcol</t>
  </si>
  <si>
    <t>22.23*</t>
  </si>
  <si>
    <t>NeuAc1Hex4HexNAc6Sul1</t>
  </si>
  <si>
    <t>NeuAc+S+HexNAc1-4Galβ1-4GlcNAcβ1-3(Galβ1-4GlcNAcβ1-6)Galβ1-3(HexNAc1-4Galβ1-4GlcNAcβ1-6)GalNAcol</t>
  </si>
  <si>
    <t>NeuAc4Hex3HexNAc3</t>
  </si>
  <si>
    <t>23.65*</t>
  </si>
  <si>
    <t>NeuAc1Hex4HexNAc6Sul2</t>
  </si>
  <si>
    <t>NeuAc+2S+HexNAc1-4Galβ1-4GlcNAcβ1-3(Galβ1-4GlcNAcβ1-6)Galβ1-3(HexNAc1-4Galβ1-4GlcNAcβ1-6)GalNAcol</t>
  </si>
  <si>
    <t>NeuAc3Hex3HexNAc5</t>
  </si>
  <si>
    <t>NeuAc3Hex3HexNAc5Sul1</t>
  </si>
  <si>
    <t>20.88*</t>
  </si>
  <si>
    <t>NeuAc2Hex4HexNAc6Sul1</t>
  </si>
  <si>
    <t>2NeuAc+S+HexNAc1-4Galβ1-4GlcNAcβ1-3(Galβ1-4GlcNAcβ1-6)Galβ1-3(HexNAc1-4Galβ1-4GlcNAcβ1-6)GalNAcol</t>
  </si>
  <si>
    <t>NeuAc3Hex4HexNAc5</t>
  </si>
  <si>
    <t>NeuAc3Hex4HexNAc6</t>
  </si>
  <si>
    <t>NeuAcα2-8 + NeuAcα2-3(GalNAcβ1-4)Gal-GlcNAcβ1-3[NeuAcα2-3(GalNAcβ1-4)Gal-GlcNAcβ1-6]Galβ1-3(GlcNAcβ1-6)GalNAcol</t>
  </si>
  <si>
    <t>NeuAc2Hex5HexNAc7Sul1</t>
  </si>
  <si>
    <t>The cartoon figure of N-glycan is described as "NeuAcα2-6Galβ1-4GlcNAcβ1-2(Galβ1-4GlcNAcβ1-4)Manα1-3(GlcNAcβ1-4)(Galβ1-4GlcNAcβ1-2Manα1-6)Manβ1-4GlcNAcβ1-4(Fucα1-6)GlcNAcol"</t>
  </si>
  <si>
    <t>The cartoon figure of O-glycan is described as "Fucα1-3(Galβ1-4)GlcNAcβ1-6(NeuAcα2-3Galβ1-4GlcNAcβ1-6)Galβ1-3[Galβ1-4(6S)GlcNAcβ1-6]GalNAcol"</t>
  </si>
  <si>
    <t>Presence (1) and absence (0) of sialic acid</t>
  </si>
  <si>
    <r>
      <t>Presence (1) and absence (0) of sda structure. The motif GalNAc</t>
    </r>
    <r>
      <rPr>
        <sz val="11"/>
        <color theme="1"/>
        <rFont val="Calibri"/>
        <family val="2"/>
      </rPr>
      <t>β1-4Gal without sialylation was also counted.</t>
    </r>
  </si>
  <si>
    <t>Presence (1) and absence (0) of fucosylation;</t>
  </si>
  <si>
    <t>Presence (1) and absence (0) of sulfation;</t>
  </si>
  <si>
    <t>Name of sample, 30 ul of enzyme were used</t>
  </si>
  <si>
    <t>[9]</t>
  </si>
  <si>
    <t>Retention time (RT) of selected structure on LC; nd, not detected</t>
  </si>
  <si>
    <t>[10]</t>
  </si>
  <si>
    <t>JC_190214contIGN</t>
  </si>
  <si>
    <t>JC_190214IGN623</t>
  </si>
  <si>
    <t>JC_190214IGN625</t>
  </si>
  <si>
    <t>JC_190214IGN1547</t>
  </si>
  <si>
    <t>JC_190214IGN1835</t>
  </si>
  <si>
    <r>
      <t>Control</t>
    </r>
    <r>
      <rPr>
        <vertAlign val="superscript"/>
        <sz val="16"/>
        <color theme="1"/>
        <rFont val="Calibri"/>
        <family val="2"/>
        <scheme val="minor"/>
      </rPr>
      <t xml:space="preserve"> [4]</t>
    </r>
  </si>
  <si>
    <t>GlcNAcβ1-2Manα1-3(GlcNAcβ1-4)(GlcNAcβ1-2Manα1-6)Manβ1-4GlcNAcβ1-4GlcNAcol</t>
  </si>
  <si>
    <t>Hex5HexNAc5</t>
  </si>
  <si>
    <t>Galβ1-4GlcNAcβ1-2Manα1-3(GlcNAcβ1-4)(Galβ1-4GlcNAcβ1-2Manα1-6)Manβ1-4GlcNAcβ1-4GlcNAcol</t>
  </si>
  <si>
    <t>Hex9HexNAc2</t>
  </si>
  <si>
    <t>Manα1-2Manα1-2Manα1-3[Manα1-2Manα1-3(Manα1-2Manα1-6)Manα1-6]Manβ1-4GlcNAcβ1-4GlcNAcol</t>
  </si>
  <si>
    <t>NeuAc1Hex5HexNAc4</t>
  </si>
  <si>
    <t>NeuAcα2-6Galβ1-4GlcNAcβ1-2Manα1-3(Galβ1-4GlcNAcβ1-2Manα1-6)Manβ1-4GlcNAcβ1-4GlcNAcol</t>
  </si>
  <si>
    <t>16.72*</t>
  </si>
  <si>
    <t>Hex6HexNAc5deHex1</t>
  </si>
  <si>
    <t>Galβ1-4GlcNAcβ1-2Manα1-3[Galβ1-4GlcNAcβ1-2(Galβ1-4GlcNAcβ1-6)Manα1-6]Manβ1-4GlcNAcβ1-4(Fucα1-6)GlcNAcol</t>
  </si>
  <si>
    <t>19.34*</t>
  </si>
  <si>
    <t>16.91*</t>
  </si>
  <si>
    <t>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</si>
</sst>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&quot;kr&quot;_-;\-* #,##0.00\ &quot;kr&quot;_-;_-* &quot;-&quot;??\ &quot;kr&quot;_-;_-@_-"/>
    <numFmt numFmtId="165" formatCode="0.0"/>
  </numFmts>
  <fonts count="4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rgb="FFFF0000"/>
      <name val="Calibri"/>
      <family val="2"/>
      <scheme val="minor"/>
    </font>
    <font>
      <vertAlign val="superscript"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theme="1"/>
      <name val="Calibri"/>
      <family val="2"/>
    </font>
    <font>
      <vertAlign val="superscript"/>
      <sz val="11"/>
      <color theme="1"/>
      <name val="Calibri"/>
      <family val="2"/>
    </font>
    <font>
      <b/>
      <sz val="16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Times New Roman"/>
      <family val="1"/>
    </font>
    <font>
      <u/>
      <sz val="11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0"/>
      <name val="Calibri"/>
      <family val="2"/>
    </font>
    <font>
      <sz val="18"/>
      <color theme="3"/>
      <name val="Cambria"/>
      <family val="2"/>
      <scheme val="major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sz val="11"/>
      <name val="Calibri"/>
      <family val="2"/>
      <scheme val="minor"/>
    </font>
    <font>
      <sz val="8.8000000000000007"/>
      <color theme="1"/>
      <name val="Calibri"/>
      <family val="2"/>
    </font>
    <font>
      <sz val="11"/>
      <color rgb="FF000000"/>
      <name val="Calibri"/>
      <family val="2"/>
    </font>
    <font>
      <vertAlign val="superscript"/>
      <sz val="16"/>
      <color theme="1"/>
      <name val="Calibri"/>
      <family val="2"/>
      <scheme val="minor"/>
    </font>
    <font>
      <sz val="11"/>
      <color theme="1"/>
      <name val="Calibri"/>
    </font>
  </fonts>
  <fills count="42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39997558519241921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/>
      <bottom/>
      <diagonal/>
    </border>
    <border>
      <left style="thin">
        <color theme="9" tint="-0.249977111117893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36">
    <xf numFmtId="0" fontId="0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8" fillId="0" borderId="0"/>
    <xf numFmtId="0" fontId="17" fillId="0" borderId="23" applyNumberFormat="0" applyFill="0" applyAlignment="0" applyProtection="0"/>
    <xf numFmtId="0" fontId="18" fillId="0" borderId="24" applyNumberFormat="0" applyFill="0" applyAlignment="0" applyProtection="0"/>
    <xf numFmtId="0" fontId="19" fillId="0" borderId="25" applyNumberFormat="0" applyFill="0" applyAlignment="0" applyProtection="0"/>
    <xf numFmtId="0" fontId="19" fillId="0" borderId="0" applyNumberFormat="0" applyFill="0" applyBorder="0" applyAlignment="0" applyProtection="0"/>
    <xf numFmtId="0" fontId="20" fillId="3" borderId="0" applyNumberFormat="0" applyBorder="0" applyAlignment="0" applyProtection="0"/>
    <xf numFmtId="0" fontId="21" fillId="4" borderId="0" applyNumberFormat="0" applyBorder="0" applyAlignment="0" applyProtection="0"/>
    <xf numFmtId="0" fontId="22" fillId="5" borderId="0" applyNumberFormat="0" applyBorder="0" applyAlignment="0" applyProtection="0"/>
    <xf numFmtId="0" fontId="23" fillId="6" borderId="26" applyNumberFormat="0" applyAlignment="0" applyProtection="0"/>
    <xf numFmtId="0" fontId="24" fillId="7" borderId="27" applyNumberFormat="0" applyAlignment="0" applyProtection="0"/>
    <xf numFmtId="0" fontId="25" fillId="7" borderId="26" applyNumberFormat="0" applyAlignment="0" applyProtection="0"/>
    <xf numFmtId="0" fontId="26" fillId="0" borderId="28" applyNumberFormat="0" applyFill="0" applyAlignment="0" applyProtection="0"/>
    <xf numFmtId="0" fontId="27" fillId="8" borderId="29" applyNumberFormat="0" applyAlignment="0" applyProtection="0"/>
    <xf numFmtId="0" fontId="28" fillId="0" borderId="0" applyNumberFormat="0" applyFill="0" applyBorder="0" applyAlignment="0" applyProtection="0"/>
    <xf numFmtId="0" fontId="1" fillId="9" borderId="30" applyNumberFormat="0" applyFont="0" applyAlignment="0" applyProtection="0"/>
    <xf numFmtId="0" fontId="29" fillId="0" borderId="0" applyNumberFormat="0" applyFill="0" applyBorder="0" applyAlignment="0" applyProtection="0"/>
    <xf numFmtId="0" fontId="30" fillId="0" borderId="31" applyNumberFormat="0" applyFill="0" applyAlignment="0" applyProtection="0"/>
    <xf numFmtId="0" fontId="3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31" fillId="13" borderId="0" applyNumberFormat="0" applyBorder="0" applyAlignment="0" applyProtection="0"/>
    <xf numFmtId="0" fontId="3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3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31" fillId="21" borderId="0" applyNumberFormat="0" applyBorder="0" applyAlignment="0" applyProtection="0"/>
    <xf numFmtId="0" fontId="3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31" fillId="25" borderId="0" applyNumberFormat="0" applyBorder="0" applyAlignment="0" applyProtection="0"/>
    <xf numFmtId="0" fontId="3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31" fillId="29" borderId="0" applyNumberFormat="0" applyBorder="0" applyAlignment="0" applyProtection="0"/>
    <xf numFmtId="0" fontId="3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31" fillId="33" borderId="0" applyNumberFormat="0" applyBorder="0" applyAlignment="0" applyProtection="0"/>
    <xf numFmtId="0" fontId="32" fillId="18" borderId="0" applyNumberFormat="0" applyBorder="0" applyAlignment="0" applyProtection="0"/>
    <xf numFmtId="0" fontId="33" fillId="0" borderId="0" applyNumberFormat="0" applyFill="0" applyBorder="0" applyAlignment="0" applyProtection="0"/>
    <xf numFmtId="0" fontId="31" fillId="18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396">
    <xf numFmtId="0" fontId="0" fillId="0" borderId="0" xfId="0"/>
    <xf numFmtId="0" fontId="4" fillId="0" borderId="0" xfId="0" applyFont="1"/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center" vertical="center"/>
    </xf>
    <xf numFmtId="0" fontId="7" fillId="0" borderId="0" xfId="0" applyFont="1"/>
    <xf numFmtId="0" fontId="0" fillId="0" borderId="0" xfId="0" applyAlignment="1">
      <alignment horizontal="right"/>
    </xf>
    <xf numFmtId="2" fontId="5" fillId="0" borderId="2" xfId="1" applyNumberFormat="1" applyFont="1" applyBorder="1" applyAlignment="1">
      <alignment horizontal="left" vertical="center"/>
    </xf>
    <xf numFmtId="2" fontId="0" fillId="0" borderId="0" xfId="0" applyNumberFormat="1"/>
    <xf numFmtId="2" fontId="2" fillId="0" borderId="0" xfId="0" applyNumberFormat="1" applyFont="1"/>
    <xf numFmtId="0" fontId="2" fillId="0" borderId="0" xfId="0" applyFont="1"/>
    <xf numFmtId="165" fontId="4" fillId="0" borderId="0" xfId="0" applyNumberFormat="1" applyFont="1"/>
    <xf numFmtId="0" fontId="5" fillId="0" borderId="2" xfId="1" applyFont="1" applyBorder="1" applyAlignment="1">
      <alignment horizontal="left" vertical="center"/>
    </xf>
    <xf numFmtId="165" fontId="5" fillId="0" borderId="2" xfId="1" applyNumberFormat="1" applyFont="1" applyBorder="1" applyAlignment="1">
      <alignment horizontal="left" vertical="center"/>
    </xf>
    <xf numFmtId="165" fontId="5" fillId="0" borderId="0" xfId="1" applyNumberFormat="1" applyFont="1" applyFill="1" applyAlignment="1">
      <alignment horizontal="right"/>
    </xf>
    <xf numFmtId="165" fontId="0" fillId="0" borderId="0" xfId="0" applyNumberFormat="1"/>
    <xf numFmtId="0" fontId="0" fillId="0" borderId="0" xfId="0" applyFont="1"/>
    <xf numFmtId="0" fontId="0" fillId="0" borderId="0" xfId="0"/>
    <xf numFmtId="165" fontId="12" fillId="0" borderId="3" xfId="1" applyNumberFormat="1" applyFont="1" applyFill="1" applyBorder="1" applyAlignment="1">
      <alignment horizontal="right"/>
    </xf>
    <xf numFmtId="0" fontId="12" fillId="0" borderId="5" xfId="1" applyFont="1" applyFill="1" applyBorder="1" applyAlignment="1">
      <alignment horizontal="left" vertical="center"/>
    </xf>
    <xf numFmtId="165" fontId="5" fillId="0" borderId="0" xfId="1" applyNumberFormat="1" applyFont="1" applyFill="1" applyBorder="1" applyAlignment="1">
      <alignment horizontal="right"/>
    </xf>
    <xf numFmtId="165" fontId="12" fillId="0" borderId="0" xfId="1" applyNumberFormat="1" applyFont="1" applyFill="1" applyBorder="1" applyAlignment="1">
      <alignment horizontal="right"/>
    </xf>
    <xf numFmtId="0" fontId="12" fillId="0" borderId="4" xfId="1" applyFont="1" applyFill="1" applyBorder="1" applyAlignment="1">
      <alignment horizontal="right"/>
    </xf>
    <xf numFmtId="0" fontId="12" fillId="0" borderId="0" xfId="1" applyFont="1" applyFill="1" applyBorder="1" applyAlignment="1">
      <alignment horizontal="right"/>
    </xf>
    <xf numFmtId="165" fontId="5" fillId="0" borderId="3" xfId="1" applyNumberFormat="1" applyFont="1" applyFill="1" applyBorder="1" applyAlignment="1">
      <alignment horizontal="right"/>
    </xf>
    <xf numFmtId="165" fontId="14" fillId="0" borderId="0" xfId="1" applyNumberFormat="1" applyFont="1" applyFill="1" applyAlignment="1">
      <alignment horizontal="right"/>
    </xf>
    <xf numFmtId="165" fontId="14" fillId="0" borderId="3" xfId="1" applyNumberFormat="1" applyFont="1" applyFill="1" applyBorder="1" applyAlignment="1">
      <alignment horizontal="right"/>
    </xf>
    <xf numFmtId="2" fontId="12" fillId="0" borderId="7" xfId="1" applyNumberFormat="1" applyFont="1" applyFill="1" applyBorder="1" applyAlignment="1">
      <alignment horizontal="right"/>
    </xf>
    <xf numFmtId="2" fontId="5" fillId="0" borderId="7" xfId="1" applyNumberFormat="1" applyFont="1" applyFill="1" applyBorder="1" applyAlignment="1">
      <alignment horizontal="right"/>
    </xf>
    <xf numFmtId="2" fontId="14" fillId="0" borderId="7" xfId="1" applyNumberFormat="1" applyFont="1" applyFill="1" applyBorder="1" applyAlignment="1">
      <alignment horizontal="right"/>
    </xf>
    <xf numFmtId="0" fontId="5" fillId="0" borderId="0" xfId="1" applyFont="1" applyFill="1" applyAlignment="1">
      <alignment horizontal="right"/>
    </xf>
    <xf numFmtId="0" fontId="5" fillId="0" borderId="5" xfId="1" applyFont="1" applyFill="1" applyBorder="1" applyAlignment="1">
      <alignment horizontal="left" vertical="center"/>
    </xf>
    <xf numFmtId="165" fontId="14" fillId="0" borderId="0" xfId="1" applyNumberFormat="1" applyFont="1" applyFill="1" applyBorder="1" applyAlignment="1">
      <alignment horizontal="right"/>
    </xf>
    <xf numFmtId="0" fontId="5" fillId="0" borderId="6" xfId="1" applyFont="1" applyFill="1" applyBorder="1" applyAlignment="1">
      <alignment horizontal="right"/>
    </xf>
    <xf numFmtId="0" fontId="5" fillId="0" borderId="4" xfId="1" applyFont="1" applyFill="1" applyBorder="1" applyAlignment="1">
      <alignment horizontal="right"/>
    </xf>
    <xf numFmtId="0" fontId="5" fillId="0" borderId="7" xfId="1" applyFont="1" applyFill="1" applyBorder="1" applyAlignment="1">
      <alignment horizontal="right"/>
    </xf>
    <xf numFmtId="0" fontId="5" fillId="0" borderId="0" xfId="1" applyFont="1" applyFill="1" applyBorder="1" applyAlignment="1">
      <alignment horizontal="right"/>
    </xf>
    <xf numFmtId="165" fontId="15" fillId="0" borderId="0" xfId="1" applyNumberFormat="1" applyFont="1" applyFill="1" applyAlignment="1">
      <alignment horizontal="right"/>
    </xf>
    <xf numFmtId="2" fontId="15" fillId="0" borderId="7" xfId="1" applyNumberFormat="1" applyFont="1" applyFill="1" applyBorder="1" applyAlignment="1">
      <alignment horizontal="right"/>
    </xf>
    <xf numFmtId="165" fontId="15" fillId="0" borderId="3" xfId="1" applyNumberFormat="1" applyFont="1" applyFill="1" applyBorder="1" applyAlignment="1">
      <alignment horizontal="right"/>
    </xf>
    <xf numFmtId="165" fontId="15" fillId="0" borderId="7" xfId="1" applyNumberFormat="1" applyFont="1" applyFill="1" applyBorder="1" applyAlignment="1">
      <alignment horizontal="right"/>
    </xf>
    <xf numFmtId="0" fontId="15" fillId="0" borderId="7" xfId="1" applyFont="1" applyFill="1" applyBorder="1" applyAlignment="1">
      <alignment horizontal="right"/>
    </xf>
    <xf numFmtId="0" fontId="15" fillId="0" borderId="0" xfId="1" applyFont="1" applyFill="1" applyAlignment="1">
      <alignment horizontal="right"/>
    </xf>
    <xf numFmtId="165" fontId="5" fillId="0" borderId="7" xfId="1" applyNumberFormat="1" applyFont="1" applyFill="1" applyBorder="1" applyAlignment="1">
      <alignment horizontal="right"/>
    </xf>
    <xf numFmtId="165" fontId="15" fillId="0" borderId="0" xfId="1" applyNumberFormat="1" applyFont="1" applyFill="1" applyBorder="1" applyAlignment="1">
      <alignment horizontal="right"/>
    </xf>
    <xf numFmtId="2" fontId="5" fillId="0" borderId="1" xfId="1" applyNumberFormat="1" applyFont="1" applyBorder="1" applyAlignment="1">
      <alignment horizontal="left" vertical="center"/>
    </xf>
    <xf numFmtId="1" fontId="2" fillId="0" borderId="0" xfId="0" applyNumberFormat="1" applyFont="1"/>
    <xf numFmtId="0" fontId="0" fillId="0" borderId="0" xfId="0"/>
    <xf numFmtId="165" fontId="16" fillId="0" borderId="0" xfId="1" applyNumberFormat="1" applyFont="1" applyFill="1" applyAlignment="1">
      <alignment horizontal="right"/>
    </xf>
    <xf numFmtId="0" fontId="0" fillId="0" borderId="0" xfId="0"/>
    <xf numFmtId="2" fontId="16" fillId="0" borderId="7" xfId="1" applyNumberFormat="1" applyFont="1" applyFill="1" applyBorder="1" applyAlignment="1">
      <alignment horizontal="right"/>
    </xf>
    <xf numFmtId="165" fontId="16" fillId="0" borderId="3" xfId="1" applyNumberFormat="1" applyFont="1" applyFill="1" applyBorder="1" applyAlignment="1">
      <alignment horizontal="right"/>
    </xf>
    <xf numFmtId="0" fontId="16" fillId="0" borderId="7" xfId="1" applyFont="1" applyFill="1" applyBorder="1" applyAlignment="1">
      <alignment horizontal="right"/>
    </xf>
    <xf numFmtId="0" fontId="16" fillId="0" borderId="0" xfId="1" applyFont="1" applyFill="1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0" borderId="7" xfId="0" applyBorder="1"/>
    <xf numFmtId="165" fontId="16" fillId="0" borderId="7" xfId="1" applyNumberFormat="1" applyFont="1" applyFill="1" applyBorder="1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Border="1"/>
    <xf numFmtId="0" fontId="16" fillId="0" borderId="0" xfId="1" applyFont="1" applyFill="1" applyBorder="1" applyAlignment="1">
      <alignment horizontal="right"/>
    </xf>
    <xf numFmtId="0" fontId="15" fillId="0" borderId="0" xfId="1" applyFont="1" applyFill="1" applyBorder="1" applyAlignment="1">
      <alignment horizontal="right"/>
    </xf>
    <xf numFmtId="0" fontId="5" fillId="0" borderId="1" xfId="1" applyFont="1" applyFill="1" applyBorder="1" applyAlignment="1">
      <alignment horizontal="left"/>
    </xf>
    <xf numFmtId="0" fontId="16" fillId="0" borderId="1" xfId="1" applyFont="1" applyFill="1" applyBorder="1" applyAlignment="1">
      <alignment horizontal="left"/>
    </xf>
    <xf numFmtId="0" fontId="15" fillId="0" borderId="1" xfId="1" applyFont="1" applyFill="1" applyBorder="1" applyAlignment="1">
      <alignment horizontal="left"/>
    </xf>
    <xf numFmtId="0" fontId="12" fillId="0" borderId="1" xfId="1" applyFont="1" applyFill="1" applyBorder="1" applyAlignment="1">
      <alignment horizontal="left"/>
    </xf>
    <xf numFmtId="17" fontId="5" fillId="0" borderId="1" xfId="1" quotePrefix="1" applyNumberFormat="1" applyFont="1" applyFill="1" applyBorder="1" applyAlignment="1">
      <alignment horizontal="left"/>
    </xf>
    <xf numFmtId="0" fontId="5" fillId="0" borderId="1" xfId="1" quotePrefix="1" applyFont="1" applyFill="1" applyBorder="1" applyAlignment="1">
      <alignment horizontal="left"/>
    </xf>
    <xf numFmtId="0" fontId="5" fillId="0" borderId="9" xfId="1" applyFont="1" applyFill="1" applyBorder="1" applyAlignment="1">
      <alignment horizontal="right"/>
    </xf>
    <xf numFmtId="0" fontId="1" fillId="0" borderId="0" xfId="0" applyFont="1" applyFill="1" applyBorder="1" applyAlignment="1">
      <alignment horizontal="right"/>
    </xf>
    <xf numFmtId="2" fontId="5" fillId="0" borderId="10" xfId="1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horizontal="right"/>
    </xf>
    <xf numFmtId="0" fontId="0" fillId="0" borderId="1" xfId="0" applyFont="1" applyFill="1" applyBorder="1" applyAlignment="1">
      <alignment horizontal="right"/>
    </xf>
    <xf numFmtId="0" fontId="5" fillId="0" borderId="1" xfId="30" applyFont="1" applyFill="1" applyBorder="1" applyAlignment="1">
      <alignment horizontal="right"/>
    </xf>
    <xf numFmtId="0" fontId="0" fillId="0" borderId="1" xfId="0" applyFont="1" applyFill="1" applyBorder="1" applyAlignment="1">
      <alignment horizontal="left"/>
    </xf>
    <xf numFmtId="0" fontId="0" fillId="0" borderId="1" xfId="0" applyFill="1" applyBorder="1"/>
    <xf numFmtId="2" fontId="1" fillId="0" borderId="1" xfId="0" applyNumberFormat="1" applyFont="1" applyFill="1" applyBorder="1" applyAlignment="1">
      <alignment horizontal="right"/>
    </xf>
    <xf numFmtId="0" fontId="0" fillId="0" borderId="1" xfId="0" applyFont="1" applyFill="1" applyBorder="1"/>
    <xf numFmtId="0" fontId="1" fillId="0" borderId="1" xfId="5" applyFont="1" applyFill="1" applyBorder="1" applyAlignment="1">
      <alignment horizontal="right"/>
    </xf>
    <xf numFmtId="0" fontId="0" fillId="0" borderId="1" xfId="0" applyFill="1" applyBorder="1" applyAlignment="1">
      <alignment horizontal="right"/>
    </xf>
    <xf numFmtId="0" fontId="5" fillId="0" borderId="1" xfId="5" applyFont="1" applyFill="1" applyBorder="1" applyAlignment="1">
      <alignment horizontal="right"/>
    </xf>
    <xf numFmtId="0" fontId="1" fillId="0" borderId="11" xfId="0" applyFont="1" applyFill="1" applyBorder="1" applyAlignment="1">
      <alignment horizontal="right"/>
    </xf>
    <xf numFmtId="0" fontId="1" fillId="0" borderId="12" xfId="0" applyFont="1" applyFill="1" applyBorder="1" applyAlignment="1">
      <alignment horizontal="right"/>
    </xf>
    <xf numFmtId="0" fontId="0" fillId="0" borderId="11" xfId="0" applyFont="1" applyFill="1" applyBorder="1" applyAlignment="1">
      <alignment horizontal="right"/>
    </xf>
    <xf numFmtId="0" fontId="13" fillId="0" borderId="1" xfId="0" applyFont="1" applyFill="1" applyBorder="1"/>
    <xf numFmtId="0" fontId="1" fillId="0" borderId="1" xfId="12" applyNumberFormat="1" applyFont="1" applyFill="1" applyBorder="1" applyAlignment="1">
      <alignment horizontal="right"/>
    </xf>
    <xf numFmtId="0" fontId="0" fillId="0" borderId="1" xfId="0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right" vertical="center"/>
    </xf>
    <xf numFmtId="0" fontId="13" fillId="0" borderId="1" xfId="0" applyFont="1" applyFill="1" applyBorder="1" applyAlignment="1">
      <alignment horizontal="right"/>
    </xf>
    <xf numFmtId="0" fontId="0" fillId="0" borderId="1" xfId="0" applyFill="1" applyBorder="1" applyAlignment="1">
      <alignment vertical="center"/>
    </xf>
    <xf numFmtId="0" fontId="1" fillId="0" borderId="1" xfId="12" applyFont="1" applyFill="1" applyBorder="1" applyAlignment="1">
      <alignment horizontal="right"/>
    </xf>
    <xf numFmtId="0" fontId="0" fillId="0" borderId="1" xfId="5" applyFont="1" applyFill="1" applyBorder="1"/>
    <xf numFmtId="0" fontId="0" fillId="0" borderId="1" xfId="5" applyFont="1" applyFill="1" applyBorder="1" applyAlignment="1">
      <alignment horizontal="right"/>
    </xf>
    <xf numFmtId="0" fontId="1" fillId="0" borderId="1" xfId="0" applyFont="1" applyFill="1" applyBorder="1"/>
    <xf numFmtId="2" fontId="5" fillId="0" borderId="0" xfId="1" applyNumberFormat="1" applyFont="1" applyFill="1" applyBorder="1" applyAlignment="1">
      <alignment horizontal="right"/>
    </xf>
    <xf numFmtId="2" fontId="14" fillId="0" borderId="0" xfId="1" applyNumberFormat="1" applyFont="1" applyFill="1" applyBorder="1" applyAlignment="1">
      <alignment horizontal="right"/>
    </xf>
    <xf numFmtId="2" fontId="15" fillId="0" borderId="0" xfId="1" applyNumberFormat="1" applyFont="1" applyFill="1" applyBorder="1" applyAlignment="1">
      <alignment horizontal="right"/>
    </xf>
    <xf numFmtId="2" fontId="16" fillId="0" borderId="0" xfId="1" applyNumberFormat="1" applyFont="1" applyFill="1" applyBorder="1" applyAlignment="1">
      <alignment horizontal="right"/>
    </xf>
    <xf numFmtId="165" fontId="16" fillId="0" borderId="0" xfId="1" applyNumberFormat="1" applyFont="1" applyFill="1" applyBorder="1" applyAlignment="1">
      <alignment horizontal="right"/>
    </xf>
    <xf numFmtId="2" fontId="12" fillId="0" borderId="0" xfId="1" applyNumberFormat="1" applyFont="1" applyFill="1" applyBorder="1" applyAlignment="1">
      <alignment horizontal="right"/>
    </xf>
    <xf numFmtId="2" fontId="12" fillId="0" borderId="4" xfId="1" applyNumberFormat="1" applyFont="1" applyFill="1" applyBorder="1" applyAlignment="1">
      <alignment horizontal="right"/>
    </xf>
    <xf numFmtId="0" fontId="5" fillId="0" borderId="8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1" fillId="0" borderId="7" xfId="3" applyFont="1" applyFill="1" applyBorder="1" applyAlignment="1">
      <alignment horizontal="center"/>
    </xf>
    <xf numFmtId="0" fontId="1" fillId="0" borderId="7" xfId="4" applyFont="1" applyFill="1" applyBorder="1" applyAlignment="1">
      <alignment horizontal="center"/>
    </xf>
    <xf numFmtId="0" fontId="0" fillId="0" borderId="7" xfId="4" applyFont="1" applyFill="1" applyBorder="1" applyAlignment="1">
      <alignment horizontal="center"/>
    </xf>
    <xf numFmtId="16" fontId="0" fillId="0" borderId="7" xfId="4" quotePrefix="1" applyNumberFormat="1" applyFont="1" applyFill="1" applyBorder="1" applyAlignment="1">
      <alignment horizontal="center"/>
    </xf>
    <xf numFmtId="0" fontId="0" fillId="0" borderId="7" xfId="3" applyFont="1" applyFill="1" applyBorder="1" applyAlignment="1">
      <alignment horizontal="center"/>
    </xf>
    <xf numFmtId="0" fontId="5" fillId="0" borderId="10" xfId="1" applyFont="1" applyFill="1" applyBorder="1" applyAlignment="1">
      <alignment horizontal="center"/>
    </xf>
    <xf numFmtId="0" fontId="5" fillId="0" borderId="1" xfId="1" applyFont="1" applyFill="1" applyBorder="1" applyAlignment="1">
      <alignment horizontal="center"/>
    </xf>
    <xf numFmtId="0" fontId="1" fillId="0" borderId="1" xfId="3" applyFont="1" applyFill="1" applyBorder="1" applyAlignment="1">
      <alignment horizontal="center"/>
    </xf>
    <xf numFmtId="0" fontId="1" fillId="0" borderId="1" xfId="4" applyFont="1" applyFill="1" applyBorder="1" applyAlignment="1">
      <alignment horizontal="center"/>
    </xf>
    <xf numFmtId="0" fontId="5" fillId="0" borderId="9" xfId="1" applyFont="1" applyFill="1" applyBorder="1" applyAlignment="1">
      <alignment horizontal="center"/>
    </xf>
    <xf numFmtId="0" fontId="5" fillId="0" borderId="0" xfId="1" applyFont="1" applyFill="1" applyBorder="1" applyAlignment="1">
      <alignment horizontal="center"/>
    </xf>
    <xf numFmtId="0" fontId="14" fillId="0" borderId="0" xfId="1" applyFont="1" applyFill="1" applyBorder="1" applyAlignment="1">
      <alignment horizontal="center"/>
    </xf>
    <xf numFmtId="0" fontId="15" fillId="0" borderId="0" xfId="1" applyFont="1" applyFill="1" applyBorder="1" applyAlignment="1">
      <alignment horizontal="center"/>
    </xf>
    <xf numFmtId="0" fontId="16" fillId="0" borderId="0" xfId="1" applyFont="1" applyFill="1" applyBorder="1" applyAlignment="1">
      <alignment horizontal="center"/>
    </xf>
    <xf numFmtId="0" fontId="12" fillId="0" borderId="0" xfId="1" applyFont="1" applyFill="1" applyBorder="1" applyAlignment="1">
      <alignment horizontal="center"/>
    </xf>
    <xf numFmtId="2" fontId="5" fillId="0" borderId="8" xfId="1" applyNumberFormat="1" applyFont="1" applyFill="1" applyBorder="1" applyAlignment="1">
      <alignment horizontal="right"/>
    </xf>
    <xf numFmtId="165" fontId="5" fillId="0" borderId="9" xfId="1" applyNumberFormat="1" applyFont="1" applyFill="1" applyBorder="1" applyAlignment="1">
      <alignment horizontal="right"/>
    </xf>
    <xf numFmtId="165" fontId="5" fillId="0" borderId="13" xfId="1" applyNumberFormat="1" applyFont="1" applyFill="1" applyBorder="1" applyAlignment="1">
      <alignment horizontal="right"/>
    </xf>
    <xf numFmtId="165" fontId="5" fillId="0" borderId="14" xfId="1" applyNumberFormat="1" applyFont="1" applyFill="1" applyBorder="1" applyAlignment="1">
      <alignment horizontal="right"/>
    </xf>
    <xf numFmtId="165" fontId="5" fillId="0" borderId="3" xfId="0" applyNumberFormat="1" applyFont="1" applyFill="1" applyBorder="1" applyAlignment="1" applyProtection="1">
      <alignment horizontal="right"/>
    </xf>
    <xf numFmtId="165" fontId="0" fillId="0" borderId="0" xfId="0" applyNumberFormat="1" applyBorder="1"/>
    <xf numFmtId="165" fontId="0" fillId="0" borderId="3" xfId="0" applyNumberFormat="1" applyBorder="1"/>
    <xf numFmtId="0" fontId="5" fillId="0" borderId="1" xfId="0" applyNumberFormat="1" applyFont="1" applyFill="1" applyBorder="1" applyAlignment="1" applyProtection="1">
      <alignment horizontal="left"/>
    </xf>
    <xf numFmtId="0" fontId="5" fillId="0" borderId="0" xfId="0" applyNumberFormat="1" applyFont="1" applyFill="1" applyBorder="1" applyAlignment="1" applyProtection="1">
      <alignment horizontal="right"/>
    </xf>
    <xf numFmtId="0" fontId="5" fillId="0" borderId="1" xfId="0" applyNumberFormat="1" applyFont="1" applyFill="1" applyBorder="1" applyAlignment="1" applyProtection="1">
      <alignment horizontal="right"/>
    </xf>
    <xf numFmtId="0" fontId="5" fillId="0" borderId="7" xfId="0" applyNumberFormat="1" applyFont="1" applyFill="1" applyBorder="1" applyAlignment="1" applyProtection="1">
      <alignment horizontal="center"/>
    </xf>
    <xf numFmtId="0" fontId="5" fillId="0" borderId="1" xfId="0" applyNumberFormat="1" applyFont="1" applyFill="1" applyBorder="1" applyAlignment="1" applyProtection="1">
      <alignment horizontal="center"/>
    </xf>
    <xf numFmtId="0" fontId="5" fillId="0" borderId="0" xfId="0" applyNumberFormat="1" applyFont="1" applyFill="1" applyBorder="1" applyAlignment="1" applyProtection="1">
      <alignment horizontal="center"/>
    </xf>
    <xf numFmtId="2" fontId="5" fillId="0" borderId="7" xfId="0" applyNumberFormat="1" applyFont="1" applyFill="1" applyBorder="1" applyAlignment="1" applyProtection="1">
      <alignment horizontal="right"/>
    </xf>
    <xf numFmtId="165" fontId="5" fillId="0" borderId="0" xfId="0" applyNumberFormat="1" applyFont="1" applyFill="1" applyBorder="1" applyAlignment="1" applyProtection="1">
      <alignment horizontal="right"/>
    </xf>
    <xf numFmtId="2" fontId="4" fillId="0" borderId="0" xfId="0" applyNumberFormat="1" applyFont="1"/>
    <xf numFmtId="0" fontId="5" fillId="0" borderId="2" xfId="1" applyFont="1" applyFill="1" applyBorder="1" applyAlignment="1">
      <alignment horizontal="left" vertical="center"/>
    </xf>
    <xf numFmtId="165" fontId="5" fillId="0" borderId="2" xfId="1" applyNumberFormat="1" applyFont="1" applyFill="1" applyBorder="1" applyAlignment="1">
      <alignment horizontal="left" vertical="center"/>
    </xf>
    <xf numFmtId="0" fontId="5" fillId="0" borderId="1" xfId="1" applyFont="1" applyFill="1" applyBorder="1" applyAlignment="1">
      <alignment horizontal="left" vertical="center"/>
    </xf>
    <xf numFmtId="2" fontId="5" fillId="0" borderId="0" xfId="1" applyNumberFormat="1" applyFont="1" applyFill="1" applyAlignment="1">
      <alignment horizontal="right"/>
    </xf>
    <xf numFmtId="2" fontId="5" fillId="0" borderId="16" xfId="1" applyNumberFormat="1" applyFont="1" applyFill="1" applyBorder="1" applyAlignment="1">
      <alignment horizontal="right"/>
    </xf>
    <xf numFmtId="2" fontId="0" fillId="0" borderId="17" xfId="0" applyNumberFormat="1" applyBorder="1"/>
    <xf numFmtId="0" fontId="5" fillId="0" borderId="18" xfId="1" applyFont="1" applyFill="1" applyBorder="1" applyAlignment="1">
      <alignment horizontal="left"/>
    </xf>
    <xf numFmtId="0" fontId="0" fillId="0" borderId="10" xfId="0" applyFont="1" applyBorder="1" applyAlignment="1">
      <alignment horizontal="right"/>
    </xf>
    <xf numFmtId="0" fontId="5" fillId="0" borderId="1" xfId="1" applyFont="1" applyFill="1" applyBorder="1" applyAlignment="1">
      <alignment horizontal="right"/>
    </xf>
    <xf numFmtId="0" fontId="0" fillId="0" borderId="1" xfId="0" applyFont="1" applyBorder="1" applyAlignment="1">
      <alignment horizontal="right"/>
    </xf>
    <xf numFmtId="0" fontId="0" fillId="0" borderId="1" xfId="0" applyFont="1" applyBorder="1" applyAlignment="1">
      <alignment horizontal="right" vertical="center"/>
    </xf>
    <xf numFmtId="2" fontId="0" fillId="0" borderId="1" xfId="0" applyNumberFormat="1" applyFont="1" applyBorder="1" applyAlignment="1">
      <alignment horizontal="right"/>
    </xf>
    <xf numFmtId="0" fontId="1" fillId="0" borderId="1" xfId="3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5" fillId="0" borderId="1" xfId="5" applyFon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9" xfId="0" applyFont="1" applyBorder="1" applyAlignment="1">
      <alignment horizontal="right"/>
    </xf>
    <xf numFmtId="0" fontId="0" fillId="0" borderId="0" xfId="0" applyFont="1" applyBorder="1" applyAlignment="1">
      <alignment horizontal="right"/>
    </xf>
    <xf numFmtId="0" fontId="0" fillId="0" borderId="0" xfId="0" applyFont="1" applyBorder="1" applyAlignment="1">
      <alignment horizontal="right" vertical="center"/>
    </xf>
    <xf numFmtId="1" fontId="0" fillId="0" borderId="0" xfId="0" applyNumberFormat="1" applyFont="1" applyBorder="1" applyAlignment="1">
      <alignment horizontal="right"/>
    </xf>
    <xf numFmtId="0" fontId="1" fillId="0" borderId="0" xfId="3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5" fillId="0" borderId="0" xfId="5" applyFont="1" applyBorder="1" applyAlignment="1">
      <alignment horizontal="right"/>
    </xf>
    <xf numFmtId="0" fontId="5" fillId="0" borderId="0" xfId="1" applyBorder="1" applyAlignment="1">
      <alignment horizontal="right"/>
    </xf>
    <xf numFmtId="0" fontId="0" fillId="0" borderId="0" xfId="0" applyBorder="1" applyAlignment="1">
      <alignment horizontal="right"/>
    </xf>
    <xf numFmtId="1" fontId="0" fillId="0" borderId="1" xfId="0" applyNumberFormat="1" applyFont="1" applyBorder="1" applyAlignment="1">
      <alignment horizontal="right"/>
    </xf>
    <xf numFmtId="0" fontId="5" fillId="0" borderId="1" xfId="1" applyBorder="1" applyAlignment="1">
      <alignment horizontal="right"/>
    </xf>
    <xf numFmtId="2" fontId="5" fillId="0" borderId="9" xfId="1" applyNumberFormat="1" applyFont="1" applyFill="1" applyBorder="1" applyAlignment="1">
      <alignment horizontal="right"/>
    </xf>
    <xf numFmtId="165" fontId="5" fillId="0" borderId="0" xfId="0" applyNumberFormat="1" applyFont="1" applyFill="1" applyBorder="1" applyAlignment="1">
      <alignment horizontal="right"/>
    </xf>
    <xf numFmtId="2" fontId="5" fillId="0" borderId="19" xfId="1" applyNumberFormat="1" applyFont="1" applyFill="1" applyBorder="1" applyAlignment="1">
      <alignment horizontal="right"/>
    </xf>
    <xf numFmtId="0" fontId="0" fillId="0" borderId="20" xfId="0" applyBorder="1"/>
    <xf numFmtId="165" fontId="5" fillId="0" borderId="21" xfId="1" applyNumberFormat="1" applyFont="1" applyFill="1" applyBorder="1" applyAlignment="1">
      <alignment horizontal="right"/>
    </xf>
    <xf numFmtId="0" fontId="2" fillId="2" borderId="0" xfId="0" applyFont="1" applyFill="1"/>
    <xf numFmtId="0" fontId="0" fillId="2" borderId="0" xfId="0" applyFill="1"/>
    <xf numFmtId="165" fontId="0" fillId="2" borderId="0" xfId="0" applyNumberFormat="1" applyFill="1"/>
    <xf numFmtId="0" fontId="0" fillId="2" borderId="15" xfId="0" applyFont="1" applyFill="1" applyBorder="1"/>
    <xf numFmtId="0" fontId="34" fillId="0" borderId="0" xfId="0" applyNumberFormat="1" applyFont="1" applyFill="1" applyBorder="1" applyAlignment="1" applyProtection="1">
      <alignment horizontal="right"/>
    </xf>
    <xf numFmtId="2" fontId="34" fillId="0" borderId="0" xfId="0" applyNumberFormat="1" applyFont="1" applyFill="1" applyBorder="1" applyAlignment="1" applyProtection="1">
      <alignment horizontal="right"/>
    </xf>
    <xf numFmtId="0" fontId="34" fillId="0" borderId="1" xfId="0" applyNumberFormat="1" applyFont="1" applyFill="1" applyBorder="1" applyAlignment="1" applyProtection="1">
      <alignment horizontal="left"/>
    </xf>
    <xf numFmtId="0" fontId="5" fillId="0" borderId="0" xfId="1" applyFill="1" applyAlignment="1">
      <alignment horizontal="right"/>
    </xf>
    <xf numFmtId="0" fontId="5" fillId="0" borderId="1" xfId="1" applyFill="1" applyBorder="1" applyAlignment="1">
      <alignment horizontal="right"/>
    </xf>
    <xf numFmtId="0" fontId="34" fillId="0" borderId="1" xfId="1" applyFont="1" applyFill="1" applyBorder="1" applyAlignment="1">
      <alignment horizontal="left"/>
    </xf>
    <xf numFmtId="2" fontId="34" fillId="0" borderId="0" xfId="1" applyNumberFormat="1" applyFont="1" applyFill="1" applyAlignment="1">
      <alignment horizontal="right"/>
    </xf>
    <xf numFmtId="0" fontId="34" fillId="0" borderId="1" xfId="0" applyNumberFormat="1" applyFont="1" applyFill="1" applyBorder="1" applyAlignment="1" applyProtection="1">
      <alignment horizontal="right"/>
    </xf>
    <xf numFmtId="165" fontId="34" fillId="0" borderId="3" xfId="0" applyNumberFormat="1" applyFont="1" applyFill="1" applyBorder="1" applyAlignment="1" applyProtection="1">
      <alignment horizontal="right"/>
    </xf>
    <xf numFmtId="165" fontId="34" fillId="0" borderId="3" xfId="1" applyNumberFormat="1" applyFont="1" applyFill="1" applyBorder="1" applyAlignment="1">
      <alignment horizontal="right"/>
    </xf>
    <xf numFmtId="165" fontId="34" fillId="0" borderId="0" xfId="1" applyNumberFormat="1" applyFont="1" applyFill="1" applyAlignment="1">
      <alignment horizontal="right"/>
    </xf>
    <xf numFmtId="0" fontId="34" fillId="0" borderId="0" xfId="0" applyFont="1" applyFill="1" applyBorder="1" applyAlignment="1">
      <alignment horizontal="right"/>
    </xf>
    <xf numFmtId="2" fontId="34" fillId="0" borderId="7" xfId="1" applyNumberFormat="1" applyFont="1" applyFill="1" applyBorder="1" applyAlignment="1">
      <alignment horizontal="right"/>
    </xf>
    <xf numFmtId="2" fontId="34" fillId="0" borderId="7" xfId="0" applyNumberFormat="1" applyFont="1" applyFill="1" applyBorder="1" applyAlignment="1" applyProtection="1">
      <alignment horizontal="right"/>
    </xf>
    <xf numFmtId="2" fontId="34" fillId="0" borderId="0" xfId="0" applyNumberFormat="1" applyFont="1" applyFill="1" applyBorder="1" applyAlignment="1">
      <alignment horizontal="right"/>
    </xf>
    <xf numFmtId="165" fontId="34" fillId="0" borderId="0" xfId="0" applyNumberFormat="1" applyFont="1" applyFill="1" applyBorder="1" applyAlignment="1" applyProtection="1">
      <alignment horizontal="right"/>
    </xf>
    <xf numFmtId="0" fontId="0" fillId="2" borderId="0" xfId="0" applyFill="1" applyAlignment="1"/>
    <xf numFmtId="165" fontId="0" fillId="0" borderId="0" xfId="0" applyNumberFormat="1" applyAlignment="1">
      <alignment horizontal="left"/>
    </xf>
    <xf numFmtId="165" fontId="34" fillId="0" borderId="32" xfId="1" applyNumberFormat="1" applyFont="1" applyFill="1" applyBorder="1" applyAlignment="1">
      <alignment horizontal="right"/>
    </xf>
    <xf numFmtId="2" fontId="0" fillId="0" borderId="0" xfId="0" applyNumberFormat="1" applyAlignment="1">
      <alignment horizontal="left"/>
    </xf>
    <xf numFmtId="0" fontId="0" fillId="0" borderId="0" xfId="0"/>
    <xf numFmtId="0" fontId="0" fillId="0" borderId="0" xfId="0" applyAlignment="1">
      <alignment horizontal="left"/>
    </xf>
    <xf numFmtId="2" fontId="0" fillId="0" borderId="0" xfId="0" applyNumberFormat="1" applyBorder="1"/>
    <xf numFmtId="0" fontId="0" fillId="0" borderId="7" xfId="0" applyBorder="1"/>
    <xf numFmtId="165" fontId="5" fillId="0" borderId="1" xfId="1" applyNumberFormat="1" applyFont="1" applyFill="1" applyBorder="1" applyAlignment="1">
      <alignment horizontal="left" vertical="center"/>
    </xf>
    <xf numFmtId="165" fontId="0" fillId="0" borderId="22" xfId="0" applyNumberFormat="1" applyBorder="1"/>
    <xf numFmtId="0" fontId="30" fillId="34" borderId="0" xfId="0" applyFont="1" applyFill="1"/>
    <xf numFmtId="0" fontId="0" fillId="0" borderId="1" xfId="0" applyFont="1" applyBorder="1"/>
    <xf numFmtId="0" fontId="1" fillId="0" borderId="0" xfId="5" applyFont="1"/>
    <xf numFmtId="0" fontId="1" fillId="0" borderId="0" xfId="5" applyFont="1" applyAlignment="1">
      <alignment horizontal="right"/>
    </xf>
    <xf numFmtId="0" fontId="1" fillId="0" borderId="0" xfId="5" applyFont="1" applyAlignment="1">
      <alignment horizontal="center"/>
    </xf>
    <xf numFmtId="2" fontId="0" fillId="35" borderId="0" xfId="0" applyNumberFormat="1" applyFill="1"/>
    <xf numFmtId="2" fontId="1" fillId="35" borderId="0" xfId="5" applyNumberFormat="1" applyFont="1" applyFill="1" applyAlignment="1">
      <alignment horizontal="right"/>
    </xf>
    <xf numFmtId="0" fontId="1" fillId="35" borderId="0" xfId="5" applyFont="1" applyFill="1" applyAlignment="1">
      <alignment horizontal="right"/>
    </xf>
    <xf numFmtId="2" fontId="1" fillId="0" borderId="0" xfId="5" applyNumberFormat="1" applyFont="1" applyAlignment="1">
      <alignment horizontal="right"/>
    </xf>
    <xf numFmtId="2" fontId="0" fillId="0" borderId="0" xfId="0" applyNumberFormat="1" applyFill="1"/>
    <xf numFmtId="2" fontId="1" fillId="0" borderId="0" xfId="5" applyNumberFormat="1" applyFont="1" applyFill="1" applyAlignment="1">
      <alignment horizontal="right"/>
    </xf>
    <xf numFmtId="0" fontId="35" fillId="34" borderId="0" xfId="5" applyFont="1" applyFill="1" applyAlignment="1">
      <alignment horizontal="right"/>
    </xf>
    <xf numFmtId="0" fontId="4" fillId="0" borderId="0" xfId="5" applyFont="1" applyAlignment="1">
      <alignment horizontal="right"/>
    </xf>
    <xf numFmtId="0" fontId="4" fillId="0" borderId="0" xfId="5" applyFont="1" applyAlignment="1">
      <alignment horizontal="center"/>
    </xf>
    <xf numFmtId="2" fontId="4" fillId="35" borderId="0" xfId="5" applyNumberFormat="1" applyFont="1" applyFill="1" applyAlignment="1">
      <alignment horizontal="right"/>
    </xf>
    <xf numFmtId="0" fontId="4" fillId="35" borderId="0" xfId="5" applyFont="1" applyFill="1" applyAlignment="1">
      <alignment horizontal="right"/>
    </xf>
    <xf numFmtId="2" fontId="4" fillId="0" borderId="0" xfId="5" applyNumberFormat="1" applyFont="1" applyAlignment="1">
      <alignment horizontal="left"/>
    </xf>
    <xf numFmtId="2" fontId="4" fillId="0" borderId="0" xfId="5" applyNumberFormat="1" applyFont="1" applyAlignment="1">
      <alignment horizontal="right"/>
    </xf>
    <xf numFmtId="2" fontId="4" fillId="0" borderId="0" xfId="5" applyNumberFormat="1" applyFont="1" applyFill="1" applyAlignment="1">
      <alignment horizontal="left"/>
    </xf>
    <xf numFmtId="2" fontId="2" fillId="0" borderId="0" xfId="5" applyNumberFormat="1" applyFont="1" applyFill="1" applyAlignment="1">
      <alignment horizontal="right"/>
    </xf>
    <xf numFmtId="0" fontId="2" fillId="0" borderId="0" xfId="5" applyFont="1" applyFill="1" applyAlignment="1">
      <alignment horizontal="right"/>
    </xf>
    <xf numFmtId="2" fontId="2" fillId="0" borderId="0" xfId="5" applyNumberFormat="1" applyFont="1" applyFill="1" applyAlignment="1">
      <alignment horizontal="left"/>
    </xf>
    <xf numFmtId="2" fontId="4" fillId="0" borderId="0" xfId="5" applyNumberFormat="1" applyFont="1" applyFill="1" applyAlignment="1">
      <alignment horizontal="right"/>
    </xf>
    <xf numFmtId="165" fontId="4" fillId="0" borderId="0" xfId="5" applyNumberFormat="1" applyFont="1" applyFill="1" applyAlignment="1">
      <alignment horizontal="right"/>
    </xf>
    <xf numFmtId="0" fontId="4" fillId="0" borderId="0" xfId="5" applyFont="1"/>
    <xf numFmtId="0" fontId="1" fillId="0" borderId="0" xfId="12" applyFont="1" applyFill="1" applyBorder="1" applyAlignment="1">
      <alignment horizontal="right"/>
    </xf>
    <xf numFmtId="0" fontId="0" fillId="0" borderId="0" xfId="12" applyFont="1" applyFill="1" applyBorder="1" applyAlignment="1">
      <alignment horizontal="right"/>
    </xf>
    <xf numFmtId="0" fontId="1" fillId="0" borderId="0" xfId="12" applyFont="1" applyBorder="1" applyAlignment="1">
      <alignment horizontal="right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2" fontId="5" fillId="0" borderId="0" xfId="1" applyNumberFormat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2" fontId="5" fillId="0" borderId="0" xfId="1" applyNumberFormat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2" fontId="0" fillId="0" borderId="0" xfId="12" applyNumberFormat="1" applyFont="1" applyFill="1" applyBorder="1" applyAlignment="1">
      <alignment horizontal="left"/>
    </xf>
    <xf numFmtId="165" fontId="0" fillId="0" borderId="0" xfId="12" applyNumberFormat="1" applyFont="1" applyFill="1" applyBorder="1" applyAlignment="1">
      <alignment horizontal="left"/>
    </xf>
    <xf numFmtId="2" fontId="0" fillId="0" borderId="0" xfId="12" applyNumberFormat="1" applyFont="1" applyFill="1" applyBorder="1" applyAlignment="1">
      <alignment horizontal="right"/>
    </xf>
    <xf numFmtId="0" fontId="5" fillId="0" borderId="19" xfId="1" applyFont="1" applyFill="1" applyBorder="1" applyAlignment="1">
      <alignment horizontal="right"/>
    </xf>
    <xf numFmtId="0" fontId="5" fillId="0" borderId="10" xfId="1" applyFont="1" applyFill="1" applyBorder="1" applyAlignment="1">
      <alignment horizontal="right"/>
    </xf>
    <xf numFmtId="0" fontId="5" fillId="0" borderId="16" xfId="1" applyFont="1" applyFill="1" applyBorder="1" applyAlignment="1">
      <alignment horizontal="center"/>
    </xf>
    <xf numFmtId="2" fontId="1" fillId="0" borderId="7" xfId="12" applyNumberFormat="1" applyFont="1" applyBorder="1" applyAlignment="1">
      <alignment horizontal="right"/>
    </xf>
    <xf numFmtId="2" fontId="1" fillId="0" borderId="0" xfId="12" applyNumberFormat="1" applyFont="1" applyBorder="1" applyAlignment="1">
      <alignment horizontal="right"/>
    </xf>
    <xf numFmtId="165" fontId="1" fillId="0" borderId="0" xfId="12" applyNumberFormat="1" applyFont="1" applyBorder="1" applyAlignment="1">
      <alignment horizontal="right"/>
    </xf>
    <xf numFmtId="2" fontId="1" fillId="0" borderId="7" xfId="12" applyNumberFormat="1" applyFont="1" applyFill="1" applyBorder="1" applyAlignment="1">
      <alignment horizontal="right"/>
    </xf>
    <xf numFmtId="2" fontId="1" fillId="0" borderId="0" xfId="12" applyNumberFormat="1" applyFont="1" applyFill="1" applyBorder="1" applyAlignment="1">
      <alignment horizontal="right"/>
    </xf>
    <xf numFmtId="165" fontId="1" fillId="0" borderId="0" xfId="12" applyNumberFormat="1" applyFont="1" applyFill="1" applyBorder="1" applyAlignment="1">
      <alignment horizontal="right"/>
    </xf>
    <xf numFmtId="165" fontId="1" fillId="0" borderId="3" xfId="12" applyNumberFormat="1" applyFont="1" applyBorder="1" applyAlignment="1">
      <alignment horizontal="right"/>
    </xf>
    <xf numFmtId="165" fontId="1" fillId="0" borderId="3" xfId="12" applyNumberFormat="1" applyFont="1" applyFill="1" applyBorder="1" applyAlignment="1">
      <alignment horizontal="right"/>
    </xf>
    <xf numFmtId="0" fontId="0" fillId="0" borderId="1" xfId="2" applyFont="1" applyFill="1" applyBorder="1" applyAlignment="1">
      <alignment horizontal="center"/>
    </xf>
    <xf numFmtId="2" fontId="0" fillId="0" borderId="7" xfId="2" applyNumberFormat="1" applyFont="1" applyFill="1" applyBorder="1" applyAlignment="1">
      <alignment horizontal="right"/>
    </xf>
    <xf numFmtId="2" fontId="0" fillId="0" borderId="0" xfId="2" applyNumberFormat="1" applyFont="1" applyFill="1" applyBorder="1" applyAlignment="1">
      <alignment horizontal="right"/>
    </xf>
    <xf numFmtId="165" fontId="0" fillId="0" borderId="3" xfId="2" applyNumberFormat="1" applyFont="1" applyFill="1" applyBorder="1" applyAlignment="1">
      <alignment horizontal="right"/>
    </xf>
    <xf numFmtId="0" fontId="5" fillId="0" borderId="0" xfId="1" applyFill="1" applyBorder="1" applyAlignment="1">
      <alignment horizontal="center"/>
    </xf>
    <xf numFmtId="0" fontId="5" fillId="0" borderId="1" xfId="1" applyFill="1" applyBorder="1" applyAlignment="1">
      <alignment horizontal="center"/>
    </xf>
    <xf numFmtId="2" fontId="0" fillId="0" borderId="7" xfId="12" applyNumberFormat="1" applyFont="1" applyBorder="1" applyAlignment="1">
      <alignment horizontal="right"/>
    </xf>
    <xf numFmtId="2" fontId="0" fillId="0" borderId="7" xfId="12" applyNumberFormat="1" applyFont="1" applyFill="1" applyBorder="1" applyAlignment="1">
      <alignment horizontal="right"/>
    </xf>
    <xf numFmtId="2" fontId="1" fillId="0" borderId="0" xfId="5" applyNumberFormat="1" applyFont="1"/>
    <xf numFmtId="0" fontId="0" fillId="0" borderId="7" xfId="5" applyFont="1" applyFill="1" applyBorder="1" applyAlignment="1">
      <alignment horizontal="right"/>
    </xf>
    <xf numFmtId="0" fontId="0" fillId="0" borderId="1" xfId="12" applyFont="1" applyFill="1" applyBorder="1" applyAlignment="1">
      <alignment horizontal="right"/>
    </xf>
    <xf numFmtId="0" fontId="0" fillId="0" borderId="0" xfId="12" applyFont="1" applyFill="1" applyAlignment="1">
      <alignment horizontal="center"/>
    </xf>
    <xf numFmtId="0" fontId="0" fillId="0" borderId="1" xfId="12" applyFont="1" applyFill="1" applyBorder="1" applyAlignment="1">
      <alignment horizontal="center"/>
    </xf>
    <xf numFmtId="2" fontId="0" fillId="0" borderId="0" xfId="12" applyNumberFormat="1" applyFont="1" applyFill="1" applyAlignment="1">
      <alignment horizontal="right"/>
    </xf>
    <xf numFmtId="165" fontId="0" fillId="0" borderId="3" xfId="12" applyNumberFormat="1" applyFont="1" applyFill="1" applyBorder="1" applyAlignment="1">
      <alignment horizontal="right"/>
    </xf>
    <xf numFmtId="2" fontId="13" fillId="0" borderId="7" xfId="1" applyNumberFormat="1" applyFont="1" applyFill="1" applyBorder="1" applyAlignment="1">
      <alignment horizontal="right"/>
    </xf>
    <xf numFmtId="2" fontId="13" fillId="0" borderId="0" xfId="1" applyNumberFormat="1" applyFont="1" applyFill="1" applyAlignment="1">
      <alignment horizontal="right"/>
    </xf>
    <xf numFmtId="165" fontId="13" fillId="0" borderId="3" xfId="1" applyNumberFormat="1" applyFont="1" applyFill="1" applyBorder="1" applyAlignment="1">
      <alignment horizontal="right"/>
    </xf>
    <xf numFmtId="165" fontId="0" fillId="0" borderId="0" xfId="12" applyNumberFormat="1" applyFont="1" applyFill="1" applyAlignment="1">
      <alignment horizontal="right"/>
    </xf>
    <xf numFmtId="2" fontId="0" fillId="0" borderId="1" xfId="0" applyNumberFormat="1" applyBorder="1" applyAlignment="1">
      <alignment horizontal="right"/>
    </xf>
    <xf numFmtId="2" fontId="13" fillId="0" borderId="0" xfId="1" applyNumberFormat="1" applyFont="1" applyFill="1" applyBorder="1" applyAlignment="1">
      <alignment horizontal="right"/>
    </xf>
    <xf numFmtId="2" fontId="13" fillId="0" borderId="7" xfId="12" applyNumberFormat="1" applyFont="1" applyFill="1" applyBorder="1" applyAlignment="1">
      <alignment horizontal="right"/>
    </xf>
    <xf numFmtId="2" fontId="13" fillId="0" borderId="0" xfId="12" applyNumberFormat="1" applyFont="1" applyFill="1" applyBorder="1" applyAlignment="1">
      <alignment horizontal="right"/>
    </xf>
    <xf numFmtId="165" fontId="13" fillId="0" borderId="0" xfId="12" applyNumberFormat="1" applyFont="1" applyFill="1" applyBorder="1" applyAlignment="1">
      <alignment horizontal="right"/>
    </xf>
    <xf numFmtId="165" fontId="13" fillId="0" borderId="3" xfId="12" applyNumberFormat="1" applyFont="1" applyFill="1" applyBorder="1" applyAlignment="1">
      <alignment horizontal="right"/>
    </xf>
    <xf numFmtId="165" fontId="0" fillId="0" borderId="0" xfId="12" applyNumberFormat="1" applyFont="1" applyFill="1" applyBorder="1" applyAlignment="1">
      <alignment horizontal="right"/>
    </xf>
    <xf numFmtId="0" fontId="0" fillId="0" borderId="1" xfId="4" applyFont="1" applyFill="1" applyBorder="1" applyAlignment="1">
      <alignment horizontal="center"/>
    </xf>
    <xf numFmtId="165" fontId="0" fillId="0" borderId="3" xfId="4" applyNumberFormat="1" applyFont="1" applyFill="1" applyBorder="1" applyAlignment="1">
      <alignment horizontal="right"/>
    </xf>
    <xf numFmtId="0" fontId="0" fillId="0" borderId="1" xfId="3" applyFont="1" applyFill="1" applyBorder="1" applyAlignment="1">
      <alignment horizontal="center"/>
    </xf>
    <xf numFmtId="165" fontId="0" fillId="0" borderId="3" xfId="3" applyNumberFormat="1" applyFont="1" applyFill="1" applyBorder="1" applyAlignment="1">
      <alignment horizontal="right"/>
    </xf>
    <xf numFmtId="165" fontId="5" fillId="0" borderId="3" xfId="1" applyNumberFormat="1" applyFill="1" applyBorder="1" applyAlignment="1">
      <alignment horizontal="right"/>
    </xf>
    <xf numFmtId="0" fontId="1" fillId="0" borderId="7" xfId="5" applyFont="1" applyFill="1" applyBorder="1" applyAlignment="1">
      <alignment horizontal="right"/>
    </xf>
    <xf numFmtId="0" fontId="1" fillId="0" borderId="0" xfId="12" applyFont="1" applyFill="1" applyAlignment="1">
      <alignment horizontal="center"/>
    </xf>
    <xf numFmtId="0" fontId="1" fillId="0" borderId="1" xfId="12" applyFont="1" applyFill="1" applyBorder="1" applyAlignment="1">
      <alignment horizontal="center"/>
    </xf>
    <xf numFmtId="2" fontId="1" fillId="0" borderId="0" xfId="12" applyNumberFormat="1" applyFont="1" applyFill="1" applyAlignment="1">
      <alignment horizontal="right"/>
    </xf>
    <xf numFmtId="165" fontId="1" fillId="0" borderId="0" xfId="12" applyNumberFormat="1" applyFont="1" applyFill="1" applyAlignment="1">
      <alignment horizontal="right"/>
    </xf>
    <xf numFmtId="0" fontId="13" fillId="0" borderId="1" xfId="3" applyFont="1" applyFill="1" applyBorder="1" applyAlignment="1">
      <alignment horizontal="center"/>
    </xf>
    <xf numFmtId="165" fontId="13" fillId="0" borderId="3" xfId="3" applyNumberFormat="1" applyFont="1" applyFill="1" applyBorder="1" applyAlignment="1">
      <alignment horizontal="right"/>
    </xf>
    <xf numFmtId="0" fontId="13" fillId="0" borderId="1" xfId="1" applyFont="1" applyFill="1" applyBorder="1" applyAlignment="1">
      <alignment horizontal="center"/>
    </xf>
    <xf numFmtId="0" fontId="0" fillId="0" borderId="7" xfId="0" applyNumberFormat="1" applyFont="1" applyFill="1" applyBorder="1" applyAlignment="1" applyProtection="1">
      <alignment horizontal="right"/>
    </xf>
    <xf numFmtId="0" fontId="0" fillId="0" borderId="1" xfId="0" applyNumberFormat="1" applyFont="1" applyFill="1" applyBorder="1" applyAlignment="1" applyProtection="1">
      <alignment horizontal="right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1" xfId="0" applyNumberFormat="1" applyFont="1" applyFill="1" applyBorder="1" applyAlignment="1" applyProtection="1">
      <alignment horizontal="center"/>
    </xf>
    <xf numFmtId="2" fontId="13" fillId="0" borderId="7" xfId="0" applyNumberFormat="1" applyFont="1" applyFill="1" applyBorder="1" applyAlignment="1" applyProtection="1">
      <alignment horizontal="right"/>
    </xf>
    <xf numFmtId="2" fontId="13" fillId="0" borderId="0" xfId="0" applyNumberFormat="1" applyFont="1" applyFill="1" applyBorder="1" applyAlignment="1" applyProtection="1">
      <alignment horizontal="right"/>
    </xf>
    <xf numFmtId="165" fontId="13" fillId="0" borderId="3" xfId="0" applyNumberFormat="1" applyFont="1" applyFill="1" applyBorder="1" applyAlignment="1" applyProtection="1">
      <alignment horizontal="right"/>
    </xf>
    <xf numFmtId="165" fontId="13" fillId="0" borderId="7" xfId="0" applyNumberFormat="1" applyFont="1" applyFill="1" applyBorder="1" applyAlignment="1" applyProtection="1">
      <alignment horizontal="right"/>
    </xf>
    <xf numFmtId="0" fontId="1" fillId="0" borderId="0" xfId="5" applyFont="1" applyFill="1" applyAlignment="1">
      <alignment horizontal="right"/>
    </xf>
    <xf numFmtId="165" fontId="1" fillId="0" borderId="0" xfId="5" applyNumberFormat="1" applyFont="1" applyFill="1" applyAlignment="1">
      <alignment horizontal="right"/>
    </xf>
    <xf numFmtId="0" fontId="2" fillId="0" borderId="0" xfId="0" applyFont="1" applyAlignment="1">
      <alignment horizontal="right"/>
    </xf>
    <xf numFmtId="2" fontId="4" fillId="35" borderId="0" xfId="5" applyNumberFormat="1" applyFont="1" applyFill="1" applyAlignment="1">
      <alignment horizontal="left"/>
    </xf>
    <xf numFmtId="2" fontId="2" fillId="35" borderId="0" xfId="5" applyNumberFormat="1" applyFont="1" applyFill="1" applyAlignment="1">
      <alignment horizontal="right"/>
    </xf>
    <xf numFmtId="0" fontId="2" fillId="35" borderId="0" xfId="5" applyFont="1" applyFill="1" applyAlignment="1">
      <alignment horizontal="right"/>
    </xf>
    <xf numFmtId="2" fontId="2" fillId="35" borderId="0" xfId="5" applyNumberFormat="1" applyFont="1" applyFill="1" applyAlignment="1">
      <alignment horizontal="left"/>
    </xf>
    <xf numFmtId="165" fontId="4" fillId="35" borderId="0" xfId="5" applyNumberFormat="1" applyFont="1" applyFill="1" applyAlignment="1">
      <alignment horizontal="right"/>
    </xf>
    <xf numFmtId="2" fontId="2" fillId="0" borderId="0" xfId="5" applyNumberFormat="1" applyFont="1" applyAlignment="1">
      <alignment horizontal="left"/>
    </xf>
    <xf numFmtId="2" fontId="2" fillId="0" borderId="0" xfId="5" applyNumberFormat="1" applyFont="1" applyAlignment="1">
      <alignment horizontal="right"/>
    </xf>
    <xf numFmtId="0" fontId="2" fillId="0" borderId="0" xfId="5" applyFont="1" applyAlignment="1">
      <alignment horizontal="right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right" vertical="center"/>
    </xf>
    <xf numFmtId="165" fontId="5" fillId="0" borderId="1" xfId="1" applyNumberFormat="1" applyFont="1" applyBorder="1" applyAlignment="1">
      <alignment horizontal="left" vertical="center"/>
    </xf>
    <xf numFmtId="0" fontId="5" fillId="0" borderId="7" xfId="1" applyFont="1" applyFill="1" applyBorder="1" applyAlignment="1">
      <alignment horizontal="left"/>
    </xf>
    <xf numFmtId="0" fontId="0" fillId="0" borderId="0" xfId="0" applyFont="1" applyAlignment="1">
      <alignment horizontal="right"/>
    </xf>
    <xf numFmtId="0" fontId="5" fillId="0" borderId="33" xfId="1" applyFont="1" applyFill="1" applyBorder="1" applyAlignment="1">
      <alignment horizontal="right"/>
    </xf>
    <xf numFmtId="2" fontId="0" fillId="0" borderId="0" xfId="0" applyNumberFormat="1" applyFont="1" applyAlignment="1">
      <alignment horizontal="right"/>
    </xf>
    <xf numFmtId="0" fontId="0" fillId="0" borderId="3" xfId="0" applyFont="1" applyBorder="1" applyAlignment="1">
      <alignment horizontal="right"/>
    </xf>
    <xf numFmtId="0" fontId="35" fillId="0" borderId="0" xfId="5" applyFont="1" applyFill="1" applyAlignment="1">
      <alignment horizontal="right"/>
    </xf>
    <xf numFmtId="0" fontId="0" fillId="0" borderId="3" xfId="0" applyFont="1" applyFill="1" applyBorder="1" applyAlignment="1">
      <alignment horizontal="right"/>
    </xf>
    <xf numFmtId="0" fontId="37" fillId="0" borderId="3" xfId="0" applyFont="1" applyBorder="1" applyAlignment="1">
      <alignment horizontal="right"/>
    </xf>
    <xf numFmtId="0" fontId="5" fillId="0" borderId="3" xfId="1" applyFill="1" applyBorder="1" applyAlignment="1">
      <alignment horizontal="right"/>
    </xf>
    <xf numFmtId="0" fontId="0" fillId="0" borderId="3" xfId="0" applyBorder="1" applyAlignment="1">
      <alignment horizontal="right"/>
    </xf>
    <xf numFmtId="2" fontId="0" fillId="0" borderId="3" xfId="0" applyNumberFormat="1" applyFont="1" applyFill="1" applyBorder="1" applyAlignment="1">
      <alignment horizontal="right"/>
    </xf>
    <xf numFmtId="0" fontId="5" fillId="0" borderId="7" xfId="1" quotePrefix="1" applyFont="1" applyFill="1" applyBorder="1" applyAlignment="1">
      <alignment horizontal="left"/>
    </xf>
    <xf numFmtId="0" fontId="0" fillId="36" borderId="0" xfId="0" applyFill="1" applyAlignment="1">
      <alignment horizontal="center" vertical="center" wrapText="1"/>
    </xf>
    <xf numFmtId="0" fontId="0" fillId="37" borderId="0" xfId="0" applyFill="1"/>
    <xf numFmtId="0" fontId="0" fillId="38" borderId="0" xfId="0" applyFill="1"/>
    <xf numFmtId="0" fontId="4" fillId="37" borderId="0" xfId="0" applyFont="1" applyFill="1"/>
    <xf numFmtId="0" fontId="2" fillId="37" borderId="0" xfId="0" applyFont="1" applyFill="1"/>
    <xf numFmtId="0" fontId="2" fillId="38" borderId="0" xfId="0" applyFont="1" applyFill="1"/>
    <xf numFmtId="0" fontId="4" fillId="38" borderId="0" xfId="0" applyFont="1" applyFill="1"/>
    <xf numFmtId="0" fontId="2" fillId="38" borderId="0" xfId="0" quotePrefix="1" applyFont="1" applyFill="1"/>
    <xf numFmtId="0" fontId="0" fillId="0" borderId="3" xfId="0" applyBorder="1"/>
    <xf numFmtId="165" fontId="5" fillId="0" borderId="8" xfId="1" applyNumberFormat="1" applyFont="1" applyFill="1" applyBorder="1" applyAlignment="1">
      <alignment horizontal="right"/>
    </xf>
    <xf numFmtId="0" fontId="5" fillId="0" borderId="8" xfId="1" applyFont="1" applyFill="1" applyBorder="1" applyAlignment="1">
      <alignment horizontal="right"/>
    </xf>
    <xf numFmtId="0" fontId="1" fillId="0" borderId="1" xfId="2" applyFont="1" applyBorder="1" applyAlignment="1">
      <alignment horizontal="right"/>
    </xf>
    <xf numFmtId="0" fontId="1" fillId="0" borderId="0" xfId="2" applyFont="1" applyBorder="1" applyAlignment="1">
      <alignment horizontal="right"/>
    </xf>
    <xf numFmtId="2" fontId="5" fillId="39" borderId="0" xfId="1" applyNumberFormat="1" applyFont="1" applyFill="1" applyAlignment="1">
      <alignment horizontal="right"/>
    </xf>
    <xf numFmtId="165" fontId="5" fillId="39" borderId="0" xfId="1" applyNumberFormat="1" applyFont="1" applyFill="1" applyAlignment="1">
      <alignment horizontal="right"/>
    </xf>
    <xf numFmtId="165" fontId="5" fillId="39" borderId="3" xfId="1" applyNumberFormat="1" applyFont="1" applyFill="1" applyBorder="1" applyAlignment="1">
      <alignment horizontal="right"/>
    </xf>
    <xf numFmtId="2" fontId="5" fillId="40" borderId="0" xfId="1" applyNumberFormat="1" applyFont="1" applyFill="1" applyAlignment="1">
      <alignment horizontal="right"/>
    </xf>
    <xf numFmtId="165" fontId="5" fillId="40" borderId="0" xfId="1" applyNumberFormat="1" applyFont="1" applyFill="1" applyAlignment="1">
      <alignment horizontal="right"/>
    </xf>
    <xf numFmtId="165" fontId="5" fillId="40" borderId="3" xfId="1" applyNumberFormat="1" applyFont="1" applyFill="1" applyBorder="1" applyAlignment="1">
      <alignment horizontal="right"/>
    </xf>
    <xf numFmtId="0" fontId="0" fillId="0" borderId="1" xfId="3" applyFont="1" applyBorder="1" applyAlignment="1">
      <alignment horizontal="right"/>
    </xf>
    <xf numFmtId="0" fontId="0" fillId="0" borderId="1" xfId="4" applyFont="1" applyBorder="1" applyAlignment="1">
      <alignment horizontal="right"/>
    </xf>
    <xf numFmtId="0" fontId="0" fillId="0" borderId="0" xfId="4" applyFont="1" applyBorder="1" applyAlignment="1">
      <alignment horizontal="right"/>
    </xf>
    <xf numFmtId="0" fontId="1" fillId="0" borderId="1" xfId="4" applyFont="1" applyBorder="1" applyAlignment="1">
      <alignment horizontal="right"/>
    </xf>
    <xf numFmtId="0" fontId="1" fillId="0" borderId="0" xfId="4" applyFont="1" applyBorder="1" applyAlignment="1">
      <alignment horizontal="right"/>
    </xf>
    <xf numFmtId="0" fontId="0" fillId="0" borderId="1" xfId="0" applyBorder="1"/>
    <xf numFmtId="0" fontId="0" fillId="0" borderId="1" xfId="5" applyFont="1" applyBorder="1" applyAlignment="1">
      <alignment horizontal="right"/>
    </xf>
    <xf numFmtId="0" fontId="0" fillId="0" borderId="0" xfId="5" applyFont="1"/>
    <xf numFmtId="0" fontId="0" fillId="0" borderId="1" xfId="5" applyFont="1" applyBorder="1"/>
    <xf numFmtId="0" fontId="5" fillId="0" borderId="1" xfId="1" applyFont="1" applyBorder="1" applyAlignment="1">
      <alignment horizontal="right"/>
    </xf>
    <xf numFmtId="0" fontId="5" fillId="0" borderId="0" xfId="1" applyFont="1" applyBorder="1" applyAlignment="1">
      <alignment horizontal="right"/>
    </xf>
    <xf numFmtId="0" fontId="1" fillId="0" borderId="0" xfId="5" applyFont="1" applyBorder="1" applyAlignment="1">
      <alignment horizontal="right"/>
    </xf>
    <xf numFmtId="0" fontId="1" fillId="0" borderId="1" xfId="5" applyFont="1" applyBorder="1" applyAlignment="1">
      <alignment horizontal="right"/>
    </xf>
    <xf numFmtId="0" fontId="13" fillId="0" borderId="1" xfId="3" applyFont="1" applyBorder="1" applyAlignment="1">
      <alignment horizontal="right"/>
    </xf>
    <xf numFmtId="0" fontId="13" fillId="0" borderId="0" xfId="3" applyFont="1" applyBorder="1" applyAlignment="1">
      <alignment horizontal="right"/>
    </xf>
    <xf numFmtId="0" fontId="0" fillId="0" borderId="1" xfId="3" applyFont="1" applyFill="1" applyBorder="1" applyAlignment="1">
      <alignment horizontal="right"/>
    </xf>
    <xf numFmtId="0" fontId="0" fillId="0" borderId="0" xfId="3" applyFont="1" applyFill="1" applyBorder="1" applyAlignment="1">
      <alignment horizontal="right"/>
    </xf>
    <xf numFmtId="0" fontId="5" fillId="41" borderId="7" xfId="1" applyFont="1" applyFill="1" applyBorder="1" applyAlignment="1">
      <alignment horizontal="right"/>
    </xf>
    <xf numFmtId="0" fontId="5" fillId="41" borderId="0" xfId="1" applyFont="1" applyFill="1" applyAlignment="1">
      <alignment horizontal="right"/>
    </xf>
    <xf numFmtId="165" fontId="5" fillId="41" borderId="3" xfId="1" applyNumberFormat="1" applyFont="1" applyFill="1" applyBorder="1" applyAlignment="1">
      <alignment horizontal="right"/>
    </xf>
    <xf numFmtId="165" fontId="5" fillId="39" borderId="7" xfId="1" applyNumberFormat="1" applyFont="1" applyFill="1" applyBorder="1" applyAlignment="1">
      <alignment horizontal="right"/>
    </xf>
    <xf numFmtId="0" fontId="13" fillId="0" borderId="1" xfId="1" applyFont="1" applyBorder="1" applyAlignment="1">
      <alignment horizontal="right"/>
    </xf>
    <xf numFmtId="0" fontId="13" fillId="0" borderId="0" xfId="1" applyFont="1" applyBorder="1" applyAlignment="1">
      <alignment horizontal="right"/>
    </xf>
    <xf numFmtId="0" fontId="5" fillId="40" borderId="0" xfId="1" applyFont="1" applyFill="1" applyAlignment="1">
      <alignment horizontal="right"/>
    </xf>
    <xf numFmtId="0" fontId="5" fillId="0" borderId="0" xfId="1" applyBorder="1" applyAlignment="1">
      <alignment horizontal="right" vertical="center"/>
    </xf>
    <xf numFmtId="0" fontId="5" fillId="0" borderId="1" xfId="1" applyBorder="1" applyAlignment="1">
      <alignment horizontal="right" vertical="center"/>
    </xf>
    <xf numFmtId="0" fontId="39" fillId="0" borderId="0" xfId="1" applyFont="1" applyBorder="1" applyAlignment="1">
      <alignment horizontal="right"/>
    </xf>
    <xf numFmtId="0" fontId="39" fillId="0" borderId="1" xfId="1" applyFont="1" applyBorder="1" applyAlignment="1">
      <alignment horizontal="right"/>
    </xf>
    <xf numFmtId="0" fontId="5" fillId="0" borderId="3" xfId="0" applyNumberFormat="1" applyFont="1" applyFill="1" applyBorder="1" applyAlignment="1" applyProtection="1">
      <alignment horizontal="right"/>
    </xf>
    <xf numFmtId="165" fontId="5" fillId="0" borderId="1" xfId="0" applyNumberFormat="1" applyFont="1" applyFill="1" applyBorder="1" applyAlignment="1" applyProtection="1">
      <alignment horizontal="right"/>
    </xf>
    <xf numFmtId="0" fontId="5" fillId="0" borderId="3" xfId="0" applyFont="1" applyFill="1" applyBorder="1" applyAlignment="1" applyProtection="1">
      <alignment horizontal="right"/>
    </xf>
    <xf numFmtId="2" fontId="5" fillId="0" borderId="0" xfId="0" applyNumberFormat="1" applyFont="1" applyFill="1" applyBorder="1" applyAlignment="1" applyProtection="1">
      <alignment horizontal="right"/>
    </xf>
    <xf numFmtId="165" fontId="30" fillId="34" borderId="0" xfId="0" applyNumberFormat="1" applyFont="1" applyFill="1"/>
    <xf numFmtId="165" fontId="0" fillId="0" borderId="15" xfId="0" applyNumberFormat="1" applyFont="1" applyFill="1" applyBorder="1"/>
    <xf numFmtId="165" fontId="30" fillId="34" borderId="0" xfId="0" applyNumberFormat="1" applyFont="1" applyFill="1" applyBorder="1"/>
    <xf numFmtId="165" fontId="0" fillId="0" borderId="0" xfId="0" applyNumberFormat="1" applyFont="1"/>
    <xf numFmtId="0" fontId="0" fillId="0" borderId="34" xfId="0" applyFont="1" applyBorder="1" applyAlignment="1">
      <alignment horizontal="right"/>
    </xf>
    <xf numFmtId="165" fontId="5" fillId="0" borderId="19" xfId="1" applyNumberFormat="1" applyFont="1" applyFill="1" applyBorder="1" applyAlignment="1">
      <alignment horizontal="right"/>
    </xf>
    <xf numFmtId="165" fontId="5" fillId="0" borderId="16" xfId="1" applyNumberFormat="1" applyFont="1" applyFill="1" applyBorder="1" applyAlignment="1">
      <alignment horizontal="right"/>
    </xf>
    <xf numFmtId="0" fontId="5" fillId="0" borderId="32" xfId="1" applyFont="1" applyFill="1" applyBorder="1" applyAlignment="1">
      <alignment horizontal="right"/>
    </xf>
    <xf numFmtId="0" fontId="0" fillId="0" borderId="32" xfId="0" applyFont="1" applyBorder="1" applyAlignment="1">
      <alignment horizontal="right"/>
    </xf>
    <xf numFmtId="0" fontId="0" fillId="0" borderId="32" xfId="0" applyFont="1" applyBorder="1" applyAlignment="1">
      <alignment horizontal="right" vertical="center"/>
    </xf>
    <xf numFmtId="1" fontId="0" fillId="0" borderId="32" xfId="0" applyNumberFormat="1" applyFont="1" applyBorder="1" applyAlignment="1">
      <alignment horizontal="right"/>
    </xf>
    <xf numFmtId="0" fontId="1" fillId="0" borderId="32" xfId="3" applyFont="1" applyBorder="1" applyAlignment="1">
      <alignment horizontal="right"/>
    </xf>
    <xf numFmtId="0" fontId="1" fillId="0" borderId="32" xfId="0" applyFont="1" applyBorder="1" applyAlignment="1">
      <alignment horizontal="right"/>
    </xf>
    <xf numFmtId="0" fontId="5" fillId="0" borderId="32" xfId="5" applyFont="1" applyBorder="1" applyAlignment="1">
      <alignment horizontal="right"/>
    </xf>
    <xf numFmtId="0" fontId="5" fillId="0" borderId="32" xfId="1" applyBorder="1" applyAlignment="1">
      <alignment horizontal="right"/>
    </xf>
    <xf numFmtId="0" fontId="5" fillId="0" borderId="32" xfId="1" applyFill="1" applyBorder="1" applyAlignment="1">
      <alignment horizontal="right"/>
    </xf>
    <xf numFmtId="0" fontId="0" fillId="0" borderId="32" xfId="0" applyBorder="1" applyAlignment="1">
      <alignment horizontal="right"/>
    </xf>
    <xf numFmtId="0" fontId="5" fillId="0" borderId="32" xfId="0" applyNumberFormat="1" applyFont="1" applyFill="1" applyBorder="1" applyAlignment="1" applyProtection="1">
      <alignment horizontal="right"/>
    </xf>
    <xf numFmtId="0" fontId="5" fillId="0" borderId="0" xfId="0" applyFont="1" applyFill="1" applyBorder="1" applyAlignment="1">
      <alignment horizontal="right"/>
    </xf>
    <xf numFmtId="2" fontId="5" fillId="0" borderId="0" xfId="0" applyNumberFormat="1" applyFont="1" applyFill="1" applyBorder="1" applyAlignment="1">
      <alignment horizontal="right"/>
    </xf>
    <xf numFmtId="165" fontId="0" fillId="0" borderId="7" xfId="0" applyNumberFormat="1" applyBorder="1"/>
    <xf numFmtId="165" fontId="0" fillId="0" borderId="20" xfId="0" applyNumberFormat="1" applyBorder="1"/>
    <xf numFmtId="165" fontId="0" fillId="0" borderId="17" xfId="0" applyNumberFormat="1" applyBorder="1"/>
    <xf numFmtId="0" fontId="41" fillId="0" borderId="0" xfId="1" applyFont="1" applyFill="1" applyAlignment="1">
      <alignment horizontal="right"/>
    </xf>
    <xf numFmtId="0" fontId="41" fillId="0" borderId="2" xfId="1" applyFont="1" applyFill="1" applyBorder="1" applyAlignment="1">
      <alignment horizontal="left" vertical="center"/>
    </xf>
  </cellXfs>
  <cellStyles count="136">
    <cellStyle name="20% - Accent1" xfId="100" builtinId="30" customBuiltin="1"/>
    <cellStyle name="20% - Accent2" xfId="104" builtinId="34" customBuiltin="1"/>
    <cellStyle name="20% - Accent3" xfId="107" builtinId="38" customBuiltin="1"/>
    <cellStyle name="20% - Accent4" xfId="111" builtinId="42" customBuiltin="1"/>
    <cellStyle name="20% - Accent5" xfId="115" builtinId="46" customBuiltin="1"/>
    <cellStyle name="20% - Accent6" xfId="119" builtinId="50" customBuiltin="1"/>
    <cellStyle name="40% - Accent1" xfId="101" builtinId="31" customBuiltin="1"/>
    <cellStyle name="40% - Accent2" xfId="105" builtinId="35" customBuiltin="1"/>
    <cellStyle name="40% - Accent3" xfId="108" builtinId="39" customBuiltin="1"/>
    <cellStyle name="40% - Accent4" xfId="112" builtinId="43" customBuiltin="1"/>
    <cellStyle name="40% - Accent5" xfId="116" builtinId="47" customBuiltin="1"/>
    <cellStyle name="40% - Accent6" xfId="120" builtinId="51" customBuiltin="1"/>
    <cellStyle name="60% - Accent1" xfId="102" builtinId="32" customBuiltin="1"/>
    <cellStyle name="60% - Accent2" xfId="106" builtinId="36" customBuiltin="1"/>
    <cellStyle name="60% - Accent3" xfId="109" builtinId="40" customBuiltin="1"/>
    <cellStyle name="60% - Accent4" xfId="113" builtinId="44" customBuiltin="1"/>
    <cellStyle name="60% - Accent5" xfId="117" builtinId="48" customBuiltin="1"/>
    <cellStyle name="60% - Accent6" xfId="121" builtinId="52" customBuiltin="1"/>
    <cellStyle name="Accent1" xfId="99" builtinId="29" customBuiltin="1"/>
    <cellStyle name="Accent2" xfId="103" builtinId="33" customBuiltin="1"/>
    <cellStyle name="Accent3 2" xfId="124"/>
    <cellStyle name="Accent3 3" xfId="122"/>
    <cellStyle name="Accent4" xfId="110" builtinId="41" customBuiltin="1"/>
    <cellStyle name="Accent5" xfId="114" builtinId="45" customBuiltin="1"/>
    <cellStyle name="Accent6" xfId="118" builtinId="49" customBuiltin="1"/>
    <cellStyle name="Bad" xfId="88" builtinId="27" customBuiltin="1"/>
    <cellStyle name="Calculation" xfId="92" builtinId="22" customBuiltin="1"/>
    <cellStyle name="Check Cell" xfId="94" builtinId="23" customBuiltin="1"/>
    <cellStyle name="Currency 2" xfId="6"/>
    <cellStyle name="Explanatory Text" xfId="97" builtinId="53" customBuiltin="1"/>
    <cellStyle name="Good" xfId="87" builtinId="26" customBuiltin="1"/>
    <cellStyle name="Heading 1" xfId="83" builtinId="16" customBuiltin="1"/>
    <cellStyle name="Heading 2" xfId="84" builtinId="17" customBuiltin="1"/>
    <cellStyle name="Heading 3" xfId="85" builtinId="18" customBuiltin="1"/>
    <cellStyle name="Heading 4" xfId="86" builtinId="19" customBuiltin="1"/>
    <cellStyle name="Hyperlink 2" xfId="31"/>
    <cellStyle name="Hyperlink 2 2" xfId="32"/>
    <cellStyle name="Hyperlink 3" xfId="33"/>
    <cellStyle name="Input" xfId="90" builtinId="20" customBuiltin="1"/>
    <cellStyle name="Linked Cell" xfId="93" builtinId="24" customBuiltin="1"/>
    <cellStyle name="Neutral" xfId="89" builtinId="28" customBuiltin="1"/>
    <cellStyle name="Normal" xfId="0" builtinId="0"/>
    <cellStyle name="Normal 10" xfId="7"/>
    <cellStyle name="Normal 10 2" xfId="8"/>
    <cellStyle name="Normal 10 2 2" xfId="34"/>
    <cellStyle name="Normal 10 3" xfId="35"/>
    <cellStyle name="Normal 10 4" xfId="36"/>
    <cellStyle name="Normal 11" xfId="9"/>
    <cellStyle name="Normal 11 2" xfId="10"/>
    <cellStyle name="Normal 11 2 2" xfId="37"/>
    <cellStyle name="Normal 11 2 3" xfId="38"/>
    <cellStyle name="Normal 11 3" xfId="39"/>
    <cellStyle name="Normal 11 4" xfId="40"/>
    <cellStyle name="Normal 12" xfId="11"/>
    <cellStyle name="Normal 12 2" xfId="41"/>
    <cellStyle name="Normal 13" xfId="4"/>
    <cellStyle name="Normal 13 2" xfId="42"/>
    <cellStyle name="Normal 14" xfId="1"/>
    <cellStyle name="Normal 15" xfId="43"/>
    <cellStyle name="Normal 16" xfId="44"/>
    <cellStyle name="Normal 17" xfId="45"/>
    <cellStyle name="Normal 18" xfId="46"/>
    <cellStyle name="Normal 19" xfId="47"/>
    <cellStyle name="Normal 2" xfId="5"/>
    <cellStyle name="Normal 2 2" xfId="12"/>
    <cellStyle name="Normal 2 2 2" xfId="82"/>
    <cellStyle name="Normal 2 2 3" xfId="81"/>
    <cellStyle name="Normal 2 3" xfId="13"/>
    <cellStyle name="Normal 2 3 2" xfId="48"/>
    <cellStyle name="Normal 2 4" xfId="14"/>
    <cellStyle name="Normal 2 4 2" xfId="49"/>
    <cellStyle name="Normal 2 4 3" xfId="50"/>
    <cellStyle name="Normal 2 5" xfId="51"/>
    <cellStyle name="Normal 2 6" xfId="52"/>
    <cellStyle name="Normal 2 7" xfId="125"/>
    <cellStyle name="Normal 2 8" xfId="130"/>
    <cellStyle name="Normal 20" xfId="53"/>
    <cellStyle name="Normal 21" xfId="54"/>
    <cellStyle name="Normal 22" xfId="55"/>
    <cellStyle name="Normal 23" xfId="30"/>
    <cellStyle name="Normal 24" xfId="56"/>
    <cellStyle name="Normal 25" xfId="57"/>
    <cellStyle name="Normal 3" xfId="15"/>
    <cellStyle name="Normal 3 2" xfId="16"/>
    <cellStyle name="Normal 3 2 2" xfId="58"/>
    <cellStyle name="Normal 3 3" xfId="17"/>
    <cellStyle name="Normal 3 4" xfId="59"/>
    <cellStyle name="Normal 3 5" xfId="60"/>
    <cellStyle name="Normal 3 6" xfId="126"/>
    <cellStyle name="Normal 3 7" xfId="131"/>
    <cellStyle name="Normal 32" xfId="18"/>
    <cellStyle name="Normal 36" xfId="61"/>
    <cellStyle name="Normal 4" xfId="19"/>
    <cellStyle name="Normal 4 2" xfId="20"/>
    <cellStyle name="Normal 4 2 2" xfId="62"/>
    <cellStyle name="Normal 4 3" xfId="63"/>
    <cellStyle name="Normal 4 3 2" xfId="64"/>
    <cellStyle name="Normal 4 4" xfId="65"/>
    <cellStyle name="Normal 4 5" xfId="127"/>
    <cellStyle name="Normal 4 6" xfId="132"/>
    <cellStyle name="Normal 5" xfId="21"/>
    <cellStyle name="Normal 5 2" xfId="3"/>
    <cellStyle name="Normal 5 2 2" xfId="66"/>
    <cellStyle name="Normal 5 3" xfId="67"/>
    <cellStyle name="Normal 5 3 2" xfId="68"/>
    <cellStyle name="Normal 5 4" xfId="128"/>
    <cellStyle name="Normal 5 5" xfId="133"/>
    <cellStyle name="Normal 6" xfId="22"/>
    <cellStyle name="Normal 6 2" xfId="23"/>
    <cellStyle name="Normal 6 2 2" xfId="69"/>
    <cellStyle name="Normal 6 3" xfId="70"/>
    <cellStyle name="Normal 6 4" xfId="71"/>
    <cellStyle name="Normal 6 5" xfId="129"/>
    <cellStyle name="Normal 6 6" xfId="134"/>
    <cellStyle name="Normal 7" xfId="24"/>
    <cellStyle name="Normal 7 2" xfId="25"/>
    <cellStyle name="Normal 7 2 2" xfId="72"/>
    <cellStyle name="Normal 7 3" xfId="73"/>
    <cellStyle name="Normal 7 4" xfId="74"/>
    <cellStyle name="Normal 7 5" xfId="135"/>
    <cellStyle name="Normal 8" xfId="26"/>
    <cellStyle name="Normal 8 2" xfId="27"/>
    <cellStyle name="Normal 8 2 2" xfId="75"/>
    <cellStyle name="Normal 8 3" xfId="76"/>
    <cellStyle name="Normal 8 4" xfId="77"/>
    <cellStyle name="Normal 9" xfId="2"/>
    <cellStyle name="Normal 9 2" xfId="28"/>
    <cellStyle name="Normal 9 2 2" xfId="78"/>
    <cellStyle name="Normal 9 3" xfId="29"/>
    <cellStyle name="Normal 9 4" xfId="79"/>
    <cellStyle name="Normal 9 4 2" xfId="80"/>
    <cellStyle name="Note" xfId="96" builtinId="10" customBuiltin="1"/>
    <cellStyle name="Output" xfId="91" builtinId="21" customBuiltin="1"/>
    <cellStyle name="Title 2" xfId="123"/>
    <cellStyle name="Total" xfId="98" builtinId="25" customBuiltin="1"/>
    <cellStyle name="Warning Text" xfId="95" builtinId="11" customBuiltin="1"/>
  </cellStyles>
  <dxfs count="30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numFmt numFmtId="165" formatCode="0.0"/>
      <border diagonalUp="0" diagonalDown="0" outline="0">
        <left/>
        <right style="thin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65" formatCode="0.0"/>
      <border diagonalUp="0" diagonalDown="0" outline="0">
        <left/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numFmt numFmtId="165" formatCode="0.0"/>
      <border diagonalUp="0" diagonalDown="0" outline="0">
        <left style="thin">
          <color indexed="64"/>
        </left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numFmt numFmtId="165" formatCode="0.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5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numFmt numFmtId="165" formatCode="0.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</dxf>
    <dxf>
      <numFmt numFmtId="165" formatCode="0.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/>
        <right style="medium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alignment horizontal="right" vertical="bottom" textRotation="0" wrapText="0" indent="0" justifyLastLine="0" shrinkToFit="0" readingOrder="0"/>
      <border diagonalUp="0" diagonalDown="0">
        <left/>
        <right style="medium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  <protection locked="1" hidden="0"/>
    </dxf>
    <dxf>
      <alignment horizontal="right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medium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  <protection locked="1" hidden="0"/>
    </dxf>
    <dxf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  <protection locked="1" hidden="0"/>
    </dxf>
    <dxf>
      <alignment horizontal="right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5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5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2" formatCode="0.0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5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5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5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5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5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2" formatCode="0.0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/>
        <right style="thin">
          <color theme="9" tint="-0.249977111117893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alignment horizontal="right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165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2" formatCode="0.0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2" formatCode="0.0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2" formatCode="0.0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2" formatCode="0.0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165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2" formatCode="0.0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2" formatCode="0.0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2" formatCode="0.0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2" formatCode="0.0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165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165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2" formatCode="0.0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2" formatCode="0.0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2" formatCode="0.0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2" formatCode="0.0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0.0"/>
      <alignment horizontal="right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165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2" formatCode="0.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0.0"/>
      <alignment horizontal="right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165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2" formatCode="0.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0"/>
    </dxf>
    <dxf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numFmt numFmtId="165" formatCode="0.0"/>
      <border diagonalUp="0" diagonalDown="0" outline="0">
        <left/>
        <right style="thin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numFmt numFmtId="2" formatCode="0.00"/>
      <border diagonalUp="0" diagonalDown="0" outline="0">
        <left/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border diagonalUp="0" diagonalDown="0" outline="0">
        <left style="thin">
          <color indexed="64"/>
        </left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numFmt numFmtId="165" formatCode="0.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numFmt numFmtId="2" formatCode="0.0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/>
        <right style="medium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alignment horizontal="right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medium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border outline="0">
        <top style="thin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right" vertical="bottom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5" formatCode="0.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5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numFmt numFmtId="165" formatCode="0.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5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numFmt numFmtId="165" formatCode="0.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5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5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5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5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5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2" formatCode="0.0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5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5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2" formatCode="0.0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numFmt numFmtId="165" formatCode="0.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5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5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2" formatCode="0.0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5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5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2" formatCode="0.0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strike val="0"/>
        <outline val="0"/>
        <shadow val="0"/>
        <u val="none"/>
        <vertAlign val="baseline"/>
        <sz val="11"/>
        <color theme="1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0"/>
    </dxf>
    <dxf>
      <font>
        <strike val="0"/>
        <outline val="0"/>
        <shadow val="0"/>
        <u val="none"/>
        <vertAlign val="baseline"/>
        <sz val="11"/>
        <color theme="1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medium">
          <color auto="1"/>
        </right>
        <top/>
        <bottom/>
        <vertical style="medium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strike val="0"/>
        <outline val="0"/>
        <shadow val="0"/>
        <u val="none"/>
        <vertAlign val="baseline"/>
        <sz val="11"/>
        <color theme="1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medium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border outline="0">
        <top style="thin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1" defaultTableStyle="TableStyleMedium2" defaultPivotStyle="PivotStyleLight16">
    <tableStyle name="Table Style 1" pivot="0" count="0"/>
  </tableStyles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184</xdr:row>
      <xdr:rowOff>66675</xdr:rowOff>
    </xdr:from>
    <xdr:to>
      <xdr:col>12</xdr:col>
      <xdr:colOff>436245</xdr:colOff>
      <xdr:row>194</xdr:row>
      <xdr:rowOff>93345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11330940" y="17295495"/>
          <a:ext cx="3394710" cy="18554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304800</xdr:colOff>
      <xdr:row>28</xdr:row>
      <xdr:rowOff>133350</xdr:rowOff>
    </xdr:from>
    <xdr:to>
      <xdr:col>11</xdr:col>
      <xdr:colOff>964883</xdr:colOff>
      <xdr:row>38</xdr:row>
      <xdr:rowOff>74294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12961620" y="5772150"/>
          <a:ext cx="3408045" cy="185356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45</xdr:col>
      <xdr:colOff>276225</xdr:colOff>
      <xdr:row>100</xdr:row>
      <xdr:rowOff>57150</xdr:rowOff>
    </xdr:from>
    <xdr:to>
      <xdr:col>51</xdr:col>
      <xdr:colOff>245745</xdr:colOff>
      <xdr:row>109</xdr:row>
      <xdr:rowOff>179069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D837E3E-83C9-42F6-BF82-478F097669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33270825" y="19240500"/>
          <a:ext cx="3284220" cy="1912620"/>
        </a:xfrm>
        <a:prstGeom prst="rect">
          <a:avLst/>
        </a:prstGeom>
      </xdr:spPr>
    </xdr:pic>
    <xdr:clientData/>
  </xdr:twoCellAnchor>
  <xdr:twoCellAnchor editAs="oneCell">
    <xdr:from>
      <xdr:col>46</xdr:col>
      <xdr:colOff>76200</xdr:colOff>
      <xdr:row>111</xdr:row>
      <xdr:rowOff>57150</xdr:rowOff>
    </xdr:from>
    <xdr:to>
      <xdr:col>50</xdr:col>
      <xdr:colOff>396240</xdr:colOff>
      <xdr:row>123</xdr:row>
      <xdr:rowOff>95250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B2ECB46-4E04-4536-AEE5-6E7D9C9407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33623250" y="21412200"/>
          <a:ext cx="2529840" cy="23241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304800</xdr:colOff>
      <xdr:row>30</xdr:row>
      <xdr:rowOff>133350</xdr:rowOff>
    </xdr:from>
    <xdr:to>
      <xdr:col>13</xdr:col>
      <xdr:colOff>512445</xdr:colOff>
      <xdr:row>40</xdr:row>
      <xdr:rowOff>74294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12153900" y="6000750"/>
          <a:ext cx="3303270" cy="1922144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3" name="Table134" displayName="Table134" ref="B3:AB170" totalsRowCount="1" headerRowDxfId="304" dataDxfId="302" headerRowBorderDxfId="303" tableBorderDxfId="301" headerRowCellStyle="Normal 14" dataCellStyle="Normal 14">
  <autoFilter ref="B3:AB169"/>
  <tableColumns count="27">
    <tableColumn id="1" name="Mass[1]" dataDxfId="300" totalsRowDxfId="299" dataCellStyle="Normal 14"/>
    <tableColumn id="2" name="Composition[2]" dataDxfId="298" totalsRowDxfId="297" dataCellStyle="Normal 14"/>
    <tableColumn id="3" name="Putative structures [3]" dataDxfId="296" totalsRowDxfId="295"/>
    <tableColumn id="21" name="Type [4]" dataDxfId="294" totalsRowDxfId="293"/>
    <tableColumn id="4" name="Sulfation" dataDxfId="292" totalsRowDxfId="291" dataCellStyle="Normal 14"/>
    <tableColumn id="15" name="Fucosylation" dataDxfId="290" totalsRowDxfId="289" dataCellStyle="Normal 14"/>
    <tableColumn id="5" name="RT [5]" dataDxfId="288" totalsRowDxfId="287" dataCellStyle="Normal 14"/>
    <tableColumn id="6" name="Intensity [6]" totalsRowFunction="custom" dataDxfId="286" totalsRowDxfId="285" dataCellStyle="Normal 14">
      <totalsRowFormula>SUM(I4:I169)</totalsRowFormula>
    </tableColumn>
    <tableColumn id="7" name="Percentage" totalsRowFunction="sum" dataDxfId="284" totalsRowDxfId="283" dataCellStyle="Normal 14">
      <calculatedColumnFormula>I4/$I$170*100</calculatedColumnFormula>
    </tableColumn>
    <tableColumn id="11" name="RT" dataDxfId="282" totalsRowDxfId="281" dataCellStyle="Normal 14"/>
    <tableColumn id="12" name="Intensity" totalsRowFunction="custom" dataDxfId="280" totalsRowDxfId="279" dataCellStyle="Normal 14">
      <totalsRowFormula>SUM(L4:L169)</totalsRowFormula>
    </tableColumn>
    <tableColumn id="13" name="Percentage3" totalsRowFunction="sum" dataDxfId="278" totalsRowDxfId="277" dataCellStyle="Normal 14">
      <calculatedColumnFormula>L4/$L$170*100</calculatedColumnFormula>
    </tableColumn>
    <tableColumn id="8" name="RT4" dataDxfId="276" totalsRowDxfId="275" dataCellStyle="Normal 14"/>
    <tableColumn id="9" name="Intensity4" totalsRowFunction="custom" dataDxfId="274" totalsRowDxfId="273" dataCellStyle="Normal 14">
      <totalsRowFormula>SUM(O4:O169)</totalsRowFormula>
    </tableColumn>
    <tableColumn id="10" name="Percentage2" totalsRowFunction="sum" dataDxfId="272" totalsRowDxfId="271" dataCellStyle="Normal 14">
      <calculatedColumnFormula>O4/$O$170*100</calculatedColumnFormula>
    </tableColumn>
    <tableColumn id="25" name="RT6" dataDxfId="270" totalsRowDxfId="269" dataCellStyle="Normal 14"/>
    <tableColumn id="26" name="Intensity6" totalsRowFunction="custom" dataDxfId="268" totalsRowDxfId="267" dataCellStyle="Normal 14">
      <totalsRowFormula>SUM(R4:R169)</totalsRowFormula>
    </tableColumn>
    <tableColumn id="27" name="Percentage232" totalsRowFunction="sum" dataDxfId="266" totalsRowDxfId="265" dataCellStyle="Normal 14">
      <calculatedColumnFormula>R4/$R$170*100</calculatedColumnFormula>
    </tableColumn>
    <tableColumn id="22" name="RT5" dataDxfId="264" totalsRowDxfId="263" dataCellStyle="Normal 14"/>
    <tableColumn id="23" name="Intensity5" totalsRowFunction="custom" dataDxfId="262" totalsRowDxfId="261" dataCellStyle="Normal 14">
      <totalsRowFormula>SUM(U4:U169)</totalsRowFormula>
    </tableColumn>
    <tableColumn id="24" name="Percentage30" totalsRowFunction="sum" dataDxfId="260" totalsRowDxfId="259" dataCellStyle="Normal 14">
      <calculatedColumnFormula>U4/$U$170*100</calculatedColumnFormula>
    </tableColumn>
    <tableColumn id="14" name="RT2" dataDxfId="258" totalsRowDxfId="257" dataCellStyle="Normal 14"/>
    <tableColumn id="16" name="Intensity2" totalsRowFunction="custom" dataDxfId="256" totalsRowDxfId="255" dataCellStyle="Normal 14">
      <totalsRowFormula>SUM(X4:X169)</totalsRowFormula>
    </tableColumn>
    <tableColumn id="17" name="Percentage24" totalsRowFunction="sum" dataDxfId="254" totalsRowDxfId="253" dataCellStyle="Normal 14">
      <calculatedColumnFormula>X4/$X$170*100</calculatedColumnFormula>
    </tableColumn>
    <tableColumn id="18" name="RT3" dataDxfId="252" totalsRowDxfId="251" dataCellStyle="Normal 14"/>
    <tableColumn id="19" name="Intensity3" totalsRowFunction="custom" dataDxfId="250" totalsRowDxfId="249" dataCellStyle="Normal 14">
      <totalsRowFormula>SUM(AA4:AA169)</totalsRowFormula>
    </tableColumn>
    <tableColumn id="20" name="Percentage27" totalsRowFunction="sum" dataDxfId="248" totalsRowDxfId="247" dataCellStyle="Normal 14">
      <calculatedColumnFormula>AA4/$AA$170*100</calculatedColumnFormula>
    </tableColumn>
  </tableColumns>
  <tableStyleInfo name="TableStyleMedium16" showFirstColumn="0" showLastColumn="0" showRowStripes="1" showColumnStripes="0"/>
</table>
</file>

<file path=xl/tables/table2.xml><?xml version="1.0" encoding="utf-8"?>
<table xmlns="http://schemas.openxmlformats.org/spreadsheetml/2006/main" id="4" name="Table15" displayName="Table15" ref="B3:U26" totalsRowCount="1" headerRowDxfId="246" dataDxfId="244" headerRowBorderDxfId="245" tableBorderDxfId="243" headerRowCellStyle="Normal 14" dataCellStyle="Normal 14">
  <autoFilter ref="B3:U25"/>
  <tableColumns count="20">
    <tableColumn id="1" name="Mass[1]" dataDxfId="242" totalsRowDxfId="241" dataCellStyle="Normal 14"/>
    <tableColumn id="2" name="Composition[2]" dataDxfId="240" totalsRowDxfId="239" dataCellStyle="Normal 14"/>
    <tableColumn id="3" name="Putative structures [3]" dataDxfId="238" totalsRowDxfId="237" dataCellStyle="Normal 14"/>
    <tableColumn id="10" name="Fuccosylation" dataDxfId="236" totalsRowDxfId="235" dataCellStyle="Normal 14"/>
    <tableColumn id="11" name="sialylation" dataDxfId="234" totalsRowDxfId="233"/>
    <tableColumn id="5" name="RT [5]" dataDxfId="232" totalsRowDxfId="231" dataCellStyle="Normal 14"/>
    <tableColumn id="6" name="Intensity [6]" totalsRowFunction="custom" dataDxfId="230" totalsRowDxfId="229" dataCellStyle="Normal 14">
      <totalsRowFormula>SUM(H4:H25)</totalsRowFormula>
    </tableColumn>
    <tableColumn id="7" name="Percentage" totalsRowFunction="sum" dataDxfId="228" totalsRowDxfId="227" dataCellStyle="Normal 14">
      <calculatedColumnFormula>H4/$H$26*100</calculatedColumnFormula>
    </tableColumn>
    <tableColumn id="4" name="RT" dataDxfId="226" totalsRowDxfId="225" dataCellStyle="Normal 14"/>
    <tableColumn id="8" name="Intensity" totalsRowFunction="custom" dataDxfId="224" totalsRowDxfId="223" dataCellStyle="Normal 14">
      <totalsRowFormula>SUM(K4:K25)</totalsRowFormula>
    </tableColumn>
    <tableColumn id="9" name="Percentage2" totalsRowFunction="sum" dataDxfId="222" totalsRowDxfId="221" dataCellStyle="Normal 14">
      <calculatedColumnFormula>K4/$K$26*100</calculatedColumnFormula>
    </tableColumn>
    <tableColumn id="12" name="RT2" dataDxfId="220" totalsRowDxfId="219" dataCellStyle="Normal 14"/>
    <tableColumn id="13" name="Intensity2" totalsRowFunction="custom" dataDxfId="218" totalsRowDxfId="217" dataCellStyle="Normal 14">
      <totalsRowFormula>SUM(N4:N25)</totalsRowFormula>
    </tableColumn>
    <tableColumn id="14" name="Percentage5" totalsRowFunction="sum" dataDxfId="216" totalsRowDxfId="215" dataCellStyle="Normal 14">
      <calculatedColumnFormula>N4/$N$26*100</calculatedColumnFormula>
    </tableColumn>
    <tableColumn id="15" name="RT3" dataDxfId="214" totalsRowDxfId="213" dataCellStyle="Normal 14"/>
    <tableColumn id="16" name="Intensity3" totalsRowFunction="custom" dataDxfId="212" totalsRowDxfId="211" dataCellStyle="Normal 14">
      <totalsRowFormula>SUM(Q4:Q25)</totalsRowFormula>
    </tableColumn>
    <tableColumn id="17" name="Percentage8" totalsRowFunction="sum" dataDxfId="210" totalsRowDxfId="209" dataCellStyle="Normal 14">
      <calculatedColumnFormula>Q4/$Q$26*100</calculatedColumnFormula>
    </tableColumn>
    <tableColumn id="18" name="RT4" dataDxfId="208" totalsRowDxfId="207" dataCellStyle="Normal 14"/>
    <tableColumn id="19" name="Intensity4" totalsRowFunction="custom" dataDxfId="206" totalsRowDxfId="205" dataCellStyle="Normal 14">
      <totalsRowFormula>SUM(T4:T25)</totalsRowFormula>
    </tableColumn>
    <tableColumn id="20" name="Percentage11" totalsRowFunction="sum" dataDxfId="204" totalsRowDxfId="203" dataCellStyle="Normal 14">
      <calculatedColumnFormula>T4/$T$26*100</calculatedColumnFormula>
    </tableColumn>
  </tableColumns>
  <tableStyleInfo name="TableStyleMedium16" showFirstColumn="0" showLastColumn="0" showRowStripes="1" showColumnStripes="0"/>
</table>
</file>

<file path=xl/tables/table3.xml><?xml version="1.0" encoding="utf-8"?>
<table xmlns="http://schemas.openxmlformats.org/spreadsheetml/2006/main" id="1" name="Table13" displayName="Table13" ref="B3:W86" totalsRowCount="1" headerRowDxfId="202">
  <autoFilter ref="B3:W85"/>
  <tableColumns count="22">
    <tableColumn id="1" name="Species" dataDxfId="200" totalsRowDxfId="201" dataCellStyle="Normal 2"/>
    <tableColumn id="2" name="Name" dataDxfId="198" totalsRowDxfId="199" dataCellStyle="Normal 2 2"/>
    <tableColumn id="3" name="Sample name" dataDxfId="196" totalsRowDxfId="197" dataCellStyle="Normal 2 2"/>
    <tableColumn id="14" name="Neu" totalsRowFunction="sum" dataDxfId="194" totalsRowDxfId="195" dataCellStyle="Normal 2 2"/>
    <tableColumn id="15" name="Sul" totalsRowFunction="sum" dataDxfId="192" totalsRowDxfId="193" dataCellStyle="Normal 2 2"/>
    <tableColumn id="16" name="Core" dataDxfId="190" totalsRowDxfId="191" dataCellStyle="Normal 2 2"/>
    <tableColumn id="17" name="Fuc" totalsRowFunction="sum" dataDxfId="188" totalsRowDxfId="189" dataCellStyle="Normal 2 2"/>
    <tableColumn id="26" name="RT7" dataDxfId="186" totalsRowDxfId="187" dataCellStyle="Normal 2 2"/>
    <tableColumn id="27" name="Intensity7" totalsRowFunction="custom" dataDxfId="184" totalsRowDxfId="185" dataCellStyle="Normal 2 2">
      <totalsRowFormula>SUM(J4:J85)</totalsRowFormula>
    </tableColumn>
    <tableColumn id="28" name="Percentage5" totalsRowFunction="sum" dataDxfId="182" totalsRowDxfId="183" dataCellStyle="Normal 2 2">
      <calculatedColumnFormula>J4/$J$86*100</calculatedColumnFormula>
    </tableColumn>
    <tableColumn id="29" name="RT8" dataDxfId="180" totalsRowDxfId="181" dataCellStyle="Normal 2 2"/>
    <tableColumn id="30" name="Intensity8" totalsRowFunction="custom" dataDxfId="178" totalsRowDxfId="179" dataCellStyle="Normal 2 2">
      <totalsRowFormula>SUM(M4:M85)</totalsRowFormula>
    </tableColumn>
    <tableColumn id="31" name="Percentage44" totalsRowFunction="sum" dataDxfId="176" totalsRowDxfId="177" dataCellStyle="Normal 2 2">
      <calculatedColumnFormula>M4/$M$86*100</calculatedColumnFormula>
    </tableColumn>
    <tableColumn id="32" name="Percentage22" dataDxfId="174" totalsRowDxfId="175" dataCellStyle="Normal 14"/>
    <tableColumn id="33" name="Percentage23" totalsRowFunction="custom" dataDxfId="172" totalsRowDxfId="173" dataCellStyle="Normal 14">
      <totalsRowFormula>SUM(P4:P85)</totalsRowFormula>
    </tableColumn>
    <tableColumn id="34" name="Percentage24" totalsRowFunction="sum" dataDxfId="170" totalsRowDxfId="171" dataCellStyle="Normal 14">
      <calculatedColumnFormula>P4/$P$86*100</calculatedColumnFormula>
    </tableColumn>
    <tableColumn id="38" name="RT9" dataDxfId="168" totalsRowDxfId="169" dataCellStyle="Normal 2 2"/>
    <tableColumn id="39" name="Intensity9" totalsRowFunction="custom" dataDxfId="166" totalsRowDxfId="167" dataCellStyle="Normal 2 2">
      <totalsRowFormula>SUM(S4:S85)</totalsRowFormula>
    </tableColumn>
    <tableColumn id="40" name="Percentage6" totalsRowFunction="sum" dataDxfId="164" totalsRowDxfId="165" dataCellStyle="Normal 2 2">
      <calculatedColumnFormula>S4/$S$86*100</calculatedColumnFormula>
    </tableColumn>
    <tableColumn id="35" name="Percentage32" dataDxfId="162" totalsRowDxfId="163" dataCellStyle="Normal 2 2"/>
    <tableColumn id="36" name="Percentage33" totalsRowFunction="custom" dataDxfId="160" totalsRowDxfId="161" dataCellStyle="Normal 2 2">
      <totalsRowFormula>SUM(V4:V85)</totalsRowFormula>
    </tableColumn>
    <tableColumn id="37" name="Percentage34" totalsRowFunction="sum" dataDxfId="158" totalsRowDxfId="159" dataCellStyle="Normal 2 2">
      <calculatedColumnFormula>V4/$V$86*100</calculatedColumnFormula>
    </tableColumn>
  </tableColumns>
  <tableStyleInfo name="TableStyleMedium16" showFirstColumn="0" showLastColumn="0" showRowStripes="1" showColumnStripes="0"/>
</table>
</file>

<file path=xl/tables/table4.xml><?xml version="1.0" encoding="utf-8"?>
<table xmlns="http://schemas.openxmlformats.org/spreadsheetml/2006/main" id="2" name="Table17" displayName="Table17" ref="B3:U25" totalsRowCount="1" headerRowDxfId="157" dataDxfId="156" headerRowBorderDxfId="154" tableBorderDxfId="155" headerRowCellStyle="Normal 14" dataCellStyle="Normal 14">
  <autoFilter ref="B3:U24"/>
  <tableColumns count="20">
    <tableColumn id="1" name="Mass[1]" dataDxfId="152" totalsRowDxfId="153" dataCellStyle="Normal 14"/>
    <tableColumn id="2" name="Composition[2]" dataDxfId="150" totalsRowDxfId="151" dataCellStyle="Normal 14"/>
    <tableColumn id="3" name="Putative structures [3]" dataDxfId="148" totalsRowDxfId="149" dataCellStyle="Normal 14"/>
    <tableColumn id="58" name="Sialylation" dataDxfId="146" totalsRowDxfId="147" dataCellStyle="Normal 14"/>
    <tableColumn id="48" name="Blood type" dataDxfId="144" totalsRowDxfId="145" dataCellStyle="Normal 14"/>
    <tableColumn id="5" name="RT [7]" dataDxfId="142" totalsRowDxfId="143" dataCellStyle="Normal 14"/>
    <tableColumn id="6" name="Intensity [8]" totalsRowFunction="custom" dataDxfId="140" totalsRowDxfId="141" dataCellStyle="Normal 14">
      <totalsRowFormula>SUM(H4:H24)</totalsRowFormula>
    </tableColumn>
    <tableColumn id="7" name="Percentage" totalsRowFunction="sum" dataDxfId="138" totalsRowDxfId="139" dataCellStyle="Normal 14">
      <calculatedColumnFormula>H4/$H$25*100</calculatedColumnFormula>
    </tableColumn>
    <tableColumn id="8" name="RT4" dataDxfId="136" totalsRowDxfId="137" dataCellStyle="Normal 14"/>
    <tableColumn id="9" name="Intensity4" totalsRowFunction="custom" dataDxfId="134" totalsRowDxfId="135" dataCellStyle="Normal 14">
      <totalsRowFormula>SUM(K4:K24)</totalsRowFormula>
    </tableColumn>
    <tableColumn id="10" name="Percentage2" totalsRowFunction="sum" dataDxfId="132" totalsRowDxfId="133" dataCellStyle="Normal 14">
      <calculatedColumnFormula>K4/$K$25*100</calculatedColumnFormula>
    </tableColumn>
    <tableColumn id="11" name="RT5" dataDxfId="131" dataCellStyle="Normal 14"/>
    <tableColumn id="12" name="Intensity5" totalsRowFunction="custom" dataDxfId="130" dataCellStyle="Normal 14">
      <totalsRowFormula>SUM(N4:N24)</totalsRowFormula>
    </tableColumn>
    <tableColumn id="13" name="Percentages" totalsRowFunction="sum" dataDxfId="129" dataCellStyle="Normal 14">
      <calculatedColumnFormula>N4/$N$25*100</calculatedColumnFormula>
    </tableColumn>
    <tableColumn id="14" name="RT6" dataDxfId="128" dataCellStyle="Normal 14"/>
    <tableColumn id="15" name="Intensity6" totalsRowFunction="custom" dataDxfId="127" dataCellStyle="Normal 14">
      <totalsRowFormula>SUM(Q4:Q24)</totalsRowFormula>
    </tableColumn>
    <tableColumn id="16" name="Percentage3" totalsRowFunction="sum" dataDxfId="126" dataCellStyle="Normal 14">
      <calculatedColumnFormula>Q4/$Q$25*100</calculatedColumnFormula>
    </tableColumn>
    <tableColumn id="17" name="RT7" dataDxfId="125" dataCellStyle="Normal 14"/>
    <tableColumn id="18" name="Intensity7" totalsRowFunction="custom" dataDxfId="124" dataCellStyle="Normal 14">
      <totalsRowFormula>SUM(T4:T24)</totalsRowFormula>
    </tableColumn>
    <tableColumn id="19" name="Percentage4" totalsRowFunction="sum" dataDxfId="123" dataCellStyle="Normal 14">
      <calculatedColumnFormula>T4/$T$25*100</calculatedColumnFormula>
    </tableColumn>
  </tableColumns>
  <tableStyleInfo name="TableStyleMedium16" showFirstColumn="0" showLastColumn="0" showRowStripes="1" showColumnStripes="0"/>
</table>
</file>

<file path=xl/tables/table5.xml><?xml version="1.0" encoding="utf-8"?>
<table xmlns="http://schemas.openxmlformats.org/spreadsheetml/2006/main" id="5" name="Table156" displayName="Table156" ref="B4:AM98" totalsRowCount="1" headerRowDxfId="122" dataDxfId="121" headerRowBorderDxfId="119" tableBorderDxfId="120" headerRowCellStyle="Normal 14" dataCellStyle="Normal 14">
  <autoFilter ref="B4:AM97"/>
  <tableColumns count="38">
    <tableColumn id="1" name="Mass[1]" dataDxfId="117" totalsRowDxfId="118" dataCellStyle="Normal 14"/>
    <tableColumn id="2" name="Composition[2]" dataDxfId="115" totalsRowDxfId="116" dataCellStyle="Normal 14"/>
    <tableColumn id="3" name="Putative structures [3]" dataDxfId="113" totalsRowDxfId="114"/>
    <tableColumn id="22" name="Sialylation [4]" totalsRowFunction="sum" totalsRowDxfId="112"/>
    <tableColumn id="23" name="Sda [5]" totalsRowFunction="sum" dataDxfId="110" totalsRowDxfId="111"/>
    <tableColumn id="24" name="Fucosylation [6]" totalsRowFunction="sum" totalsRowDxfId="109"/>
    <tableColumn id="25" name="Sulfation [7]" totalsRowFunction="sum" dataDxfId="107" totalsRowDxfId="108"/>
    <tableColumn id="17" name="RT2" dataDxfId="105" totalsRowDxfId="106" dataCellStyle="Normal 14"/>
    <tableColumn id="18" name="Intensity2" totalsRowFunction="custom" dataDxfId="103" totalsRowDxfId="104" dataCellStyle="Normal 14">
      <totalsRowFormula>SUM(J5:J97)</totalsRowFormula>
    </tableColumn>
    <tableColumn id="19" name="Percentage10" totalsRowFunction="sum" dataDxfId="101" totalsRowDxfId="102" dataCellStyle="Normal 14">
      <calculatedColumnFormula>J5/$J$98*100</calculatedColumnFormula>
    </tableColumn>
    <tableColumn id="26" name="RT3" dataDxfId="99" totalsRowDxfId="100" dataCellStyle="Normal 14"/>
    <tableColumn id="27" name="Intensity3" totalsRowFunction="custom" dataDxfId="97" totalsRowDxfId="98" dataCellStyle="Normal 14">
      <totalsRowFormula>SUM(M5:M97)</totalsRowFormula>
    </tableColumn>
    <tableColumn id="28" name="Percentage4" totalsRowFunction="sum" dataDxfId="95" totalsRowDxfId="96" dataCellStyle="Normal 14">
      <calculatedColumnFormula>M5/$M$98*100</calculatedColumnFormula>
    </tableColumn>
    <tableColumn id="29" name="RT8" dataDxfId="93" totalsRowDxfId="94" dataCellStyle="Normal 14"/>
    <tableColumn id="30" name="Intensity8" totalsRowFunction="custom" dataDxfId="91" totalsRowDxfId="92" dataCellStyle="Normal 14">
      <totalsRowFormula>SUM(P5:P97)</totalsRowFormula>
    </tableColumn>
    <tableColumn id="31" name="Percentage6" totalsRowFunction="sum" dataDxfId="89" totalsRowDxfId="90" dataCellStyle="Normal 14">
      <calculatedColumnFormula>P5/$P$98*100</calculatedColumnFormula>
    </tableColumn>
    <tableColumn id="35" name="RT9" dataDxfId="87" totalsRowDxfId="88" dataCellStyle="Normal 14"/>
    <tableColumn id="36" name="Intensity9" totalsRowFunction="custom" dataDxfId="85" totalsRowDxfId="86" dataCellStyle="Normal 14">
      <totalsRowFormula>SUM(S5:S97)</totalsRowFormula>
    </tableColumn>
    <tableColumn id="37" name="Percentage34" totalsRowFunction="sum" dataDxfId="83" totalsRowDxfId="84" dataCellStyle="Normal 14">
      <calculatedColumnFormula>S5/$S$98*100</calculatedColumnFormula>
    </tableColumn>
    <tableColumn id="32" name="RT7" dataDxfId="81" totalsRowDxfId="82" dataCellStyle="Normal 14"/>
    <tableColumn id="33" name="Intensity7" totalsRowFunction="custom" dataDxfId="79" totalsRowDxfId="80" dataCellStyle="Normal 14">
      <totalsRowFormula>SUM(V5:V97)</totalsRowFormula>
    </tableColumn>
    <tableColumn id="34" name="Percentage5" totalsRowFunction="sum" dataDxfId="77" totalsRowDxfId="78" dataCellStyle="Normal 14">
      <calculatedColumnFormula>V5/$V$98*100</calculatedColumnFormula>
    </tableColumn>
    <tableColumn id="4" name="RT" dataDxfId="75" totalsRowDxfId="76" dataCellStyle="Normal 14"/>
    <tableColumn id="20" name="Intensity" totalsRowFunction="custom" dataDxfId="73" totalsRowDxfId="74" dataCellStyle="Normal 14">
      <totalsRowFormula>SUM(Y5:Y97)</totalsRowFormula>
    </tableColumn>
    <tableColumn id="21" name="Percentage7" totalsRowFunction="sum" dataDxfId="71" totalsRowDxfId="72" dataCellStyle="Normal 14">
      <calculatedColumnFormula>Y5/$Y$98*100</calculatedColumnFormula>
    </tableColumn>
    <tableColumn id="5" name="RT [9]" dataDxfId="69" totalsRowDxfId="70" dataCellStyle="Normal 14"/>
    <tableColumn id="6" name="Intensity [10]" totalsRowFunction="custom" dataDxfId="67" totalsRowDxfId="68" dataCellStyle="Normal 14">
      <totalsRowFormula>SUM(AB5:AB97)</totalsRowFormula>
    </tableColumn>
    <tableColumn id="7" name="Percentage" totalsRowFunction="sum" dataDxfId="65" totalsRowDxfId="66" dataCellStyle="Normal 14">
      <calculatedColumnFormula>AB5/$AB$98*100</calculatedColumnFormula>
    </tableColumn>
    <tableColumn id="8" name="RT4" dataDxfId="63" totalsRowDxfId="64" dataCellStyle="Normal 14"/>
    <tableColumn id="9" name="Intensity4" totalsRowFunction="custom" dataDxfId="61" totalsRowDxfId="62" dataCellStyle="Normal 14">
      <totalsRowFormula>SUM(AE5:AE97)</totalsRowFormula>
    </tableColumn>
    <tableColumn id="10" name="Percentage2" totalsRowFunction="sum" dataDxfId="59" totalsRowDxfId="60" dataCellStyle="Normal 14">
      <calculatedColumnFormula>AE5/$AE$98*100</calculatedColumnFormula>
    </tableColumn>
    <tableColumn id="11" name="RT5" dataDxfId="57" totalsRowDxfId="58" dataCellStyle="Normal 14"/>
    <tableColumn id="12" name="Intensity5" totalsRowFunction="custom" dataDxfId="55" totalsRowDxfId="56" dataCellStyle="Normal 14">
      <totalsRowFormula>SUM(AH5:AH97)</totalsRowFormula>
    </tableColumn>
    <tableColumn id="13" name="Percentages" totalsRowFunction="sum" dataDxfId="53" totalsRowDxfId="54" dataCellStyle="Normal 14">
      <calculatedColumnFormula>AH5/$AH$98*100</calculatedColumnFormula>
    </tableColumn>
    <tableColumn id="14" name="RT6" dataDxfId="51" totalsRowDxfId="52" dataCellStyle="Normal 14"/>
    <tableColumn id="15" name="Intensity6" totalsRowFunction="custom" dataDxfId="49" totalsRowDxfId="50" dataCellStyle="Normal 14">
      <totalsRowFormula>SUM(AK5:AK97)</totalsRowFormula>
    </tableColumn>
    <tableColumn id="16" name="Percentage3" totalsRowFunction="sum" dataDxfId="47" totalsRowDxfId="48" dataCellStyle="Normal 14">
      <calculatedColumnFormula>AK5/$AK$98*100</calculatedColumnFormula>
    </tableColumn>
    <tableColumn id="38" name="Percentage32" dataDxfId="0" dataCellStyle="Normal 14"/>
  </tableColumns>
  <tableStyleInfo name="TableStyleMedium16" showFirstColumn="0" showLastColumn="0" showRowStripes="1" showColumnStripes="0"/>
</table>
</file>

<file path=xl/tables/table6.xml><?xml version="1.0" encoding="utf-8"?>
<table xmlns="http://schemas.openxmlformats.org/spreadsheetml/2006/main" id="6" name="Table1" displayName="Table1" ref="B3:V28" totalsRowCount="1" headerRowDxfId="46" dataDxfId="45" headerRowBorderDxfId="43" tableBorderDxfId="44" headerRowCellStyle="Normal 14" dataCellStyle="Normal 14">
  <autoFilter ref="B3:V27"/>
  <tableColumns count="21">
    <tableColumn id="1" name="Mass[1]" dataDxfId="41" totalsRowDxfId="42" dataCellStyle="Normal 14"/>
    <tableColumn id="2" name="Composition[2]" dataDxfId="39" totalsRowDxfId="40" dataCellStyle="Normal 14"/>
    <tableColumn id="3" name="Putative structures [3]" dataDxfId="37" totalsRowDxfId="38" dataCellStyle="Normal 14"/>
    <tableColumn id="10" name="Fuccosylation" dataDxfId="35" totalsRowDxfId="36" dataCellStyle="Normal 14"/>
    <tableColumn id="11" name="sialylation" dataDxfId="33" totalsRowDxfId="34"/>
    <tableColumn id="21" name="Neu" dataDxfId="31" totalsRowDxfId="32"/>
    <tableColumn id="5" name="RT [5]" dataDxfId="29" totalsRowDxfId="30" dataCellStyle="Normal 14"/>
    <tableColumn id="6" name="Intensity [6]" totalsRowFunction="custom" dataDxfId="27" totalsRowDxfId="28" dataCellStyle="Normal 14">
      <totalsRowFormula>SUM(I4:I27)</totalsRowFormula>
    </tableColumn>
    <tableColumn id="7" name="Percentage" totalsRowFunction="sum" dataDxfId="25" totalsRowDxfId="26" dataCellStyle="Normal 14">
      <calculatedColumnFormula>I4/$I$28*100</calculatedColumnFormula>
    </tableColumn>
    <tableColumn id="4" name="RT" dataDxfId="23" totalsRowDxfId="24" dataCellStyle="Normal 14"/>
    <tableColumn id="8" name="Intensity" totalsRowFunction="custom" dataDxfId="21" totalsRowDxfId="22" dataCellStyle="Normal 14">
      <totalsRowFormula>SUM(L4:L27)</totalsRowFormula>
    </tableColumn>
    <tableColumn id="9" name="Percentage2" totalsRowFunction="sum" dataDxfId="19" totalsRowDxfId="20" dataCellStyle="Normal 14">
      <calculatedColumnFormula>L4/$L$28*100</calculatedColumnFormula>
    </tableColumn>
    <tableColumn id="12" name="RT2" dataDxfId="17" totalsRowDxfId="18" dataCellStyle="Normal 14"/>
    <tableColumn id="13" name="Intensity2" totalsRowFunction="custom" dataDxfId="15" totalsRowDxfId="16" dataCellStyle="Normal 14">
      <totalsRowFormula>SUM(O4:O27)</totalsRowFormula>
    </tableColumn>
    <tableColumn id="14" name="Percentage5" totalsRowFunction="sum" dataDxfId="13" totalsRowDxfId="14" dataCellStyle="Normal 14">
      <calculatedColumnFormula>O4/$O$28*100</calculatedColumnFormula>
    </tableColumn>
    <tableColumn id="15" name="RT3" dataDxfId="11" totalsRowDxfId="12" dataCellStyle="Normal 14"/>
    <tableColumn id="16" name="Intensity3" totalsRowFunction="custom" dataDxfId="9" totalsRowDxfId="10" dataCellStyle="Normal 14">
      <totalsRowFormula>SUM(R4:R27)</totalsRowFormula>
    </tableColumn>
    <tableColumn id="17" name="Percentage8" totalsRowFunction="sum" dataDxfId="7" totalsRowDxfId="8" dataCellStyle="Normal 14">
      <calculatedColumnFormula>R4/$R$28*100</calculatedColumnFormula>
    </tableColumn>
    <tableColumn id="18" name="RT4" dataDxfId="5" totalsRowDxfId="6" dataCellStyle="Normal 14"/>
    <tableColumn id="19" name="Intensity4" totalsRowFunction="custom" dataDxfId="3" totalsRowDxfId="4" dataCellStyle="Normal 14">
      <totalsRowFormula>SUM(U4:U27)</totalsRowFormula>
    </tableColumn>
    <tableColumn id="20" name="Percentage11" totalsRowFunction="sum" dataDxfId="1" totalsRowDxfId="2" dataCellStyle="Normal 14">
      <calculatedColumnFormula>U4/$U$28*100</calculatedColumnFormula>
    </tableColumn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B180"/>
  <sheetViews>
    <sheetView topLeftCell="B1" zoomScale="80" zoomScaleNormal="80" workbookViewId="0">
      <selection activeCell="E55" sqref="E55"/>
    </sheetView>
  </sheetViews>
  <sheetFormatPr defaultRowHeight="15" x14ac:dyDescent="0.25"/>
  <cols>
    <col min="2" max="2" width="12.85546875" customWidth="1"/>
    <col min="3" max="3" width="28.28515625" customWidth="1"/>
    <col min="4" max="4" width="30.140625" customWidth="1"/>
    <col min="5" max="6" width="9.7109375" customWidth="1"/>
    <col min="7" max="7" width="9.7109375" style="16" customWidth="1"/>
    <col min="8" max="8" width="8.42578125" style="7" customWidth="1"/>
    <col min="9" max="9" width="8.42578125" style="14" customWidth="1"/>
    <col min="10" max="10" width="8.42578125" customWidth="1"/>
    <col min="13" max="13" width="15" bestFit="1" customWidth="1"/>
    <col min="14" max="14" width="8.42578125" customWidth="1"/>
    <col min="15" max="15" width="8.42578125" style="14" customWidth="1"/>
    <col min="16" max="16" width="15" bestFit="1" customWidth="1"/>
    <col min="17" max="17" width="8.42578125" style="7" customWidth="1"/>
    <col min="18" max="18" width="8.42578125" style="16" customWidth="1"/>
    <col min="19" max="19" width="17.28515625" style="16" bestFit="1" customWidth="1"/>
    <col min="22" max="22" width="16" bestFit="1" customWidth="1"/>
    <col min="25" max="25" width="16" bestFit="1" customWidth="1"/>
    <col min="28" max="28" width="16" bestFit="1" customWidth="1"/>
  </cols>
  <sheetData>
    <row r="1" spans="2:28" x14ac:dyDescent="0.25">
      <c r="K1" t="s">
        <v>330</v>
      </c>
      <c r="M1" s="199" t="s">
        <v>529</v>
      </c>
      <c r="N1" t="s">
        <v>329</v>
      </c>
      <c r="P1" s="199" t="s">
        <v>530</v>
      </c>
      <c r="Q1" s="7" t="s">
        <v>373</v>
      </c>
      <c r="S1" s="199" t="s">
        <v>531</v>
      </c>
      <c r="T1" t="s">
        <v>354</v>
      </c>
      <c r="V1" s="199" t="s">
        <v>532</v>
      </c>
      <c r="W1" t="s">
        <v>352</v>
      </c>
      <c r="Y1" s="199" t="s">
        <v>533</v>
      </c>
      <c r="Z1" t="s">
        <v>353</v>
      </c>
      <c r="AB1" s="199" t="s">
        <v>534</v>
      </c>
    </row>
    <row r="2" spans="2:28" ht="23.25" x14ac:dyDescent="0.35">
      <c r="H2" s="8" t="s">
        <v>111</v>
      </c>
      <c r="I2" s="10"/>
      <c r="J2" s="1"/>
      <c r="K2" s="9" t="s">
        <v>523</v>
      </c>
      <c r="N2" s="9" t="s">
        <v>524</v>
      </c>
      <c r="O2" s="10"/>
      <c r="P2" s="1"/>
      <c r="Q2" s="45" t="s">
        <v>525</v>
      </c>
      <c r="R2" s="1"/>
      <c r="S2" s="1"/>
      <c r="T2" s="9" t="s">
        <v>526</v>
      </c>
      <c r="W2" s="9" t="s">
        <v>527</v>
      </c>
      <c r="Z2" s="9" t="s">
        <v>528</v>
      </c>
    </row>
    <row r="3" spans="2:28" ht="17.25" x14ac:dyDescent="0.25">
      <c r="B3" s="2" t="s">
        <v>0</v>
      </c>
      <c r="C3" s="3" t="s">
        <v>1</v>
      </c>
      <c r="D3" s="3" t="s">
        <v>2</v>
      </c>
      <c r="E3" s="3" t="s">
        <v>23</v>
      </c>
      <c r="F3" s="3" t="s">
        <v>110</v>
      </c>
      <c r="G3" s="11" t="s">
        <v>271</v>
      </c>
      <c r="H3" s="6" t="s">
        <v>19</v>
      </c>
      <c r="I3" s="12" t="s">
        <v>20</v>
      </c>
      <c r="J3" s="2" t="s">
        <v>3</v>
      </c>
      <c r="K3" s="18" t="s">
        <v>331</v>
      </c>
      <c r="L3" s="18" t="s">
        <v>332</v>
      </c>
      <c r="M3" s="18" t="s">
        <v>333</v>
      </c>
      <c r="N3" s="11" t="s">
        <v>24</v>
      </c>
      <c r="O3" s="12" t="s">
        <v>25</v>
      </c>
      <c r="P3" s="11" t="s">
        <v>21</v>
      </c>
      <c r="Q3" s="44" t="s">
        <v>371</v>
      </c>
      <c r="R3" s="2" t="s">
        <v>372</v>
      </c>
      <c r="S3" s="2" t="s">
        <v>370</v>
      </c>
      <c r="T3" s="30" t="s">
        <v>350</v>
      </c>
      <c r="U3" s="30" t="s">
        <v>351</v>
      </c>
      <c r="V3" s="30" t="s">
        <v>345</v>
      </c>
      <c r="W3" s="30" t="s">
        <v>346</v>
      </c>
      <c r="X3" s="30" t="s">
        <v>347</v>
      </c>
      <c r="Y3" s="30" t="s">
        <v>343</v>
      </c>
      <c r="Z3" s="30" t="s">
        <v>348</v>
      </c>
      <c r="AA3" s="30" t="s">
        <v>349</v>
      </c>
      <c r="AB3" s="30" t="s">
        <v>344</v>
      </c>
    </row>
    <row r="4" spans="2:28" s="16" customFormat="1" x14ac:dyDescent="0.25">
      <c r="B4" s="65" t="s">
        <v>114</v>
      </c>
      <c r="C4" s="71" t="s">
        <v>26</v>
      </c>
      <c r="D4" s="73" t="s">
        <v>112</v>
      </c>
      <c r="E4" s="104">
        <v>1</v>
      </c>
      <c r="F4" s="111">
        <v>0</v>
      </c>
      <c r="G4" s="115">
        <v>0</v>
      </c>
      <c r="H4" s="27">
        <v>8.74</v>
      </c>
      <c r="I4" s="19">
        <v>805.89</v>
      </c>
      <c r="J4" s="23">
        <f>I4/$I$170*100</f>
        <v>0.60353037070809634</v>
      </c>
      <c r="K4" s="103">
        <v>8.44</v>
      </c>
      <c r="L4" s="21">
        <v>236.45</v>
      </c>
      <c r="M4" s="19">
        <f t="shared" ref="M4:M35" si="0">L4/$L$170*100</f>
        <v>0.11732613514710424</v>
      </c>
      <c r="N4" s="121">
        <v>9.5299999999999994</v>
      </c>
      <c r="O4" s="122">
        <v>2263.9</v>
      </c>
      <c r="P4" s="123">
        <f t="shared" ref="P4:P35" si="1">O4/$O$170*100</f>
        <v>1.3421001320876942</v>
      </c>
      <c r="Q4" s="27">
        <v>9.5399999999999991</v>
      </c>
      <c r="R4" s="19">
        <v>1793.75</v>
      </c>
      <c r="S4" s="23">
        <f t="shared" ref="S4:S35" si="2">R4/$R$170*100</f>
        <v>0.81808476539404085</v>
      </c>
      <c r="T4" s="32">
        <v>9.36</v>
      </c>
      <c r="U4" s="33">
        <v>1897.57</v>
      </c>
      <c r="V4" s="19">
        <f t="shared" ref="V4:V35" si="3">U4/$U$170*100</f>
        <v>1.0652417560487077</v>
      </c>
      <c r="W4" s="32">
        <v>9.4600000000000009</v>
      </c>
      <c r="X4" s="33">
        <v>1821.83</v>
      </c>
      <c r="Y4" s="19">
        <f t="shared" ref="Y4:Y35" si="4">X4/$X$170*100</f>
        <v>0.71786292361706483</v>
      </c>
      <c r="Z4" s="32">
        <v>9.61</v>
      </c>
      <c r="AA4" s="33">
        <v>1344.77</v>
      </c>
      <c r="AB4" s="124">
        <f t="shared" ref="AB4:AB35" si="5">AA4/$AA$170*100</f>
        <v>0.66439144081893098</v>
      </c>
    </row>
    <row r="5" spans="2:28" s="16" customFormat="1" x14ac:dyDescent="0.25">
      <c r="B5" s="65" t="s">
        <v>113</v>
      </c>
      <c r="C5" s="35" t="s">
        <v>26</v>
      </c>
      <c r="D5" s="74" t="s">
        <v>27</v>
      </c>
      <c r="E5" s="105">
        <v>0</v>
      </c>
      <c r="F5" s="112">
        <v>0</v>
      </c>
      <c r="G5" s="116">
        <v>0</v>
      </c>
      <c r="H5" s="27">
        <v>10.89</v>
      </c>
      <c r="I5" s="19">
        <v>229.3</v>
      </c>
      <c r="J5" s="23">
        <f t="shared" ref="J5:J68" si="6">I5/$I$170*100</f>
        <v>0.17172258497234918</v>
      </c>
      <c r="K5" s="102">
        <v>9.61</v>
      </c>
      <c r="L5" s="22">
        <v>1987.24</v>
      </c>
      <c r="M5" s="20">
        <f t="shared" si="0"/>
        <v>0.98606550564487827</v>
      </c>
      <c r="N5" s="27">
        <v>11.98</v>
      </c>
      <c r="O5" s="19">
        <v>449.58</v>
      </c>
      <c r="P5" s="23">
        <f t="shared" si="1"/>
        <v>0.26652298130835528</v>
      </c>
      <c r="Q5" s="27">
        <v>11.96</v>
      </c>
      <c r="R5" s="19">
        <v>489.09</v>
      </c>
      <c r="S5" s="23">
        <f t="shared" si="2"/>
        <v>0.22306178559251372</v>
      </c>
      <c r="T5" s="34">
        <v>11.79</v>
      </c>
      <c r="U5" s="35">
        <v>288.22000000000003</v>
      </c>
      <c r="V5" s="23">
        <f t="shared" si="3"/>
        <v>0.16179849962233731</v>
      </c>
      <c r="W5" s="34">
        <v>11.84</v>
      </c>
      <c r="X5" s="35">
        <v>553.35</v>
      </c>
      <c r="Y5" s="19">
        <f t="shared" si="4"/>
        <v>0.21803870217501245</v>
      </c>
      <c r="Z5" s="34">
        <v>11.97</v>
      </c>
      <c r="AA5" s="35">
        <v>369.31</v>
      </c>
      <c r="AB5" s="23">
        <f t="shared" si="5"/>
        <v>0.18245975371910392</v>
      </c>
    </row>
    <row r="6" spans="2:28" s="16" customFormat="1" x14ac:dyDescent="0.25">
      <c r="B6" s="65" t="s">
        <v>115</v>
      </c>
      <c r="C6" s="35" t="s">
        <v>117</v>
      </c>
      <c r="D6" s="74" t="s">
        <v>262</v>
      </c>
      <c r="E6" s="105">
        <v>3</v>
      </c>
      <c r="F6" s="112">
        <v>0</v>
      </c>
      <c r="G6" s="116">
        <v>0</v>
      </c>
      <c r="H6" s="27">
        <v>8.9499999999999993</v>
      </c>
      <c r="I6" s="19">
        <v>869.51</v>
      </c>
      <c r="J6" s="23">
        <f t="shared" si="6"/>
        <v>0.65117533737159761</v>
      </c>
      <c r="K6" s="102">
        <v>10</v>
      </c>
      <c r="L6" s="22">
        <v>1471.15</v>
      </c>
      <c r="M6" s="20">
        <f t="shared" si="0"/>
        <v>0.72998242216816411</v>
      </c>
      <c r="N6" s="27">
        <v>9.9499999999999993</v>
      </c>
      <c r="O6" s="19">
        <v>1315.58</v>
      </c>
      <c r="P6" s="23">
        <f t="shared" si="1"/>
        <v>0.77991081398115136</v>
      </c>
      <c r="Q6" s="27">
        <v>9.9</v>
      </c>
      <c r="R6" s="19">
        <v>1625.25</v>
      </c>
      <c r="S6" s="23">
        <f t="shared" si="2"/>
        <v>0.74123610589918609</v>
      </c>
      <c r="T6" s="34">
        <v>9.7200000000000006</v>
      </c>
      <c r="U6" s="35">
        <v>1191.9100000000001</v>
      </c>
      <c r="V6" s="23">
        <f t="shared" si="3"/>
        <v>0.66910432893227412</v>
      </c>
      <c r="W6" s="34">
        <v>9.86</v>
      </c>
      <c r="X6" s="35">
        <v>1901.98</v>
      </c>
      <c r="Y6" s="19">
        <f t="shared" si="4"/>
        <v>0.74944474701875874</v>
      </c>
      <c r="Z6" s="34">
        <v>9.9499999999999993</v>
      </c>
      <c r="AA6" s="35">
        <v>1394.09</v>
      </c>
      <c r="AB6" s="23">
        <f t="shared" si="5"/>
        <v>0.6887582737057365</v>
      </c>
    </row>
    <row r="7" spans="2:28" s="16" customFormat="1" x14ac:dyDescent="0.25">
      <c r="B7" s="65" t="s">
        <v>116</v>
      </c>
      <c r="C7" s="35" t="s">
        <v>117</v>
      </c>
      <c r="D7" s="74" t="s">
        <v>118</v>
      </c>
      <c r="E7" s="105" t="s">
        <v>119</v>
      </c>
      <c r="F7" s="112">
        <v>0</v>
      </c>
      <c r="G7" s="116">
        <v>0</v>
      </c>
      <c r="H7" s="27">
        <v>10.89</v>
      </c>
      <c r="I7" s="19">
        <v>1820.6</v>
      </c>
      <c r="J7" s="23">
        <f t="shared" si="6"/>
        <v>1.3634458709143431</v>
      </c>
      <c r="K7" s="102">
        <v>12.14</v>
      </c>
      <c r="L7" s="22">
        <v>2230.37</v>
      </c>
      <c r="M7" s="20">
        <f t="shared" si="0"/>
        <v>1.1067062467669566</v>
      </c>
      <c r="N7" s="27">
        <v>12.1</v>
      </c>
      <c r="O7" s="19">
        <v>2179.1799999999998</v>
      </c>
      <c r="P7" s="23">
        <f t="shared" si="1"/>
        <v>1.2918758628220597</v>
      </c>
      <c r="Q7" s="27">
        <v>12.05</v>
      </c>
      <c r="R7" s="19">
        <v>2160.5300000000002</v>
      </c>
      <c r="S7" s="23">
        <f t="shared" si="2"/>
        <v>0.98536400177103123</v>
      </c>
      <c r="T7" s="34">
        <v>11.9</v>
      </c>
      <c r="U7" s="35">
        <v>1641.41</v>
      </c>
      <c r="V7" s="23">
        <f t="shared" si="3"/>
        <v>0.92144082737180155</v>
      </c>
      <c r="W7" s="34">
        <v>11.97</v>
      </c>
      <c r="X7" s="35">
        <v>2448.4899999999998</v>
      </c>
      <c r="Y7" s="19">
        <f t="shared" si="4"/>
        <v>0.9647882567787045</v>
      </c>
      <c r="Z7" s="34">
        <v>12.06</v>
      </c>
      <c r="AA7" s="35">
        <v>1783.66</v>
      </c>
      <c r="AB7" s="23">
        <f t="shared" si="5"/>
        <v>0.88122759827412456</v>
      </c>
    </row>
    <row r="8" spans="2:28" s="16" customFormat="1" x14ac:dyDescent="0.25">
      <c r="B8" s="65">
        <v>472</v>
      </c>
      <c r="C8" s="35" t="s">
        <v>120</v>
      </c>
      <c r="D8" s="74" t="s">
        <v>121</v>
      </c>
      <c r="E8" s="105" t="s">
        <v>28</v>
      </c>
      <c r="F8" s="112">
        <v>0</v>
      </c>
      <c r="G8" s="116">
        <v>0</v>
      </c>
      <c r="H8" s="27">
        <v>12.8</v>
      </c>
      <c r="I8" s="19">
        <v>155.08000000000001</v>
      </c>
      <c r="J8" s="23">
        <f t="shared" si="6"/>
        <v>0.11613928686224123</v>
      </c>
      <c r="K8" s="102">
        <v>14.16</v>
      </c>
      <c r="L8" s="22">
        <v>300.18</v>
      </c>
      <c r="M8" s="20">
        <f t="shared" si="0"/>
        <v>0.14894886550415629</v>
      </c>
      <c r="N8" s="27">
        <v>14.33</v>
      </c>
      <c r="O8" s="19">
        <v>327.39999999999998</v>
      </c>
      <c r="P8" s="23">
        <f t="shared" si="1"/>
        <v>0.19409142773334115</v>
      </c>
      <c r="Q8" s="27">
        <v>14.12</v>
      </c>
      <c r="R8" s="19">
        <v>246.83</v>
      </c>
      <c r="S8" s="23">
        <f t="shared" si="2"/>
        <v>0.11257302446952538</v>
      </c>
      <c r="T8" s="34">
        <v>13.99</v>
      </c>
      <c r="U8" s="35">
        <v>339.53</v>
      </c>
      <c r="V8" s="23">
        <f t="shared" si="3"/>
        <v>0.19060247233631314</v>
      </c>
      <c r="W8" s="34">
        <v>14.17</v>
      </c>
      <c r="X8" s="35">
        <v>222.15</v>
      </c>
      <c r="Y8" s="19">
        <f t="shared" si="4"/>
        <v>8.7534648392841793E-2</v>
      </c>
      <c r="Z8" s="34">
        <v>14.33</v>
      </c>
      <c r="AA8" s="35">
        <v>283.12</v>
      </c>
      <c r="AB8" s="23">
        <f t="shared" si="5"/>
        <v>0.13987708286521541</v>
      </c>
    </row>
    <row r="9" spans="2:28" s="16" customFormat="1" x14ac:dyDescent="0.25">
      <c r="B9" s="65">
        <v>513</v>
      </c>
      <c r="C9" s="35" t="s">
        <v>122</v>
      </c>
      <c r="D9" s="74" t="s">
        <v>123</v>
      </c>
      <c r="E9" s="105">
        <v>0</v>
      </c>
      <c r="F9" s="112">
        <v>0</v>
      </c>
      <c r="G9" s="116">
        <v>0</v>
      </c>
      <c r="H9" s="27">
        <v>10.1</v>
      </c>
      <c r="I9" s="19">
        <v>223.26</v>
      </c>
      <c r="J9" s="23">
        <f t="shared" si="6"/>
        <v>0.16719923384616953</v>
      </c>
      <c r="K9" s="102">
        <v>11.19</v>
      </c>
      <c r="L9" s="22">
        <v>498.45</v>
      </c>
      <c r="M9" s="20">
        <f t="shared" si="0"/>
        <v>0.24733014194998565</v>
      </c>
      <c r="N9" s="27">
        <v>11.21</v>
      </c>
      <c r="O9" s="19">
        <v>337.4</v>
      </c>
      <c r="P9" s="23">
        <f t="shared" si="1"/>
        <v>0.2000196936995397</v>
      </c>
      <c r="Q9" s="27">
        <v>11.11</v>
      </c>
      <c r="R9" s="19">
        <v>486.32</v>
      </c>
      <c r="S9" s="23">
        <f t="shared" si="2"/>
        <v>0.22179845748093655</v>
      </c>
      <c r="T9" s="34">
        <v>11.03</v>
      </c>
      <c r="U9" s="35">
        <v>487.53</v>
      </c>
      <c r="V9" s="23">
        <f t="shared" si="3"/>
        <v>0.2736854573620085</v>
      </c>
      <c r="W9" s="34">
        <v>11.08</v>
      </c>
      <c r="X9" s="35">
        <v>461.98</v>
      </c>
      <c r="Y9" s="19">
        <f t="shared" si="4"/>
        <v>0.18203581753106035</v>
      </c>
      <c r="Z9" s="34">
        <v>11.21</v>
      </c>
      <c r="AA9" s="35">
        <v>426.92</v>
      </c>
      <c r="AB9" s="23">
        <f t="shared" si="5"/>
        <v>0.21092230932755637</v>
      </c>
    </row>
    <row r="10" spans="2:28" s="16" customFormat="1" x14ac:dyDescent="0.25">
      <c r="B10" s="65">
        <v>529</v>
      </c>
      <c r="C10" s="35" t="s">
        <v>334</v>
      </c>
      <c r="D10" s="75" t="s">
        <v>335</v>
      </c>
      <c r="E10" s="105">
        <v>0</v>
      </c>
      <c r="F10" s="112">
        <v>0</v>
      </c>
      <c r="G10" s="116">
        <v>0</v>
      </c>
      <c r="H10" s="27" t="s">
        <v>22</v>
      </c>
      <c r="I10" s="19">
        <v>0</v>
      </c>
      <c r="J10" s="23">
        <f t="shared" si="6"/>
        <v>0</v>
      </c>
      <c r="K10" s="97">
        <v>11.06</v>
      </c>
      <c r="L10" s="13">
        <v>536.73</v>
      </c>
      <c r="M10" s="19">
        <f t="shared" si="0"/>
        <v>0.26632462050118533</v>
      </c>
      <c r="N10" s="27" t="s">
        <v>355</v>
      </c>
      <c r="O10" s="19">
        <v>603.20000000000005</v>
      </c>
      <c r="P10" s="23">
        <f t="shared" si="1"/>
        <v>0.3575930030810977</v>
      </c>
      <c r="Q10" s="27">
        <v>10.95</v>
      </c>
      <c r="R10" s="19">
        <v>495.83</v>
      </c>
      <c r="S10" s="23">
        <f t="shared" si="2"/>
        <v>0.22613573197230791</v>
      </c>
      <c r="T10" s="34">
        <v>10.81</v>
      </c>
      <c r="U10" s="35">
        <v>452.25</v>
      </c>
      <c r="V10" s="23">
        <f t="shared" si="3"/>
        <v>0.25388027012074815</v>
      </c>
      <c r="W10" s="34">
        <v>10.96</v>
      </c>
      <c r="X10" s="35">
        <v>445.53</v>
      </c>
      <c r="Y10" s="19">
        <f t="shared" si="4"/>
        <v>0.175553958579621</v>
      </c>
      <c r="Z10" s="34">
        <v>11.04</v>
      </c>
      <c r="AA10" s="35">
        <v>389.45</v>
      </c>
      <c r="AB10" s="23">
        <f t="shared" si="5"/>
        <v>0.19241003787036642</v>
      </c>
    </row>
    <row r="11" spans="2:28" x14ac:dyDescent="0.25">
      <c r="B11" s="65">
        <v>530</v>
      </c>
      <c r="C11" s="35" t="s">
        <v>29</v>
      </c>
      <c r="D11" s="74" t="s">
        <v>30</v>
      </c>
      <c r="E11" s="105">
        <v>1</v>
      </c>
      <c r="F11" s="112">
        <v>0</v>
      </c>
      <c r="G11" s="116" t="s">
        <v>273</v>
      </c>
      <c r="H11" s="27">
        <v>23.2</v>
      </c>
      <c r="I11" s="19">
        <v>3747.61</v>
      </c>
      <c r="J11" s="23">
        <f t="shared" si="6"/>
        <v>2.8065821049639141</v>
      </c>
      <c r="K11" s="102">
        <v>25.41</v>
      </c>
      <c r="L11" s="22">
        <v>4234.9399999999996</v>
      </c>
      <c r="M11" s="20">
        <f t="shared" si="0"/>
        <v>2.1013708724037961</v>
      </c>
      <c r="N11" s="27">
        <v>25.45</v>
      </c>
      <c r="O11" s="19">
        <v>3472.19</v>
      </c>
      <c r="P11" s="23">
        <f t="shared" si="1"/>
        <v>2.0584065805175014</v>
      </c>
      <c r="Q11" s="27">
        <v>25.35</v>
      </c>
      <c r="R11" s="19">
        <v>5316.08</v>
      </c>
      <c r="S11" s="23">
        <f t="shared" si="2"/>
        <v>2.42453187992527</v>
      </c>
      <c r="T11" s="34">
        <v>25.21</v>
      </c>
      <c r="U11" s="35">
        <v>225.06</v>
      </c>
      <c r="V11" s="23">
        <f t="shared" si="3"/>
        <v>0.12634227439110135</v>
      </c>
      <c r="W11" s="34">
        <v>25.19</v>
      </c>
      <c r="X11" s="35">
        <v>6179.98</v>
      </c>
      <c r="Y11" s="19">
        <f t="shared" si="4"/>
        <v>2.4351221083717958</v>
      </c>
      <c r="Z11" s="34">
        <v>25.32</v>
      </c>
      <c r="AA11" s="35">
        <v>4812.76</v>
      </c>
      <c r="AB11" s="23">
        <f t="shared" si="5"/>
        <v>2.3777720730799454</v>
      </c>
    </row>
    <row r="12" spans="2:28" x14ac:dyDescent="0.25">
      <c r="B12" s="65" t="s">
        <v>124</v>
      </c>
      <c r="C12" s="35" t="s">
        <v>31</v>
      </c>
      <c r="D12" s="74" t="s">
        <v>125</v>
      </c>
      <c r="E12" s="105">
        <v>2</v>
      </c>
      <c r="F12" s="112">
        <v>0</v>
      </c>
      <c r="G12" s="116">
        <v>0</v>
      </c>
      <c r="H12" s="27">
        <v>11.42</v>
      </c>
      <c r="I12" s="19">
        <v>133.69</v>
      </c>
      <c r="J12" s="23">
        <f t="shared" si="6"/>
        <v>0.10012033312234347</v>
      </c>
      <c r="K12" s="102">
        <v>12.41</v>
      </c>
      <c r="L12" s="22">
        <v>366.3</v>
      </c>
      <c r="M12" s="20">
        <f t="shared" si="0"/>
        <v>0.18175751027441017</v>
      </c>
      <c r="N12" s="27">
        <v>12.36</v>
      </c>
      <c r="O12" s="19">
        <v>41.49</v>
      </c>
      <c r="P12" s="23">
        <f t="shared" si="1"/>
        <v>2.4596375493757861E-2</v>
      </c>
      <c r="Q12" s="27">
        <v>12.32</v>
      </c>
      <c r="R12" s="19">
        <v>522.70000000000005</v>
      </c>
      <c r="S12" s="23">
        <f t="shared" si="2"/>
        <v>0.23839047072973671</v>
      </c>
      <c r="T12" s="34">
        <v>12.26</v>
      </c>
      <c r="U12" s="35">
        <v>687.6</v>
      </c>
      <c r="V12" s="23">
        <f t="shared" si="3"/>
        <v>0.38599905745721713</v>
      </c>
      <c r="W12" s="34">
        <v>12.27</v>
      </c>
      <c r="X12" s="35">
        <v>314.2</v>
      </c>
      <c r="Y12" s="19">
        <f t="shared" si="4"/>
        <v>0.1238054761423853</v>
      </c>
      <c r="Z12" s="34">
        <v>12.35</v>
      </c>
      <c r="AA12" s="35">
        <v>146.4</v>
      </c>
      <c r="AB12" s="23">
        <f t="shared" si="5"/>
        <v>7.2329771586138514E-2</v>
      </c>
    </row>
    <row r="13" spans="2:28" s="16" customFormat="1" x14ac:dyDescent="0.25">
      <c r="B13" s="65" t="s">
        <v>126</v>
      </c>
      <c r="C13" s="35" t="s">
        <v>31</v>
      </c>
      <c r="D13" s="76" t="s">
        <v>32</v>
      </c>
      <c r="E13" s="105">
        <v>1</v>
      </c>
      <c r="F13" s="112">
        <v>0</v>
      </c>
      <c r="G13" s="116">
        <v>0</v>
      </c>
      <c r="H13" s="27">
        <v>11.65</v>
      </c>
      <c r="I13" s="19">
        <v>4952.5</v>
      </c>
      <c r="J13" s="23">
        <f t="shared" si="6"/>
        <v>3.708923253709373</v>
      </c>
      <c r="K13" s="102">
        <v>12.74</v>
      </c>
      <c r="L13" s="22">
        <v>5923.69</v>
      </c>
      <c r="M13" s="20">
        <f t="shared" si="0"/>
        <v>2.9393260880082468</v>
      </c>
      <c r="N13" s="27">
        <v>12.71</v>
      </c>
      <c r="O13" s="19">
        <v>6161.12</v>
      </c>
      <c r="P13" s="23">
        <f t="shared" si="1"/>
        <v>3.652475800966533</v>
      </c>
      <c r="Q13" s="27">
        <v>12.62</v>
      </c>
      <c r="R13" s="19">
        <v>6100.99</v>
      </c>
      <c r="S13" s="23">
        <f t="shared" si="2"/>
        <v>2.7825098106321335</v>
      </c>
      <c r="T13" s="34">
        <v>12.56</v>
      </c>
      <c r="U13" s="35">
        <v>5119.3500000000004</v>
      </c>
      <c r="V13" s="23">
        <f t="shared" si="3"/>
        <v>2.873857293184416</v>
      </c>
      <c r="W13" s="34">
        <v>12.63</v>
      </c>
      <c r="X13" s="35">
        <v>6320.28</v>
      </c>
      <c r="Y13" s="19">
        <f t="shared" si="4"/>
        <v>2.4904050755989653</v>
      </c>
      <c r="Z13" s="34">
        <v>12.67</v>
      </c>
      <c r="AA13" s="35">
        <v>5513.61</v>
      </c>
      <c r="AB13" s="23">
        <f t="shared" si="5"/>
        <v>2.7240310923159097</v>
      </c>
    </row>
    <row r="14" spans="2:28" s="16" customFormat="1" x14ac:dyDescent="0.25">
      <c r="B14" s="65" t="s">
        <v>127</v>
      </c>
      <c r="C14" s="35" t="s">
        <v>31</v>
      </c>
      <c r="D14" s="74" t="s">
        <v>263</v>
      </c>
      <c r="E14" s="105">
        <v>3</v>
      </c>
      <c r="F14" s="112">
        <v>0</v>
      </c>
      <c r="G14" s="116">
        <v>0</v>
      </c>
      <c r="H14" s="27">
        <v>12.8</v>
      </c>
      <c r="I14" s="19">
        <v>988.46</v>
      </c>
      <c r="J14" s="23">
        <f t="shared" si="6"/>
        <v>0.74025689638799941</v>
      </c>
      <c r="K14" s="102">
        <v>14.09</v>
      </c>
      <c r="L14" s="22">
        <v>1943.56</v>
      </c>
      <c r="M14" s="20">
        <f t="shared" si="0"/>
        <v>0.96439155519774133</v>
      </c>
      <c r="N14" s="27">
        <v>14.05</v>
      </c>
      <c r="O14" s="19">
        <v>3183.94</v>
      </c>
      <c r="P14" s="23">
        <f t="shared" si="1"/>
        <v>1.8875243140418274</v>
      </c>
      <c r="Q14" s="27">
        <v>13.96</v>
      </c>
      <c r="R14" s="19">
        <v>2634.07</v>
      </c>
      <c r="S14" s="23">
        <f t="shared" si="2"/>
        <v>1.2013338190837528</v>
      </c>
      <c r="T14" s="34">
        <v>13.89</v>
      </c>
      <c r="U14" s="35">
        <v>2313.75</v>
      </c>
      <c r="V14" s="23">
        <f t="shared" si="3"/>
        <v>1.2988733554270449</v>
      </c>
      <c r="W14" s="34">
        <v>13.91</v>
      </c>
      <c r="X14" s="35">
        <v>2281.83</v>
      </c>
      <c r="Y14" s="19">
        <f t="shared" si="4"/>
        <v>0.89911855387007966</v>
      </c>
      <c r="Z14" s="34">
        <v>14.04</v>
      </c>
      <c r="AA14" s="35">
        <v>1480.81</v>
      </c>
      <c r="AB14" s="23">
        <f t="shared" si="5"/>
        <v>0.73160279414255303</v>
      </c>
    </row>
    <row r="15" spans="2:28" s="16" customFormat="1" x14ac:dyDescent="0.25">
      <c r="B15" s="65" t="s">
        <v>336</v>
      </c>
      <c r="C15" s="35" t="s">
        <v>31</v>
      </c>
      <c r="D15" s="75" t="s">
        <v>337</v>
      </c>
      <c r="E15" s="105">
        <v>3</v>
      </c>
      <c r="F15" s="112">
        <v>0</v>
      </c>
      <c r="G15" s="116">
        <v>0</v>
      </c>
      <c r="H15" s="27" t="s">
        <v>22</v>
      </c>
      <c r="I15" s="19">
        <v>0</v>
      </c>
      <c r="J15" s="23">
        <f t="shared" si="6"/>
        <v>0</v>
      </c>
      <c r="K15" s="97">
        <v>14.5</v>
      </c>
      <c r="L15" s="13">
        <v>286.7</v>
      </c>
      <c r="M15" s="19">
        <f t="shared" si="0"/>
        <v>0.14226010973429809</v>
      </c>
      <c r="N15" s="27" t="s">
        <v>358</v>
      </c>
      <c r="O15" s="19">
        <v>396.8</v>
      </c>
      <c r="P15" s="23">
        <f t="shared" si="1"/>
        <v>0.23523359353875925</v>
      </c>
      <c r="Q15" s="27">
        <v>14.31</v>
      </c>
      <c r="R15" s="19">
        <v>309.10000000000002</v>
      </c>
      <c r="S15" s="23">
        <f t="shared" si="2"/>
        <v>0.14097282284783169</v>
      </c>
      <c r="T15" s="34">
        <v>14.29</v>
      </c>
      <c r="U15" s="35">
        <v>550.70000000000005</v>
      </c>
      <c r="V15" s="23">
        <f t="shared" si="3"/>
        <v>0.30914729630844895</v>
      </c>
      <c r="W15" s="34">
        <v>14.36</v>
      </c>
      <c r="X15" s="35">
        <v>404.9</v>
      </c>
      <c r="Y15" s="19">
        <f t="shared" si="4"/>
        <v>0.15954435802053407</v>
      </c>
      <c r="Z15" s="34">
        <v>14.43</v>
      </c>
      <c r="AA15" s="35">
        <v>122.6</v>
      </c>
      <c r="AB15" s="23">
        <f t="shared" si="5"/>
        <v>6.0571243145222553E-2</v>
      </c>
    </row>
    <row r="16" spans="2:28" s="16" customFormat="1" x14ac:dyDescent="0.25">
      <c r="B16" s="65">
        <v>628</v>
      </c>
      <c r="C16" s="35" t="s">
        <v>128</v>
      </c>
      <c r="D16" s="74" t="s">
        <v>129</v>
      </c>
      <c r="E16" s="105">
        <v>4</v>
      </c>
      <c r="F16" s="112">
        <v>0</v>
      </c>
      <c r="G16" s="116">
        <v>0</v>
      </c>
      <c r="H16" s="27">
        <v>12.47</v>
      </c>
      <c r="I16" s="19">
        <v>926.28</v>
      </c>
      <c r="J16" s="23">
        <f t="shared" si="6"/>
        <v>0.69369034456252765</v>
      </c>
      <c r="K16" s="102">
        <v>13.61</v>
      </c>
      <c r="L16" s="22">
        <v>1013.6</v>
      </c>
      <c r="M16" s="20">
        <f t="shared" si="0"/>
        <v>0.50294679883740689</v>
      </c>
      <c r="N16" s="27">
        <v>13.57</v>
      </c>
      <c r="O16" s="19">
        <v>1089.4000000000001</v>
      </c>
      <c r="P16" s="23">
        <f t="shared" si="1"/>
        <v>0.64582529435767222</v>
      </c>
      <c r="Q16" s="27">
        <v>13.5</v>
      </c>
      <c r="R16" s="19">
        <v>1194.49</v>
      </c>
      <c r="S16" s="23">
        <f t="shared" si="2"/>
        <v>0.54477718267067765</v>
      </c>
      <c r="T16" s="34">
        <v>13.4</v>
      </c>
      <c r="U16" s="35">
        <v>735.58</v>
      </c>
      <c r="V16" s="23">
        <f t="shared" si="3"/>
        <v>0.41293366300811485</v>
      </c>
      <c r="W16" s="34">
        <v>13.39</v>
      </c>
      <c r="X16" s="35">
        <v>1020.1</v>
      </c>
      <c r="Y16" s="19">
        <f t="shared" si="4"/>
        <v>0.40195406178500076</v>
      </c>
      <c r="Z16" s="34">
        <v>13.55</v>
      </c>
      <c r="AA16" s="35">
        <v>831.58</v>
      </c>
      <c r="AB16" s="23">
        <f t="shared" si="5"/>
        <v>0.41084693617213847</v>
      </c>
    </row>
    <row r="17" spans="2:28" x14ac:dyDescent="0.25">
      <c r="B17" s="65">
        <v>667</v>
      </c>
      <c r="C17" s="35" t="s">
        <v>33</v>
      </c>
      <c r="D17" s="74" t="s">
        <v>34</v>
      </c>
      <c r="E17" s="106">
        <v>2</v>
      </c>
      <c r="F17" s="113">
        <v>1</v>
      </c>
      <c r="G17" s="116">
        <v>0</v>
      </c>
      <c r="H17" s="27">
        <v>12.7</v>
      </c>
      <c r="I17" s="19">
        <v>1511.48</v>
      </c>
      <c r="J17" s="23">
        <f t="shared" si="6"/>
        <v>1.13194615235066</v>
      </c>
      <c r="K17" s="102">
        <v>13.86</v>
      </c>
      <c r="L17" s="22">
        <v>3017.1</v>
      </c>
      <c r="M17" s="20">
        <f t="shared" si="0"/>
        <v>1.4970804920800516</v>
      </c>
      <c r="N17" s="27">
        <v>13.9</v>
      </c>
      <c r="O17" s="19">
        <v>4143.9799999999996</v>
      </c>
      <c r="P17" s="23">
        <f t="shared" si="1"/>
        <v>2.4566615598607546</v>
      </c>
      <c r="Q17" s="27">
        <v>13.75</v>
      </c>
      <c r="R17" s="19">
        <v>2925.27</v>
      </c>
      <c r="S17" s="23">
        <f t="shared" si="2"/>
        <v>1.3341428970950391</v>
      </c>
      <c r="T17" s="34">
        <v>13.58</v>
      </c>
      <c r="U17" s="35">
        <v>6458.67</v>
      </c>
      <c r="V17" s="23">
        <f t="shared" si="3"/>
        <v>3.625713397945324</v>
      </c>
      <c r="W17" s="34">
        <v>13.67</v>
      </c>
      <c r="X17" s="35">
        <v>3142.51</v>
      </c>
      <c r="Y17" s="19">
        <f t="shared" si="4"/>
        <v>1.2382557187530465</v>
      </c>
      <c r="Z17" s="34">
        <v>13.89</v>
      </c>
      <c r="AA17" s="35">
        <v>2705.89</v>
      </c>
      <c r="AB17" s="23">
        <f t="shared" si="5"/>
        <v>1.3368606942432808</v>
      </c>
    </row>
    <row r="18" spans="2:28" x14ac:dyDescent="0.25">
      <c r="B18" s="65" t="s">
        <v>35</v>
      </c>
      <c r="C18" s="35" t="s">
        <v>36</v>
      </c>
      <c r="D18" s="74" t="s">
        <v>37</v>
      </c>
      <c r="E18" s="105">
        <v>1</v>
      </c>
      <c r="F18" s="112">
        <v>0</v>
      </c>
      <c r="G18" s="116">
        <v>0</v>
      </c>
      <c r="H18" s="27">
        <v>11.32</v>
      </c>
      <c r="I18" s="19">
        <v>942.5</v>
      </c>
      <c r="J18" s="23">
        <f t="shared" si="6"/>
        <v>0.70583748947422198</v>
      </c>
      <c r="K18" s="102">
        <v>12.33</v>
      </c>
      <c r="L18" s="22">
        <v>1100.78</v>
      </c>
      <c r="M18" s="20">
        <f t="shared" si="0"/>
        <v>0.54620538400181606</v>
      </c>
      <c r="N18" s="27">
        <v>12.36</v>
      </c>
      <c r="O18" s="19">
        <v>1201.72</v>
      </c>
      <c r="P18" s="23">
        <f t="shared" si="1"/>
        <v>0.71241157769001451</v>
      </c>
      <c r="Q18" s="27">
        <v>12.24</v>
      </c>
      <c r="R18" s="19">
        <v>1032.17</v>
      </c>
      <c r="S18" s="23">
        <f t="shared" si="2"/>
        <v>0.47074706748251838</v>
      </c>
      <c r="T18" s="34">
        <v>12.08</v>
      </c>
      <c r="U18" s="35">
        <v>1072.45</v>
      </c>
      <c r="V18" s="23">
        <f t="shared" si="3"/>
        <v>0.60204288710004727</v>
      </c>
      <c r="W18" s="34">
        <v>12.17</v>
      </c>
      <c r="X18" s="35">
        <v>1136.78</v>
      </c>
      <c r="Y18" s="19">
        <f t="shared" si="4"/>
        <v>0.44792994643265677</v>
      </c>
      <c r="Z18" s="34">
        <v>12.35</v>
      </c>
      <c r="AA18" s="35">
        <v>1137.06</v>
      </c>
      <c r="AB18" s="23">
        <f t="shared" si="5"/>
        <v>0.56177110710201261</v>
      </c>
    </row>
    <row r="19" spans="2:28" x14ac:dyDescent="0.25">
      <c r="B19" s="65" t="s">
        <v>38</v>
      </c>
      <c r="C19" s="35" t="s">
        <v>36</v>
      </c>
      <c r="D19" s="74" t="s">
        <v>39</v>
      </c>
      <c r="E19" s="107">
        <v>1</v>
      </c>
      <c r="F19" s="114">
        <v>0</v>
      </c>
      <c r="G19" s="116">
        <v>0</v>
      </c>
      <c r="H19" s="27">
        <v>13.08</v>
      </c>
      <c r="I19" s="19">
        <v>5858.1</v>
      </c>
      <c r="J19" s="23">
        <f t="shared" si="6"/>
        <v>4.3871263629590871</v>
      </c>
      <c r="K19" s="102">
        <v>14.46</v>
      </c>
      <c r="L19" s="22">
        <v>8643.4500000000007</v>
      </c>
      <c r="M19" s="20">
        <f t="shared" si="0"/>
        <v>4.2888669183220065</v>
      </c>
      <c r="N19" s="27">
        <v>14.54</v>
      </c>
      <c r="O19" s="19">
        <v>7842.22</v>
      </c>
      <c r="P19" s="23">
        <f t="shared" si="1"/>
        <v>4.6490765925441746</v>
      </c>
      <c r="Q19" s="27">
        <v>14.41</v>
      </c>
      <c r="R19" s="19">
        <v>9243.9</v>
      </c>
      <c r="S19" s="23">
        <f t="shared" si="2"/>
        <v>4.2159128991364323</v>
      </c>
      <c r="T19" s="34">
        <v>14.29</v>
      </c>
      <c r="U19" s="35">
        <v>9750.07</v>
      </c>
      <c r="V19" s="23">
        <f t="shared" si="3"/>
        <v>5.4734116203343346</v>
      </c>
      <c r="W19" s="34">
        <v>14.36</v>
      </c>
      <c r="X19" s="35">
        <v>11703.09</v>
      </c>
      <c r="Y19" s="19">
        <f t="shared" si="4"/>
        <v>4.6114151170820756</v>
      </c>
      <c r="Z19" s="34">
        <v>14.53</v>
      </c>
      <c r="AA19" s="35">
        <v>10976.09</v>
      </c>
      <c r="AB19" s="23">
        <f t="shared" si="5"/>
        <v>5.4228011107165237</v>
      </c>
    </row>
    <row r="20" spans="2:28" s="16" customFormat="1" x14ac:dyDescent="0.25">
      <c r="B20" s="65" t="s">
        <v>130</v>
      </c>
      <c r="C20" s="35" t="s">
        <v>133</v>
      </c>
      <c r="D20" s="74" t="s">
        <v>132</v>
      </c>
      <c r="E20" s="107">
        <v>1</v>
      </c>
      <c r="F20" s="112">
        <v>0</v>
      </c>
      <c r="G20" s="116">
        <v>0</v>
      </c>
      <c r="H20" s="27">
        <v>11.28</v>
      </c>
      <c r="I20" s="19">
        <v>278.8</v>
      </c>
      <c r="J20" s="23">
        <f t="shared" si="6"/>
        <v>0.20879309502961599</v>
      </c>
      <c r="K20" s="102">
        <v>12.26</v>
      </c>
      <c r="L20" s="22">
        <v>310.01</v>
      </c>
      <c r="M20" s="20">
        <f t="shared" si="0"/>
        <v>0.15382649675176058</v>
      </c>
      <c r="N20" s="27">
        <v>12.29</v>
      </c>
      <c r="O20" s="19">
        <v>261.02999999999997</v>
      </c>
      <c r="P20" s="23">
        <f t="shared" si="1"/>
        <v>0.15474552651568124</v>
      </c>
      <c r="Q20" s="27">
        <v>12.19</v>
      </c>
      <c r="R20" s="19">
        <v>271.32</v>
      </c>
      <c r="S20" s="23">
        <f t="shared" si="2"/>
        <v>0.12374230441628499</v>
      </c>
      <c r="T20" s="34">
        <v>11.99</v>
      </c>
      <c r="U20" s="35">
        <v>332.84</v>
      </c>
      <c r="V20" s="23">
        <f t="shared" si="3"/>
        <v>0.18684689686454353</v>
      </c>
      <c r="W20" s="34">
        <v>12.09</v>
      </c>
      <c r="X20" s="35">
        <v>342.63</v>
      </c>
      <c r="Y20" s="19">
        <f t="shared" si="4"/>
        <v>0.13500786215997923</v>
      </c>
      <c r="Z20" s="34">
        <v>12.22</v>
      </c>
      <c r="AA20" s="35">
        <v>313.33999999999997</v>
      </c>
      <c r="AB20" s="23">
        <f t="shared" si="5"/>
        <v>0.1548074496502776</v>
      </c>
    </row>
    <row r="21" spans="2:28" s="16" customFormat="1" x14ac:dyDescent="0.25">
      <c r="B21" s="65" t="s">
        <v>131</v>
      </c>
      <c r="C21" s="35" t="s">
        <v>133</v>
      </c>
      <c r="D21" s="74" t="s">
        <v>264</v>
      </c>
      <c r="E21" s="107">
        <v>1</v>
      </c>
      <c r="F21" s="112">
        <v>0</v>
      </c>
      <c r="G21" s="116">
        <v>0</v>
      </c>
      <c r="H21" s="27">
        <v>12.89</v>
      </c>
      <c r="I21" s="19">
        <v>322.89999999999998</v>
      </c>
      <c r="J21" s="23">
        <f t="shared" si="6"/>
        <v>0.24181954944427186</v>
      </c>
      <c r="K21" s="102">
        <v>14.26</v>
      </c>
      <c r="L21" s="22">
        <v>495.11</v>
      </c>
      <c r="M21" s="20">
        <f t="shared" si="0"/>
        <v>0.24567283896249856</v>
      </c>
      <c r="N21" s="27">
        <v>14.33</v>
      </c>
      <c r="O21" s="19">
        <v>500.14</v>
      </c>
      <c r="P21" s="23">
        <f t="shared" si="1"/>
        <v>0.29649629403345523</v>
      </c>
      <c r="Q21" s="27">
        <v>14.21</v>
      </c>
      <c r="R21" s="19">
        <v>557</v>
      </c>
      <c r="S21" s="23">
        <f t="shared" si="2"/>
        <v>0.25403384770702764</v>
      </c>
      <c r="T21" s="34">
        <v>14.09</v>
      </c>
      <c r="U21" s="35">
        <v>815.19</v>
      </c>
      <c r="V21" s="23">
        <f t="shared" si="3"/>
        <v>0.45762444975065275</v>
      </c>
      <c r="W21" s="34">
        <v>14.17</v>
      </c>
      <c r="X21" s="35">
        <v>623.74</v>
      </c>
      <c r="Y21" s="19">
        <f t="shared" si="4"/>
        <v>0.24577475394351178</v>
      </c>
      <c r="Z21" s="34">
        <v>14.33</v>
      </c>
      <c r="AA21" s="35">
        <v>558.72</v>
      </c>
      <c r="AB21" s="23">
        <f t="shared" si="5"/>
        <v>0.2760388659877549</v>
      </c>
    </row>
    <row r="22" spans="2:28" s="16" customFormat="1" x14ac:dyDescent="0.25">
      <c r="B22" s="65">
        <v>708</v>
      </c>
      <c r="C22" s="35" t="s">
        <v>135</v>
      </c>
      <c r="D22" s="74" t="s">
        <v>134</v>
      </c>
      <c r="E22" s="107">
        <v>4</v>
      </c>
      <c r="F22" s="112">
        <v>1</v>
      </c>
      <c r="G22" s="116">
        <v>0</v>
      </c>
      <c r="H22" s="27">
        <v>13.7</v>
      </c>
      <c r="I22" s="19">
        <v>1892.62</v>
      </c>
      <c r="J22" s="23">
        <f t="shared" si="6"/>
        <v>1.4173815907996836</v>
      </c>
      <c r="K22" s="102">
        <v>14.97</v>
      </c>
      <c r="L22" s="22">
        <v>2792.44</v>
      </c>
      <c r="M22" s="20">
        <f t="shared" si="0"/>
        <v>1.3856045372390773</v>
      </c>
      <c r="N22" s="27">
        <v>15.05</v>
      </c>
      <c r="O22" s="19">
        <v>2015</v>
      </c>
      <c r="P22" s="23">
        <f t="shared" si="1"/>
        <v>1.1945455921890118</v>
      </c>
      <c r="Q22" s="27">
        <v>14.9</v>
      </c>
      <c r="R22" s="19">
        <v>2793.84</v>
      </c>
      <c r="S22" s="23">
        <f t="shared" si="2"/>
        <v>1.2742009426890524</v>
      </c>
      <c r="T22" s="34">
        <v>14.79</v>
      </c>
      <c r="U22" s="35">
        <v>3011.15</v>
      </c>
      <c r="V22" s="23">
        <f t="shared" si="3"/>
        <v>1.6903738537846122</v>
      </c>
      <c r="W22" s="34">
        <v>14.87</v>
      </c>
      <c r="X22" s="35">
        <v>3811.73</v>
      </c>
      <c r="Y22" s="19">
        <f t="shared" si="4"/>
        <v>1.5019511380528781</v>
      </c>
      <c r="Z22" s="34">
        <v>14.92</v>
      </c>
      <c r="AA22" s="35">
        <v>2285.84</v>
      </c>
      <c r="AB22" s="23">
        <f t="shared" si="5"/>
        <v>1.1293325483774512</v>
      </c>
    </row>
    <row r="23" spans="2:28" s="16" customFormat="1" x14ac:dyDescent="0.25">
      <c r="B23" s="65" t="s">
        <v>136</v>
      </c>
      <c r="C23" s="35" t="s">
        <v>138</v>
      </c>
      <c r="D23" s="74" t="s">
        <v>139</v>
      </c>
      <c r="E23" s="107">
        <v>3</v>
      </c>
      <c r="F23" s="112">
        <v>0</v>
      </c>
      <c r="G23" s="116">
        <v>0</v>
      </c>
      <c r="H23" s="27">
        <v>11.5</v>
      </c>
      <c r="I23" s="19">
        <v>469.21</v>
      </c>
      <c r="J23" s="23">
        <f t="shared" si="6"/>
        <v>0.35139099038323574</v>
      </c>
      <c r="K23" s="102">
        <v>12.5</v>
      </c>
      <c r="L23" s="22">
        <v>654.87</v>
      </c>
      <c r="M23" s="20">
        <f t="shared" si="0"/>
        <v>0.32494551120230136</v>
      </c>
      <c r="N23" s="27">
        <v>12.58</v>
      </c>
      <c r="O23" s="19">
        <v>508.73</v>
      </c>
      <c r="P23" s="23">
        <f t="shared" si="1"/>
        <v>0.30158867449841981</v>
      </c>
      <c r="Q23" s="27">
        <v>12.48</v>
      </c>
      <c r="R23" s="19">
        <v>732.14</v>
      </c>
      <c r="S23" s="23">
        <f t="shared" si="2"/>
        <v>0.33391084606862337</v>
      </c>
      <c r="T23" s="34">
        <v>12.36</v>
      </c>
      <c r="U23" s="35">
        <v>740.18</v>
      </c>
      <c r="V23" s="23">
        <f t="shared" si="3"/>
        <v>0.41551597200215667</v>
      </c>
      <c r="W23" s="34">
        <v>12.45</v>
      </c>
      <c r="X23" s="35">
        <v>745.05</v>
      </c>
      <c r="Y23" s="19">
        <f t="shared" si="4"/>
        <v>0.29357501591306223</v>
      </c>
      <c r="Z23" s="34">
        <v>12.53</v>
      </c>
      <c r="AA23" s="35">
        <v>633.84</v>
      </c>
      <c r="AB23" s="23">
        <f t="shared" si="5"/>
        <v>0.31315233894916694</v>
      </c>
    </row>
    <row r="24" spans="2:28" s="16" customFormat="1" x14ac:dyDescent="0.25">
      <c r="B24" s="65" t="s">
        <v>137</v>
      </c>
      <c r="C24" s="35" t="s">
        <v>138</v>
      </c>
      <c r="D24" s="74" t="s">
        <v>140</v>
      </c>
      <c r="E24" s="107">
        <v>5</v>
      </c>
      <c r="F24" s="112">
        <v>0</v>
      </c>
      <c r="G24" s="116">
        <v>0</v>
      </c>
      <c r="H24" s="27">
        <v>14.01</v>
      </c>
      <c r="I24" s="19">
        <v>833.04</v>
      </c>
      <c r="J24" s="23">
        <f t="shared" si="6"/>
        <v>0.62386298380011229</v>
      </c>
      <c r="K24" s="102">
        <v>15.38</v>
      </c>
      <c r="L24" s="22">
        <v>1092.3499999999999</v>
      </c>
      <c r="M24" s="20">
        <f t="shared" si="0"/>
        <v>0.54202243065315847</v>
      </c>
      <c r="N24" s="27">
        <v>15.46</v>
      </c>
      <c r="O24" s="19">
        <v>917.8</v>
      </c>
      <c r="P24" s="23">
        <f t="shared" si="1"/>
        <v>0.5440962503777047</v>
      </c>
      <c r="Q24" s="27">
        <v>15.31</v>
      </c>
      <c r="R24" s="19">
        <v>1291.18</v>
      </c>
      <c r="S24" s="23">
        <f t="shared" si="2"/>
        <v>0.58887508704193881</v>
      </c>
      <c r="T24" s="34">
        <v>15.21</v>
      </c>
      <c r="U24" s="35">
        <v>1788.39</v>
      </c>
      <c r="V24" s="23">
        <f t="shared" si="3"/>
        <v>1.0039512134466442</v>
      </c>
      <c r="W24" s="34">
        <v>15.28</v>
      </c>
      <c r="X24" s="35">
        <v>1518.17</v>
      </c>
      <c r="Y24" s="19">
        <f t="shared" si="4"/>
        <v>0.59821056561134656</v>
      </c>
      <c r="Z24" s="34">
        <v>15.43</v>
      </c>
      <c r="AA24" s="35">
        <v>1142.4000000000001</v>
      </c>
      <c r="AB24" s="23">
        <f t="shared" si="5"/>
        <v>0.56440936516396611</v>
      </c>
    </row>
    <row r="25" spans="2:28" s="16" customFormat="1" x14ac:dyDescent="0.25">
      <c r="B25" s="65" t="s">
        <v>141</v>
      </c>
      <c r="C25" s="35" t="s">
        <v>143</v>
      </c>
      <c r="D25" s="74" t="s">
        <v>144</v>
      </c>
      <c r="E25" s="107">
        <v>3</v>
      </c>
      <c r="F25" s="112">
        <v>0</v>
      </c>
      <c r="G25" s="116">
        <v>0</v>
      </c>
      <c r="H25" s="27">
        <v>11.42</v>
      </c>
      <c r="I25" s="19">
        <v>404.4</v>
      </c>
      <c r="J25" s="23">
        <f t="shared" si="6"/>
        <v>0.30285483367997384</v>
      </c>
      <c r="K25" s="102">
        <v>12.41</v>
      </c>
      <c r="L25" s="22">
        <v>605.16999999999996</v>
      </c>
      <c r="M25" s="20">
        <f t="shared" si="0"/>
        <v>0.30028444578969365</v>
      </c>
      <c r="N25" s="27">
        <v>12.43</v>
      </c>
      <c r="O25" s="19">
        <v>386.24</v>
      </c>
      <c r="P25" s="23">
        <f t="shared" si="1"/>
        <v>0.22897334467845357</v>
      </c>
      <c r="Q25" s="27">
        <v>12.32</v>
      </c>
      <c r="R25" s="19">
        <v>632.53</v>
      </c>
      <c r="S25" s="23">
        <f t="shared" si="2"/>
        <v>0.288481202316205</v>
      </c>
      <c r="T25" s="34">
        <v>12.26</v>
      </c>
      <c r="U25" s="35">
        <v>640.21</v>
      </c>
      <c r="V25" s="23">
        <f t="shared" si="3"/>
        <v>0.35939566110338134</v>
      </c>
      <c r="W25" s="34">
        <v>12.35</v>
      </c>
      <c r="X25" s="35">
        <v>663.58</v>
      </c>
      <c r="Y25" s="19">
        <f t="shared" si="4"/>
        <v>0.26147306765933809</v>
      </c>
      <c r="Z25" s="34">
        <v>12.44</v>
      </c>
      <c r="AA25" s="35">
        <v>506.31</v>
      </c>
      <c r="AB25" s="23">
        <f t="shared" si="5"/>
        <v>0.25014540062689744</v>
      </c>
    </row>
    <row r="26" spans="2:28" s="16" customFormat="1" x14ac:dyDescent="0.25">
      <c r="B26" s="65" t="s">
        <v>142</v>
      </c>
      <c r="C26" s="35" t="s">
        <v>143</v>
      </c>
      <c r="D26" s="74" t="s">
        <v>145</v>
      </c>
      <c r="E26" s="107">
        <v>5</v>
      </c>
      <c r="F26" s="112">
        <v>0</v>
      </c>
      <c r="G26" s="116">
        <v>0</v>
      </c>
      <c r="H26" s="27">
        <v>13.7</v>
      </c>
      <c r="I26" s="19">
        <v>944.63</v>
      </c>
      <c r="J26" s="23">
        <f t="shared" si="6"/>
        <v>0.70743264475547407</v>
      </c>
      <c r="K26" s="102">
        <v>15.07</v>
      </c>
      <c r="L26" s="22">
        <v>1285.99</v>
      </c>
      <c r="M26" s="20">
        <f t="shared" si="0"/>
        <v>0.63810630804747126</v>
      </c>
      <c r="N26" s="27">
        <v>15.25</v>
      </c>
      <c r="O26" s="19">
        <v>905.89</v>
      </c>
      <c r="P26" s="23">
        <f t="shared" si="1"/>
        <v>0.53703568561196224</v>
      </c>
      <c r="Q26" s="27">
        <v>15.1</v>
      </c>
      <c r="R26" s="19">
        <v>1464.76</v>
      </c>
      <c r="S26" s="23">
        <f t="shared" si="2"/>
        <v>0.66804060819990263</v>
      </c>
      <c r="T26" s="34">
        <v>14.9</v>
      </c>
      <c r="U26" s="35">
        <v>1570.54</v>
      </c>
      <c r="V26" s="23">
        <f t="shared" si="3"/>
        <v>0.88165642771794328</v>
      </c>
      <c r="W26" s="34">
        <v>14.98</v>
      </c>
      <c r="X26" s="35">
        <v>1703.65</v>
      </c>
      <c r="Y26" s="19">
        <f t="shared" si="4"/>
        <v>0.67129598800119261</v>
      </c>
      <c r="Z26" s="34">
        <v>15.23</v>
      </c>
      <c r="AA26" s="35">
        <v>1202.98</v>
      </c>
      <c r="AB26" s="23">
        <f t="shared" si="5"/>
        <v>0.59433926654844882</v>
      </c>
    </row>
    <row r="27" spans="2:28" x14ac:dyDescent="0.25">
      <c r="B27" s="65" t="s">
        <v>40</v>
      </c>
      <c r="C27" s="35" t="s">
        <v>41</v>
      </c>
      <c r="D27" s="74" t="s">
        <v>146</v>
      </c>
      <c r="E27" s="107">
        <v>3</v>
      </c>
      <c r="F27" s="114">
        <v>0</v>
      </c>
      <c r="G27" s="116" t="s">
        <v>274</v>
      </c>
      <c r="H27" s="27">
        <v>10.33</v>
      </c>
      <c r="I27" s="19">
        <v>1555.9</v>
      </c>
      <c r="J27" s="23">
        <f t="shared" si="6"/>
        <v>1.1652122545071002</v>
      </c>
      <c r="K27" s="102">
        <v>11.38</v>
      </c>
      <c r="L27" s="22">
        <v>2699.32</v>
      </c>
      <c r="M27" s="20">
        <f t="shared" si="0"/>
        <v>1.3393985329891369</v>
      </c>
      <c r="N27" s="27" t="s">
        <v>22</v>
      </c>
      <c r="O27" s="19">
        <v>0</v>
      </c>
      <c r="P27" s="23">
        <f t="shared" si="1"/>
        <v>0</v>
      </c>
      <c r="Q27" s="27">
        <v>11.3</v>
      </c>
      <c r="R27" s="19">
        <v>1387.86</v>
      </c>
      <c r="S27" s="23">
        <f t="shared" si="2"/>
        <v>0.63296843066189468</v>
      </c>
      <c r="T27" s="34">
        <v>11.14</v>
      </c>
      <c r="U27" s="35">
        <v>2290.06</v>
      </c>
      <c r="V27" s="23">
        <f t="shared" si="3"/>
        <v>1.2855744641077294</v>
      </c>
      <c r="W27" s="34">
        <v>11.28</v>
      </c>
      <c r="X27" s="35">
        <v>2452.62</v>
      </c>
      <c r="Y27" s="19">
        <f t="shared" si="4"/>
        <v>0.9664156171111935</v>
      </c>
      <c r="Z27" s="34">
        <v>11.32</v>
      </c>
      <c r="AA27" s="35">
        <v>2420.1</v>
      </c>
      <c r="AB27" s="23">
        <f t="shared" si="5"/>
        <v>1.195664482347089</v>
      </c>
    </row>
    <row r="28" spans="2:28" x14ac:dyDescent="0.25">
      <c r="B28" s="65" t="s">
        <v>43</v>
      </c>
      <c r="C28" s="35" t="s">
        <v>41</v>
      </c>
      <c r="D28" s="74" t="s">
        <v>147</v>
      </c>
      <c r="E28" s="107">
        <v>3</v>
      </c>
      <c r="F28" s="114">
        <v>0</v>
      </c>
      <c r="G28" s="116" t="s">
        <v>275</v>
      </c>
      <c r="H28" s="27">
        <v>15.24</v>
      </c>
      <c r="I28" s="19">
        <v>251.8</v>
      </c>
      <c r="J28" s="23">
        <f t="shared" si="6"/>
        <v>0.18857281681656138</v>
      </c>
      <c r="K28" s="97">
        <v>16.64</v>
      </c>
      <c r="L28" s="22">
        <v>362.1</v>
      </c>
      <c r="M28" s="20">
        <f t="shared" si="0"/>
        <v>0.1796734765775701</v>
      </c>
      <c r="N28" s="27">
        <v>16.57</v>
      </c>
      <c r="O28" s="19">
        <v>217.1</v>
      </c>
      <c r="P28" s="23">
        <f t="shared" si="1"/>
        <v>0.12870265412617093</v>
      </c>
      <c r="Q28" s="27">
        <v>16.54</v>
      </c>
      <c r="R28" s="19">
        <v>454.6</v>
      </c>
      <c r="S28" s="23">
        <f t="shared" si="2"/>
        <v>0.20733175434042148</v>
      </c>
      <c r="T28" s="34" t="s">
        <v>22</v>
      </c>
      <c r="U28" s="35">
        <v>0</v>
      </c>
      <c r="V28" s="23">
        <f t="shared" si="3"/>
        <v>0</v>
      </c>
      <c r="W28" s="34">
        <v>16.399999999999999</v>
      </c>
      <c r="X28" s="35">
        <v>292.60000000000002</v>
      </c>
      <c r="Y28" s="19">
        <f t="shared" si="4"/>
        <v>0.11529434220006983</v>
      </c>
      <c r="Z28" s="34">
        <v>16.52</v>
      </c>
      <c r="AA28" s="35">
        <v>349.4</v>
      </c>
      <c r="AB28" s="23">
        <f t="shared" si="5"/>
        <v>0.17262310240571582</v>
      </c>
    </row>
    <row r="29" spans="2:28" s="16" customFormat="1" x14ac:dyDescent="0.25">
      <c r="B29" s="65" t="s">
        <v>148</v>
      </c>
      <c r="C29" s="35" t="s">
        <v>41</v>
      </c>
      <c r="D29" s="74" t="s">
        <v>42</v>
      </c>
      <c r="E29" s="107">
        <v>1</v>
      </c>
      <c r="F29" s="112">
        <v>0</v>
      </c>
      <c r="G29" s="116" t="s">
        <v>272</v>
      </c>
      <c r="H29" s="27">
        <v>15.87</v>
      </c>
      <c r="I29" s="19">
        <v>1457.6</v>
      </c>
      <c r="J29" s="23">
        <f t="shared" si="6"/>
        <v>1.0915954638277197</v>
      </c>
      <c r="K29" s="102">
        <v>17.27</v>
      </c>
      <c r="L29" s="22">
        <v>1870.8</v>
      </c>
      <c r="M29" s="20">
        <f t="shared" si="0"/>
        <v>0.92828815239248308</v>
      </c>
      <c r="N29" s="27">
        <v>17.260000000000002</v>
      </c>
      <c r="O29" s="19">
        <v>758.52</v>
      </c>
      <c r="P29" s="23">
        <f t="shared" si="1"/>
        <v>0.44967083006809389</v>
      </c>
      <c r="Q29" s="27">
        <v>17.170000000000002</v>
      </c>
      <c r="R29" s="19">
        <v>2049.12</v>
      </c>
      <c r="S29" s="23">
        <f t="shared" si="2"/>
        <v>0.93455267147832033</v>
      </c>
      <c r="T29" s="34">
        <v>17.13</v>
      </c>
      <c r="U29" s="35">
        <v>1215.49</v>
      </c>
      <c r="V29" s="23">
        <f t="shared" si="3"/>
        <v>0.68234146938434093</v>
      </c>
      <c r="W29" s="34">
        <v>17.14</v>
      </c>
      <c r="X29" s="35">
        <v>2438.65</v>
      </c>
      <c r="Y29" s="19">
        <f t="shared" si="4"/>
        <v>0.96091096242720531</v>
      </c>
      <c r="Z29" s="34">
        <v>17.25</v>
      </c>
      <c r="AA29" s="35">
        <v>1997.95</v>
      </c>
      <c r="AB29" s="23">
        <f t="shared" si="5"/>
        <v>0.98709881926588428</v>
      </c>
    </row>
    <row r="30" spans="2:28" s="16" customFormat="1" x14ac:dyDescent="0.25">
      <c r="B30" s="65" t="s">
        <v>149</v>
      </c>
      <c r="C30" s="35" t="s">
        <v>41</v>
      </c>
      <c r="D30" s="74" t="s">
        <v>150</v>
      </c>
      <c r="E30" s="107">
        <v>3</v>
      </c>
      <c r="F30" s="112">
        <v>0</v>
      </c>
      <c r="G30" s="116" t="s">
        <v>276</v>
      </c>
      <c r="H30" s="27">
        <v>18.760000000000002</v>
      </c>
      <c r="I30" s="19">
        <v>387.85</v>
      </c>
      <c r="J30" s="23">
        <f t="shared" si="6"/>
        <v>0.29046055203456445</v>
      </c>
      <c r="K30" s="97">
        <v>20.309999999999999</v>
      </c>
      <c r="L30" s="22">
        <v>191</v>
      </c>
      <c r="M30" s="20">
        <f t="shared" si="0"/>
        <v>9.4773913356299047E-2</v>
      </c>
      <c r="N30" s="27">
        <v>20.239999999999998</v>
      </c>
      <c r="O30" s="19">
        <v>835.26</v>
      </c>
      <c r="P30" s="23">
        <f t="shared" si="1"/>
        <v>0.49516434309270169</v>
      </c>
      <c r="Q30" s="27">
        <v>20.21</v>
      </c>
      <c r="R30" s="19">
        <v>1086.8</v>
      </c>
      <c r="S30" s="23">
        <f t="shared" si="2"/>
        <v>0.49566245186355051</v>
      </c>
      <c r="T30" s="34" t="s">
        <v>22</v>
      </c>
      <c r="U30" s="35">
        <v>0</v>
      </c>
      <c r="V30" s="23">
        <f t="shared" si="3"/>
        <v>0</v>
      </c>
      <c r="W30" s="34">
        <v>20.07</v>
      </c>
      <c r="X30" s="35">
        <v>435.02</v>
      </c>
      <c r="Y30" s="19">
        <f t="shared" si="4"/>
        <v>0.17141266146231843</v>
      </c>
      <c r="Z30" s="34">
        <v>20.190000000000001</v>
      </c>
      <c r="AA30" s="35">
        <v>350.87</v>
      </c>
      <c r="AB30" s="23">
        <f t="shared" si="5"/>
        <v>0.17334936445647828</v>
      </c>
    </row>
    <row r="31" spans="2:28" s="16" customFormat="1" x14ac:dyDescent="0.25">
      <c r="B31" s="65" t="s">
        <v>151</v>
      </c>
      <c r="C31" s="35" t="s">
        <v>41</v>
      </c>
      <c r="D31" s="74" t="s">
        <v>44</v>
      </c>
      <c r="E31" s="107">
        <v>2</v>
      </c>
      <c r="F31" s="112">
        <v>0</v>
      </c>
      <c r="G31" s="116" t="s">
        <v>273</v>
      </c>
      <c r="H31" s="27">
        <v>23.71</v>
      </c>
      <c r="I31" s="19">
        <v>1069.4000000000001</v>
      </c>
      <c r="J31" s="23">
        <f t="shared" si="6"/>
        <v>0.8008727970755789</v>
      </c>
      <c r="K31" s="102">
        <v>25.92</v>
      </c>
      <c r="L31" s="22">
        <v>1259.24</v>
      </c>
      <c r="M31" s="20">
        <f t="shared" si="0"/>
        <v>0.62483299819259697</v>
      </c>
      <c r="N31" s="27">
        <v>25.96</v>
      </c>
      <c r="O31" s="19">
        <v>1032.4000000000001</v>
      </c>
      <c r="P31" s="23">
        <f t="shared" si="1"/>
        <v>0.61203417835034035</v>
      </c>
      <c r="Q31" s="27">
        <v>25.86</v>
      </c>
      <c r="R31" s="19">
        <v>1550.75</v>
      </c>
      <c r="S31" s="23">
        <f t="shared" si="2"/>
        <v>0.70725850867445794</v>
      </c>
      <c r="T31" s="34" t="s">
        <v>22</v>
      </c>
      <c r="U31" s="35">
        <v>0</v>
      </c>
      <c r="V31" s="23">
        <f t="shared" si="3"/>
        <v>0</v>
      </c>
      <c r="W31" s="34">
        <v>25.81</v>
      </c>
      <c r="X31" s="35">
        <v>1767.84</v>
      </c>
      <c r="Y31" s="19">
        <f t="shared" si="4"/>
        <v>0.69658902910106435</v>
      </c>
      <c r="Z31" s="34">
        <v>25.83</v>
      </c>
      <c r="AA31" s="35">
        <v>1379.29</v>
      </c>
      <c r="AB31" s="23">
        <f t="shared" si="5"/>
        <v>0.68144624761642747</v>
      </c>
    </row>
    <row r="32" spans="2:28" s="16" customFormat="1" x14ac:dyDescent="0.25">
      <c r="B32" s="65" t="s">
        <v>338</v>
      </c>
      <c r="C32" s="35" t="s">
        <v>45</v>
      </c>
      <c r="D32" s="77" t="s">
        <v>339</v>
      </c>
      <c r="E32" s="108" t="s">
        <v>28</v>
      </c>
      <c r="F32" s="112">
        <v>0</v>
      </c>
      <c r="G32" s="116">
        <v>0</v>
      </c>
      <c r="H32" s="27" t="s">
        <v>22</v>
      </c>
      <c r="I32" s="19">
        <v>0</v>
      </c>
      <c r="J32" s="23">
        <f t="shared" si="6"/>
        <v>0</v>
      </c>
      <c r="K32" s="97">
        <v>14.76</v>
      </c>
      <c r="L32" s="13">
        <v>49.9</v>
      </c>
      <c r="M32" s="19">
        <f t="shared" si="0"/>
        <v>2.4760305112457186E-2</v>
      </c>
      <c r="N32" s="27">
        <v>14.74</v>
      </c>
      <c r="O32" s="19">
        <v>95.63</v>
      </c>
      <c r="P32" s="23">
        <f t="shared" si="1"/>
        <v>5.6692007434756914E-2</v>
      </c>
      <c r="Q32" s="27">
        <v>14.71</v>
      </c>
      <c r="R32" s="19">
        <v>102.72</v>
      </c>
      <c r="S32" s="23">
        <f t="shared" si="2"/>
        <v>4.68480374083768E-2</v>
      </c>
      <c r="T32" s="34" t="s">
        <v>379</v>
      </c>
      <c r="U32" s="35">
        <v>39.299999999999997</v>
      </c>
      <c r="V32" s="23">
        <f t="shared" si="3"/>
        <v>2.2061900753444781E-2</v>
      </c>
      <c r="W32" s="34" t="s">
        <v>380</v>
      </c>
      <c r="X32" s="35">
        <v>101.3</v>
      </c>
      <c r="Y32" s="19">
        <f t="shared" si="4"/>
        <v>3.9915642053544337E-2</v>
      </c>
      <c r="Z32" s="34">
        <v>14.73</v>
      </c>
      <c r="AA32" s="35">
        <v>103.58</v>
      </c>
      <c r="AB32" s="23">
        <f t="shared" si="5"/>
        <v>5.1174301508826681E-2</v>
      </c>
    </row>
    <row r="33" spans="2:28" x14ac:dyDescent="0.25">
      <c r="B33" s="65" t="s">
        <v>47</v>
      </c>
      <c r="C33" s="35" t="s">
        <v>45</v>
      </c>
      <c r="D33" s="74" t="s">
        <v>46</v>
      </c>
      <c r="E33" s="107">
        <v>2</v>
      </c>
      <c r="F33" s="114">
        <v>0</v>
      </c>
      <c r="G33" s="116">
        <v>0</v>
      </c>
      <c r="H33" s="27">
        <v>14.22</v>
      </c>
      <c r="I33" s="19">
        <v>572.6</v>
      </c>
      <c r="J33" s="23">
        <f t="shared" si="6"/>
        <v>0.42881967795537351</v>
      </c>
      <c r="K33" s="102">
        <v>15.48</v>
      </c>
      <c r="L33" s="22">
        <v>931.35</v>
      </c>
      <c r="M33" s="20">
        <f t="shared" si="0"/>
        <v>0.46213447227428861</v>
      </c>
      <c r="N33" s="27">
        <v>15.56</v>
      </c>
      <c r="O33" s="19">
        <v>1027.8599999999999</v>
      </c>
      <c r="P33" s="23">
        <f t="shared" si="1"/>
        <v>0.60934274560168611</v>
      </c>
      <c r="Q33" s="27">
        <v>15.41</v>
      </c>
      <c r="R33" s="19">
        <v>990.37</v>
      </c>
      <c r="S33" s="23">
        <f t="shared" si="2"/>
        <v>0.45168312702622793</v>
      </c>
      <c r="T33" s="34">
        <v>15.31</v>
      </c>
      <c r="U33" s="35">
        <v>2348.15</v>
      </c>
      <c r="V33" s="23">
        <f t="shared" si="3"/>
        <v>1.3181845357303148</v>
      </c>
      <c r="W33" s="34">
        <v>15.39</v>
      </c>
      <c r="X33" s="35">
        <v>806.06</v>
      </c>
      <c r="Y33" s="19">
        <f t="shared" si="4"/>
        <v>0.31761502896031535</v>
      </c>
      <c r="Z33" s="34">
        <v>15.43</v>
      </c>
      <c r="AA33" s="35">
        <v>772.05</v>
      </c>
      <c r="AB33" s="23">
        <f t="shared" si="5"/>
        <v>0.38143579339534317</v>
      </c>
    </row>
    <row r="34" spans="2:28" x14ac:dyDescent="0.25">
      <c r="B34" s="65" t="s">
        <v>108</v>
      </c>
      <c r="C34" s="35" t="s">
        <v>45</v>
      </c>
      <c r="D34" s="74" t="s">
        <v>48</v>
      </c>
      <c r="E34" s="107">
        <v>1</v>
      </c>
      <c r="F34" s="114">
        <v>0</v>
      </c>
      <c r="G34" s="116">
        <v>0</v>
      </c>
      <c r="H34" s="27">
        <v>15.14</v>
      </c>
      <c r="I34" s="19">
        <v>468.74</v>
      </c>
      <c r="J34" s="23">
        <f t="shared" si="6"/>
        <v>0.35103900776248997</v>
      </c>
      <c r="K34" s="102">
        <v>16.329999999999998</v>
      </c>
      <c r="L34" s="22">
        <v>1135.98</v>
      </c>
      <c r="M34" s="20">
        <f t="shared" si="0"/>
        <v>0.56367157117533295</v>
      </c>
      <c r="N34" s="27">
        <v>16.36</v>
      </c>
      <c r="O34" s="19">
        <v>1045.3900000000001</v>
      </c>
      <c r="P34" s="23">
        <f t="shared" si="1"/>
        <v>0.61973499584043235</v>
      </c>
      <c r="Q34" s="27">
        <v>16.23</v>
      </c>
      <c r="R34" s="19">
        <v>848.71</v>
      </c>
      <c r="S34" s="23">
        <f t="shared" si="2"/>
        <v>0.38707552403488582</v>
      </c>
      <c r="T34" s="34">
        <v>16.190000000000001</v>
      </c>
      <c r="U34" s="35">
        <v>1843.45</v>
      </c>
      <c r="V34" s="23">
        <f t="shared" si="3"/>
        <v>1.0348603293622847</v>
      </c>
      <c r="W34" s="34">
        <v>16.2</v>
      </c>
      <c r="X34" s="35">
        <v>813.36</v>
      </c>
      <c r="Y34" s="19">
        <f t="shared" si="4"/>
        <v>0.32049147700563496</v>
      </c>
      <c r="Z34" s="34">
        <v>16.21</v>
      </c>
      <c r="AA34" s="35">
        <v>840.63</v>
      </c>
      <c r="AB34" s="23">
        <f t="shared" si="5"/>
        <v>0.41531814131458755</v>
      </c>
    </row>
    <row r="35" spans="2:28" x14ac:dyDescent="0.25">
      <c r="B35" s="65" t="s">
        <v>152</v>
      </c>
      <c r="C35" s="35" t="s">
        <v>49</v>
      </c>
      <c r="D35" s="74" t="s">
        <v>50</v>
      </c>
      <c r="E35" s="107">
        <v>2</v>
      </c>
      <c r="F35" s="114">
        <v>0</v>
      </c>
      <c r="G35" s="116">
        <v>0</v>
      </c>
      <c r="H35" s="27">
        <v>13.81</v>
      </c>
      <c r="I35" s="19">
        <v>1237.0999999999999</v>
      </c>
      <c r="J35" s="23">
        <f t="shared" si="6"/>
        <v>0.92646319175444025</v>
      </c>
      <c r="K35" s="102">
        <v>14.97</v>
      </c>
      <c r="L35" s="22">
        <v>1276.3499999999999</v>
      </c>
      <c r="M35" s="20">
        <f t="shared" si="0"/>
        <v>0.63332295451472398</v>
      </c>
      <c r="N35" s="27">
        <v>14.95</v>
      </c>
      <c r="O35" s="19">
        <v>1239.22</v>
      </c>
      <c r="P35" s="23">
        <f t="shared" si="1"/>
        <v>0.73464257506325914</v>
      </c>
      <c r="Q35" s="27">
        <v>14.9</v>
      </c>
      <c r="R35" s="19">
        <v>1460.27</v>
      </c>
      <c r="S35" s="23">
        <f t="shared" si="2"/>
        <v>0.66599283086380834</v>
      </c>
      <c r="T35" s="34">
        <v>14.79</v>
      </c>
      <c r="U35" s="35">
        <v>1314.01</v>
      </c>
      <c r="V35" s="23">
        <f t="shared" si="3"/>
        <v>0.73764779157847282</v>
      </c>
      <c r="W35" s="34">
        <v>14.87</v>
      </c>
      <c r="X35" s="35">
        <v>1598.1</v>
      </c>
      <c r="Y35" s="19">
        <f t="shared" si="4"/>
        <v>0.62970570153770189</v>
      </c>
      <c r="Z35" s="34">
        <v>14.92</v>
      </c>
      <c r="AA35" s="35">
        <v>1313.81</v>
      </c>
      <c r="AB35" s="23">
        <f t="shared" si="5"/>
        <v>0.64909547272940327</v>
      </c>
    </row>
    <row r="36" spans="2:28" s="16" customFormat="1" x14ac:dyDescent="0.25">
      <c r="B36" s="65" t="s">
        <v>153</v>
      </c>
      <c r="C36" s="35" t="s">
        <v>49</v>
      </c>
      <c r="D36" s="74" t="s">
        <v>154</v>
      </c>
      <c r="E36" s="107">
        <v>4</v>
      </c>
      <c r="F36" s="112">
        <v>0</v>
      </c>
      <c r="G36" s="116">
        <v>0</v>
      </c>
      <c r="H36" s="27">
        <v>15.04</v>
      </c>
      <c r="I36" s="19">
        <v>1291.6099999999999</v>
      </c>
      <c r="J36" s="23">
        <f t="shared" si="6"/>
        <v>0.96728568676901827</v>
      </c>
      <c r="K36" s="102">
        <v>16.329999999999998</v>
      </c>
      <c r="L36" s="22">
        <v>1996.34</v>
      </c>
      <c r="M36" s="20">
        <f t="shared" ref="M36:M67" si="7">L36/$L$170*100</f>
        <v>0.99058091198803178</v>
      </c>
      <c r="N36" s="27">
        <v>16.36</v>
      </c>
      <c r="O36" s="19">
        <v>3897.68</v>
      </c>
      <c r="P36" s="23">
        <f t="shared" ref="P36:P67" si="8">O36/$O$170*100</f>
        <v>2.310648369113284</v>
      </c>
      <c r="Q36" s="27">
        <v>16.23</v>
      </c>
      <c r="R36" s="19">
        <v>3415.89</v>
      </c>
      <c r="S36" s="23">
        <f t="shared" ref="S36:S67" si="9">R36/$R$170*100</f>
        <v>1.5579024776372685</v>
      </c>
      <c r="T36" s="34">
        <v>16.09</v>
      </c>
      <c r="U36" s="35">
        <v>3410.5</v>
      </c>
      <c r="V36" s="23">
        <f t="shared" ref="V36:V67" si="10">U36/$U$170*100</f>
        <v>1.9145575704738786</v>
      </c>
      <c r="W36" s="34">
        <v>16.2</v>
      </c>
      <c r="X36" s="35">
        <v>2415.83</v>
      </c>
      <c r="Y36" s="19">
        <f t="shared" ref="Y36:Y67" si="11">X36/$X$170*100</f>
        <v>0.95191910703074056</v>
      </c>
      <c r="Z36" s="34">
        <v>16.309999999999999</v>
      </c>
      <c r="AA36" s="35">
        <v>1811.17</v>
      </c>
      <c r="AB36" s="23">
        <f t="shared" ref="AB36:AB67" si="12">AA36/$AA$170*100</f>
        <v>0.89481907379553616</v>
      </c>
    </row>
    <row r="37" spans="2:28" s="16" customFormat="1" x14ac:dyDescent="0.25">
      <c r="B37" s="65">
        <v>813</v>
      </c>
      <c r="C37" s="35" t="s">
        <v>51</v>
      </c>
      <c r="D37" s="78" t="s">
        <v>340</v>
      </c>
      <c r="E37" s="108">
        <v>3</v>
      </c>
      <c r="F37" s="112">
        <v>1</v>
      </c>
      <c r="G37" s="117" t="s">
        <v>281</v>
      </c>
      <c r="H37" s="28" t="s">
        <v>22</v>
      </c>
      <c r="I37" s="31">
        <v>0</v>
      </c>
      <c r="J37" s="23">
        <f t="shared" si="6"/>
        <v>0</v>
      </c>
      <c r="K37" s="98">
        <v>12.74</v>
      </c>
      <c r="L37" s="24">
        <v>172.72</v>
      </c>
      <c r="M37" s="31">
        <f t="shared" si="7"/>
        <v>8.5703404790052215E-2</v>
      </c>
      <c r="N37" s="28" t="s">
        <v>22</v>
      </c>
      <c r="O37" s="31">
        <v>0</v>
      </c>
      <c r="P37" s="25">
        <f t="shared" si="8"/>
        <v>0</v>
      </c>
      <c r="Q37" s="28">
        <v>12.62</v>
      </c>
      <c r="R37" s="31">
        <v>187.27</v>
      </c>
      <c r="S37" s="25">
        <f t="shared" si="9"/>
        <v>8.5409189694964208E-2</v>
      </c>
      <c r="T37" s="34" t="s">
        <v>385</v>
      </c>
      <c r="U37" s="35">
        <v>80.900000000000006</v>
      </c>
      <c r="V37" s="23">
        <f t="shared" si="10"/>
        <v>4.541495600391051E-2</v>
      </c>
      <c r="W37" s="34">
        <v>12.63</v>
      </c>
      <c r="X37" s="35">
        <v>254.8</v>
      </c>
      <c r="Y37" s="19">
        <f t="shared" si="11"/>
        <v>0.10039985780101773</v>
      </c>
      <c r="Z37" s="34">
        <v>12.77</v>
      </c>
      <c r="AA37" s="35">
        <v>155.72999999999999</v>
      </c>
      <c r="AB37" s="23">
        <f t="shared" si="12"/>
        <v>7.6939312357304307E-2</v>
      </c>
    </row>
    <row r="38" spans="2:28" x14ac:dyDescent="0.25">
      <c r="B38" s="65">
        <v>813</v>
      </c>
      <c r="C38" s="35" t="s">
        <v>51</v>
      </c>
      <c r="D38" s="79" t="s">
        <v>52</v>
      </c>
      <c r="E38" s="107">
        <v>2</v>
      </c>
      <c r="F38" s="114">
        <v>1</v>
      </c>
      <c r="G38" s="116" t="s">
        <v>273</v>
      </c>
      <c r="H38" s="27">
        <v>25.28</v>
      </c>
      <c r="I38" s="19">
        <v>7246.64</v>
      </c>
      <c r="J38" s="23">
        <f t="shared" si="6"/>
        <v>5.4270028485129718</v>
      </c>
      <c r="K38" s="102">
        <v>27.38</v>
      </c>
      <c r="L38" s="22">
        <v>10004.549999999999</v>
      </c>
      <c r="M38" s="20">
        <f t="shared" si="7"/>
        <v>4.9642426956479673</v>
      </c>
      <c r="N38" s="27">
        <v>27.63</v>
      </c>
      <c r="O38" s="19">
        <v>8062.5</v>
      </c>
      <c r="P38" s="23">
        <f t="shared" si="8"/>
        <v>4.7796644352475965</v>
      </c>
      <c r="Q38" s="27">
        <v>27.42</v>
      </c>
      <c r="R38" s="19">
        <v>11307.53</v>
      </c>
      <c r="S38" s="23">
        <f t="shared" si="9"/>
        <v>5.15708322075879</v>
      </c>
      <c r="T38" s="34">
        <v>27.19</v>
      </c>
      <c r="U38" s="35">
        <v>583.77</v>
      </c>
      <c r="V38" s="23">
        <f t="shared" si="10"/>
        <v>0.32771185248952828</v>
      </c>
      <c r="W38" s="34">
        <v>27.06</v>
      </c>
      <c r="X38" s="35">
        <v>14730.48</v>
      </c>
      <c r="Y38" s="19">
        <f t="shared" si="11"/>
        <v>5.8043096441944098</v>
      </c>
      <c r="Z38" s="34">
        <v>27.5</v>
      </c>
      <c r="AA38" s="35">
        <v>10934.39</v>
      </c>
      <c r="AB38" s="23">
        <f t="shared" si="12"/>
        <v>5.4021989831540784</v>
      </c>
    </row>
    <row r="39" spans="2:28" x14ac:dyDescent="0.25">
      <c r="B39" s="65">
        <v>829</v>
      </c>
      <c r="C39" s="35" t="s">
        <v>155</v>
      </c>
      <c r="D39" s="74" t="s">
        <v>156</v>
      </c>
      <c r="E39" s="107">
        <v>2</v>
      </c>
      <c r="F39" s="114">
        <v>1</v>
      </c>
      <c r="G39" s="116">
        <v>0</v>
      </c>
      <c r="H39" s="27">
        <v>15.24</v>
      </c>
      <c r="I39" s="19">
        <v>604.28</v>
      </c>
      <c r="J39" s="23">
        <f t="shared" si="6"/>
        <v>0.45254480439202421</v>
      </c>
      <c r="K39" s="102">
        <v>16.43</v>
      </c>
      <c r="L39" s="22">
        <v>1001.78</v>
      </c>
      <c r="M39" s="20">
        <f t="shared" si="7"/>
        <v>0.49708173257629978</v>
      </c>
      <c r="N39" s="27">
        <v>16.46</v>
      </c>
      <c r="O39" s="19">
        <v>1679.6</v>
      </c>
      <c r="P39" s="23">
        <f t="shared" si="8"/>
        <v>0.99571155168271164</v>
      </c>
      <c r="Q39" s="27">
        <v>16.329999999999998</v>
      </c>
      <c r="R39" s="19">
        <v>1694.78</v>
      </c>
      <c r="S39" s="23">
        <f t="shared" si="9"/>
        <v>0.77294700972516384</v>
      </c>
      <c r="T39" s="34">
        <v>16.29</v>
      </c>
      <c r="U39" s="35">
        <v>2761.6</v>
      </c>
      <c r="V39" s="23">
        <f t="shared" si="10"/>
        <v>1.5502835908578398</v>
      </c>
      <c r="W39" s="34">
        <v>16.3</v>
      </c>
      <c r="X39" s="35">
        <v>1406.27</v>
      </c>
      <c r="Y39" s="19">
        <f t="shared" si="11"/>
        <v>0.5541181633824066</v>
      </c>
      <c r="Z39" s="34">
        <v>16.420000000000002</v>
      </c>
      <c r="AA39" s="35">
        <v>863.74</v>
      </c>
      <c r="AB39" s="23">
        <f t="shared" si="12"/>
        <v>0.42673577124188028</v>
      </c>
    </row>
    <row r="40" spans="2:28" s="46" customFormat="1" x14ac:dyDescent="0.25">
      <c r="B40" s="65">
        <v>830</v>
      </c>
      <c r="C40" s="35" t="s">
        <v>386</v>
      </c>
      <c r="D40" s="80" t="s">
        <v>387</v>
      </c>
      <c r="E40" s="108">
        <v>1</v>
      </c>
      <c r="F40" s="112">
        <v>1</v>
      </c>
      <c r="G40" s="118">
        <v>0</v>
      </c>
      <c r="H40" s="37" t="s">
        <v>22</v>
      </c>
      <c r="I40" s="43">
        <v>0</v>
      </c>
      <c r="J40" s="23">
        <f t="shared" si="6"/>
        <v>0</v>
      </c>
      <c r="K40" s="99">
        <v>18.420000000000002</v>
      </c>
      <c r="L40" s="36">
        <v>140.9</v>
      </c>
      <c r="M40" s="43">
        <f t="shared" si="7"/>
        <v>6.9914368543992342E-2</v>
      </c>
      <c r="N40" s="37">
        <v>18.46</v>
      </c>
      <c r="O40" s="43">
        <v>446.81</v>
      </c>
      <c r="P40" s="38">
        <f t="shared" si="8"/>
        <v>0.26488085163571828</v>
      </c>
      <c r="Q40" s="37">
        <v>18.32</v>
      </c>
      <c r="R40" s="36">
        <v>152.30000000000001</v>
      </c>
      <c r="S40" s="38">
        <f t="shared" si="9"/>
        <v>6.9460242380215989E-2</v>
      </c>
      <c r="T40" s="39">
        <v>17.440000000000001</v>
      </c>
      <c r="U40" s="36">
        <v>629.48</v>
      </c>
      <c r="V40" s="38">
        <f t="shared" si="10"/>
        <v>0.3533721446890184</v>
      </c>
      <c r="W40" s="40">
        <v>18.18</v>
      </c>
      <c r="X40" s="41">
        <v>227.39</v>
      </c>
      <c r="Y40" s="43">
        <f t="shared" si="11"/>
        <v>8.9599386441810924E-2</v>
      </c>
      <c r="Z40" s="40">
        <v>18.399999999999999</v>
      </c>
      <c r="AA40" s="64">
        <v>158.38999999999999</v>
      </c>
      <c r="AB40" s="38">
        <f t="shared" si="12"/>
        <v>7.8253500830112552E-2</v>
      </c>
    </row>
    <row r="41" spans="2:28" s="16" customFormat="1" x14ac:dyDescent="0.25">
      <c r="B41" s="65" t="s">
        <v>437</v>
      </c>
      <c r="C41" s="35" t="s">
        <v>53</v>
      </c>
      <c r="D41" s="81" t="s">
        <v>158</v>
      </c>
      <c r="E41" s="107">
        <v>4</v>
      </c>
      <c r="F41" s="112">
        <v>1</v>
      </c>
      <c r="G41" s="116">
        <v>0</v>
      </c>
      <c r="H41" s="27">
        <v>15.87</v>
      </c>
      <c r="I41" s="19">
        <v>576.82000000000005</v>
      </c>
      <c r="J41" s="23">
        <f t="shared" si="6"/>
        <v>0.4319800325501546</v>
      </c>
      <c r="K41" s="102">
        <v>17.16</v>
      </c>
      <c r="L41" s="22">
        <v>1077.3499999999999</v>
      </c>
      <c r="M41" s="20">
        <f t="shared" si="7"/>
        <v>0.53457945316444389</v>
      </c>
      <c r="N41" s="27">
        <v>17.260000000000002</v>
      </c>
      <c r="O41" s="19">
        <v>3233.8</v>
      </c>
      <c r="P41" s="23">
        <f t="shared" si="8"/>
        <v>1.9170826481492935</v>
      </c>
      <c r="Q41" s="27">
        <v>17.170000000000002</v>
      </c>
      <c r="R41" s="19">
        <v>2761.3</v>
      </c>
      <c r="S41" s="23">
        <f t="shared" si="9"/>
        <v>1.2593602579415</v>
      </c>
      <c r="T41" s="34">
        <v>17.02</v>
      </c>
      <c r="U41" s="35">
        <v>2904.63</v>
      </c>
      <c r="V41" s="23">
        <f t="shared" si="10"/>
        <v>1.6305765594269293</v>
      </c>
      <c r="W41" s="34">
        <v>17.03</v>
      </c>
      <c r="X41" s="35">
        <v>2209.86</v>
      </c>
      <c r="Y41" s="19">
        <f t="shared" si="11"/>
        <v>0.87075992841505923</v>
      </c>
      <c r="Z41" s="34">
        <v>17.149999999999999</v>
      </c>
      <c r="AA41" s="35">
        <v>1146.1600000000001</v>
      </c>
      <c r="AB41" s="23">
        <f t="shared" si="12"/>
        <v>0.56626701503530419</v>
      </c>
    </row>
    <row r="42" spans="2:28" s="16" customFormat="1" x14ac:dyDescent="0.25">
      <c r="B42" s="65" t="s">
        <v>157</v>
      </c>
      <c r="C42" s="35" t="s">
        <v>53</v>
      </c>
      <c r="D42" s="81" t="s">
        <v>160</v>
      </c>
      <c r="E42" s="107">
        <v>4</v>
      </c>
      <c r="F42" s="112">
        <v>1</v>
      </c>
      <c r="G42" s="116">
        <v>0</v>
      </c>
      <c r="H42" s="27">
        <v>17.010000000000002</v>
      </c>
      <c r="I42" s="19">
        <v>822.13</v>
      </c>
      <c r="J42" s="23">
        <f t="shared" si="6"/>
        <v>0.61569249360365208</v>
      </c>
      <c r="K42" s="102">
        <v>18.309999999999999</v>
      </c>
      <c r="L42" s="22">
        <v>1355.54</v>
      </c>
      <c r="M42" s="20">
        <f t="shared" si="7"/>
        <v>0.67261691367014453</v>
      </c>
      <c r="N42" s="27">
        <v>18.37</v>
      </c>
      <c r="O42" s="19">
        <v>2036.18</v>
      </c>
      <c r="P42" s="23">
        <f t="shared" si="8"/>
        <v>1.2071016595054203</v>
      </c>
      <c r="Q42" s="27">
        <v>18.21</v>
      </c>
      <c r="R42" s="19">
        <v>2192.7399999999998</v>
      </c>
      <c r="S42" s="23">
        <f t="shared" si="9"/>
        <v>1.0000541817255075</v>
      </c>
      <c r="T42" s="34">
        <v>18.07</v>
      </c>
      <c r="U42" s="35">
        <v>2660.14</v>
      </c>
      <c r="V42" s="23">
        <f t="shared" si="10"/>
        <v>1.4933268363936032</v>
      </c>
      <c r="W42" s="34">
        <v>18.079999999999998</v>
      </c>
      <c r="X42" s="35">
        <v>1525.43</v>
      </c>
      <c r="Y42" s="19">
        <f t="shared" si="11"/>
        <v>0.60107125229751368</v>
      </c>
      <c r="Z42" s="34">
        <v>18.190000000000001</v>
      </c>
      <c r="AA42" s="35">
        <v>993.24</v>
      </c>
      <c r="AB42" s="23">
        <f t="shared" si="12"/>
        <v>0.49071599952333483</v>
      </c>
    </row>
    <row r="43" spans="2:28" s="16" customFormat="1" x14ac:dyDescent="0.25">
      <c r="B43" s="65" t="s">
        <v>159</v>
      </c>
      <c r="C43" s="35" t="s">
        <v>53</v>
      </c>
      <c r="D43" s="82" t="s">
        <v>268</v>
      </c>
      <c r="E43" s="108">
        <v>4</v>
      </c>
      <c r="F43" s="112">
        <v>1</v>
      </c>
      <c r="G43" s="116">
        <v>0</v>
      </c>
      <c r="H43" s="27" t="s">
        <v>22</v>
      </c>
      <c r="I43" s="19">
        <v>0</v>
      </c>
      <c r="J43" s="23">
        <f t="shared" si="6"/>
        <v>0</v>
      </c>
      <c r="K43" s="102">
        <v>19.16</v>
      </c>
      <c r="L43" s="22">
        <v>556.73</v>
      </c>
      <c r="M43" s="20">
        <f t="shared" si="7"/>
        <v>0.27624859048613809</v>
      </c>
      <c r="N43" s="27">
        <v>19.399999999999999</v>
      </c>
      <c r="O43" s="19">
        <v>2183.16</v>
      </c>
      <c r="P43" s="23">
        <f t="shared" si="8"/>
        <v>1.2942353126766069</v>
      </c>
      <c r="Q43" s="27">
        <v>19.16</v>
      </c>
      <c r="R43" s="19">
        <v>321.5</v>
      </c>
      <c r="S43" s="23">
        <f t="shared" si="9"/>
        <v>0.14662815446644414</v>
      </c>
      <c r="T43" s="34">
        <v>19.010000000000002</v>
      </c>
      <c r="U43" s="35">
        <v>1641.36</v>
      </c>
      <c r="V43" s="23">
        <f t="shared" si="10"/>
        <v>0.92141275879577922</v>
      </c>
      <c r="W43" s="34">
        <v>19.02</v>
      </c>
      <c r="X43" s="35">
        <v>487.43</v>
      </c>
      <c r="Y43" s="19">
        <f t="shared" si="11"/>
        <v>0.1920639822917978</v>
      </c>
      <c r="Z43" s="34">
        <v>19.25</v>
      </c>
      <c r="AA43" s="35">
        <v>326.24</v>
      </c>
      <c r="AB43" s="23">
        <f t="shared" si="12"/>
        <v>0.1611807696875808</v>
      </c>
    </row>
    <row r="44" spans="2:28" x14ac:dyDescent="0.25">
      <c r="B44" s="65" t="s">
        <v>277</v>
      </c>
      <c r="C44" s="35" t="s">
        <v>54</v>
      </c>
      <c r="D44" s="74" t="s">
        <v>161</v>
      </c>
      <c r="E44" s="107">
        <v>1</v>
      </c>
      <c r="F44" s="114">
        <v>0</v>
      </c>
      <c r="G44" s="116">
        <v>0</v>
      </c>
      <c r="H44" s="27">
        <v>13.81</v>
      </c>
      <c r="I44" s="19">
        <v>1158.5</v>
      </c>
      <c r="J44" s="23">
        <f t="shared" si="6"/>
        <v>0.86759971517865897</v>
      </c>
      <c r="K44" s="102">
        <v>14.97</v>
      </c>
      <c r="L44" s="22">
        <v>1191.55</v>
      </c>
      <c r="M44" s="20">
        <f t="shared" si="7"/>
        <v>0.59124532177852429</v>
      </c>
      <c r="N44" s="27">
        <v>15.15</v>
      </c>
      <c r="O44" s="19">
        <v>834.42</v>
      </c>
      <c r="P44" s="23">
        <f t="shared" si="8"/>
        <v>0.49466636875154096</v>
      </c>
      <c r="Q44" s="27">
        <v>15</v>
      </c>
      <c r="R44" s="19">
        <v>1403.25</v>
      </c>
      <c r="S44" s="23">
        <f t="shared" si="9"/>
        <v>0.63998742692080168</v>
      </c>
      <c r="T44" s="34">
        <v>14.9</v>
      </c>
      <c r="U44" s="35">
        <v>990.91</v>
      </c>
      <c r="V44" s="23">
        <f t="shared" si="10"/>
        <v>0.55626865332305264</v>
      </c>
      <c r="W44" s="34">
        <v>14.87</v>
      </c>
      <c r="X44" s="35">
        <v>1424.87</v>
      </c>
      <c r="Y44" s="19">
        <f t="shared" si="11"/>
        <v>0.56144719538828936</v>
      </c>
      <c r="Z44" s="34">
        <v>15.02</v>
      </c>
      <c r="AA44" s="35">
        <v>1322.25</v>
      </c>
      <c r="AB44" s="23">
        <f t="shared" si="12"/>
        <v>0.65326530382357684</v>
      </c>
    </row>
    <row r="45" spans="2:28" s="16" customFormat="1" x14ac:dyDescent="0.25">
      <c r="B45" s="65" t="s">
        <v>278</v>
      </c>
      <c r="C45" s="35" t="s">
        <v>54</v>
      </c>
      <c r="D45" s="77" t="s">
        <v>341</v>
      </c>
      <c r="E45" s="108">
        <v>2</v>
      </c>
      <c r="F45" s="112">
        <v>0</v>
      </c>
      <c r="G45" s="116">
        <v>0</v>
      </c>
      <c r="H45" s="27" t="s">
        <v>22</v>
      </c>
      <c r="I45" s="19">
        <v>0</v>
      </c>
      <c r="J45" s="23">
        <f t="shared" si="6"/>
        <v>0</v>
      </c>
      <c r="K45" s="102">
        <v>17.16</v>
      </c>
      <c r="L45" s="22">
        <v>363.68</v>
      </c>
      <c r="M45" s="20">
        <f t="shared" si="7"/>
        <v>0.18045747020638137</v>
      </c>
      <c r="N45" s="27">
        <v>17.149999999999999</v>
      </c>
      <c r="O45" s="19">
        <v>275.52999999999997</v>
      </c>
      <c r="P45" s="23">
        <f t="shared" si="8"/>
        <v>0.16334151216666917</v>
      </c>
      <c r="Q45" s="27">
        <v>17.07</v>
      </c>
      <c r="R45" s="19">
        <v>769.42</v>
      </c>
      <c r="S45" s="23">
        <f t="shared" si="9"/>
        <v>0.3509133269349034</v>
      </c>
      <c r="T45" s="34">
        <v>16.920000000000002</v>
      </c>
      <c r="U45" s="35">
        <v>258.2</v>
      </c>
      <c r="V45" s="23">
        <f t="shared" si="10"/>
        <v>0.14494612657861178</v>
      </c>
      <c r="W45" s="34">
        <v>16.93</v>
      </c>
      <c r="X45" s="35">
        <v>358.5</v>
      </c>
      <c r="Y45" s="19">
        <f t="shared" si="11"/>
        <v>0.14126118140370825</v>
      </c>
      <c r="Z45" s="34">
        <v>17.04</v>
      </c>
      <c r="AA45" s="35">
        <v>288.61</v>
      </c>
      <c r="AB45" s="23">
        <f t="shared" si="12"/>
        <v>0.14258944929969561</v>
      </c>
    </row>
    <row r="46" spans="2:28" s="16" customFormat="1" x14ac:dyDescent="0.25">
      <c r="B46" s="65">
        <v>879</v>
      </c>
      <c r="C46" s="35" t="s">
        <v>162</v>
      </c>
      <c r="D46" s="83" t="s">
        <v>279</v>
      </c>
      <c r="E46" s="107">
        <v>3</v>
      </c>
      <c r="F46" s="112">
        <v>0</v>
      </c>
      <c r="G46" s="116" t="s">
        <v>280</v>
      </c>
      <c r="H46" s="27">
        <v>16.38</v>
      </c>
      <c r="I46" s="19">
        <v>314.41000000000003</v>
      </c>
      <c r="J46" s="23">
        <f t="shared" si="6"/>
        <v>0.23546139529505586</v>
      </c>
      <c r="K46" s="102">
        <v>18</v>
      </c>
      <c r="L46" s="22">
        <v>472.65</v>
      </c>
      <c r="M46" s="20">
        <f t="shared" si="7"/>
        <v>0.2345282206693966</v>
      </c>
      <c r="N46" s="27" t="s">
        <v>22</v>
      </c>
      <c r="O46" s="19">
        <v>0</v>
      </c>
      <c r="P46" s="23">
        <f t="shared" si="8"/>
        <v>0</v>
      </c>
      <c r="Q46" s="27" t="s">
        <v>22</v>
      </c>
      <c r="R46" s="19">
        <v>0</v>
      </c>
      <c r="S46" s="23">
        <f t="shared" si="9"/>
        <v>0</v>
      </c>
      <c r="T46" s="34" t="s">
        <v>22</v>
      </c>
      <c r="U46" s="35">
        <v>0</v>
      </c>
      <c r="V46" s="23">
        <f t="shared" si="10"/>
        <v>0</v>
      </c>
      <c r="W46" s="34">
        <v>17.760000000000002</v>
      </c>
      <c r="X46" s="35">
        <v>634.64</v>
      </c>
      <c r="Y46" s="19">
        <f t="shared" si="11"/>
        <v>0.25006972431255059</v>
      </c>
      <c r="Z46" s="34">
        <v>17.88</v>
      </c>
      <c r="AA46" s="35">
        <v>496.77</v>
      </c>
      <c r="AB46" s="23">
        <f t="shared" si="12"/>
        <v>0.24543210813419417</v>
      </c>
    </row>
    <row r="47" spans="2:28" s="16" customFormat="1" x14ac:dyDescent="0.25">
      <c r="B47" s="65">
        <v>894</v>
      </c>
      <c r="C47" s="35" t="s">
        <v>163</v>
      </c>
      <c r="D47" s="83" t="s">
        <v>164</v>
      </c>
      <c r="E47" s="107">
        <v>1</v>
      </c>
      <c r="F47" s="112">
        <v>0</v>
      </c>
      <c r="G47" s="116">
        <v>0</v>
      </c>
      <c r="H47" s="27">
        <v>15.45</v>
      </c>
      <c r="I47" s="19">
        <v>274.56</v>
      </c>
      <c r="J47" s="23">
        <f t="shared" si="6"/>
        <v>0.20561776245097335</v>
      </c>
      <c r="K47" s="102">
        <v>16.84</v>
      </c>
      <c r="L47" s="22">
        <v>560.35</v>
      </c>
      <c r="M47" s="20">
        <f t="shared" si="7"/>
        <v>0.27804482905341454</v>
      </c>
      <c r="N47" s="27">
        <v>16.940000000000001</v>
      </c>
      <c r="O47" s="19">
        <v>475.9</v>
      </c>
      <c r="P47" s="23">
        <f t="shared" si="8"/>
        <v>0.28212617733138989</v>
      </c>
      <c r="Q47" s="27">
        <v>16.75</v>
      </c>
      <c r="R47" s="19">
        <v>680.49</v>
      </c>
      <c r="S47" s="23">
        <f t="shared" si="9"/>
        <v>0.31035456557658031</v>
      </c>
      <c r="T47" s="34">
        <v>16.71</v>
      </c>
      <c r="U47" s="35">
        <v>695.78</v>
      </c>
      <c r="V47" s="23">
        <f t="shared" si="10"/>
        <v>0.39059107649444813</v>
      </c>
      <c r="W47" s="34">
        <v>16.71</v>
      </c>
      <c r="X47" s="35">
        <v>968.52</v>
      </c>
      <c r="Y47" s="19">
        <f t="shared" si="11"/>
        <v>0.38162978915793444</v>
      </c>
      <c r="Z47" s="34">
        <v>16.829999999999998</v>
      </c>
      <c r="AA47" s="35">
        <v>591.02</v>
      </c>
      <c r="AB47" s="23">
        <f t="shared" si="12"/>
        <v>0.29199686887185505</v>
      </c>
    </row>
    <row r="48" spans="2:28" x14ac:dyDescent="0.25">
      <c r="B48" s="65" t="s">
        <v>55</v>
      </c>
      <c r="C48" s="35" t="s">
        <v>56</v>
      </c>
      <c r="D48" s="74" t="s">
        <v>165</v>
      </c>
      <c r="E48" s="109" t="s">
        <v>401</v>
      </c>
      <c r="F48" s="114">
        <v>0</v>
      </c>
      <c r="G48" s="116" t="s">
        <v>281</v>
      </c>
      <c r="H48" s="27">
        <v>12.19</v>
      </c>
      <c r="I48" s="19">
        <v>296.05</v>
      </c>
      <c r="J48" s="23">
        <f t="shared" si="6"/>
        <v>0.22171160611017871</v>
      </c>
      <c r="K48" s="102">
        <v>13.24</v>
      </c>
      <c r="L48" s="22">
        <v>534</v>
      </c>
      <c r="M48" s="20">
        <f t="shared" si="7"/>
        <v>0.26496999859823922</v>
      </c>
      <c r="N48" s="27" t="s">
        <v>22</v>
      </c>
      <c r="O48" s="19">
        <v>0</v>
      </c>
      <c r="P48" s="23">
        <f t="shared" si="8"/>
        <v>0</v>
      </c>
      <c r="Q48" s="27" t="s">
        <v>22</v>
      </c>
      <c r="R48" s="19">
        <v>0</v>
      </c>
      <c r="S48" s="23">
        <f t="shared" si="9"/>
        <v>0</v>
      </c>
      <c r="T48" s="34">
        <v>13.14</v>
      </c>
      <c r="U48" s="35">
        <v>888.59</v>
      </c>
      <c r="V48" s="23">
        <f t="shared" si="10"/>
        <v>0.49882911935123414</v>
      </c>
      <c r="W48" s="34">
        <v>13.08</v>
      </c>
      <c r="X48" s="35">
        <v>687.55</v>
      </c>
      <c r="Y48" s="19">
        <f t="shared" si="11"/>
        <v>0.27091806213143538</v>
      </c>
      <c r="Z48" s="34">
        <v>13.17</v>
      </c>
      <c r="AA48" s="35">
        <v>559.77</v>
      </c>
      <c r="AB48" s="23">
        <f t="shared" si="12"/>
        <v>0.27655762459544231</v>
      </c>
    </row>
    <row r="49" spans="2:28" x14ac:dyDescent="0.25">
      <c r="B49" s="65" t="s">
        <v>438</v>
      </c>
      <c r="C49" s="35" t="s">
        <v>56</v>
      </c>
      <c r="D49" s="74" t="s">
        <v>57</v>
      </c>
      <c r="E49" s="107">
        <v>1</v>
      </c>
      <c r="F49" s="114">
        <v>0</v>
      </c>
      <c r="G49" s="116" t="s">
        <v>276</v>
      </c>
      <c r="H49" s="27">
        <v>17.920000000000002</v>
      </c>
      <c r="I49" s="19">
        <v>634.9</v>
      </c>
      <c r="J49" s="23">
        <f t="shared" si="6"/>
        <v>0.47547609768401428</v>
      </c>
      <c r="K49" s="102">
        <v>19.37</v>
      </c>
      <c r="L49" s="22">
        <v>297.66000000000003</v>
      </c>
      <c r="M49" s="20">
        <f t="shared" si="7"/>
        <v>0.14769844528605225</v>
      </c>
      <c r="N49" s="27">
        <v>19.399999999999999</v>
      </c>
      <c r="O49" s="19">
        <v>539.37</v>
      </c>
      <c r="P49" s="23">
        <f t="shared" si="8"/>
        <v>0.31975288141885222</v>
      </c>
      <c r="Q49" s="27">
        <v>19.27</v>
      </c>
      <c r="R49" s="19">
        <v>997.83</v>
      </c>
      <c r="S49" s="23">
        <f t="shared" si="9"/>
        <v>0.45508544750000612</v>
      </c>
      <c r="T49" s="34" t="s">
        <v>22</v>
      </c>
      <c r="U49" s="35">
        <v>0</v>
      </c>
      <c r="V49" s="23">
        <f t="shared" si="10"/>
        <v>0</v>
      </c>
      <c r="W49" s="34">
        <v>19.23</v>
      </c>
      <c r="X49" s="35">
        <v>1046.99</v>
      </c>
      <c r="Y49" s="19">
        <f t="shared" si="11"/>
        <v>0.41254963547522588</v>
      </c>
      <c r="Z49" s="34">
        <v>19.350000000000001</v>
      </c>
      <c r="AA49" s="35">
        <v>842.41</v>
      </c>
      <c r="AB49" s="23">
        <f t="shared" si="12"/>
        <v>0.416197560668572</v>
      </c>
    </row>
    <row r="50" spans="2:28" s="16" customFormat="1" x14ac:dyDescent="0.25">
      <c r="B50" s="65" t="s">
        <v>439</v>
      </c>
      <c r="C50" s="35" t="s">
        <v>56</v>
      </c>
      <c r="D50" s="74" t="s">
        <v>58</v>
      </c>
      <c r="E50" s="107">
        <v>2</v>
      </c>
      <c r="F50" s="112">
        <v>0</v>
      </c>
      <c r="G50" s="116" t="s">
        <v>276</v>
      </c>
      <c r="H50" s="27">
        <v>18.96</v>
      </c>
      <c r="I50" s="19">
        <v>622.1</v>
      </c>
      <c r="J50" s="23">
        <f t="shared" si="6"/>
        <v>0.46589018801264032</v>
      </c>
      <c r="K50" s="102">
        <v>20.62</v>
      </c>
      <c r="L50" s="22">
        <v>446.67</v>
      </c>
      <c r="M50" s="20">
        <f t="shared" si="7"/>
        <v>0.22163698365894294</v>
      </c>
      <c r="N50" s="27">
        <v>20.55</v>
      </c>
      <c r="O50" s="19">
        <v>1135.05</v>
      </c>
      <c r="P50" s="23">
        <f t="shared" si="8"/>
        <v>0.67288782849336859</v>
      </c>
      <c r="Q50" s="27">
        <v>20.52</v>
      </c>
      <c r="R50" s="19">
        <v>1356.75</v>
      </c>
      <c r="S50" s="23">
        <f t="shared" si="9"/>
        <v>0.6187799333510049</v>
      </c>
      <c r="T50" s="34" t="s">
        <v>22</v>
      </c>
      <c r="U50" s="35">
        <v>0</v>
      </c>
      <c r="V50" s="23">
        <f t="shared" si="10"/>
        <v>0</v>
      </c>
      <c r="W50" s="34">
        <v>20.38</v>
      </c>
      <c r="X50" s="35">
        <v>1212.01</v>
      </c>
      <c r="Y50" s="19">
        <f t="shared" si="11"/>
        <v>0.47757312265860086</v>
      </c>
      <c r="Z50" s="34">
        <v>20.49</v>
      </c>
      <c r="AA50" s="35">
        <v>1050.1400000000001</v>
      </c>
      <c r="AB50" s="23">
        <f t="shared" si="12"/>
        <v>0.51882777550182724</v>
      </c>
    </row>
    <row r="51" spans="2:28" s="16" customFormat="1" x14ac:dyDescent="0.25">
      <c r="B51" s="65" t="s">
        <v>166</v>
      </c>
      <c r="C51" s="35" t="s">
        <v>56</v>
      </c>
      <c r="D51" s="74" t="s">
        <v>59</v>
      </c>
      <c r="E51" s="107">
        <v>2</v>
      </c>
      <c r="F51" s="112">
        <v>0</v>
      </c>
      <c r="G51" s="116" t="s">
        <v>273</v>
      </c>
      <c r="H51" s="27">
        <v>23.91</v>
      </c>
      <c r="I51" s="19">
        <v>497.86</v>
      </c>
      <c r="J51" s="23">
        <f t="shared" si="6"/>
        <v>0.37284695226486597</v>
      </c>
      <c r="K51" s="102">
        <v>26.13</v>
      </c>
      <c r="L51" s="22">
        <v>2745.44</v>
      </c>
      <c r="M51" s="20">
        <f t="shared" si="7"/>
        <v>1.3622832077744382</v>
      </c>
      <c r="N51" s="27">
        <v>26.17</v>
      </c>
      <c r="O51" s="19">
        <v>1031.9000000000001</v>
      </c>
      <c r="P51" s="23">
        <f t="shared" si="8"/>
        <v>0.61173776505203048</v>
      </c>
      <c r="Q51" s="27">
        <v>26.07</v>
      </c>
      <c r="R51" s="19">
        <v>788.8</v>
      </c>
      <c r="S51" s="23">
        <f t="shared" si="9"/>
        <v>0.35975206296463802</v>
      </c>
      <c r="T51" s="34" t="s">
        <v>22</v>
      </c>
      <c r="U51" s="35">
        <v>0</v>
      </c>
      <c r="V51" s="23">
        <f t="shared" si="10"/>
        <v>0</v>
      </c>
      <c r="W51" s="34">
        <v>26.01</v>
      </c>
      <c r="X51" s="35">
        <v>835.2</v>
      </c>
      <c r="Y51" s="19">
        <f t="shared" si="11"/>
        <v>0.32909717910286507</v>
      </c>
      <c r="Z51" s="34">
        <v>26.04</v>
      </c>
      <c r="AA51" s="35">
        <v>885.23</v>
      </c>
      <c r="AB51" s="23">
        <f t="shared" si="12"/>
        <v>0.43735303074588383</v>
      </c>
    </row>
    <row r="52" spans="2:28" x14ac:dyDescent="0.25">
      <c r="B52" s="65" t="s">
        <v>60</v>
      </c>
      <c r="C52" s="35" t="s">
        <v>61</v>
      </c>
      <c r="D52" s="81" t="s">
        <v>167</v>
      </c>
      <c r="E52" s="107">
        <v>4</v>
      </c>
      <c r="F52" s="114">
        <v>0</v>
      </c>
      <c r="G52" s="116" t="s">
        <v>274</v>
      </c>
      <c r="H52" s="27">
        <v>13.08</v>
      </c>
      <c r="I52" s="19">
        <v>1095.0899999999999</v>
      </c>
      <c r="J52" s="23">
        <f t="shared" si="6"/>
        <v>0.8201120173457036</v>
      </c>
      <c r="K52" s="102">
        <v>14.26</v>
      </c>
      <c r="L52" s="22">
        <v>2032.89</v>
      </c>
      <c r="M52" s="20">
        <f t="shared" si="7"/>
        <v>1.0087169671355329</v>
      </c>
      <c r="N52" s="27" t="s">
        <v>22</v>
      </c>
      <c r="O52" s="19">
        <v>0</v>
      </c>
      <c r="P52" s="23">
        <f t="shared" si="8"/>
        <v>0</v>
      </c>
      <c r="Q52" s="27">
        <v>14.12</v>
      </c>
      <c r="R52" s="19">
        <v>824.07</v>
      </c>
      <c r="S52" s="23">
        <f t="shared" si="9"/>
        <v>0.37583783281854627</v>
      </c>
      <c r="T52" s="34">
        <v>14.09</v>
      </c>
      <c r="U52" s="35">
        <v>3857</v>
      </c>
      <c r="V52" s="23">
        <f t="shared" si="10"/>
        <v>2.1652099543520746</v>
      </c>
      <c r="W52" s="34">
        <v>14.17</v>
      </c>
      <c r="X52" s="35">
        <v>2629.95</v>
      </c>
      <c r="Y52" s="19">
        <f t="shared" si="11"/>
        <v>1.0362896625737308</v>
      </c>
      <c r="Z52" s="34">
        <v>14.23</v>
      </c>
      <c r="AA52" s="35">
        <v>1649.64</v>
      </c>
      <c r="AB52" s="23">
        <f t="shared" si="12"/>
        <v>0.81501423770052961</v>
      </c>
    </row>
    <row r="53" spans="2:28" x14ac:dyDescent="0.25">
      <c r="B53" s="65" t="s">
        <v>62</v>
      </c>
      <c r="C53" s="35" t="s">
        <v>61</v>
      </c>
      <c r="D53" s="81" t="s">
        <v>169</v>
      </c>
      <c r="E53" s="107">
        <v>4</v>
      </c>
      <c r="F53" s="114">
        <v>0</v>
      </c>
      <c r="G53" s="116" t="s">
        <v>276</v>
      </c>
      <c r="H53" s="27">
        <v>19.59</v>
      </c>
      <c r="I53" s="19">
        <v>1251.44</v>
      </c>
      <c r="J53" s="23">
        <f t="shared" si="6"/>
        <v>0.93720240618315154</v>
      </c>
      <c r="K53" s="102">
        <v>21.25</v>
      </c>
      <c r="L53" s="22">
        <v>1225.56</v>
      </c>
      <c r="M53" s="20">
        <f t="shared" si="7"/>
        <v>0.60812103273793638</v>
      </c>
      <c r="N53" s="27">
        <v>21.28</v>
      </c>
      <c r="O53" s="19">
        <v>3884.68</v>
      </c>
      <c r="P53" s="23">
        <f t="shared" si="8"/>
        <v>2.3029416233572255</v>
      </c>
      <c r="Q53" s="27">
        <v>21.16</v>
      </c>
      <c r="R53" s="19">
        <v>5274.02</v>
      </c>
      <c r="S53" s="23">
        <f t="shared" si="9"/>
        <v>2.4053493599350411</v>
      </c>
      <c r="T53" s="34" t="s">
        <v>22</v>
      </c>
      <c r="U53" s="35">
        <v>0</v>
      </c>
      <c r="V53" s="23">
        <f t="shared" si="10"/>
        <v>0</v>
      </c>
      <c r="W53" s="34">
        <v>21.11</v>
      </c>
      <c r="X53" s="35">
        <v>2299.8200000000002</v>
      </c>
      <c r="Y53" s="19">
        <f t="shared" si="11"/>
        <v>0.90620722514888796</v>
      </c>
      <c r="Z53" s="34">
        <v>21.23</v>
      </c>
      <c r="AA53" s="35">
        <v>1546.17</v>
      </c>
      <c r="AB53" s="23">
        <f t="shared" si="12"/>
        <v>0.76389428233155587</v>
      </c>
    </row>
    <row r="54" spans="2:28" s="16" customFormat="1" x14ac:dyDescent="0.25">
      <c r="B54" s="65" t="s">
        <v>168</v>
      </c>
      <c r="C54" s="35" t="s">
        <v>61</v>
      </c>
      <c r="D54" s="81" t="s">
        <v>63</v>
      </c>
      <c r="E54" s="107">
        <v>2</v>
      </c>
      <c r="F54" s="112">
        <v>0</v>
      </c>
      <c r="G54" s="116" t="s">
        <v>273</v>
      </c>
      <c r="H54" s="27">
        <v>23.81</v>
      </c>
      <c r="I54" s="19">
        <v>408.19</v>
      </c>
      <c r="J54" s="23">
        <f t="shared" si="6"/>
        <v>0.30569316162173227</v>
      </c>
      <c r="K54" s="102">
        <v>26.13</v>
      </c>
      <c r="L54" s="22">
        <v>399.2</v>
      </c>
      <c r="M54" s="20">
        <f t="shared" si="7"/>
        <v>0.19808244089965749</v>
      </c>
      <c r="N54" s="27">
        <v>26.07</v>
      </c>
      <c r="O54" s="19">
        <v>299.8</v>
      </c>
      <c r="P54" s="23">
        <f t="shared" si="8"/>
        <v>0.17772941366663311</v>
      </c>
      <c r="Q54" s="27" t="s">
        <v>406</v>
      </c>
      <c r="R54" s="19">
        <v>522</v>
      </c>
      <c r="S54" s="23">
        <f t="shared" si="9"/>
        <v>0.23807121813836341</v>
      </c>
      <c r="T54" s="34" t="s">
        <v>22</v>
      </c>
      <c r="U54" s="35">
        <v>0</v>
      </c>
      <c r="V54" s="23">
        <f t="shared" si="10"/>
        <v>0</v>
      </c>
      <c r="W54" s="34" t="s">
        <v>405</v>
      </c>
      <c r="X54" s="35">
        <v>534.9</v>
      </c>
      <c r="Y54" s="19">
        <f t="shared" si="11"/>
        <v>0.21076877526595128</v>
      </c>
      <c r="Z54" s="34" t="s">
        <v>404</v>
      </c>
      <c r="AA54" s="35">
        <v>225.9</v>
      </c>
      <c r="AB54" s="23">
        <f t="shared" si="12"/>
        <v>0.1116072090253326</v>
      </c>
    </row>
    <row r="55" spans="2:28" x14ac:dyDescent="0.25">
      <c r="B55" s="65" t="s">
        <v>64</v>
      </c>
      <c r="C55" s="35" t="s">
        <v>65</v>
      </c>
      <c r="D55" s="74" t="s">
        <v>66</v>
      </c>
      <c r="E55" s="107" t="s">
        <v>170</v>
      </c>
      <c r="F55" s="114">
        <v>0</v>
      </c>
      <c r="G55" s="116">
        <v>0</v>
      </c>
      <c r="H55" s="27">
        <v>15.55</v>
      </c>
      <c r="I55" s="19">
        <v>1637.04</v>
      </c>
      <c r="J55" s="23">
        <f t="shared" si="6"/>
        <v>1.2259779350332947</v>
      </c>
      <c r="K55" s="102">
        <v>16.739999999999998</v>
      </c>
      <c r="L55" s="22">
        <v>1424.5</v>
      </c>
      <c r="M55" s="20">
        <f t="shared" si="7"/>
        <v>0.7068347621782618</v>
      </c>
      <c r="N55" s="27">
        <v>16.77</v>
      </c>
      <c r="O55" s="19">
        <v>2518.9899999999998</v>
      </c>
      <c r="P55" s="23">
        <f t="shared" si="8"/>
        <v>1.4933242686194532</v>
      </c>
      <c r="Q55" s="27">
        <v>16.64</v>
      </c>
      <c r="R55" s="19">
        <v>1604.2</v>
      </c>
      <c r="S55" s="23">
        <f t="shared" si="9"/>
        <v>0.73163572440146085</v>
      </c>
      <c r="T55" s="34">
        <v>16.5</v>
      </c>
      <c r="U55" s="35">
        <v>1628.9</v>
      </c>
      <c r="V55" s="23">
        <f t="shared" si="10"/>
        <v>0.91441806965104866</v>
      </c>
      <c r="W55" s="34">
        <v>16.61</v>
      </c>
      <c r="X55" s="35">
        <v>1710.4</v>
      </c>
      <c r="Y55" s="19">
        <f t="shared" si="11"/>
        <v>0.67395571735816617</v>
      </c>
      <c r="Z55" s="34">
        <v>16.73</v>
      </c>
      <c r="AA55" s="35">
        <v>1691.6</v>
      </c>
      <c r="AB55" s="23">
        <f t="shared" si="12"/>
        <v>0.83574481977535442</v>
      </c>
    </row>
    <row r="56" spans="2:28" x14ac:dyDescent="0.25">
      <c r="B56" s="65" t="s">
        <v>67</v>
      </c>
      <c r="C56" s="35" t="s">
        <v>65</v>
      </c>
      <c r="D56" s="74" t="s">
        <v>68</v>
      </c>
      <c r="E56" s="107">
        <v>2</v>
      </c>
      <c r="F56" s="114">
        <v>0</v>
      </c>
      <c r="G56" s="116">
        <v>0</v>
      </c>
      <c r="H56" s="27">
        <v>15.87</v>
      </c>
      <c r="I56" s="19">
        <v>516.67999999999995</v>
      </c>
      <c r="J56" s="23">
        <f t="shared" si="6"/>
        <v>0.3869412350785581</v>
      </c>
      <c r="K56" s="102">
        <v>17.16</v>
      </c>
      <c r="L56" s="22">
        <v>1449</v>
      </c>
      <c r="M56" s="20">
        <f t="shared" si="7"/>
        <v>0.71899162540982897</v>
      </c>
      <c r="N56" s="27">
        <v>17.149999999999999</v>
      </c>
      <c r="O56" s="19">
        <v>105.79</v>
      </c>
      <c r="P56" s="23">
        <f t="shared" si="8"/>
        <v>6.2715125656414669E-2</v>
      </c>
      <c r="Q56" s="27">
        <v>17.07</v>
      </c>
      <c r="R56" s="19">
        <v>992.2</v>
      </c>
      <c r="S56" s="23">
        <f t="shared" si="9"/>
        <v>0.45251774451510385</v>
      </c>
      <c r="T56" s="34">
        <v>17.02</v>
      </c>
      <c r="U56" s="35">
        <v>2099.8000000000002</v>
      </c>
      <c r="V56" s="23">
        <f t="shared" si="10"/>
        <v>1.1787679186280753</v>
      </c>
      <c r="W56" s="34">
        <v>17.03</v>
      </c>
      <c r="X56" s="35">
        <v>696.6</v>
      </c>
      <c r="Y56" s="19">
        <f t="shared" si="11"/>
        <v>0.27448406963967409</v>
      </c>
      <c r="Z56" s="34">
        <v>17.149999999999999</v>
      </c>
      <c r="AA56" s="35">
        <v>805.4</v>
      </c>
      <c r="AB56" s="23">
        <f t="shared" si="12"/>
        <v>0.39791255488713084</v>
      </c>
    </row>
    <row r="57" spans="2:28" s="16" customFormat="1" x14ac:dyDescent="0.25">
      <c r="B57" s="65" t="s">
        <v>171</v>
      </c>
      <c r="C57" s="35" t="s">
        <v>65</v>
      </c>
      <c r="D57" s="74" t="s">
        <v>172</v>
      </c>
      <c r="E57" s="107">
        <v>4</v>
      </c>
      <c r="F57" s="112">
        <v>0</v>
      </c>
      <c r="G57" s="116">
        <v>0</v>
      </c>
      <c r="H57" s="27">
        <v>17.920000000000002</v>
      </c>
      <c r="I57" s="19">
        <v>577.71</v>
      </c>
      <c r="J57" s="23">
        <f t="shared" si="6"/>
        <v>0.43264655283199233</v>
      </c>
      <c r="K57" s="102">
        <v>19.16</v>
      </c>
      <c r="L57" s="22">
        <v>1000.01</v>
      </c>
      <c r="M57" s="20">
        <f t="shared" si="7"/>
        <v>0.49620346123263154</v>
      </c>
      <c r="N57" s="27">
        <v>19.09</v>
      </c>
      <c r="O57" s="19">
        <v>2385.54</v>
      </c>
      <c r="P57" s="23">
        <f t="shared" si="8"/>
        <v>1.4142115593005333</v>
      </c>
      <c r="Q57" s="27">
        <v>19.05</v>
      </c>
      <c r="R57" s="19">
        <v>1903.47</v>
      </c>
      <c r="S57" s="23">
        <f t="shared" si="9"/>
        <v>0.86812532871615067</v>
      </c>
      <c r="T57" s="34">
        <v>19.010000000000002</v>
      </c>
      <c r="U57" s="35">
        <v>1915.04</v>
      </c>
      <c r="V57" s="23">
        <f t="shared" si="10"/>
        <v>1.0750489165108625</v>
      </c>
      <c r="W57" s="34">
        <v>19.02</v>
      </c>
      <c r="X57" s="35">
        <v>1181.8499999999999</v>
      </c>
      <c r="Y57" s="19">
        <f t="shared" si="11"/>
        <v>0.46568905785766407</v>
      </c>
      <c r="Z57" s="34">
        <v>19.04</v>
      </c>
      <c r="AA57" s="35">
        <v>897.05</v>
      </c>
      <c r="AB57" s="23">
        <f t="shared" si="12"/>
        <v>0.44319277050099415</v>
      </c>
    </row>
    <row r="58" spans="2:28" s="16" customFormat="1" x14ac:dyDescent="0.25">
      <c r="B58" s="65">
        <v>958</v>
      </c>
      <c r="C58" s="35" t="s">
        <v>173</v>
      </c>
      <c r="D58" s="74" t="s">
        <v>174</v>
      </c>
      <c r="E58" s="107">
        <v>2</v>
      </c>
      <c r="F58" s="112">
        <v>1</v>
      </c>
      <c r="G58" s="116">
        <v>0</v>
      </c>
      <c r="H58" s="27">
        <v>17.010000000000002</v>
      </c>
      <c r="I58" s="19">
        <v>282.14999999999998</v>
      </c>
      <c r="J58" s="23">
        <f t="shared" si="6"/>
        <v>0.21130190732642093</v>
      </c>
      <c r="K58" s="102">
        <v>18.53</v>
      </c>
      <c r="L58" s="22">
        <v>289.27999999999997</v>
      </c>
      <c r="M58" s="20">
        <f t="shared" si="7"/>
        <v>0.143540301862357</v>
      </c>
      <c r="N58" s="27">
        <v>18.649999999999999</v>
      </c>
      <c r="O58" s="19">
        <v>178.4</v>
      </c>
      <c r="P58" s="23">
        <f t="shared" si="8"/>
        <v>0.10576026483698248</v>
      </c>
      <c r="Q58" s="27">
        <v>18.53</v>
      </c>
      <c r="R58" s="19">
        <v>374.13</v>
      </c>
      <c r="S58" s="23">
        <f t="shared" si="9"/>
        <v>0.17063138858640978</v>
      </c>
      <c r="T58" s="34">
        <v>18.38</v>
      </c>
      <c r="U58" s="35">
        <v>456.26</v>
      </c>
      <c r="V58" s="23">
        <f t="shared" si="10"/>
        <v>0.25613136991772817</v>
      </c>
      <c r="W58" s="34">
        <v>18.5</v>
      </c>
      <c r="X58" s="35">
        <v>520.07000000000005</v>
      </c>
      <c r="Y58" s="19">
        <f t="shared" si="11"/>
        <v>0.20492525136018563</v>
      </c>
      <c r="Z58" s="34">
        <v>18.61</v>
      </c>
      <c r="AA58" s="35">
        <v>337.33</v>
      </c>
      <c r="AB58" s="23">
        <f t="shared" si="12"/>
        <v>0.16665984869639414</v>
      </c>
    </row>
    <row r="59" spans="2:28" x14ac:dyDescent="0.25">
      <c r="B59" s="65">
        <v>966</v>
      </c>
      <c r="C59" s="35" t="s">
        <v>69</v>
      </c>
      <c r="D59" s="74" t="s">
        <v>70</v>
      </c>
      <c r="E59" s="107">
        <v>1</v>
      </c>
      <c r="F59" s="114">
        <v>0</v>
      </c>
      <c r="G59" s="116">
        <v>0</v>
      </c>
      <c r="H59" s="27">
        <v>13.81</v>
      </c>
      <c r="I59" s="19">
        <v>2892</v>
      </c>
      <c r="J59" s="23">
        <f t="shared" si="6"/>
        <v>2.1658164663760742</v>
      </c>
      <c r="K59" s="102">
        <v>15.18</v>
      </c>
      <c r="L59" s="22">
        <v>3612.58</v>
      </c>
      <c r="M59" s="20">
        <f t="shared" si="7"/>
        <v>1.7925567744120359</v>
      </c>
      <c r="N59" s="27">
        <v>15.35</v>
      </c>
      <c r="O59" s="19">
        <v>2440.46</v>
      </c>
      <c r="P59" s="23">
        <f t="shared" si="8"/>
        <v>1.446769595986896</v>
      </c>
      <c r="Q59" s="27">
        <v>15.21</v>
      </c>
      <c r="R59" s="19">
        <v>4319.3</v>
      </c>
      <c r="S59" s="23">
        <f t="shared" si="9"/>
        <v>1.9699253113123241</v>
      </c>
      <c r="T59" s="34">
        <v>15</v>
      </c>
      <c r="U59" s="35">
        <v>4443.45</v>
      </c>
      <c r="V59" s="23">
        <f t="shared" si="10"/>
        <v>2.4944262825163923</v>
      </c>
      <c r="W59" s="34">
        <v>15.18</v>
      </c>
      <c r="X59" s="35">
        <v>4348.37</v>
      </c>
      <c r="Y59" s="19">
        <f t="shared" si="11"/>
        <v>1.7134055324419604</v>
      </c>
      <c r="Z59" s="34">
        <v>15.33</v>
      </c>
      <c r="AA59" s="35">
        <v>4922.58</v>
      </c>
      <c r="AB59" s="23">
        <f t="shared" si="12"/>
        <v>2.4320292828858858</v>
      </c>
    </row>
    <row r="60" spans="2:28" s="16" customFormat="1" x14ac:dyDescent="0.25">
      <c r="B60" s="65">
        <v>974</v>
      </c>
      <c r="C60" s="35" t="s">
        <v>175</v>
      </c>
      <c r="D60" s="74" t="s">
        <v>176</v>
      </c>
      <c r="E60" s="107">
        <v>2</v>
      </c>
      <c r="F60" s="112">
        <v>1</v>
      </c>
      <c r="G60" s="116">
        <v>0</v>
      </c>
      <c r="H60" s="27">
        <v>16.8</v>
      </c>
      <c r="I60" s="19">
        <v>641.5</v>
      </c>
      <c r="J60" s="23">
        <f t="shared" si="6"/>
        <v>0.48041883235831656</v>
      </c>
      <c r="K60" s="102">
        <v>18.309999999999999</v>
      </c>
      <c r="L60" s="22">
        <v>648.42999999999995</v>
      </c>
      <c r="M60" s="20">
        <f t="shared" si="7"/>
        <v>0.32174999286714656</v>
      </c>
      <c r="N60" s="27">
        <v>18.46</v>
      </c>
      <c r="O60" s="19">
        <v>565.30999999999995</v>
      </c>
      <c r="P60" s="23">
        <f t="shared" si="8"/>
        <v>0.33513080333517126</v>
      </c>
      <c r="Q60" s="27">
        <v>18.32</v>
      </c>
      <c r="R60" s="19">
        <v>839.87</v>
      </c>
      <c r="S60" s="23">
        <f t="shared" si="9"/>
        <v>0.3830438198809718</v>
      </c>
      <c r="T60" s="34">
        <v>18.07</v>
      </c>
      <c r="U60" s="35">
        <v>862.73</v>
      </c>
      <c r="V60" s="23">
        <f t="shared" si="10"/>
        <v>0.48431205183255521</v>
      </c>
      <c r="W60" s="34">
        <v>18.18</v>
      </c>
      <c r="X60" s="35">
        <v>788.27</v>
      </c>
      <c r="Y60" s="19">
        <f t="shared" si="11"/>
        <v>0.31060516447726944</v>
      </c>
      <c r="Z60" s="34">
        <v>18.3</v>
      </c>
      <c r="AA60" s="35">
        <v>615.02</v>
      </c>
      <c r="AB60" s="23">
        <f t="shared" si="12"/>
        <v>0.30385420847614003</v>
      </c>
    </row>
    <row r="61" spans="2:28" x14ac:dyDescent="0.25">
      <c r="B61" s="65" t="s">
        <v>177</v>
      </c>
      <c r="C61" s="35" t="s">
        <v>71</v>
      </c>
      <c r="D61" s="84" t="s">
        <v>265</v>
      </c>
      <c r="E61" s="107">
        <v>2</v>
      </c>
      <c r="F61" s="114">
        <v>1</v>
      </c>
      <c r="G61" s="116" t="s">
        <v>274</v>
      </c>
      <c r="H61" s="27">
        <v>12.61</v>
      </c>
      <c r="I61" s="19">
        <v>846.28</v>
      </c>
      <c r="J61" s="23">
        <f t="shared" si="6"/>
        <v>0.63377840911643979</v>
      </c>
      <c r="K61" s="102">
        <v>13.93</v>
      </c>
      <c r="L61" s="22">
        <v>1483.52</v>
      </c>
      <c r="M61" s="20">
        <f t="shared" si="7"/>
        <v>0.7361203976038575</v>
      </c>
      <c r="N61" s="27" t="s">
        <v>22</v>
      </c>
      <c r="O61" s="19">
        <v>0</v>
      </c>
      <c r="P61" s="23">
        <f t="shared" si="8"/>
        <v>0</v>
      </c>
      <c r="Q61" s="27">
        <v>13.75</v>
      </c>
      <c r="R61" s="19">
        <v>702.69</v>
      </c>
      <c r="S61" s="23">
        <f t="shared" si="9"/>
        <v>0.32047943347441876</v>
      </c>
      <c r="T61" s="34">
        <v>13.58</v>
      </c>
      <c r="U61" s="35">
        <v>2633.63</v>
      </c>
      <c r="V61" s="23">
        <f t="shared" si="10"/>
        <v>1.4784448773866359</v>
      </c>
      <c r="W61" s="34">
        <v>13.75</v>
      </c>
      <c r="X61" s="35">
        <v>1711.04</v>
      </c>
      <c r="Y61" s="19">
        <f t="shared" si="11"/>
        <v>0.6742078991046051</v>
      </c>
      <c r="Z61" s="34">
        <v>13.89</v>
      </c>
      <c r="AA61" s="35">
        <v>1333.7</v>
      </c>
      <c r="AB61" s="23">
        <f t="shared" si="12"/>
        <v>0.6589222429264544</v>
      </c>
    </row>
    <row r="62" spans="2:28" s="16" customFormat="1" x14ac:dyDescent="0.25">
      <c r="B62" s="65" t="s">
        <v>178</v>
      </c>
      <c r="C62" s="35" t="s">
        <v>71</v>
      </c>
      <c r="D62" s="85" t="s">
        <v>179</v>
      </c>
      <c r="E62" s="107">
        <v>2</v>
      </c>
      <c r="F62" s="112">
        <v>1</v>
      </c>
      <c r="G62" s="116" t="s">
        <v>276</v>
      </c>
      <c r="H62" s="27">
        <v>15.03</v>
      </c>
      <c r="I62" s="19">
        <v>164.2</v>
      </c>
      <c r="J62" s="23">
        <f t="shared" si="6"/>
        <v>0.12296924750309522</v>
      </c>
      <c r="K62" s="102">
        <v>16.43</v>
      </c>
      <c r="L62" s="22">
        <v>354.71</v>
      </c>
      <c r="M62" s="20">
        <f t="shared" si="7"/>
        <v>0.17600656966813003</v>
      </c>
      <c r="N62" s="27">
        <v>16.46</v>
      </c>
      <c r="O62" s="19">
        <v>858.06</v>
      </c>
      <c r="P62" s="23">
        <f t="shared" si="8"/>
        <v>0.50868078949563444</v>
      </c>
      <c r="Q62" s="27">
        <v>16.329999999999998</v>
      </c>
      <c r="R62" s="19">
        <v>490.39</v>
      </c>
      <c r="S62" s="23">
        <f t="shared" si="9"/>
        <v>0.22365468326220697</v>
      </c>
      <c r="T62" s="34" t="s">
        <v>22</v>
      </c>
      <c r="U62" s="35">
        <v>0</v>
      </c>
      <c r="V62" s="23">
        <f t="shared" si="10"/>
        <v>0</v>
      </c>
      <c r="W62" s="34">
        <v>16.2</v>
      </c>
      <c r="X62" s="35">
        <v>627.89</v>
      </c>
      <c r="Y62" s="19">
        <f t="shared" si="11"/>
        <v>0.24740999495557703</v>
      </c>
      <c r="Z62" s="34" t="s">
        <v>409</v>
      </c>
      <c r="AA62" s="35">
        <v>321</v>
      </c>
      <c r="AB62" s="23">
        <f t="shared" si="12"/>
        <v>0.15859191720731192</v>
      </c>
    </row>
    <row r="63" spans="2:28" s="16" customFormat="1" x14ac:dyDescent="0.25">
      <c r="B63" s="65" t="s">
        <v>180</v>
      </c>
      <c r="C63" s="35" t="s">
        <v>71</v>
      </c>
      <c r="D63" s="74" t="s">
        <v>266</v>
      </c>
      <c r="E63" s="107">
        <v>1</v>
      </c>
      <c r="F63" s="112">
        <v>1</v>
      </c>
      <c r="G63" s="116">
        <v>0</v>
      </c>
      <c r="H63" s="27">
        <v>15.87</v>
      </c>
      <c r="I63" s="19">
        <v>200</v>
      </c>
      <c r="J63" s="23">
        <f t="shared" si="6"/>
        <v>0.14977983861521951</v>
      </c>
      <c r="K63" s="102">
        <v>17.16</v>
      </c>
      <c r="L63" s="22">
        <v>221.1</v>
      </c>
      <c r="M63" s="20">
        <f t="shared" si="7"/>
        <v>0.10970948818365299</v>
      </c>
      <c r="N63" s="27">
        <v>17.149999999999999</v>
      </c>
      <c r="O63" s="19">
        <v>260.8</v>
      </c>
      <c r="P63" s="23">
        <f t="shared" si="8"/>
        <v>0.1546091763984587</v>
      </c>
      <c r="Q63" s="27">
        <v>17.07</v>
      </c>
      <c r="R63" s="19">
        <v>455.9</v>
      </c>
      <c r="S63" s="23">
        <f t="shared" si="9"/>
        <v>0.2079246520101147</v>
      </c>
      <c r="T63" s="34" t="s">
        <v>22</v>
      </c>
      <c r="U63" s="35">
        <v>0</v>
      </c>
      <c r="V63" s="23">
        <f t="shared" si="10"/>
        <v>0</v>
      </c>
      <c r="W63" s="34">
        <v>17.03</v>
      </c>
      <c r="X63" s="35">
        <v>605.64</v>
      </c>
      <c r="Y63" s="19">
        <f t="shared" si="11"/>
        <v>0.23864273892703447</v>
      </c>
      <c r="Z63" s="34">
        <v>17.149999999999999</v>
      </c>
      <c r="AA63" s="35">
        <v>696.96</v>
      </c>
      <c r="AB63" s="23">
        <f t="shared" si="12"/>
        <v>0.34433714210843647</v>
      </c>
    </row>
    <row r="64" spans="2:28" s="16" customFormat="1" x14ac:dyDescent="0.25">
      <c r="B64" s="65" t="s">
        <v>261</v>
      </c>
      <c r="C64" s="35" t="s">
        <v>71</v>
      </c>
      <c r="D64" s="82" t="s">
        <v>269</v>
      </c>
      <c r="E64" s="108">
        <v>2</v>
      </c>
      <c r="F64" s="112">
        <v>1</v>
      </c>
      <c r="G64" s="116">
        <v>0</v>
      </c>
      <c r="H64" s="27" t="s">
        <v>22</v>
      </c>
      <c r="I64" s="19">
        <v>0</v>
      </c>
      <c r="J64" s="23">
        <f t="shared" si="6"/>
        <v>0</v>
      </c>
      <c r="K64" s="97">
        <v>27.58</v>
      </c>
      <c r="L64" s="22">
        <v>784.2</v>
      </c>
      <c r="M64" s="20">
        <f t="shared" si="7"/>
        <v>0.38911886310999855</v>
      </c>
      <c r="N64" s="27">
        <v>27.74</v>
      </c>
      <c r="O64" s="19">
        <v>969.93</v>
      </c>
      <c r="P64" s="23">
        <f t="shared" si="8"/>
        <v>0.57500030085949783</v>
      </c>
      <c r="Q64" s="27">
        <v>27.53</v>
      </c>
      <c r="R64" s="19">
        <v>816.2</v>
      </c>
      <c r="S64" s="23">
        <f t="shared" si="9"/>
        <v>0.37224852154124949</v>
      </c>
      <c r="T64" s="34" t="s">
        <v>22</v>
      </c>
      <c r="U64" s="35">
        <v>0</v>
      </c>
      <c r="V64" s="23">
        <f t="shared" si="10"/>
        <v>0</v>
      </c>
      <c r="W64" s="34" t="s">
        <v>410</v>
      </c>
      <c r="X64" s="35">
        <v>518</v>
      </c>
      <c r="Y64" s="19">
        <f t="shared" si="11"/>
        <v>0.20410960102404704</v>
      </c>
      <c r="Z64" s="34" t="s">
        <v>411</v>
      </c>
      <c r="AA64" s="35">
        <v>290.2</v>
      </c>
      <c r="AB64" s="23">
        <f t="shared" si="12"/>
        <v>0.14337499804847947</v>
      </c>
    </row>
    <row r="65" spans="2:28" x14ac:dyDescent="0.25">
      <c r="B65" s="65">
        <v>993</v>
      </c>
      <c r="C65" s="35" t="s">
        <v>72</v>
      </c>
      <c r="D65" s="81" t="s">
        <v>73</v>
      </c>
      <c r="E65" s="107">
        <v>2</v>
      </c>
      <c r="F65" s="114">
        <v>0</v>
      </c>
      <c r="G65" s="116">
        <v>0</v>
      </c>
      <c r="H65" s="27">
        <v>15.34</v>
      </c>
      <c r="I65" s="19">
        <v>598.75</v>
      </c>
      <c r="J65" s="23">
        <f t="shared" si="6"/>
        <v>0.44840339185431338</v>
      </c>
      <c r="K65" s="102">
        <v>16.43</v>
      </c>
      <c r="L65" s="22">
        <v>617.02</v>
      </c>
      <c r="M65" s="20">
        <f t="shared" si="7"/>
        <v>0.30616439800577822</v>
      </c>
      <c r="N65" s="27">
        <v>16.46</v>
      </c>
      <c r="O65" s="19">
        <v>468.39</v>
      </c>
      <c r="P65" s="23">
        <f t="shared" si="8"/>
        <v>0.2776740495907748</v>
      </c>
      <c r="Q65" s="27">
        <v>16.329999999999998</v>
      </c>
      <c r="R65" s="19">
        <v>675.33</v>
      </c>
      <c r="S65" s="23">
        <f t="shared" si="9"/>
        <v>0.30800121790302865</v>
      </c>
      <c r="T65" s="34">
        <v>16.29</v>
      </c>
      <c r="U65" s="35">
        <v>636.55999999999995</v>
      </c>
      <c r="V65" s="23">
        <f t="shared" si="10"/>
        <v>0.35734665505376106</v>
      </c>
      <c r="W65" s="34">
        <v>16.3</v>
      </c>
      <c r="X65" s="35">
        <v>863.58</v>
      </c>
      <c r="Y65" s="19">
        <f t="shared" si="11"/>
        <v>0.34027986342151845</v>
      </c>
      <c r="Z65" s="34">
        <v>16.420000000000002</v>
      </c>
      <c r="AA65" s="35">
        <v>626.99</v>
      </c>
      <c r="AB65" s="23">
        <f t="shared" si="12"/>
        <v>0.30976805660377726</v>
      </c>
    </row>
    <row r="66" spans="2:28" x14ac:dyDescent="0.25">
      <c r="B66" s="65" t="s">
        <v>181</v>
      </c>
      <c r="C66" s="35" t="s">
        <v>74</v>
      </c>
      <c r="D66" s="82" t="s">
        <v>182</v>
      </c>
      <c r="E66" s="107">
        <v>4</v>
      </c>
      <c r="F66" s="114">
        <v>1</v>
      </c>
      <c r="G66" s="116" t="s">
        <v>274</v>
      </c>
      <c r="H66" s="27">
        <v>13.81</v>
      </c>
      <c r="I66" s="19">
        <v>2186.89</v>
      </c>
      <c r="J66" s="23">
        <f t="shared" si="6"/>
        <v>1.637760156346187</v>
      </c>
      <c r="K66" s="102">
        <v>15.07</v>
      </c>
      <c r="L66" s="22">
        <v>3217.26</v>
      </c>
      <c r="M66" s="20">
        <f t="shared" si="7"/>
        <v>1.5963995836894593</v>
      </c>
      <c r="N66" s="27" t="s">
        <v>22</v>
      </c>
      <c r="O66" s="19">
        <v>0</v>
      </c>
      <c r="P66" s="23">
        <f t="shared" si="8"/>
        <v>0</v>
      </c>
      <c r="Q66" s="27">
        <v>14.9</v>
      </c>
      <c r="R66" s="19">
        <v>1609.1</v>
      </c>
      <c r="S66" s="23">
        <f t="shared" si="9"/>
        <v>0.73387049254107384</v>
      </c>
      <c r="T66" s="34">
        <v>14.79</v>
      </c>
      <c r="U66" s="35">
        <v>4796.8999999999996</v>
      </c>
      <c r="V66" s="23">
        <f t="shared" si="10"/>
        <v>2.6928430464172841</v>
      </c>
      <c r="W66" s="34">
        <v>14.87</v>
      </c>
      <c r="X66" s="35">
        <v>4100.32</v>
      </c>
      <c r="Y66" s="19">
        <f t="shared" si="11"/>
        <v>1.6156654039979161</v>
      </c>
      <c r="Z66" s="34">
        <v>15.02</v>
      </c>
      <c r="AA66" s="35">
        <v>2754.08</v>
      </c>
      <c r="AB66" s="23">
        <f t="shared" si="12"/>
        <v>1.3606692440570516</v>
      </c>
    </row>
    <row r="67" spans="2:28" s="16" customFormat="1" x14ac:dyDescent="0.25">
      <c r="B67" s="65" t="s">
        <v>183</v>
      </c>
      <c r="C67" s="35" t="s">
        <v>74</v>
      </c>
      <c r="D67" s="82" t="s">
        <v>184</v>
      </c>
      <c r="E67" s="107">
        <v>4</v>
      </c>
      <c r="F67" s="112">
        <v>1</v>
      </c>
      <c r="G67" s="116" t="s">
        <v>274</v>
      </c>
      <c r="H67" s="27">
        <v>14.32</v>
      </c>
      <c r="I67" s="19">
        <v>293.86</v>
      </c>
      <c r="J67" s="23">
        <f t="shared" si="6"/>
        <v>0.22007151687734203</v>
      </c>
      <c r="K67" s="102">
        <v>15.48</v>
      </c>
      <c r="L67" s="22">
        <v>608.6</v>
      </c>
      <c r="M67" s="20">
        <f t="shared" si="7"/>
        <v>0.30198640664211313</v>
      </c>
      <c r="N67" s="27" t="s">
        <v>22</v>
      </c>
      <c r="O67" s="19">
        <v>0</v>
      </c>
      <c r="P67" s="23">
        <f t="shared" si="8"/>
        <v>0</v>
      </c>
      <c r="Q67" s="27">
        <v>15.41</v>
      </c>
      <c r="R67" s="19">
        <v>132.30000000000001</v>
      </c>
      <c r="S67" s="23">
        <f t="shared" si="9"/>
        <v>6.0338739769550731E-2</v>
      </c>
      <c r="T67" s="34">
        <v>15.31</v>
      </c>
      <c r="U67" s="35">
        <v>1467.2</v>
      </c>
      <c r="V67" s="23">
        <f t="shared" si="10"/>
        <v>0.82364429479527201</v>
      </c>
      <c r="W67" s="34">
        <v>15.39</v>
      </c>
      <c r="X67" s="35">
        <v>557.20000000000005</v>
      </c>
      <c r="Y67" s="19">
        <f t="shared" si="11"/>
        <v>0.21955573299343439</v>
      </c>
      <c r="Z67" s="34">
        <v>15.54</v>
      </c>
      <c r="AA67" s="35">
        <v>545.79999999999995</v>
      </c>
      <c r="AB67" s="23">
        <f t="shared" si="12"/>
        <v>0.26965566483411474</v>
      </c>
    </row>
    <row r="68" spans="2:28" s="16" customFormat="1" x14ac:dyDescent="0.25">
      <c r="B68" s="65" t="s">
        <v>185</v>
      </c>
      <c r="C68" s="35" t="s">
        <v>74</v>
      </c>
      <c r="D68" s="82" t="s">
        <v>282</v>
      </c>
      <c r="E68" s="107">
        <v>4</v>
      </c>
      <c r="F68" s="112">
        <v>1</v>
      </c>
      <c r="G68" s="116" t="s">
        <v>274</v>
      </c>
      <c r="H68" s="27">
        <v>15.45</v>
      </c>
      <c r="I68" s="19">
        <v>1924.53</v>
      </c>
      <c r="J68" s="23">
        <f t="shared" si="6"/>
        <v>1.441278964050742</v>
      </c>
      <c r="K68" s="102">
        <v>16.95</v>
      </c>
      <c r="L68" s="22">
        <v>2519.7800000000002</v>
      </c>
      <c r="M68" s="20">
        <f t="shared" ref="M68:M99" si="13">L68/$L$170*100</f>
        <v>1.250311054434216</v>
      </c>
      <c r="N68" s="27" t="s">
        <v>22</v>
      </c>
      <c r="O68" s="19">
        <v>0</v>
      </c>
      <c r="P68" s="23">
        <f t="shared" ref="P68:P99" si="14">O68/$O$170*100</f>
        <v>0</v>
      </c>
      <c r="Q68" s="27">
        <v>16.75</v>
      </c>
      <c r="R68" s="19">
        <v>1333.2</v>
      </c>
      <c r="S68" s="23">
        <f t="shared" ref="S68:S99" si="15">R68/$R$170*100</f>
        <v>0.60803936402694658</v>
      </c>
      <c r="T68" s="34">
        <v>16.71</v>
      </c>
      <c r="U68" s="35">
        <v>1974.53</v>
      </c>
      <c r="V68" s="23">
        <f t="shared" ref="V68:V99" si="16">U68/$U$170*100</f>
        <v>1.1084449082620695</v>
      </c>
      <c r="W68" s="34">
        <v>16.71</v>
      </c>
      <c r="X68" s="35">
        <v>3667.93</v>
      </c>
      <c r="Y68" s="19">
        <f t="shared" ref="Y68:Y99" si="17">X68/$X$170*100</f>
        <v>1.4452890518998704</v>
      </c>
      <c r="Z68" s="34">
        <v>16.829999999999998</v>
      </c>
      <c r="AA68" s="35">
        <v>2500.9499999999998</v>
      </c>
      <c r="AB68" s="23">
        <f t="shared" ref="AB68:AB99" si="18">AA68/$AA$170*100</f>
        <v>1.2356088951390238</v>
      </c>
    </row>
    <row r="69" spans="2:28" s="16" customFormat="1" x14ac:dyDescent="0.25">
      <c r="B69" s="65" t="s">
        <v>187</v>
      </c>
      <c r="C69" s="35" t="s">
        <v>74</v>
      </c>
      <c r="D69" s="83" t="s">
        <v>188</v>
      </c>
      <c r="E69" s="107">
        <v>4</v>
      </c>
      <c r="F69" s="112">
        <v>1</v>
      </c>
      <c r="G69" s="116" t="s">
        <v>299</v>
      </c>
      <c r="H69" s="27">
        <v>15.97</v>
      </c>
      <c r="I69" s="19">
        <v>296.26</v>
      </c>
      <c r="J69" s="23">
        <f t="shared" ref="J69:J132" si="19">I69/$I$170*100</f>
        <v>0.22186887494072466</v>
      </c>
      <c r="K69" s="102">
        <v>17.27</v>
      </c>
      <c r="L69" s="22">
        <v>886.1</v>
      </c>
      <c r="M69" s="20">
        <f t="shared" si="13"/>
        <v>0.43968149018333291</v>
      </c>
      <c r="N69" s="27">
        <v>17.36</v>
      </c>
      <c r="O69" s="19">
        <v>2188.02</v>
      </c>
      <c r="P69" s="23">
        <f t="shared" si="14"/>
        <v>1.2971164499361794</v>
      </c>
      <c r="Q69" s="27">
        <v>17.27</v>
      </c>
      <c r="R69" s="19">
        <v>2276</v>
      </c>
      <c r="S69" s="23">
        <f t="shared" si="15"/>
        <v>1.038026997093707</v>
      </c>
      <c r="T69" s="34" t="s">
        <v>22</v>
      </c>
      <c r="U69" s="35">
        <v>0</v>
      </c>
      <c r="V69" s="23">
        <f t="shared" si="16"/>
        <v>0</v>
      </c>
      <c r="W69" s="34">
        <v>17.14</v>
      </c>
      <c r="X69" s="35">
        <v>1052.9000000000001</v>
      </c>
      <c r="Y69" s="19">
        <f t="shared" si="17"/>
        <v>0.41487837628999841</v>
      </c>
      <c r="Z69" s="34">
        <v>17.36</v>
      </c>
      <c r="AA69" s="35">
        <v>700.7</v>
      </c>
      <c r="AB69" s="23">
        <f t="shared" si="18"/>
        <v>0.34618491086343756</v>
      </c>
    </row>
    <row r="70" spans="2:28" s="16" customFormat="1" x14ac:dyDescent="0.25">
      <c r="B70" s="65" t="s">
        <v>189</v>
      </c>
      <c r="C70" s="35" t="s">
        <v>74</v>
      </c>
      <c r="D70" s="78" t="s">
        <v>186</v>
      </c>
      <c r="E70" s="107">
        <v>4</v>
      </c>
      <c r="F70" s="112">
        <v>1</v>
      </c>
      <c r="G70" s="116" t="s">
        <v>299</v>
      </c>
      <c r="H70" s="27">
        <v>17.71</v>
      </c>
      <c r="I70" s="19">
        <v>1300.8699999999999</v>
      </c>
      <c r="J70" s="23">
        <f t="shared" si="19"/>
        <v>0.97422049329690297</v>
      </c>
      <c r="K70" s="102">
        <v>19.05</v>
      </c>
      <c r="L70" s="22">
        <v>1217.25</v>
      </c>
      <c r="M70" s="20">
        <f t="shared" si="13"/>
        <v>0.60399762320918859</v>
      </c>
      <c r="N70" s="27">
        <v>19.190000000000001</v>
      </c>
      <c r="O70" s="19">
        <v>1122.43</v>
      </c>
      <c r="P70" s="23">
        <f t="shared" si="14"/>
        <v>0.66540635684402605</v>
      </c>
      <c r="Q70" s="27">
        <v>19.05</v>
      </c>
      <c r="R70" s="19">
        <v>1840.78</v>
      </c>
      <c r="S70" s="23">
        <f t="shared" si="15"/>
        <v>0.83953397878302038</v>
      </c>
      <c r="T70" s="34">
        <v>18.8</v>
      </c>
      <c r="U70" s="35">
        <v>685.2</v>
      </c>
      <c r="V70" s="23">
        <f t="shared" si="16"/>
        <v>0.38465176580815186</v>
      </c>
      <c r="W70" s="34">
        <v>18.920000000000002</v>
      </c>
      <c r="X70" s="35">
        <v>2495.27</v>
      </c>
      <c r="Y70" s="19">
        <f t="shared" si="17"/>
        <v>0.98322116630747847</v>
      </c>
      <c r="Z70" s="34">
        <v>19.04</v>
      </c>
      <c r="AA70" s="35">
        <v>1343.02</v>
      </c>
      <c r="AB70" s="23">
        <f t="shared" si="18"/>
        <v>0.66352684313945176</v>
      </c>
    </row>
    <row r="71" spans="2:28" s="16" customFormat="1" x14ac:dyDescent="0.25">
      <c r="B71" s="65" t="s">
        <v>190</v>
      </c>
      <c r="C71" s="35" t="s">
        <v>74</v>
      </c>
      <c r="D71" s="74" t="s">
        <v>191</v>
      </c>
      <c r="E71" s="107">
        <v>4</v>
      </c>
      <c r="F71" s="112">
        <v>1</v>
      </c>
      <c r="G71" s="116" t="s">
        <v>299</v>
      </c>
      <c r="H71" s="27">
        <v>21.64</v>
      </c>
      <c r="I71" s="19">
        <v>337.68</v>
      </c>
      <c r="J71" s="23">
        <f t="shared" si="19"/>
        <v>0.25288827951793663</v>
      </c>
      <c r="K71" s="102">
        <v>23.02</v>
      </c>
      <c r="L71" s="22">
        <v>351.91</v>
      </c>
      <c r="M71" s="20">
        <f t="shared" si="13"/>
        <v>0.17461721387023668</v>
      </c>
      <c r="N71" s="27">
        <v>23.16</v>
      </c>
      <c r="O71" s="19">
        <v>1755.59</v>
      </c>
      <c r="P71" s="23">
        <f t="shared" si="14"/>
        <v>1.0407604447598546</v>
      </c>
      <c r="Q71" s="27">
        <v>23.05</v>
      </c>
      <c r="R71" s="19">
        <v>1662.69</v>
      </c>
      <c r="S71" s="23">
        <f t="shared" si="15"/>
        <v>0.75831155878635148</v>
      </c>
      <c r="T71" s="34" t="s">
        <v>22</v>
      </c>
      <c r="U71" s="35">
        <v>0</v>
      </c>
      <c r="V71" s="23">
        <f t="shared" si="16"/>
        <v>0</v>
      </c>
      <c r="W71" s="34">
        <v>22.79</v>
      </c>
      <c r="X71" s="35">
        <v>1213.27</v>
      </c>
      <c r="Y71" s="19">
        <f t="shared" si="17"/>
        <v>0.47806960547190264</v>
      </c>
      <c r="Z71" s="34">
        <v>23.02</v>
      </c>
      <c r="AA71" s="35">
        <v>377.14</v>
      </c>
      <c r="AB71" s="23">
        <f t="shared" si="18"/>
        <v>0.18632821076500192</v>
      </c>
    </row>
    <row r="72" spans="2:28" s="16" customFormat="1" x14ac:dyDescent="0.25">
      <c r="B72" s="65">
        <v>1024</v>
      </c>
      <c r="C72" s="35" t="s">
        <v>192</v>
      </c>
      <c r="D72" s="75" t="s">
        <v>283</v>
      </c>
      <c r="E72" s="107">
        <v>3</v>
      </c>
      <c r="F72" s="112">
        <v>0</v>
      </c>
      <c r="G72" s="116" t="s">
        <v>274</v>
      </c>
      <c r="H72" s="27">
        <v>12.19</v>
      </c>
      <c r="I72" s="19">
        <v>335.46</v>
      </c>
      <c r="J72" s="23">
        <f t="shared" si="19"/>
        <v>0.2512257233093077</v>
      </c>
      <c r="K72" s="102">
        <v>13.28</v>
      </c>
      <c r="L72" s="22">
        <v>497.78</v>
      </c>
      <c r="M72" s="20">
        <f t="shared" si="13"/>
        <v>0.24699768895548974</v>
      </c>
      <c r="N72" s="27" t="s">
        <v>22</v>
      </c>
      <c r="O72" s="19">
        <v>0</v>
      </c>
      <c r="P72" s="23">
        <f t="shared" si="14"/>
        <v>0</v>
      </c>
      <c r="Q72" s="27" t="s">
        <v>22</v>
      </c>
      <c r="R72" s="19">
        <v>0</v>
      </c>
      <c r="S72" s="23">
        <f t="shared" si="15"/>
        <v>0</v>
      </c>
      <c r="T72" s="34">
        <v>13.06</v>
      </c>
      <c r="U72" s="35">
        <v>388.39</v>
      </c>
      <c r="V72" s="23">
        <f t="shared" si="16"/>
        <v>0.2180310848252015</v>
      </c>
      <c r="W72" s="34">
        <v>13.08</v>
      </c>
      <c r="X72" s="35">
        <v>474.32</v>
      </c>
      <c r="Y72" s="19">
        <f t="shared" si="17"/>
        <v>0.18689819682958686</v>
      </c>
      <c r="Z72" s="34">
        <v>13.34</v>
      </c>
      <c r="AA72" s="35">
        <v>384.39</v>
      </c>
      <c r="AB72" s="23">
        <f t="shared" si="18"/>
        <v>0.18991011543712966</v>
      </c>
    </row>
    <row r="73" spans="2:28" s="16" customFormat="1" x14ac:dyDescent="0.25">
      <c r="B73" s="65" t="s">
        <v>289</v>
      </c>
      <c r="C73" s="35" t="s">
        <v>193</v>
      </c>
      <c r="D73" s="74" t="s">
        <v>194</v>
      </c>
      <c r="E73" s="107">
        <v>4</v>
      </c>
      <c r="F73" s="112">
        <v>1</v>
      </c>
      <c r="G73" s="116">
        <v>0</v>
      </c>
      <c r="H73" s="27">
        <v>18.55</v>
      </c>
      <c r="I73" s="19">
        <v>716.92</v>
      </c>
      <c r="J73" s="23">
        <f t="shared" si="19"/>
        <v>0.53690080950011587</v>
      </c>
      <c r="K73" s="102">
        <v>19.690000000000001</v>
      </c>
      <c r="L73" s="22">
        <v>1714.64</v>
      </c>
      <c r="M73" s="20">
        <f t="shared" si="13"/>
        <v>0.85080179474997186</v>
      </c>
      <c r="N73" s="27">
        <v>19.829999999999998</v>
      </c>
      <c r="O73" s="19">
        <v>5955.63</v>
      </c>
      <c r="P73" s="23">
        <f t="shared" si="14"/>
        <v>3.5306558636271181</v>
      </c>
      <c r="Q73" s="27">
        <v>19.690000000000001</v>
      </c>
      <c r="R73" s="19">
        <v>4639.2</v>
      </c>
      <c r="S73" s="23">
        <f t="shared" si="15"/>
        <v>2.1158237455699149</v>
      </c>
      <c r="T73" s="34">
        <v>19.43</v>
      </c>
      <c r="U73" s="35">
        <v>4938.84</v>
      </c>
      <c r="V73" s="23">
        <f t="shared" si="16"/>
        <v>2.77252412002909</v>
      </c>
      <c r="W73" s="34">
        <v>19.55</v>
      </c>
      <c r="X73" s="35">
        <v>2240.2399999999998</v>
      </c>
      <c r="Y73" s="19">
        <f t="shared" si="17"/>
        <v>0.8827306806913342</v>
      </c>
      <c r="Z73" s="34">
        <v>19.670000000000002</v>
      </c>
      <c r="AA73" s="35">
        <v>1618.49</v>
      </c>
      <c r="AB73" s="23">
        <f t="shared" si="18"/>
        <v>0.79962439900580129</v>
      </c>
    </row>
    <row r="74" spans="2:28" s="16" customFormat="1" x14ac:dyDescent="0.25">
      <c r="B74" s="65" t="s">
        <v>290</v>
      </c>
      <c r="C74" s="35" t="s">
        <v>193</v>
      </c>
      <c r="D74" s="74" t="s">
        <v>194</v>
      </c>
      <c r="E74" s="108">
        <v>4</v>
      </c>
      <c r="F74" s="112">
        <v>1</v>
      </c>
      <c r="G74" s="116">
        <v>0</v>
      </c>
      <c r="H74" s="27" t="s">
        <v>22</v>
      </c>
      <c r="I74" s="19">
        <v>0</v>
      </c>
      <c r="J74" s="23">
        <f t="shared" si="19"/>
        <v>0</v>
      </c>
      <c r="K74" s="97" t="s">
        <v>22</v>
      </c>
      <c r="L74" s="22">
        <v>0</v>
      </c>
      <c r="M74" s="20">
        <f t="shared" si="13"/>
        <v>0</v>
      </c>
      <c r="N74" s="27">
        <v>21.9</v>
      </c>
      <c r="O74" s="19">
        <v>1527.94</v>
      </c>
      <c r="P74" s="23">
        <f t="shared" si="14"/>
        <v>0.90580347003934425</v>
      </c>
      <c r="Q74" s="27" t="s">
        <v>22</v>
      </c>
      <c r="R74" s="19">
        <v>0</v>
      </c>
      <c r="S74" s="23">
        <f t="shared" si="15"/>
        <v>0</v>
      </c>
      <c r="T74" s="34" t="s">
        <v>22</v>
      </c>
      <c r="U74" s="35">
        <v>0</v>
      </c>
      <c r="V74" s="23">
        <f t="shared" si="16"/>
        <v>0</v>
      </c>
      <c r="W74" s="34" t="s">
        <v>22</v>
      </c>
      <c r="X74" s="35">
        <v>0</v>
      </c>
      <c r="Y74" s="19">
        <f t="shared" si="17"/>
        <v>0</v>
      </c>
      <c r="Z74" s="34" t="s">
        <v>22</v>
      </c>
      <c r="AA74" s="35">
        <v>0</v>
      </c>
      <c r="AB74" s="23">
        <f t="shared" si="18"/>
        <v>0</v>
      </c>
    </row>
    <row r="75" spans="2:28" s="58" customFormat="1" x14ac:dyDescent="0.25">
      <c r="B75" s="66">
        <v>1040</v>
      </c>
      <c r="C75" s="63" t="s">
        <v>412</v>
      </c>
      <c r="D75" s="78" t="s">
        <v>413</v>
      </c>
      <c r="E75" s="108">
        <v>3</v>
      </c>
      <c r="F75" s="112">
        <v>0</v>
      </c>
      <c r="G75" s="119" t="s">
        <v>281</v>
      </c>
      <c r="H75" s="49" t="s">
        <v>22</v>
      </c>
      <c r="I75" s="101">
        <v>0</v>
      </c>
      <c r="J75" s="23">
        <f t="shared" si="19"/>
        <v>0</v>
      </c>
      <c r="K75" s="100" t="s">
        <v>414</v>
      </c>
      <c r="L75" s="47">
        <v>201.2</v>
      </c>
      <c r="M75" s="101">
        <f t="shared" si="13"/>
        <v>9.9835138048624969E-2</v>
      </c>
      <c r="N75" s="49" t="s">
        <v>22</v>
      </c>
      <c r="O75" s="101">
        <v>0</v>
      </c>
      <c r="P75" s="50">
        <f t="shared" si="14"/>
        <v>0</v>
      </c>
      <c r="Q75" s="49" t="s">
        <v>22</v>
      </c>
      <c r="R75" s="47">
        <v>0</v>
      </c>
      <c r="S75" s="50">
        <f t="shared" si="15"/>
        <v>0</v>
      </c>
      <c r="T75" s="57">
        <v>12.94</v>
      </c>
      <c r="U75" s="47">
        <v>270.06</v>
      </c>
      <c r="V75" s="50">
        <f t="shared" si="16"/>
        <v>0.15160399281107631</v>
      </c>
      <c r="W75" s="51">
        <v>13.08</v>
      </c>
      <c r="X75" s="52">
        <v>209.82</v>
      </c>
      <c r="Y75" s="101">
        <f t="shared" si="17"/>
        <v>8.2676209434103379E-2</v>
      </c>
      <c r="Z75" s="51" t="s">
        <v>415</v>
      </c>
      <c r="AA75" s="63">
        <v>166.4</v>
      </c>
      <c r="AB75" s="50">
        <f t="shared" si="18"/>
        <v>8.221088792304268E-2</v>
      </c>
    </row>
    <row r="76" spans="2:28" x14ac:dyDescent="0.25">
      <c r="B76" s="65" t="s">
        <v>440</v>
      </c>
      <c r="C76" s="35" t="s">
        <v>75</v>
      </c>
      <c r="D76" s="74" t="s">
        <v>76</v>
      </c>
      <c r="E76" s="107">
        <v>1</v>
      </c>
      <c r="F76" s="114">
        <v>0</v>
      </c>
      <c r="G76" s="116">
        <v>0</v>
      </c>
      <c r="H76" s="27">
        <v>16.7</v>
      </c>
      <c r="I76" s="19">
        <v>685.57</v>
      </c>
      <c r="J76" s="23">
        <f t="shared" si="19"/>
        <v>0.51342281979718019</v>
      </c>
      <c r="K76" s="102">
        <v>17.89</v>
      </c>
      <c r="L76" s="22">
        <v>637.61</v>
      </c>
      <c r="M76" s="20">
        <f t="shared" si="13"/>
        <v>0.3163811251052871</v>
      </c>
      <c r="N76" s="27">
        <v>17.98</v>
      </c>
      <c r="O76" s="19">
        <v>338.54</v>
      </c>
      <c r="P76" s="23">
        <f t="shared" si="14"/>
        <v>0.20069551601968638</v>
      </c>
      <c r="Q76" s="27">
        <v>17.79</v>
      </c>
      <c r="R76" s="19">
        <v>565.29999999999995</v>
      </c>
      <c r="S76" s="23">
        <f t="shared" si="15"/>
        <v>0.25781927129045368</v>
      </c>
      <c r="T76" s="34">
        <v>17.649999999999999</v>
      </c>
      <c r="U76" s="35">
        <v>601.83000000000004</v>
      </c>
      <c r="V76" s="23">
        <f t="shared" si="16"/>
        <v>0.33785022214874488</v>
      </c>
      <c r="W76" s="34">
        <v>17.66</v>
      </c>
      <c r="X76" s="35">
        <v>859.3</v>
      </c>
      <c r="Y76" s="19">
        <f t="shared" si="17"/>
        <v>0.33859339799220778</v>
      </c>
      <c r="Z76" s="34">
        <v>17.88</v>
      </c>
      <c r="AA76" s="35">
        <v>698.36</v>
      </c>
      <c r="AB76" s="23">
        <f t="shared" si="18"/>
        <v>0.34502882025201975</v>
      </c>
    </row>
    <row r="77" spans="2:28" x14ac:dyDescent="0.25">
      <c r="B77" s="65" t="s">
        <v>77</v>
      </c>
      <c r="C77" s="35" t="s">
        <v>75</v>
      </c>
      <c r="D77" s="74" t="s">
        <v>78</v>
      </c>
      <c r="E77" s="107">
        <v>2</v>
      </c>
      <c r="F77" s="114">
        <v>0</v>
      </c>
      <c r="G77" s="116">
        <v>0</v>
      </c>
      <c r="H77" s="27">
        <v>18.13</v>
      </c>
      <c r="I77" s="19">
        <v>352.15</v>
      </c>
      <c r="J77" s="23">
        <f t="shared" si="19"/>
        <v>0.26372485084174774</v>
      </c>
      <c r="K77" s="102">
        <v>19.579999999999998</v>
      </c>
      <c r="L77" s="22">
        <v>533.26</v>
      </c>
      <c r="M77" s="20">
        <f t="shared" si="13"/>
        <v>0.26460281170879602</v>
      </c>
      <c r="N77" s="27">
        <v>19.510000000000002</v>
      </c>
      <c r="O77" s="19">
        <v>669.09</v>
      </c>
      <c r="P77" s="23">
        <f t="shared" si="14"/>
        <v>0.39665434753238005</v>
      </c>
      <c r="Q77" s="27">
        <v>19.48</v>
      </c>
      <c r="R77" s="19">
        <v>826.41</v>
      </c>
      <c r="S77" s="23">
        <f t="shared" si="15"/>
        <v>0.37690504862399404</v>
      </c>
      <c r="T77" s="34">
        <v>19.32</v>
      </c>
      <c r="U77" s="35">
        <v>642.69000000000005</v>
      </c>
      <c r="V77" s="23">
        <f t="shared" si="16"/>
        <v>0.36078786247408218</v>
      </c>
      <c r="W77" s="34">
        <v>19.34</v>
      </c>
      <c r="X77" s="35">
        <v>489.01</v>
      </c>
      <c r="Y77" s="19">
        <f t="shared" si="17"/>
        <v>0.19268655597831902</v>
      </c>
      <c r="Z77" s="34">
        <v>19.559999999999999</v>
      </c>
      <c r="AA77" s="35">
        <v>473.89</v>
      </c>
      <c r="AB77" s="23">
        <f t="shared" si="18"/>
        <v>0.23412811104477582</v>
      </c>
    </row>
    <row r="78" spans="2:28" x14ac:dyDescent="0.25">
      <c r="B78" s="65">
        <v>1041</v>
      </c>
      <c r="C78" s="35" t="s">
        <v>79</v>
      </c>
      <c r="D78" s="74" t="s">
        <v>267</v>
      </c>
      <c r="E78" s="107">
        <v>2</v>
      </c>
      <c r="F78" s="114">
        <v>0</v>
      </c>
      <c r="G78" s="116">
        <v>0</v>
      </c>
      <c r="H78" s="27">
        <v>25.8</v>
      </c>
      <c r="I78" s="19">
        <v>3253.45</v>
      </c>
      <c r="J78" s="23">
        <f t="shared" si="19"/>
        <v>2.4365060797134293</v>
      </c>
      <c r="K78" s="102">
        <v>27.9</v>
      </c>
      <c r="L78" s="22">
        <v>1122.8900000000001</v>
      </c>
      <c r="M78" s="20">
        <f t="shared" si="13"/>
        <v>0.55717633282018142</v>
      </c>
      <c r="N78" s="27">
        <v>27.84</v>
      </c>
      <c r="O78" s="19">
        <v>2691.92</v>
      </c>
      <c r="P78" s="23">
        <f t="shared" si="14"/>
        <v>1.5958417719729254</v>
      </c>
      <c r="Q78" s="27">
        <v>27.84</v>
      </c>
      <c r="R78" s="19">
        <v>4786.76</v>
      </c>
      <c r="S78" s="23">
        <f t="shared" si="15"/>
        <v>2.1831221918314032</v>
      </c>
      <c r="T78" s="34" t="s">
        <v>22</v>
      </c>
      <c r="U78" s="35">
        <v>0</v>
      </c>
      <c r="V78" s="23">
        <f t="shared" si="16"/>
        <v>0</v>
      </c>
      <c r="W78" s="34">
        <v>27.68</v>
      </c>
      <c r="X78" s="35">
        <v>5084.84</v>
      </c>
      <c r="Y78" s="19">
        <f t="shared" si="17"/>
        <v>2.0035997368168252</v>
      </c>
      <c r="Z78" s="34">
        <v>27.81</v>
      </c>
      <c r="AA78" s="35">
        <v>3911.65</v>
      </c>
      <c r="AB78" s="23">
        <f t="shared" si="18"/>
        <v>1.9325734359625595</v>
      </c>
    </row>
    <row r="79" spans="2:28" s="16" customFormat="1" x14ac:dyDescent="0.25">
      <c r="B79" s="65">
        <v>1056</v>
      </c>
      <c r="C79" s="35" t="s">
        <v>284</v>
      </c>
      <c r="D79" s="86" t="s">
        <v>285</v>
      </c>
      <c r="E79" s="108">
        <v>2</v>
      </c>
      <c r="F79" s="112">
        <v>0</v>
      </c>
      <c r="G79" s="116">
        <v>0</v>
      </c>
      <c r="H79" s="27" t="s">
        <v>22</v>
      </c>
      <c r="I79" s="19">
        <v>0</v>
      </c>
      <c r="J79" s="23">
        <f t="shared" si="19"/>
        <v>0</v>
      </c>
      <c r="K79" s="97" t="s">
        <v>416</v>
      </c>
      <c r="L79" s="22">
        <v>184.9</v>
      </c>
      <c r="M79" s="20">
        <f t="shared" si="13"/>
        <v>9.1747102510888454E-2</v>
      </c>
      <c r="N79" s="27">
        <v>19.3</v>
      </c>
      <c r="O79" s="19">
        <v>510.27</v>
      </c>
      <c r="P79" s="23">
        <f t="shared" si="14"/>
        <v>0.30250162745721437</v>
      </c>
      <c r="Q79" s="27">
        <v>19.27</v>
      </c>
      <c r="R79" s="19">
        <v>560.22</v>
      </c>
      <c r="S79" s="23">
        <f t="shared" si="15"/>
        <v>0.25550240962734477</v>
      </c>
      <c r="T79" s="34">
        <v>19.11</v>
      </c>
      <c r="U79" s="35">
        <v>420.22</v>
      </c>
      <c r="V79" s="23">
        <f t="shared" si="16"/>
        <v>0.23589954032093044</v>
      </c>
      <c r="W79" s="34" t="s">
        <v>417</v>
      </c>
      <c r="X79" s="35">
        <v>234.3</v>
      </c>
      <c r="Y79" s="19">
        <f t="shared" si="17"/>
        <v>9.2322161235394259E-2</v>
      </c>
      <c r="Z79" s="34" t="s">
        <v>418</v>
      </c>
      <c r="AA79" s="35">
        <v>185</v>
      </c>
      <c r="AB79" s="23">
        <f t="shared" si="18"/>
        <v>9.1400326116363562E-2</v>
      </c>
    </row>
    <row r="80" spans="2:28" s="16" customFormat="1" x14ac:dyDescent="0.25">
      <c r="B80" s="65">
        <v>1082</v>
      </c>
      <c r="C80" s="35" t="s">
        <v>195</v>
      </c>
      <c r="D80" s="74" t="s">
        <v>196</v>
      </c>
      <c r="E80" s="107">
        <v>4</v>
      </c>
      <c r="F80" s="112">
        <v>0</v>
      </c>
      <c r="G80" s="116" t="s">
        <v>280</v>
      </c>
      <c r="H80" s="27">
        <v>19.28</v>
      </c>
      <c r="I80" s="19">
        <v>3142.04</v>
      </c>
      <c r="J80" s="23">
        <f t="shared" si="19"/>
        <v>2.3530712206128217</v>
      </c>
      <c r="K80" s="102">
        <v>20.93</v>
      </c>
      <c r="L80" s="22">
        <v>3833.91</v>
      </c>
      <c r="M80" s="20">
        <f t="shared" si="13"/>
        <v>1.9023803882505157</v>
      </c>
      <c r="N80" s="27">
        <v>20.97</v>
      </c>
      <c r="O80" s="19">
        <v>266.73</v>
      </c>
      <c r="P80" s="23">
        <f t="shared" si="14"/>
        <v>0.15812463811641445</v>
      </c>
      <c r="Q80" s="27">
        <v>20.94</v>
      </c>
      <c r="R80" s="19">
        <v>1471.23</v>
      </c>
      <c r="S80" s="23">
        <f t="shared" si="15"/>
        <v>0.67099141429445286</v>
      </c>
      <c r="T80" s="34" t="s">
        <v>22</v>
      </c>
      <c r="U80" s="35">
        <v>0</v>
      </c>
      <c r="V80" s="23">
        <f t="shared" si="16"/>
        <v>0</v>
      </c>
      <c r="W80" s="34">
        <v>20.8</v>
      </c>
      <c r="X80" s="35">
        <v>5903.13</v>
      </c>
      <c r="Y80" s="19">
        <f t="shared" si="17"/>
        <v>2.326033801337998</v>
      </c>
      <c r="Z80" s="34">
        <v>20.91</v>
      </c>
      <c r="AA80" s="35">
        <v>4105.8500000000004</v>
      </c>
      <c r="AB80" s="23">
        <f t="shared" si="18"/>
        <v>2.0285190755938989</v>
      </c>
    </row>
    <row r="81" spans="2:28" s="16" customFormat="1" x14ac:dyDescent="0.25">
      <c r="B81" s="67">
        <v>1096</v>
      </c>
      <c r="C81" s="64" t="s">
        <v>356</v>
      </c>
      <c r="D81" s="87" t="s">
        <v>357</v>
      </c>
      <c r="E81" s="108">
        <v>4</v>
      </c>
      <c r="F81" s="112">
        <v>1</v>
      </c>
      <c r="G81" s="118" t="s">
        <v>281</v>
      </c>
      <c r="H81" s="37">
        <v>16.07</v>
      </c>
      <c r="I81" s="43">
        <v>253.46</v>
      </c>
      <c r="J81" s="23">
        <f t="shared" si="19"/>
        <v>0.18981598947706771</v>
      </c>
      <c r="K81" s="99">
        <v>17.48</v>
      </c>
      <c r="L81" s="36">
        <v>327.04000000000002</v>
      </c>
      <c r="M81" s="43">
        <f t="shared" si="13"/>
        <v>0.16227675719394788</v>
      </c>
      <c r="N81" s="37" t="s">
        <v>22</v>
      </c>
      <c r="O81" s="43">
        <v>0</v>
      </c>
      <c r="P81" s="38">
        <f t="shared" si="14"/>
        <v>0</v>
      </c>
      <c r="Q81" s="37">
        <v>17.690000000000001</v>
      </c>
      <c r="R81" s="43">
        <v>382.75</v>
      </c>
      <c r="S81" s="38">
        <f t="shared" si="15"/>
        <v>0.1745627562116065</v>
      </c>
      <c r="T81" s="39">
        <v>17.440000000000001</v>
      </c>
      <c r="U81" s="36">
        <v>292.79000000000002</v>
      </c>
      <c r="V81" s="38">
        <f t="shared" si="16"/>
        <v>0.16436396747076587</v>
      </c>
      <c r="W81" s="40">
        <v>17.55</v>
      </c>
      <c r="X81" s="41">
        <v>430.73</v>
      </c>
      <c r="Y81" s="43">
        <f t="shared" si="17"/>
        <v>0.16972225569321966</v>
      </c>
      <c r="Z81" s="40">
        <v>17.670000000000002</v>
      </c>
      <c r="AA81" s="64">
        <v>312.24</v>
      </c>
      <c r="AB81" s="38">
        <f t="shared" si="18"/>
        <v>0.15426398825174786</v>
      </c>
    </row>
    <row r="82" spans="2:28" s="16" customFormat="1" x14ac:dyDescent="0.25">
      <c r="B82" s="65" t="s">
        <v>80</v>
      </c>
      <c r="C82" s="35" t="s">
        <v>81</v>
      </c>
      <c r="D82" s="75" t="s">
        <v>286</v>
      </c>
      <c r="E82" s="108">
        <v>1</v>
      </c>
      <c r="F82" s="112">
        <v>0</v>
      </c>
      <c r="G82" s="116" t="s">
        <v>272</v>
      </c>
      <c r="H82" s="27" t="s">
        <v>22</v>
      </c>
      <c r="I82" s="19">
        <v>0</v>
      </c>
      <c r="J82" s="23">
        <f t="shared" si="19"/>
        <v>0</v>
      </c>
      <c r="K82" s="98">
        <v>14.76</v>
      </c>
      <c r="L82" s="24">
        <v>427.33</v>
      </c>
      <c r="M82" s="20">
        <f t="shared" si="13"/>
        <v>0.21204050468349359</v>
      </c>
      <c r="N82" s="27">
        <v>14.74</v>
      </c>
      <c r="O82" s="19">
        <v>192.96</v>
      </c>
      <c r="P82" s="23">
        <f t="shared" si="14"/>
        <v>0.1143918200837676</v>
      </c>
      <c r="Q82" s="27">
        <v>14.61</v>
      </c>
      <c r="R82" s="19">
        <v>157.30000000000001</v>
      </c>
      <c r="S82" s="23">
        <f t="shared" si="15"/>
        <v>7.1740618032882314E-2</v>
      </c>
      <c r="T82" s="34">
        <v>14.49</v>
      </c>
      <c r="U82" s="35">
        <v>170.1</v>
      </c>
      <c r="V82" s="23">
        <f t="shared" si="16"/>
        <v>9.5489295627505272E-2</v>
      </c>
      <c r="W82" s="34">
        <v>14.57</v>
      </c>
      <c r="X82" s="35">
        <v>538.42999999999995</v>
      </c>
      <c r="Y82" s="19">
        <f t="shared" si="17"/>
        <v>0.21215971521115376</v>
      </c>
      <c r="Z82" s="34">
        <v>14.73</v>
      </c>
      <c r="AA82" s="35">
        <v>458.08</v>
      </c>
      <c r="AB82" s="23">
        <f t="shared" si="18"/>
        <v>0.22631708858045305</v>
      </c>
    </row>
    <row r="83" spans="2:28" x14ac:dyDescent="0.25">
      <c r="B83" s="65" t="s">
        <v>441</v>
      </c>
      <c r="C83" s="35" t="s">
        <v>81</v>
      </c>
      <c r="D83" s="74" t="s">
        <v>197</v>
      </c>
      <c r="E83" s="105">
        <v>4</v>
      </c>
      <c r="F83" s="112">
        <v>0</v>
      </c>
      <c r="G83" s="116" t="s">
        <v>274</v>
      </c>
      <c r="H83" s="27">
        <v>15.55</v>
      </c>
      <c r="I83" s="19">
        <v>564.89</v>
      </c>
      <c r="J83" s="23">
        <f t="shared" si="19"/>
        <v>0.42304566517675674</v>
      </c>
      <c r="K83" s="102">
        <v>17.16</v>
      </c>
      <c r="L83" s="22">
        <v>929.92</v>
      </c>
      <c r="M83" s="20">
        <f t="shared" si="13"/>
        <v>0.46142490842036449</v>
      </c>
      <c r="N83" s="27" t="s">
        <v>22</v>
      </c>
      <c r="O83" s="19">
        <v>0</v>
      </c>
      <c r="P83" s="23">
        <f t="shared" si="14"/>
        <v>0</v>
      </c>
      <c r="Q83" s="27">
        <v>16.75</v>
      </c>
      <c r="R83" s="19">
        <v>250.9</v>
      </c>
      <c r="S83" s="23">
        <f t="shared" si="15"/>
        <v>0.11442925025079574</v>
      </c>
      <c r="T83" s="34">
        <v>16.920000000000002</v>
      </c>
      <c r="U83" s="35">
        <v>2565.63</v>
      </c>
      <c r="V83" s="23">
        <f t="shared" si="16"/>
        <v>1.4402716139964515</v>
      </c>
      <c r="W83" s="34">
        <v>16.93</v>
      </c>
      <c r="X83" s="35">
        <v>1298.45</v>
      </c>
      <c r="Y83" s="19">
        <f t="shared" si="17"/>
        <v>0.51163341978701526</v>
      </c>
      <c r="Z83" s="34">
        <v>17.04</v>
      </c>
      <c r="AA83" s="35">
        <v>885.65</v>
      </c>
      <c r="AB83" s="23">
        <f t="shared" si="18"/>
        <v>0.43756053418895879</v>
      </c>
    </row>
    <row r="84" spans="2:28" x14ac:dyDescent="0.25">
      <c r="B84" s="65" t="s">
        <v>82</v>
      </c>
      <c r="C84" s="35" t="s">
        <v>81</v>
      </c>
      <c r="D84" s="74" t="s">
        <v>83</v>
      </c>
      <c r="E84" s="105">
        <v>2</v>
      </c>
      <c r="F84" s="112">
        <v>0</v>
      </c>
      <c r="G84" s="116" t="s">
        <v>276</v>
      </c>
      <c r="H84" s="27">
        <v>20.49</v>
      </c>
      <c r="I84" s="19">
        <v>3207.7</v>
      </c>
      <c r="J84" s="23">
        <f t="shared" si="19"/>
        <v>2.4022439416301982</v>
      </c>
      <c r="K84" s="102">
        <v>22.2</v>
      </c>
      <c r="L84" s="22">
        <v>1883.19</v>
      </c>
      <c r="M84" s="20">
        <f t="shared" si="13"/>
        <v>0.93443605179816136</v>
      </c>
      <c r="N84" s="27">
        <v>22.22</v>
      </c>
      <c r="O84" s="19">
        <v>3815.26</v>
      </c>
      <c r="P84" s="23">
        <f t="shared" si="14"/>
        <v>2.2617876010198752</v>
      </c>
      <c r="Q84" s="27">
        <v>22.1</v>
      </c>
      <c r="R84" s="19">
        <v>4846.42</v>
      </c>
      <c r="S84" s="23">
        <f t="shared" si="15"/>
        <v>2.2103316341190178</v>
      </c>
      <c r="T84" s="34" t="s">
        <v>22</v>
      </c>
      <c r="U84" s="35">
        <v>0</v>
      </c>
      <c r="V84" s="23">
        <f t="shared" si="16"/>
        <v>0</v>
      </c>
      <c r="W84" s="34">
        <v>21.95</v>
      </c>
      <c r="X84" s="35">
        <v>5345.92</v>
      </c>
      <c r="Y84" s="19">
        <f t="shared" si="17"/>
        <v>2.1064741280047752</v>
      </c>
      <c r="Z84" s="34">
        <v>22.07</v>
      </c>
      <c r="AA84" s="35">
        <v>4155.96</v>
      </c>
      <c r="AB84" s="23">
        <f t="shared" si="18"/>
        <v>2.0532762125760122</v>
      </c>
    </row>
    <row r="85" spans="2:28" s="16" customFormat="1" x14ac:dyDescent="0.25">
      <c r="B85" s="65" t="s">
        <v>84</v>
      </c>
      <c r="C85" s="35" t="s">
        <v>81</v>
      </c>
      <c r="D85" s="88" t="s">
        <v>287</v>
      </c>
      <c r="E85" s="105">
        <v>4</v>
      </c>
      <c r="F85" s="112">
        <v>0</v>
      </c>
      <c r="G85" s="116" t="s">
        <v>276</v>
      </c>
      <c r="H85" s="27" t="s">
        <v>22</v>
      </c>
      <c r="I85" s="19">
        <v>0</v>
      </c>
      <c r="J85" s="23">
        <f t="shared" si="19"/>
        <v>0</v>
      </c>
      <c r="K85" s="102">
        <v>24.05</v>
      </c>
      <c r="L85" s="22">
        <v>285.05</v>
      </c>
      <c r="M85" s="20">
        <f t="shared" si="13"/>
        <v>0.14144138221053951</v>
      </c>
      <c r="N85" s="27">
        <v>24</v>
      </c>
      <c r="O85" s="19">
        <v>1292.55</v>
      </c>
      <c r="P85" s="23">
        <f t="shared" si="14"/>
        <v>0.76625801746099609</v>
      </c>
      <c r="Q85" s="27">
        <v>23.9</v>
      </c>
      <c r="R85" s="19">
        <v>935.15</v>
      </c>
      <c r="S85" s="23">
        <f t="shared" si="15"/>
        <v>0.42649865831818112</v>
      </c>
      <c r="T85" s="34" t="s">
        <v>22</v>
      </c>
      <c r="U85" s="35">
        <v>0</v>
      </c>
      <c r="V85" s="23">
        <f t="shared" si="16"/>
        <v>0</v>
      </c>
      <c r="W85" s="34" t="s">
        <v>22</v>
      </c>
      <c r="X85" s="35">
        <v>0</v>
      </c>
      <c r="Y85" s="19">
        <f t="shared" si="17"/>
        <v>0</v>
      </c>
      <c r="Z85" s="34" t="s">
        <v>22</v>
      </c>
      <c r="AA85" s="35">
        <v>0</v>
      </c>
      <c r="AB85" s="23">
        <f t="shared" si="18"/>
        <v>0</v>
      </c>
    </row>
    <row r="86" spans="2:28" x14ac:dyDescent="0.25">
      <c r="B86" s="65" t="s">
        <v>288</v>
      </c>
      <c r="C86" s="35" t="s">
        <v>81</v>
      </c>
      <c r="D86" s="74" t="s">
        <v>198</v>
      </c>
      <c r="E86" s="105">
        <v>2</v>
      </c>
      <c r="F86" s="112">
        <v>0</v>
      </c>
      <c r="G86" s="116" t="s">
        <v>273</v>
      </c>
      <c r="H86" s="27">
        <v>24.13</v>
      </c>
      <c r="I86" s="19">
        <v>1652.14</v>
      </c>
      <c r="J86" s="23">
        <f t="shared" si="19"/>
        <v>1.2372863128487439</v>
      </c>
      <c r="K86" s="102">
        <v>26.34</v>
      </c>
      <c r="L86" s="22">
        <v>1781.85</v>
      </c>
      <c r="M86" s="20">
        <f t="shared" si="13"/>
        <v>0.88415129588440555</v>
      </c>
      <c r="N86" s="27">
        <v>26.28</v>
      </c>
      <c r="O86" s="19">
        <v>1166.69</v>
      </c>
      <c r="P86" s="23">
        <f t="shared" si="14"/>
        <v>0.69164486201042086</v>
      </c>
      <c r="Q86" s="27">
        <v>26.28</v>
      </c>
      <c r="R86" s="19">
        <v>1837.83</v>
      </c>
      <c r="S86" s="23">
        <f t="shared" si="15"/>
        <v>0.83818855714794716</v>
      </c>
      <c r="T86" s="34" t="s">
        <v>22</v>
      </c>
      <c r="U86" s="35">
        <v>0</v>
      </c>
      <c r="V86" s="23">
        <f t="shared" si="16"/>
        <v>0</v>
      </c>
      <c r="W86" s="34">
        <v>26.12</v>
      </c>
      <c r="X86" s="35">
        <v>2218.34</v>
      </c>
      <c r="Y86" s="19">
        <f t="shared" si="17"/>
        <v>0.87410133655537559</v>
      </c>
      <c r="Z86" s="34">
        <v>26.14</v>
      </c>
      <c r="AA86" s="35">
        <v>1982.47</v>
      </c>
      <c r="AB86" s="23">
        <f t="shared" si="18"/>
        <v>0.97945083522112031</v>
      </c>
    </row>
    <row r="87" spans="2:28" s="16" customFormat="1" x14ac:dyDescent="0.25">
      <c r="B87" s="65" t="s">
        <v>291</v>
      </c>
      <c r="C87" s="35" t="s">
        <v>293</v>
      </c>
      <c r="D87" s="83" t="s">
        <v>294</v>
      </c>
      <c r="E87" s="105">
        <v>4</v>
      </c>
      <c r="F87" s="112">
        <v>1</v>
      </c>
      <c r="G87" s="116">
        <v>0</v>
      </c>
      <c r="H87" s="27" t="s">
        <v>22</v>
      </c>
      <c r="I87" s="19">
        <v>0</v>
      </c>
      <c r="J87" s="23">
        <f t="shared" si="19"/>
        <v>0</v>
      </c>
      <c r="K87" s="97" t="s">
        <v>22</v>
      </c>
      <c r="L87" s="22">
        <v>0</v>
      </c>
      <c r="M87" s="20">
        <f t="shared" si="13"/>
        <v>0</v>
      </c>
      <c r="N87" s="27">
        <v>21.9</v>
      </c>
      <c r="O87" s="19">
        <v>588.70000000000005</v>
      </c>
      <c r="P87" s="23">
        <f t="shared" si="14"/>
        <v>0.3489970174301098</v>
      </c>
      <c r="Q87" s="27">
        <v>21.79</v>
      </c>
      <c r="R87" s="19">
        <v>276.95999999999998</v>
      </c>
      <c r="S87" s="23">
        <f t="shared" si="15"/>
        <v>0.12631456815249256</v>
      </c>
      <c r="T87" s="34" t="s">
        <v>22</v>
      </c>
      <c r="U87" s="35">
        <v>0</v>
      </c>
      <c r="V87" s="23">
        <f t="shared" si="16"/>
        <v>0</v>
      </c>
      <c r="W87" s="34" t="s">
        <v>22</v>
      </c>
      <c r="X87" s="35">
        <v>0</v>
      </c>
      <c r="Y87" s="19">
        <f t="shared" si="17"/>
        <v>0</v>
      </c>
      <c r="Z87" s="34" t="s">
        <v>22</v>
      </c>
      <c r="AA87" s="35">
        <v>0</v>
      </c>
      <c r="AB87" s="23">
        <f t="shared" si="18"/>
        <v>0</v>
      </c>
    </row>
    <row r="88" spans="2:28" s="16" customFormat="1" x14ac:dyDescent="0.25">
      <c r="B88" s="65" t="s">
        <v>292</v>
      </c>
      <c r="C88" s="35" t="s">
        <v>293</v>
      </c>
      <c r="D88" s="83" t="s">
        <v>294</v>
      </c>
      <c r="E88" s="105">
        <v>4</v>
      </c>
      <c r="F88" s="112">
        <v>1</v>
      </c>
      <c r="G88" s="116">
        <v>0</v>
      </c>
      <c r="H88" s="27" t="s">
        <v>22</v>
      </c>
      <c r="I88" s="19">
        <v>0</v>
      </c>
      <c r="J88" s="23">
        <f t="shared" si="19"/>
        <v>0</v>
      </c>
      <c r="K88" s="97" t="s">
        <v>22</v>
      </c>
      <c r="L88" s="22">
        <v>0</v>
      </c>
      <c r="M88" s="20">
        <f t="shared" si="13"/>
        <v>0</v>
      </c>
      <c r="N88" s="27">
        <v>24.21</v>
      </c>
      <c r="O88" s="19">
        <v>222.98</v>
      </c>
      <c r="P88" s="23">
        <f t="shared" si="14"/>
        <v>0.13218847451429569</v>
      </c>
      <c r="Q88" s="27" t="s">
        <v>22</v>
      </c>
      <c r="R88" s="19">
        <v>0</v>
      </c>
      <c r="S88" s="23">
        <f t="shared" si="15"/>
        <v>0</v>
      </c>
      <c r="T88" s="34" t="s">
        <v>22</v>
      </c>
      <c r="U88" s="35">
        <v>0</v>
      </c>
      <c r="V88" s="23">
        <f t="shared" si="16"/>
        <v>0</v>
      </c>
      <c r="W88" s="34" t="s">
        <v>22</v>
      </c>
      <c r="X88" s="35">
        <v>0</v>
      </c>
      <c r="Y88" s="19">
        <f t="shared" si="17"/>
        <v>0</v>
      </c>
      <c r="Z88" s="34" t="s">
        <v>22</v>
      </c>
      <c r="AA88" s="35">
        <v>0</v>
      </c>
      <c r="AB88" s="23">
        <f t="shared" si="18"/>
        <v>0</v>
      </c>
    </row>
    <row r="89" spans="2:28" s="16" customFormat="1" x14ac:dyDescent="0.25">
      <c r="B89" s="68">
        <v>1114</v>
      </c>
      <c r="C89" s="35" t="s">
        <v>295</v>
      </c>
      <c r="D89" s="75" t="s">
        <v>296</v>
      </c>
      <c r="E89" s="105">
        <v>2</v>
      </c>
      <c r="F89" s="112">
        <v>0</v>
      </c>
      <c r="G89" s="120">
        <v>0</v>
      </c>
      <c r="H89" s="27" t="s">
        <v>22</v>
      </c>
      <c r="I89" s="20">
        <v>0</v>
      </c>
      <c r="J89" s="23">
        <f t="shared" si="19"/>
        <v>0</v>
      </c>
      <c r="K89" s="102">
        <v>19.899999999999999</v>
      </c>
      <c r="L89" s="22">
        <v>183.8</v>
      </c>
      <c r="M89" s="20">
        <f t="shared" si="13"/>
        <v>9.1201284161716051E-2</v>
      </c>
      <c r="N89" s="26">
        <v>19.829999999999998</v>
      </c>
      <c r="O89" s="20">
        <v>482.52</v>
      </c>
      <c r="P89" s="23">
        <f t="shared" si="14"/>
        <v>0.28605068940101336</v>
      </c>
      <c r="Q89" s="27">
        <v>19.8</v>
      </c>
      <c r="R89" s="19">
        <v>384.48</v>
      </c>
      <c r="S89" s="23">
        <f t="shared" si="15"/>
        <v>0.17535176618742906</v>
      </c>
      <c r="T89" s="34">
        <v>19.64</v>
      </c>
      <c r="U89" s="35">
        <v>617.69000000000005</v>
      </c>
      <c r="V89" s="23">
        <f t="shared" si="16"/>
        <v>0.34675357446298499</v>
      </c>
      <c r="W89" s="34" t="s">
        <v>22</v>
      </c>
      <c r="X89" s="35">
        <v>0</v>
      </c>
      <c r="Y89" s="19">
        <f t="shared" si="17"/>
        <v>0</v>
      </c>
      <c r="Z89" s="34" t="s">
        <v>22</v>
      </c>
      <c r="AA89" s="35">
        <v>0</v>
      </c>
      <c r="AB89" s="23">
        <f t="shared" si="18"/>
        <v>0</v>
      </c>
    </row>
    <row r="90" spans="2:28" s="16" customFormat="1" x14ac:dyDescent="0.25">
      <c r="B90" s="68">
        <v>1120</v>
      </c>
      <c r="C90" s="35" t="s">
        <v>297</v>
      </c>
      <c r="D90" s="75" t="s">
        <v>298</v>
      </c>
      <c r="E90" s="105">
        <v>2</v>
      </c>
      <c r="F90" s="112">
        <v>1</v>
      </c>
      <c r="G90" s="120">
        <v>0</v>
      </c>
      <c r="H90" s="27" t="s">
        <v>22</v>
      </c>
      <c r="I90" s="20">
        <v>0</v>
      </c>
      <c r="J90" s="23">
        <f t="shared" si="19"/>
        <v>0</v>
      </c>
      <c r="K90" s="97" t="s">
        <v>22</v>
      </c>
      <c r="L90" s="22">
        <v>0</v>
      </c>
      <c r="M90" s="20">
        <f t="shared" si="13"/>
        <v>0</v>
      </c>
      <c r="N90" s="26">
        <v>20.66</v>
      </c>
      <c r="O90" s="20">
        <v>325.07</v>
      </c>
      <c r="P90" s="23">
        <f t="shared" si="14"/>
        <v>0.19271014176321688</v>
      </c>
      <c r="Q90" s="27">
        <v>20.63</v>
      </c>
      <c r="R90" s="19">
        <v>377.86</v>
      </c>
      <c r="S90" s="23">
        <f t="shared" si="15"/>
        <v>0.17233254882329885</v>
      </c>
      <c r="T90" s="34">
        <v>20.47</v>
      </c>
      <c r="U90" s="35">
        <v>285.86</v>
      </c>
      <c r="V90" s="23">
        <f t="shared" si="16"/>
        <v>0.1604736628340897</v>
      </c>
      <c r="W90" s="34" t="s">
        <v>22</v>
      </c>
      <c r="X90" s="35">
        <v>0</v>
      </c>
      <c r="Y90" s="19">
        <f t="shared" si="17"/>
        <v>0</v>
      </c>
      <c r="Z90" s="34" t="s">
        <v>22</v>
      </c>
      <c r="AA90" s="35">
        <v>0</v>
      </c>
      <c r="AB90" s="23">
        <f t="shared" si="18"/>
        <v>0</v>
      </c>
    </row>
    <row r="91" spans="2:28" x14ac:dyDescent="0.25">
      <c r="B91" s="65" t="s">
        <v>200</v>
      </c>
      <c r="C91" s="35" t="s">
        <v>85</v>
      </c>
      <c r="D91" s="89" t="s">
        <v>300</v>
      </c>
      <c r="E91" s="106">
        <v>2</v>
      </c>
      <c r="F91" s="113">
        <v>1</v>
      </c>
      <c r="G91" s="116" t="s">
        <v>280</v>
      </c>
      <c r="H91" s="27">
        <v>13.38</v>
      </c>
      <c r="I91" s="19">
        <v>415.28</v>
      </c>
      <c r="J91" s="23">
        <f t="shared" si="19"/>
        <v>0.31100285690064178</v>
      </c>
      <c r="K91" s="102">
        <v>14.56</v>
      </c>
      <c r="L91" s="22">
        <v>393.02</v>
      </c>
      <c r="M91" s="20">
        <f t="shared" si="13"/>
        <v>0.19501593417430707</v>
      </c>
      <c r="N91" s="27" t="s">
        <v>22</v>
      </c>
      <c r="O91" s="19">
        <v>0</v>
      </c>
      <c r="P91" s="23">
        <f t="shared" si="14"/>
        <v>0</v>
      </c>
      <c r="Q91" s="27">
        <v>14.51</v>
      </c>
      <c r="R91" s="19">
        <v>215.53</v>
      </c>
      <c r="S91" s="23">
        <f t="shared" si="15"/>
        <v>9.8297872883834236E-2</v>
      </c>
      <c r="T91" s="34" t="s">
        <v>22</v>
      </c>
      <c r="U91" s="35">
        <v>0</v>
      </c>
      <c r="V91" s="23">
        <f t="shared" si="16"/>
        <v>0</v>
      </c>
      <c r="W91" s="34">
        <v>14.47</v>
      </c>
      <c r="X91" s="35">
        <v>554.28</v>
      </c>
      <c r="Y91" s="19">
        <f t="shared" si="17"/>
        <v>0.21840515377530653</v>
      </c>
      <c r="Z91" s="34">
        <v>14.53</v>
      </c>
      <c r="AA91" s="35">
        <v>381.77</v>
      </c>
      <c r="AB91" s="23">
        <f t="shared" si="18"/>
        <v>0.1886156891969952</v>
      </c>
    </row>
    <row r="92" spans="2:28" s="16" customFormat="1" x14ac:dyDescent="0.25">
      <c r="B92" s="65" t="s">
        <v>199</v>
      </c>
      <c r="C92" s="35" t="s">
        <v>85</v>
      </c>
      <c r="D92" s="90" t="s">
        <v>86</v>
      </c>
      <c r="E92" s="106">
        <v>2</v>
      </c>
      <c r="F92" s="112">
        <v>1</v>
      </c>
      <c r="G92" s="116" t="s">
        <v>299</v>
      </c>
      <c r="H92" s="27">
        <v>25.48</v>
      </c>
      <c r="I92" s="19">
        <v>1826.5</v>
      </c>
      <c r="J92" s="23">
        <f t="shared" si="19"/>
        <v>1.3678643761534923</v>
      </c>
      <c r="K92" s="102">
        <v>27.48</v>
      </c>
      <c r="L92" s="22">
        <v>2075.87</v>
      </c>
      <c r="M92" s="20">
        <f t="shared" si="13"/>
        <v>1.0300435786331963</v>
      </c>
      <c r="N92" s="27">
        <v>27.74</v>
      </c>
      <c r="O92" s="19">
        <v>2251.66</v>
      </c>
      <c r="P92" s="23">
        <f t="shared" si="14"/>
        <v>1.3348439345450669</v>
      </c>
      <c r="Q92" s="27">
        <v>27.63</v>
      </c>
      <c r="R92" s="19">
        <v>3622.04</v>
      </c>
      <c r="S92" s="23">
        <f t="shared" si="15"/>
        <v>1.6519223657967006</v>
      </c>
      <c r="T92" s="34" t="s">
        <v>22</v>
      </c>
      <c r="U92" s="35">
        <v>0</v>
      </c>
      <c r="V92" s="23">
        <f t="shared" si="16"/>
        <v>0</v>
      </c>
      <c r="W92" s="34">
        <v>27.26</v>
      </c>
      <c r="X92" s="35">
        <v>4015.22</v>
      </c>
      <c r="Y92" s="19">
        <f t="shared" si="17"/>
        <v>1.5821331124011084</v>
      </c>
      <c r="Z92" s="34">
        <v>27.6</v>
      </c>
      <c r="AA92" s="35">
        <v>2662.65</v>
      </c>
      <c r="AB92" s="23">
        <f t="shared" si="18"/>
        <v>1.3154977207228942</v>
      </c>
    </row>
    <row r="93" spans="2:28" x14ac:dyDescent="0.25">
      <c r="B93" s="65">
        <v>1155</v>
      </c>
      <c r="C93" s="35" t="s">
        <v>87</v>
      </c>
      <c r="D93" s="74" t="s">
        <v>88</v>
      </c>
      <c r="E93" s="106">
        <v>2</v>
      </c>
      <c r="F93" s="113">
        <v>0</v>
      </c>
      <c r="G93" s="116">
        <v>0</v>
      </c>
      <c r="H93" s="27">
        <v>16.8</v>
      </c>
      <c r="I93" s="19">
        <v>4578.95</v>
      </c>
      <c r="J93" s="23">
        <f t="shared" si="19"/>
        <v>3.4291719601357968</v>
      </c>
      <c r="K93" s="102">
        <v>18</v>
      </c>
      <c r="L93" s="22">
        <v>4206.12</v>
      </c>
      <c r="M93" s="20">
        <f t="shared" si="13"/>
        <v>2.0870704316554791</v>
      </c>
      <c r="N93" s="27">
        <v>17.98</v>
      </c>
      <c r="O93" s="19">
        <v>4082.3</v>
      </c>
      <c r="P93" s="23">
        <f t="shared" si="14"/>
        <v>2.4200960153812421</v>
      </c>
      <c r="Q93" s="27">
        <v>17.899999999999999</v>
      </c>
      <c r="R93" s="19">
        <v>5026.07</v>
      </c>
      <c r="S93" s="23">
        <f t="shared" si="15"/>
        <v>2.2922655313193183</v>
      </c>
      <c r="T93" s="34">
        <v>17.86</v>
      </c>
      <c r="U93" s="35">
        <v>4254.5</v>
      </c>
      <c r="V93" s="23">
        <f t="shared" si="16"/>
        <v>2.38835513372852</v>
      </c>
      <c r="W93" s="34">
        <v>17.87</v>
      </c>
      <c r="X93" s="35">
        <v>5661.37</v>
      </c>
      <c r="Y93" s="19">
        <f t="shared" si="17"/>
        <v>2.2307721466206742</v>
      </c>
      <c r="Z93" s="34">
        <v>17.88</v>
      </c>
      <c r="AA93" s="35">
        <v>4561.51</v>
      </c>
      <c r="AB93" s="23">
        <f t="shared" si="18"/>
        <v>2.2536405490975868</v>
      </c>
    </row>
    <row r="94" spans="2:28" s="16" customFormat="1" x14ac:dyDescent="0.25">
      <c r="B94" s="65" t="s">
        <v>201</v>
      </c>
      <c r="C94" s="35" t="s">
        <v>203</v>
      </c>
      <c r="D94" s="90" t="s">
        <v>204</v>
      </c>
      <c r="E94" s="106">
        <v>4</v>
      </c>
      <c r="F94" s="112">
        <v>1</v>
      </c>
      <c r="G94" s="116" t="s">
        <v>280</v>
      </c>
      <c r="H94" s="27">
        <v>14.11</v>
      </c>
      <c r="I94" s="19">
        <v>1671.4</v>
      </c>
      <c r="J94" s="23">
        <f t="shared" si="19"/>
        <v>1.2517101113073894</v>
      </c>
      <c r="K94" s="102">
        <v>15.38</v>
      </c>
      <c r="L94" s="22">
        <v>2097.85</v>
      </c>
      <c r="M94" s="20">
        <f t="shared" si="13"/>
        <v>1.0409500216466594</v>
      </c>
      <c r="N94" s="27" t="s">
        <v>22</v>
      </c>
      <c r="O94" s="19">
        <v>0</v>
      </c>
      <c r="P94" s="23">
        <f t="shared" si="14"/>
        <v>0</v>
      </c>
      <c r="Q94" s="27">
        <v>15.31</v>
      </c>
      <c r="R94" s="19">
        <v>1390.27</v>
      </c>
      <c r="S94" s="23">
        <f t="shared" si="15"/>
        <v>0.63406757172647987</v>
      </c>
      <c r="T94" s="34" t="s">
        <v>22</v>
      </c>
      <c r="U94" s="35">
        <v>0</v>
      </c>
      <c r="V94" s="23">
        <f t="shared" si="16"/>
        <v>0</v>
      </c>
      <c r="W94" s="34">
        <v>15.28</v>
      </c>
      <c r="X94" s="35">
        <v>2904.65</v>
      </c>
      <c r="Y94" s="19">
        <f t="shared" si="17"/>
        <v>1.1445307965530855</v>
      </c>
      <c r="Z94" s="34">
        <v>15.43</v>
      </c>
      <c r="AA94" s="35">
        <v>2193.73</v>
      </c>
      <c r="AB94" s="23">
        <f t="shared" si="18"/>
        <v>1.0838250670878391</v>
      </c>
    </row>
    <row r="95" spans="2:28" s="16" customFormat="1" x14ac:dyDescent="0.25">
      <c r="B95" s="65" t="s">
        <v>202</v>
      </c>
      <c r="C95" s="35" t="s">
        <v>203</v>
      </c>
      <c r="D95" s="90" t="s">
        <v>205</v>
      </c>
      <c r="E95" s="106">
        <v>4</v>
      </c>
      <c r="F95" s="112">
        <v>1</v>
      </c>
      <c r="G95" s="116" t="s">
        <v>280</v>
      </c>
      <c r="H95" s="27">
        <v>20.91</v>
      </c>
      <c r="I95" s="19">
        <v>685.26</v>
      </c>
      <c r="J95" s="23">
        <f t="shared" si="19"/>
        <v>0.51319066104732658</v>
      </c>
      <c r="K95" s="102">
        <v>22.31</v>
      </c>
      <c r="L95" s="22">
        <v>1092</v>
      </c>
      <c r="M95" s="20">
        <f t="shared" si="13"/>
        <v>0.54184876117842184</v>
      </c>
      <c r="N95" s="27" t="s">
        <v>22</v>
      </c>
      <c r="O95" s="19">
        <v>0</v>
      </c>
      <c r="P95" s="23">
        <f t="shared" si="14"/>
        <v>0</v>
      </c>
      <c r="Q95" s="27">
        <v>22.31</v>
      </c>
      <c r="R95" s="19">
        <v>312.88</v>
      </c>
      <c r="S95" s="23">
        <f t="shared" si="15"/>
        <v>0.1426967868412474</v>
      </c>
      <c r="T95" s="34" t="s">
        <v>22</v>
      </c>
      <c r="U95" s="35">
        <v>0</v>
      </c>
      <c r="V95" s="23">
        <f t="shared" si="16"/>
        <v>0</v>
      </c>
      <c r="W95" s="34">
        <v>22.06</v>
      </c>
      <c r="X95" s="35">
        <v>1593.72</v>
      </c>
      <c r="Y95" s="19">
        <f t="shared" si="17"/>
        <v>0.62797983271051017</v>
      </c>
      <c r="Z95" s="34">
        <v>22.28</v>
      </c>
      <c r="AA95" s="35">
        <v>982.05</v>
      </c>
      <c r="AB95" s="23">
        <f t="shared" si="18"/>
        <v>0.48518751493283696</v>
      </c>
    </row>
    <row r="96" spans="2:28" x14ac:dyDescent="0.25">
      <c r="B96" s="65" t="s">
        <v>301</v>
      </c>
      <c r="C96" s="35" t="s">
        <v>89</v>
      </c>
      <c r="D96" s="91" t="s">
        <v>206</v>
      </c>
      <c r="E96" s="106">
        <v>4</v>
      </c>
      <c r="F96" s="113">
        <v>1</v>
      </c>
      <c r="G96" s="116" t="s">
        <v>274</v>
      </c>
      <c r="H96" s="27">
        <v>16.489999999999998</v>
      </c>
      <c r="I96" s="19">
        <v>2416.61</v>
      </c>
      <c r="J96" s="23">
        <f t="shared" si="19"/>
        <v>1.8097972789796282</v>
      </c>
      <c r="K96" s="102">
        <v>17.89</v>
      </c>
      <c r="L96" s="22">
        <v>4898.17</v>
      </c>
      <c r="M96" s="20">
        <f t="shared" si="13"/>
        <v>2.430464603059808</v>
      </c>
      <c r="N96" s="27">
        <v>17.98</v>
      </c>
      <c r="O96" s="19">
        <v>280.13</v>
      </c>
      <c r="P96" s="23">
        <f t="shared" si="14"/>
        <v>0.16606851451112054</v>
      </c>
      <c r="Q96" s="27">
        <v>17.79</v>
      </c>
      <c r="R96" s="19">
        <v>2493.59</v>
      </c>
      <c r="S96" s="23">
        <f t="shared" si="15"/>
        <v>1.1372643847464399</v>
      </c>
      <c r="T96" s="34">
        <v>17.54</v>
      </c>
      <c r="U96" s="35">
        <v>9926.06</v>
      </c>
      <c r="V96" s="23">
        <f t="shared" si="16"/>
        <v>5.572207394217255</v>
      </c>
      <c r="W96" s="34">
        <v>17.55</v>
      </c>
      <c r="X96" s="35">
        <v>4585.24</v>
      </c>
      <c r="Y96" s="19">
        <f t="shared" si="17"/>
        <v>1.8067403610028985</v>
      </c>
      <c r="Z96" s="34">
        <v>17.77</v>
      </c>
      <c r="AA96" s="35">
        <v>3280.51</v>
      </c>
      <c r="AB96" s="23">
        <f t="shared" si="18"/>
        <v>1.6207550477188748</v>
      </c>
    </row>
    <row r="97" spans="2:28" s="16" customFormat="1" x14ac:dyDescent="0.25">
      <c r="B97" s="65" t="s">
        <v>302</v>
      </c>
      <c r="C97" s="35" t="s">
        <v>89</v>
      </c>
      <c r="D97" s="82" t="s">
        <v>307</v>
      </c>
      <c r="E97" s="110">
        <v>4</v>
      </c>
      <c r="F97" s="112">
        <v>1</v>
      </c>
      <c r="G97" s="116" t="s">
        <v>276</v>
      </c>
      <c r="H97" s="27" t="s">
        <v>22</v>
      </c>
      <c r="I97" s="19">
        <v>0</v>
      </c>
      <c r="J97" s="23">
        <f t="shared" si="19"/>
        <v>0</v>
      </c>
      <c r="K97" s="97" t="s">
        <v>22</v>
      </c>
      <c r="L97" s="22">
        <v>0</v>
      </c>
      <c r="M97" s="20">
        <f t="shared" si="13"/>
        <v>0</v>
      </c>
      <c r="N97" s="27">
        <v>18.98</v>
      </c>
      <c r="O97" s="19">
        <v>1592.31</v>
      </c>
      <c r="P97" s="23">
        <f t="shared" si="14"/>
        <v>0.94396371806376445</v>
      </c>
      <c r="Q97" s="27">
        <v>18.84</v>
      </c>
      <c r="R97" s="19">
        <v>1521.23</v>
      </c>
      <c r="S97" s="23">
        <f t="shared" si="15"/>
        <v>0.69379517082111597</v>
      </c>
      <c r="T97" s="34" t="s">
        <v>22</v>
      </c>
      <c r="U97" s="35">
        <v>0</v>
      </c>
      <c r="V97" s="23">
        <f t="shared" si="16"/>
        <v>0</v>
      </c>
      <c r="W97" s="34" t="s">
        <v>22</v>
      </c>
      <c r="X97" s="35">
        <v>0</v>
      </c>
      <c r="Y97" s="19">
        <f t="shared" si="17"/>
        <v>0</v>
      </c>
      <c r="Z97" s="34" t="s">
        <v>22</v>
      </c>
      <c r="AA97" s="35">
        <v>0</v>
      </c>
      <c r="AB97" s="23">
        <f t="shared" si="18"/>
        <v>0</v>
      </c>
    </row>
    <row r="98" spans="2:28" s="53" customFormat="1" x14ac:dyDescent="0.25">
      <c r="B98" s="65" t="s">
        <v>303</v>
      </c>
      <c r="C98" s="35" t="s">
        <v>89</v>
      </c>
      <c r="D98" s="87" t="s">
        <v>206</v>
      </c>
      <c r="E98" s="110">
        <v>4</v>
      </c>
      <c r="F98" s="112">
        <v>1</v>
      </c>
      <c r="G98" s="116" t="s">
        <v>281</v>
      </c>
      <c r="H98" s="27" t="s">
        <v>22</v>
      </c>
      <c r="I98" s="19">
        <v>0</v>
      </c>
      <c r="J98" s="23">
        <f t="shared" si="19"/>
        <v>0</v>
      </c>
      <c r="K98" s="97" t="s">
        <v>22</v>
      </c>
      <c r="L98" s="13">
        <v>0</v>
      </c>
      <c r="M98" s="19">
        <f t="shared" si="13"/>
        <v>0</v>
      </c>
      <c r="N98" s="27" t="s">
        <v>22</v>
      </c>
      <c r="O98" s="19">
        <v>0</v>
      </c>
      <c r="P98" s="23">
        <f t="shared" si="14"/>
        <v>0</v>
      </c>
      <c r="Q98" s="27">
        <v>19.8</v>
      </c>
      <c r="R98" s="13">
        <v>1005.2</v>
      </c>
      <c r="S98" s="23">
        <f t="shared" si="15"/>
        <v>0.45844672121203622</v>
      </c>
      <c r="T98" s="42" t="s">
        <v>22</v>
      </c>
      <c r="U98" s="13">
        <v>0</v>
      </c>
      <c r="V98" s="23">
        <f t="shared" si="16"/>
        <v>0</v>
      </c>
      <c r="W98" s="34" t="s">
        <v>22</v>
      </c>
      <c r="X98" s="29">
        <v>0</v>
      </c>
      <c r="Y98" s="19">
        <f t="shared" si="17"/>
        <v>0</v>
      </c>
      <c r="Z98" s="34" t="s">
        <v>22</v>
      </c>
      <c r="AA98" s="35">
        <v>0</v>
      </c>
      <c r="AB98" s="23">
        <f t="shared" si="18"/>
        <v>0</v>
      </c>
    </row>
    <row r="99" spans="2:28" s="16" customFormat="1" x14ac:dyDescent="0.25">
      <c r="B99" s="65" t="s">
        <v>304</v>
      </c>
      <c r="C99" s="35" t="s">
        <v>89</v>
      </c>
      <c r="D99" s="82" t="s">
        <v>308</v>
      </c>
      <c r="E99" s="110">
        <v>4</v>
      </c>
      <c r="F99" s="112">
        <v>1</v>
      </c>
      <c r="G99" s="116" t="s">
        <v>276</v>
      </c>
      <c r="H99" s="27" t="s">
        <v>22</v>
      </c>
      <c r="I99" s="19">
        <v>0</v>
      </c>
      <c r="J99" s="23">
        <f t="shared" si="19"/>
        <v>0</v>
      </c>
      <c r="K99" s="97" t="s">
        <v>22</v>
      </c>
      <c r="L99" s="22">
        <v>0</v>
      </c>
      <c r="M99" s="20">
        <f t="shared" si="13"/>
        <v>0</v>
      </c>
      <c r="N99" s="27">
        <v>20.350000000000001</v>
      </c>
      <c r="O99" s="19">
        <v>1483.93</v>
      </c>
      <c r="P99" s="23">
        <f t="shared" si="14"/>
        <v>0.87971317152210438</v>
      </c>
      <c r="Q99" s="27">
        <v>20.21</v>
      </c>
      <c r="R99" s="19">
        <v>374.7</v>
      </c>
      <c r="S99" s="23">
        <f t="shared" si="15"/>
        <v>0.17089135141081374</v>
      </c>
      <c r="T99" s="34" t="s">
        <v>22</v>
      </c>
      <c r="U99" s="35">
        <v>0</v>
      </c>
      <c r="V99" s="23">
        <f t="shared" si="16"/>
        <v>0</v>
      </c>
      <c r="W99" s="34" t="s">
        <v>22</v>
      </c>
      <c r="X99" s="35">
        <v>0</v>
      </c>
      <c r="Y99" s="19">
        <f t="shared" si="17"/>
        <v>0</v>
      </c>
      <c r="Z99" s="34" t="s">
        <v>22</v>
      </c>
      <c r="AA99" s="35">
        <v>0</v>
      </c>
      <c r="AB99" s="23">
        <f t="shared" si="18"/>
        <v>0</v>
      </c>
    </row>
    <row r="100" spans="2:28" s="16" customFormat="1" x14ac:dyDescent="0.25">
      <c r="B100" s="65" t="s">
        <v>305</v>
      </c>
      <c r="C100" s="35" t="s">
        <v>89</v>
      </c>
      <c r="D100" s="87" t="s">
        <v>206</v>
      </c>
      <c r="E100" s="110">
        <v>4</v>
      </c>
      <c r="F100" s="112">
        <v>1</v>
      </c>
      <c r="G100" s="116" t="s">
        <v>276</v>
      </c>
      <c r="H100" s="27" t="s">
        <v>22</v>
      </c>
      <c r="I100" s="19">
        <v>0</v>
      </c>
      <c r="J100" s="23">
        <f t="shared" si="19"/>
        <v>0</v>
      </c>
      <c r="K100" s="97" t="s">
        <v>22</v>
      </c>
      <c r="L100" s="22">
        <v>0</v>
      </c>
      <c r="M100" s="20">
        <f t="shared" ref="M100:M131" si="20">L100/$L$170*100</f>
        <v>0</v>
      </c>
      <c r="N100" s="27">
        <v>21.7</v>
      </c>
      <c r="O100" s="19">
        <v>689.52</v>
      </c>
      <c r="P100" s="23">
        <f t="shared" ref="P100:P131" si="21">O100/$O$170*100</f>
        <v>0.40876579490132375</v>
      </c>
      <c r="Q100" s="27" t="s">
        <v>22</v>
      </c>
      <c r="R100" s="19">
        <v>0</v>
      </c>
      <c r="S100" s="23">
        <f t="shared" ref="S100:S131" si="22">R100/$R$170*100</f>
        <v>0</v>
      </c>
      <c r="T100" s="34" t="s">
        <v>22</v>
      </c>
      <c r="U100" s="35">
        <v>0</v>
      </c>
      <c r="V100" s="23">
        <f t="shared" ref="V100:V131" si="23">U100/$U$170*100</f>
        <v>0</v>
      </c>
      <c r="W100" s="34" t="s">
        <v>22</v>
      </c>
      <c r="X100" s="35">
        <v>0</v>
      </c>
      <c r="Y100" s="19">
        <f t="shared" ref="Y100:Y131" si="24">X100/$X$170*100</f>
        <v>0</v>
      </c>
      <c r="Z100" s="34" t="s">
        <v>22</v>
      </c>
      <c r="AA100" s="35">
        <v>0</v>
      </c>
      <c r="AB100" s="23">
        <f t="shared" ref="AB100:AB131" si="25">AA100/$AA$170*100</f>
        <v>0</v>
      </c>
    </row>
    <row r="101" spans="2:28" s="16" customFormat="1" x14ac:dyDescent="0.25">
      <c r="B101" s="65" t="s">
        <v>306</v>
      </c>
      <c r="C101" s="35" t="s">
        <v>89</v>
      </c>
      <c r="D101" s="82" t="s">
        <v>309</v>
      </c>
      <c r="E101" s="110">
        <v>4</v>
      </c>
      <c r="F101" s="112">
        <v>1</v>
      </c>
      <c r="G101" s="116" t="s">
        <v>276</v>
      </c>
      <c r="H101" s="27" t="s">
        <v>22</v>
      </c>
      <c r="I101" s="19">
        <v>0</v>
      </c>
      <c r="J101" s="23">
        <f t="shared" si="19"/>
        <v>0</v>
      </c>
      <c r="K101" s="97" t="s">
        <v>22</v>
      </c>
      <c r="L101" s="22">
        <v>0</v>
      </c>
      <c r="M101" s="20">
        <f t="shared" si="20"/>
        <v>0</v>
      </c>
      <c r="N101" s="27">
        <v>24.42</v>
      </c>
      <c r="O101" s="19">
        <v>1092.07</v>
      </c>
      <c r="P101" s="23">
        <f t="shared" si="21"/>
        <v>0.64740814137064717</v>
      </c>
      <c r="Q101" s="27">
        <v>24.31</v>
      </c>
      <c r="R101" s="19">
        <v>769.72</v>
      </c>
      <c r="S101" s="23">
        <f t="shared" si="22"/>
        <v>0.35105014947406338</v>
      </c>
      <c r="T101" s="34" t="s">
        <v>22</v>
      </c>
      <c r="U101" s="35">
        <v>0</v>
      </c>
      <c r="V101" s="23">
        <f t="shared" si="23"/>
        <v>0</v>
      </c>
      <c r="W101" s="34" t="s">
        <v>22</v>
      </c>
      <c r="X101" s="35">
        <v>0</v>
      </c>
      <c r="Y101" s="19">
        <f t="shared" si="24"/>
        <v>0</v>
      </c>
      <c r="Z101" s="34" t="s">
        <v>22</v>
      </c>
      <c r="AA101" s="35">
        <v>0</v>
      </c>
      <c r="AB101" s="23">
        <f t="shared" si="25"/>
        <v>0</v>
      </c>
    </row>
    <row r="102" spans="2:28" s="16" customFormat="1" x14ac:dyDescent="0.25">
      <c r="B102" s="65" t="s">
        <v>442</v>
      </c>
      <c r="C102" s="35" t="s">
        <v>89</v>
      </c>
      <c r="D102" s="82" t="s">
        <v>310</v>
      </c>
      <c r="E102" s="110">
        <v>4</v>
      </c>
      <c r="F102" s="112">
        <v>1</v>
      </c>
      <c r="G102" s="116" t="s">
        <v>276</v>
      </c>
      <c r="H102" s="27" t="s">
        <v>22</v>
      </c>
      <c r="I102" s="19">
        <v>0</v>
      </c>
      <c r="J102" s="23">
        <f t="shared" si="19"/>
        <v>0</v>
      </c>
      <c r="K102" s="97" t="s">
        <v>22</v>
      </c>
      <c r="L102" s="22">
        <v>0</v>
      </c>
      <c r="M102" s="20">
        <f t="shared" si="20"/>
        <v>0</v>
      </c>
      <c r="N102" s="27">
        <v>27.22</v>
      </c>
      <c r="O102" s="19">
        <v>783.56</v>
      </c>
      <c r="P102" s="23">
        <f t="shared" si="21"/>
        <v>0.46451520804745505</v>
      </c>
      <c r="Q102" s="27" t="s">
        <v>22</v>
      </c>
      <c r="R102" s="19">
        <v>0</v>
      </c>
      <c r="S102" s="23">
        <f t="shared" si="22"/>
        <v>0</v>
      </c>
      <c r="T102" s="34" t="s">
        <v>22</v>
      </c>
      <c r="U102" s="35">
        <v>0</v>
      </c>
      <c r="V102" s="23">
        <f t="shared" si="23"/>
        <v>0</v>
      </c>
      <c r="W102" s="34" t="s">
        <v>22</v>
      </c>
      <c r="X102" s="35">
        <v>0</v>
      </c>
      <c r="Y102" s="19">
        <f t="shared" si="24"/>
        <v>0</v>
      </c>
      <c r="Z102" s="34" t="s">
        <v>22</v>
      </c>
      <c r="AA102" s="35">
        <v>0</v>
      </c>
      <c r="AB102" s="23">
        <f t="shared" si="25"/>
        <v>0</v>
      </c>
    </row>
    <row r="103" spans="2:28" s="16" customFormat="1" x14ac:dyDescent="0.25">
      <c r="B103" s="65">
        <v>1186</v>
      </c>
      <c r="C103" s="35" t="s">
        <v>311</v>
      </c>
      <c r="D103" s="82" t="s">
        <v>312</v>
      </c>
      <c r="E103" s="110">
        <v>2</v>
      </c>
      <c r="F103" s="112">
        <v>0</v>
      </c>
      <c r="G103" s="116" t="s">
        <v>276</v>
      </c>
      <c r="H103" s="27" t="s">
        <v>22</v>
      </c>
      <c r="I103" s="19">
        <v>0</v>
      </c>
      <c r="J103" s="23">
        <f t="shared" si="19"/>
        <v>0</v>
      </c>
      <c r="K103" s="97" t="s">
        <v>22</v>
      </c>
      <c r="L103" s="22">
        <v>0</v>
      </c>
      <c r="M103" s="20">
        <f t="shared" si="20"/>
        <v>0</v>
      </c>
      <c r="N103" s="27">
        <v>23.16</v>
      </c>
      <c r="O103" s="19">
        <v>254.82</v>
      </c>
      <c r="P103" s="23">
        <f t="shared" si="21"/>
        <v>0.15106407335067196</v>
      </c>
      <c r="Q103" s="27">
        <v>23.05</v>
      </c>
      <c r="R103" s="19">
        <v>451.37</v>
      </c>
      <c r="S103" s="23">
        <f t="shared" si="22"/>
        <v>0.20585863166879903</v>
      </c>
      <c r="T103" s="34" t="s">
        <v>22</v>
      </c>
      <c r="U103" s="35">
        <v>0</v>
      </c>
      <c r="V103" s="23">
        <f t="shared" si="23"/>
        <v>0</v>
      </c>
      <c r="W103" s="34">
        <v>22.9</v>
      </c>
      <c r="X103" s="35">
        <v>280.16000000000003</v>
      </c>
      <c r="Y103" s="19">
        <f t="shared" si="24"/>
        <v>0.11039255950366221</v>
      </c>
      <c r="Z103" s="34">
        <v>23.13</v>
      </c>
      <c r="AA103" s="35">
        <v>194.95</v>
      </c>
      <c r="AB103" s="23">
        <f t="shared" si="25"/>
        <v>9.6316181493973377E-2</v>
      </c>
    </row>
    <row r="104" spans="2:28" s="55" customFormat="1" x14ac:dyDescent="0.25">
      <c r="B104" s="65">
        <v>1202</v>
      </c>
      <c r="C104" s="35" t="s">
        <v>313</v>
      </c>
      <c r="D104" s="78" t="s">
        <v>399</v>
      </c>
      <c r="E104" s="110">
        <v>2</v>
      </c>
      <c r="F104" s="112">
        <v>0</v>
      </c>
      <c r="G104" s="116" t="s">
        <v>281</v>
      </c>
      <c r="H104" s="27" t="s">
        <v>22</v>
      </c>
      <c r="I104" s="19">
        <v>0</v>
      </c>
      <c r="J104" s="23">
        <f t="shared" si="19"/>
        <v>0</v>
      </c>
      <c r="K104" s="97">
        <v>17.48</v>
      </c>
      <c r="L104" s="13">
        <v>410.45</v>
      </c>
      <c r="M104" s="19">
        <f t="shared" si="20"/>
        <v>0.20366467401619343</v>
      </c>
      <c r="N104" s="27" t="s">
        <v>22</v>
      </c>
      <c r="O104" s="19">
        <v>0</v>
      </c>
      <c r="P104" s="23">
        <f t="shared" si="21"/>
        <v>0</v>
      </c>
      <c r="Q104" s="27" t="s">
        <v>22</v>
      </c>
      <c r="R104" s="13">
        <v>0</v>
      </c>
      <c r="S104" s="23">
        <f t="shared" si="22"/>
        <v>0</v>
      </c>
      <c r="T104" s="42">
        <v>17.440000000000001</v>
      </c>
      <c r="U104" s="13">
        <v>780.78</v>
      </c>
      <c r="V104" s="23">
        <f t="shared" si="23"/>
        <v>0.43830765573217856</v>
      </c>
      <c r="W104" s="34">
        <v>17.239999999999998</v>
      </c>
      <c r="X104" s="29">
        <v>490.79</v>
      </c>
      <c r="Y104" s="19">
        <f t="shared" si="24"/>
        <v>0.19338793646060243</v>
      </c>
      <c r="Z104" s="34" t="s">
        <v>400</v>
      </c>
      <c r="AA104" s="35">
        <v>430.3</v>
      </c>
      <c r="AB104" s="23">
        <f t="shared" si="25"/>
        <v>0.21259221798849318</v>
      </c>
    </row>
    <row r="105" spans="2:28" s="16" customFormat="1" x14ac:dyDescent="0.25">
      <c r="B105" s="65" t="s">
        <v>314</v>
      </c>
      <c r="C105" s="35" t="s">
        <v>316</v>
      </c>
      <c r="D105" s="78" t="s">
        <v>318</v>
      </c>
      <c r="E105" s="110">
        <v>4</v>
      </c>
      <c r="F105" s="112">
        <v>1</v>
      </c>
      <c r="G105" s="120">
        <v>0</v>
      </c>
      <c r="H105" s="27" t="s">
        <v>22</v>
      </c>
      <c r="I105" s="20">
        <v>0</v>
      </c>
      <c r="J105" s="23">
        <f t="shared" si="19"/>
        <v>0</v>
      </c>
      <c r="K105" s="97" t="s">
        <v>22</v>
      </c>
      <c r="L105" s="22">
        <v>0</v>
      </c>
      <c r="M105" s="20">
        <f t="shared" si="20"/>
        <v>0</v>
      </c>
      <c r="N105" s="26">
        <v>19.93</v>
      </c>
      <c r="O105" s="20">
        <v>753.15</v>
      </c>
      <c r="P105" s="23">
        <f t="shared" si="21"/>
        <v>0.44648735124424527</v>
      </c>
      <c r="Q105" s="27">
        <v>19.8</v>
      </c>
      <c r="R105" s="19">
        <v>453.21</v>
      </c>
      <c r="S105" s="23">
        <f t="shared" si="22"/>
        <v>0.20669780990898021</v>
      </c>
      <c r="T105" s="34" t="s">
        <v>22</v>
      </c>
      <c r="U105" s="35">
        <v>0</v>
      </c>
      <c r="V105" s="23">
        <f t="shared" si="23"/>
        <v>0</v>
      </c>
      <c r="W105" s="34" t="s">
        <v>22</v>
      </c>
      <c r="X105" s="35">
        <v>0</v>
      </c>
      <c r="Y105" s="19">
        <f t="shared" si="24"/>
        <v>0</v>
      </c>
      <c r="Z105" s="34" t="s">
        <v>22</v>
      </c>
      <c r="AA105" s="35">
        <v>0</v>
      </c>
      <c r="AB105" s="23">
        <f t="shared" si="25"/>
        <v>0</v>
      </c>
    </row>
    <row r="106" spans="2:28" s="16" customFormat="1" x14ac:dyDescent="0.25">
      <c r="B106" s="65" t="s">
        <v>315</v>
      </c>
      <c r="C106" s="35" t="s">
        <v>316</v>
      </c>
      <c r="D106" s="78" t="s">
        <v>317</v>
      </c>
      <c r="E106" s="110">
        <v>4</v>
      </c>
      <c r="F106" s="112">
        <v>1</v>
      </c>
      <c r="G106" s="116">
        <v>0</v>
      </c>
      <c r="H106" s="27" t="s">
        <v>22</v>
      </c>
      <c r="I106" s="19">
        <v>0</v>
      </c>
      <c r="J106" s="23">
        <f t="shared" si="19"/>
        <v>0</v>
      </c>
      <c r="K106" s="97" t="s">
        <v>22</v>
      </c>
      <c r="L106" s="22">
        <v>0</v>
      </c>
      <c r="M106" s="20">
        <f t="shared" si="20"/>
        <v>0</v>
      </c>
      <c r="N106" s="27">
        <v>24.1</v>
      </c>
      <c r="O106" s="19">
        <v>379</v>
      </c>
      <c r="P106" s="23">
        <f t="shared" si="21"/>
        <v>0.22468128011892577</v>
      </c>
      <c r="Q106" s="27" t="s">
        <v>22</v>
      </c>
      <c r="R106" s="19">
        <v>0</v>
      </c>
      <c r="S106" s="23">
        <f t="shared" si="22"/>
        <v>0</v>
      </c>
      <c r="T106" s="34" t="s">
        <v>22</v>
      </c>
      <c r="U106" s="35">
        <v>0</v>
      </c>
      <c r="V106" s="23">
        <f t="shared" si="23"/>
        <v>0</v>
      </c>
      <c r="W106" s="34" t="s">
        <v>22</v>
      </c>
      <c r="X106" s="35">
        <v>0</v>
      </c>
      <c r="Y106" s="19">
        <f t="shared" si="24"/>
        <v>0</v>
      </c>
      <c r="Z106" s="34" t="s">
        <v>22</v>
      </c>
      <c r="AA106" s="35">
        <v>0</v>
      </c>
      <c r="AB106" s="23">
        <f t="shared" si="25"/>
        <v>0</v>
      </c>
    </row>
    <row r="107" spans="2:28" x14ac:dyDescent="0.25">
      <c r="B107" s="65">
        <v>1243</v>
      </c>
      <c r="C107" s="35" t="s">
        <v>90</v>
      </c>
      <c r="D107" s="74" t="s">
        <v>91</v>
      </c>
      <c r="E107" s="106">
        <v>1</v>
      </c>
      <c r="F107" s="113">
        <v>0</v>
      </c>
      <c r="G107" s="116">
        <v>0</v>
      </c>
      <c r="H107" s="27">
        <v>16.91</v>
      </c>
      <c r="I107" s="19">
        <v>499.75</v>
      </c>
      <c r="J107" s="23">
        <f t="shared" si="19"/>
        <v>0.37426237173977972</v>
      </c>
      <c r="K107" s="102">
        <v>18.309999999999999</v>
      </c>
      <c r="L107" s="22">
        <v>723.98</v>
      </c>
      <c r="M107" s="20">
        <f t="shared" si="20"/>
        <v>0.35923778948530571</v>
      </c>
      <c r="N107" s="27">
        <v>18.079999999999998</v>
      </c>
      <c r="O107" s="19">
        <v>222.9</v>
      </c>
      <c r="P107" s="23">
        <f t="shared" si="21"/>
        <v>0.13214104838656612</v>
      </c>
      <c r="Q107" s="27" t="s">
        <v>22</v>
      </c>
      <c r="R107" s="19">
        <v>0</v>
      </c>
      <c r="S107" s="23">
        <f t="shared" si="22"/>
        <v>0</v>
      </c>
      <c r="T107" s="34" t="s">
        <v>22</v>
      </c>
      <c r="U107" s="35">
        <v>0</v>
      </c>
      <c r="V107" s="23">
        <f t="shared" si="23"/>
        <v>0</v>
      </c>
      <c r="W107" s="34" t="s">
        <v>22</v>
      </c>
      <c r="X107" s="35">
        <v>0</v>
      </c>
      <c r="Y107" s="19">
        <f t="shared" si="24"/>
        <v>0</v>
      </c>
      <c r="Z107" s="34" t="s">
        <v>22</v>
      </c>
      <c r="AA107" s="35">
        <v>0</v>
      </c>
      <c r="AB107" s="23">
        <f t="shared" si="25"/>
        <v>0</v>
      </c>
    </row>
    <row r="108" spans="2:28" x14ac:dyDescent="0.25">
      <c r="B108" s="65" t="s">
        <v>319</v>
      </c>
      <c r="C108" s="35" t="s">
        <v>109</v>
      </c>
      <c r="D108" s="74" t="s">
        <v>207</v>
      </c>
      <c r="E108" s="106">
        <v>4</v>
      </c>
      <c r="F108" s="113">
        <v>0</v>
      </c>
      <c r="G108" s="116" t="s">
        <v>281</v>
      </c>
      <c r="H108" s="27">
        <v>13.53</v>
      </c>
      <c r="I108" s="19">
        <v>460.25</v>
      </c>
      <c r="J108" s="23">
        <f t="shared" si="19"/>
        <v>0.34468085361327389</v>
      </c>
      <c r="K108" s="102">
        <v>14.76</v>
      </c>
      <c r="L108" s="22">
        <v>464.77</v>
      </c>
      <c r="M108" s="20">
        <f t="shared" si="20"/>
        <v>0.23061817649532518</v>
      </c>
      <c r="N108" s="27" t="s">
        <v>22</v>
      </c>
      <c r="O108" s="19">
        <v>0</v>
      </c>
      <c r="P108" s="23">
        <f t="shared" si="21"/>
        <v>0</v>
      </c>
      <c r="Q108" s="27">
        <v>14.61</v>
      </c>
      <c r="R108" s="19">
        <v>117.95</v>
      </c>
      <c r="S108" s="23">
        <f t="shared" si="22"/>
        <v>5.3794061646398404E-2</v>
      </c>
      <c r="T108" s="34">
        <v>14.59</v>
      </c>
      <c r="U108" s="35">
        <v>954.49</v>
      </c>
      <c r="V108" s="23">
        <f t="shared" si="23"/>
        <v>0.53582350254848632</v>
      </c>
      <c r="W108" s="34">
        <v>14.57</v>
      </c>
      <c r="X108" s="35">
        <v>617.12</v>
      </c>
      <c r="Y108" s="19">
        <f t="shared" si="24"/>
        <v>0.24316624900378361</v>
      </c>
      <c r="Z108" s="34">
        <v>14.73</v>
      </c>
      <c r="AA108" s="35">
        <v>378.73</v>
      </c>
      <c r="AB108" s="23">
        <f t="shared" si="25"/>
        <v>0.18711375951378581</v>
      </c>
    </row>
    <row r="109" spans="2:28" s="16" customFormat="1" x14ac:dyDescent="0.25">
      <c r="B109" s="65" t="s">
        <v>320</v>
      </c>
      <c r="C109" s="35" t="s">
        <v>109</v>
      </c>
      <c r="D109" s="75" t="s">
        <v>323</v>
      </c>
      <c r="E109" s="110">
        <v>4</v>
      </c>
      <c r="F109" s="112">
        <v>0</v>
      </c>
      <c r="G109" s="116" t="s">
        <v>299</v>
      </c>
      <c r="H109" s="27" t="s">
        <v>22</v>
      </c>
      <c r="I109" s="19">
        <v>0</v>
      </c>
      <c r="J109" s="23">
        <f t="shared" si="19"/>
        <v>0</v>
      </c>
      <c r="K109" s="97" t="s">
        <v>22</v>
      </c>
      <c r="L109" s="22">
        <v>0</v>
      </c>
      <c r="M109" s="20">
        <f t="shared" si="20"/>
        <v>0</v>
      </c>
      <c r="N109" s="27">
        <v>23.37</v>
      </c>
      <c r="O109" s="19">
        <v>429.05</v>
      </c>
      <c r="P109" s="23">
        <f t="shared" si="21"/>
        <v>0.25435225127974964</v>
      </c>
      <c r="Q109" s="27">
        <v>23.37</v>
      </c>
      <c r="R109" s="19">
        <v>925.8</v>
      </c>
      <c r="S109" s="23">
        <f t="shared" si="22"/>
        <v>0.42223435584769514</v>
      </c>
      <c r="T109" s="34" t="s">
        <v>22</v>
      </c>
      <c r="U109" s="35">
        <v>0</v>
      </c>
      <c r="V109" s="23">
        <f t="shared" si="23"/>
        <v>0</v>
      </c>
      <c r="W109" s="34">
        <v>23.22</v>
      </c>
      <c r="X109" s="35">
        <v>587.30999999999995</v>
      </c>
      <c r="Y109" s="19">
        <f t="shared" si="24"/>
        <v>0.23142009609543063</v>
      </c>
      <c r="Z109" s="34">
        <v>23.34</v>
      </c>
      <c r="AA109" s="35">
        <v>378.8</v>
      </c>
      <c r="AB109" s="23">
        <f t="shared" si="25"/>
        <v>0.18714834342096495</v>
      </c>
    </row>
    <row r="110" spans="2:28" s="61" customFormat="1" x14ac:dyDescent="0.25">
      <c r="B110" s="65" t="s">
        <v>321</v>
      </c>
      <c r="C110" s="35" t="s">
        <v>109</v>
      </c>
      <c r="D110" s="78" t="s">
        <v>431</v>
      </c>
      <c r="E110" s="110">
        <v>2</v>
      </c>
      <c r="F110" s="112">
        <v>0</v>
      </c>
      <c r="G110" s="119" t="s">
        <v>432</v>
      </c>
      <c r="H110" s="49" t="s">
        <v>22</v>
      </c>
      <c r="I110" s="101">
        <v>0</v>
      </c>
      <c r="J110" s="23">
        <f t="shared" si="19"/>
        <v>0</v>
      </c>
      <c r="K110" s="100" t="s">
        <v>22</v>
      </c>
      <c r="L110" s="47">
        <v>0</v>
      </c>
      <c r="M110" s="101">
        <f t="shared" si="20"/>
        <v>0</v>
      </c>
      <c r="N110" s="49">
        <v>26.17</v>
      </c>
      <c r="O110" s="101">
        <v>305.14999999999998</v>
      </c>
      <c r="P110" s="50">
        <f t="shared" si="21"/>
        <v>0.18090103595854934</v>
      </c>
      <c r="Q110" s="49" t="s">
        <v>433</v>
      </c>
      <c r="R110" s="47">
        <v>676.9</v>
      </c>
      <c r="S110" s="50">
        <f t="shared" si="22"/>
        <v>0.30871725585796589</v>
      </c>
      <c r="T110" s="57" t="s">
        <v>22</v>
      </c>
      <c r="U110" s="47">
        <v>0</v>
      </c>
      <c r="V110" s="50">
        <f t="shared" si="23"/>
        <v>0</v>
      </c>
      <c r="W110" s="51">
        <v>26.01</v>
      </c>
      <c r="X110" s="52">
        <v>539.11</v>
      </c>
      <c r="Y110" s="101">
        <f t="shared" si="24"/>
        <v>0.21242765831674518</v>
      </c>
      <c r="Z110" s="51" t="s">
        <v>434</v>
      </c>
      <c r="AA110" s="63">
        <v>500.2</v>
      </c>
      <c r="AB110" s="50">
        <f t="shared" si="25"/>
        <v>0.24712671958597326</v>
      </c>
    </row>
    <row r="111" spans="2:28" s="16" customFormat="1" x14ac:dyDescent="0.25">
      <c r="B111" s="65" t="s">
        <v>443</v>
      </c>
      <c r="C111" s="35" t="s">
        <v>109</v>
      </c>
      <c r="D111" s="75" t="s">
        <v>322</v>
      </c>
      <c r="E111" s="110">
        <v>4</v>
      </c>
      <c r="F111" s="112">
        <v>0</v>
      </c>
      <c r="G111" s="116" t="s">
        <v>299</v>
      </c>
      <c r="H111" s="27" t="s">
        <v>22</v>
      </c>
      <c r="I111" s="19">
        <v>0</v>
      </c>
      <c r="J111" s="23">
        <f t="shared" si="19"/>
        <v>0</v>
      </c>
      <c r="K111" s="97" t="s">
        <v>22</v>
      </c>
      <c r="L111" s="22">
        <v>0</v>
      </c>
      <c r="M111" s="20">
        <f t="shared" si="20"/>
        <v>0</v>
      </c>
      <c r="N111" s="27">
        <v>27.63</v>
      </c>
      <c r="O111" s="19">
        <v>1253.8800000000001</v>
      </c>
      <c r="P111" s="23">
        <f t="shared" si="21"/>
        <v>0.74333341296970623</v>
      </c>
      <c r="Q111" s="27">
        <v>27.53</v>
      </c>
      <c r="R111" s="19">
        <v>1831.99</v>
      </c>
      <c r="S111" s="23">
        <f t="shared" si="22"/>
        <v>0.83552507838563284</v>
      </c>
      <c r="T111" s="34" t="s">
        <v>22</v>
      </c>
      <c r="U111" s="35">
        <v>0</v>
      </c>
      <c r="V111" s="23">
        <f t="shared" si="23"/>
        <v>0</v>
      </c>
      <c r="W111" s="34">
        <v>27.47</v>
      </c>
      <c r="X111" s="35">
        <v>766.36</v>
      </c>
      <c r="Y111" s="19">
        <f t="shared" si="24"/>
        <v>0.30197188000152259</v>
      </c>
      <c r="Z111" s="34" t="s">
        <v>435</v>
      </c>
      <c r="AA111" s="35">
        <v>538.29999999999995</v>
      </c>
      <c r="AB111" s="23">
        <f t="shared" si="25"/>
        <v>0.26595024620777563</v>
      </c>
    </row>
    <row r="112" spans="2:28" x14ac:dyDescent="0.25">
      <c r="B112" s="65">
        <v>1258</v>
      </c>
      <c r="C112" s="35" t="s">
        <v>92</v>
      </c>
      <c r="D112" s="74" t="s">
        <v>208</v>
      </c>
      <c r="E112" s="106">
        <v>4</v>
      </c>
      <c r="F112" s="113">
        <v>1</v>
      </c>
      <c r="G112" s="116" t="s">
        <v>281</v>
      </c>
      <c r="H112" s="27">
        <v>18.34</v>
      </c>
      <c r="I112" s="19">
        <v>536.76</v>
      </c>
      <c r="J112" s="23">
        <f t="shared" si="19"/>
        <v>0.40197913087552611</v>
      </c>
      <c r="K112" s="102">
        <v>19.79</v>
      </c>
      <c r="L112" s="22">
        <v>644.64</v>
      </c>
      <c r="M112" s="20">
        <f t="shared" si="20"/>
        <v>0.31986940055499802</v>
      </c>
      <c r="N112" s="27">
        <v>20.03</v>
      </c>
      <c r="O112" s="19">
        <v>183.38</v>
      </c>
      <c r="P112" s="23">
        <f t="shared" si="21"/>
        <v>0.10871254128814935</v>
      </c>
      <c r="Q112" s="27">
        <v>20.11</v>
      </c>
      <c r="R112" s="19">
        <v>598.49</v>
      </c>
      <c r="S112" s="23">
        <f t="shared" si="22"/>
        <v>0.27295640487285272</v>
      </c>
      <c r="T112" s="34">
        <v>19.95</v>
      </c>
      <c r="U112" s="35">
        <v>1121</v>
      </c>
      <c r="V112" s="23">
        <f t="shared" si="23"/>
        <v>0.62929747441759798</v>
      </c>
      <c r="W112" s="34">
        <v>19.66</v>
      </c>
      <c r="X112" s="35">
        <v>1232</v>
      </c>
      <c r="Y112" s="19">
        <f t="shared" si="24"/>
        <v>0.48544986189503081</v>
      </c>
      <c r="Z112" s="34">
        <v>19.88</v>
      </c>
      <c r="AA112" s="35">
        <v>581.65</v>
      </c>
      <c r="AB112" s="23">
        <f t="shared" si="25"/>
        <v>0.28736756586801548</v>
      </c>
    </row>
    <row r="113" spans="2:28" s="16" customFormat="1" x14ac:dyDescent="0.25">
      <c r="B113" s="65">
        <v>1267</v>
      </c>
      <c r="C113" s="72" t="s">
        <v>209</v>
      </c>
      <c r="D113" s="74" t="s">
        <v>324</v>
      </c>
      <c r="E113" s="106">
        <v>2</v>
      </c>
      <c r="F113" s="112">
        <v>1</v>
      </c>
      <c r="G113" s="116" t="s">
        <v>436</v>
      </c>
      <c r="H113" s="27">
        <v>25.48</v>
      </c>
      <c r="I113" s="19">
        <v>1564.86</v>
      </c>
      <c r="J113" s="23">
        <f t="shared" si="19"/>
        <v>1.171922391277062</v>
      </c>
      <c r="K113" s="102">
        <v>27.38</v>
      </c>
      <c r="L113" s="22">
        <v>2140.06</v>
      </c>
      <c r="M113" s="20">
        <f t="shared" si="20"/>
        <v>1.0618945602999024</v>
      </c>
      <c r="N113" s="27" t="s">
        <v>22</v>
      </c>
      <c r="O113" s="19">
        <v>0</v>
      </c>
      <c r="P113" s="23">
        <f t="shared" si="21"/>
        <v>0</v>
      </c>
      <c r="Q113" s="27">
        <v>27.53</v>
      </c>
      <c r="R113" s="19">
        <v>1156.6300000000001</v>
      </c>
      <c r="S113" s="23">
        <f t="shared" si="22"/>
        <v>0.52751017822868829</v>
      </c>
      <c r="T113" s="34" t="s">
        <v>22</v>
      </c>
      <c r="U113" s="35">
        <v>0</v>
      </c>
      <c r="V113" s="23">
        <f t="shared" si="23"/>
        <v>0</v>
      </c>
      <c r="W113" s="34">
        <v>27.16</v>
      </c>
      <c r="X113" s="35">
        <v>2759.97</v>
      </c>
      <c r="Y113" s="19">
        <f t="shared" si="24"/>
        <v>1.0875219604987241</v>
      </c>
      <c r="Z113" s="34">
        <v>27.5</v>
      </c>
      <c r="AA113" s="35">
        <v>2173.85</v>
      </c>
      <c r="AB113" s="23">
        <f t="shared" si="25"/>
        <v>1.0740032374489563</v>
      </c>
    </row>
    <row r="114" spans="2:28" x14ac:dyDescent="0.25">
      <c r="B114" s="65" t="s">
        <v>93</v>
      </c>
      <c r="C114" s="35" t="s">
        <v>94</v>
      </c>
      <c r="D114" s="74" t="s">
        <v>95</v>
      </c>
      <c r="E114" s="106">
        <v>2</v>
      </c>
      <c r="F114" s="113">
        <v>0</v>
      </c>
      <c r="G114" s="116" t="s">
        <v>272</v>
      </c>
      <c r="H114" s="27">
        <v>16.38</v>
      </c>
      <c r="I114" s="19">
        <v>1265.57</v>
      </c>
      <c r="J114" s="23">
        <f t="shared" si="19"/>
        <v>0.9477843517813167</v>
      </c>
      <c r="K114" s="102">
        <v>17.68</v>
      </c>
      <c r="L114" s="22">
        <v>1461.22</v>
      </c>
      <c r="M114" s="20">
        <f t="shared" si="20"/>
        <v>0.72505517107063511</v>
      </c>
      <c r="N114" s="27">
        <v>17.68</v>
      </c>
      <c r="O114" s="19">
        <v>908.48</v>
      </c>
      <c r="P114" s="23">
        <f t="shared" si="21"/>
        <v>0.53857110649720763</v>
      </c>
      <c r="Q114" s="27">
        <v>17.48</v>
      </c>
      <c r="R114" s="19">
        <v>1383.91</v>
      </c>
      <c r="S114" s="23">
        <f t="shared" si="22"/>
        <v>0.63116693389628831</v>
      </c>
      <c r="T114" s="34">
        <v>17.440000000000001</v>
      </c>
      <c r="U114" s="35">
        <v>1459.79</v>
      </c>
      <c r="V114" s="23">
        <f t="shared" si="23"/>
        <v>0.81948453182878278</v>
      </c>
      <c r="W114" s="34">
        <v>17.55</v>
      </c>
      <c r="X114" s="35">
        <v>1668.74</v>
      </c>
      <c r="Y114" s="19">
        <f t="shared" si="24"/>
        <v>0.65754026180090397</v>
      </c>
      <c r="Z114" s="34">
        <v>17.57</v>
      </c>
      <c r="AA114" s="35">
        <v>1302.83</v>
      </c>
      <c r="AB114" s="23">
        <f t="shared" si="25"/>
        <v>0.64367073986044288</v>
      </c>
    </row>
    <row r="115" spans="2:28" x14ac:dyDescent="0.25">
      <c r="B115" s="65" t="s">
        <v>96</v>
      </c>
      <c r="C115" s="35" t="s">
        <v>94</v>
      </c>
      <c r="D115" s="74" t="s">
        <v>97</v>
      </c>
      <c r="E115" s="106">
        <v>2</v>
      </c>
      <c r="F115" s="113">
        <v>0</v>
      </c>
      <c r="G115" s="116">
        <v>0</v>
      </c>
      <c r="H115" s="27">
        <v>18.13</v>
      </c>
      <c r="I115" s="19">
        <v>230.64</v>
      </c>
      <c r="J115" s="23">
        <f t="shared" si="19"/>
        <v>0.17272610989107112</v>
      </c>
      <c r="K115" s="97" t="s">
        <v>388</v>
      </c>
      <c r="L115" s="22">
        <v>193.4</v>
      </c>
      <c r="M115" s="20">
        <f t="shared" si="20"/>
        <v>9.5964789754493393E-2</v>
      </c>
      <c r="N115" s="27" t="s">
        <v>22</v>
      </c>
      <c r="O115" s="19">
        <v>0</v>
      </c>
      <c r="P115" s="23">
        <f t="shared" si="21"/>
        <v>0</v>
      </c>
      <c r="Q115" s="27" t="s">
        <v>22</v>
      </c>
      <c r="R115" s="19">
        <v>0</v>
      </c>
      <c r="S115" s="23">
        <f t="shared" si="22"/>
        <v>0</v>
      </c>
      <c r="T115" s="34" t="s">
        <v>22</v>
      </c>
      <c r="U115" s="35">
        <v>0</v>
      </c>
      <c r="V115" s="23">
        <f t="shared" si="23"/>
        <v>0</v>
      </c>
      <c r="W115" s="34" t="s">
        <v>22</v>
      </c>
      <c r="X115" s="35">
        <v>0</v>
      </c>
      <c r="Y115" s="19">
        <f t="shared" si="24"/>
        <v>0</v>
      </c>
      <c r="Z115" s="34" t="s">
        <v>22</v>
      </c>
      <c r="AA115" s="35">
        <v>0</v>
      </c>
      <c r="AB115" s="23">
        <f t="shared" si="25"/>
        <v>0</v>
      </c>
    </row>
    <row r="116" spans="2:28" x14ac:dyDescent="0.25">
      <c r="B116" s="65" t="s">
        <v>444</v>
      </c>
      <c r="C116" s="35" t="s">
        <v>210</v>
      </c>
      <c r="D116" s="74" t="s">
        <v>211</v>
      </c>
      <c r="E116" s="106">
        <v>4</v>
      </c>
      <c r="F116" s="113">
        <v>1</v>
      </c>
      <c r="G116" s="116" t="s">
        <v>281</v>
      </c>
      <c r="H116" s="27">
        <v>14.11</v>
      </c>
      <c r="I116" s="19">
        <v>1028.6099999999999</v>
      </c>
      <c r="J116" s="23">
        <f t="shared" si="19"/>
        <v>0.77032519899000473</v>
      </c>
      <c r="K116" s="102">
        <v>15.38</v>
      </c>
      <c r="L116" s="22">
        <v>1262.8399999999999</v>
      </c>
      <c r="M116" s="20">
        <f t="shared" si="20"/>
        <v>0.62661931278988836</v>
      </c>
      <c r="N116" s="27" t="s">
        <v>22</v>
      </c>
      <c r="O116" s="19">
        <v>0</v>
      </c>
      <c r="P116" s="23">
        <f t="shared" si="21"/>
        <v>0</v>
      </c>
      <c r="Q116" s="27" t="s">
        <v>389</v>
      </c>
      <c r="R116" s="19">
        <v>354.3</v>
      </c>
      <c r="S116" s="23">
        <f t="shared" si="22"/>
        <v>0.16158741874793517</v>
      </c>
      <c r="T116" s="34">
        <v>15.21</v>
      </c>
      <c r="U116" s="35">
        <v>2694.22</v>
      </c>
      <c r="V116" s="23">
        <f t="shared" si="23"/>
        <v>1.5124583778103309</v>
      </c>
      <c r="W116" s="34">
        <v>15.18</v>
      </c>
      <c r="X116" s="35">
        <v>1715.22</v>
      </c>
      <c r="Y116" s="19">
        <f t="shared" si="24"/>
        <v>0.67585496113603472</v>
      </c>
      <c r="Z116" s="34">
        <v>15.43</v>
      </c>
      <c r="AA116" s="35">
        <v>1219.8</v>
      </c>
      <c r="AB116" s="23">
        <f t="shared" si="25"/>
        <v>0.60264928538778517</v>
      </c>
    </row>
    <row r="117" spans="2:28" s="16" customFormat="1" x14ac:dyDescent="0.25">
      <c r="B117" s="65" t="s">
        <v>445</v>
      </c>
      <c r="C117" s="35" t="s">
        <v>210</v>
      </c>
      <c r="D117" s="74" t="s">
        <v>211</v>
      </c>
      <c r="E117" s="106">
        <v>4</v>
      </c>
      <c r="F117" s="113">
        <v>1</v>
      </c>
      <c r="G117" s="116" t="s">
        <v>281</v>
      </c>
      <c r="H117" s="28" t="s">
        <v>22</v>
      </c>
      <c r="I117" s="31">
        <v>0</v>
      </c>
      <c r="J117" s="23">
        <f t="shared" si="19"/>
        <v>0</v>
      </c>
      <c r="K117" s="98">
        <v>16.95</v>
      </c>
      <c r="L117" s="24">
        <v>493.9</v>
      </c>
      <c r="M117" s="31">
        <f t="shared" si="20"/>
        <v>0.24507243877840892</v>
      </c>
      <c r="N117" s="28" t="s">
        <v>22</v>
      </c>
      <c r="O117" s="31">
        <v>0</v>
      </c>
      <c r="P117" s="25">
        <f t="shared" si="21"/>
        <v>0</v>
      </c>
      <c r="Q117" s="27" t="s">
        <v>390</v>
      </c>
      <c r="R117" s="31">
        <v>117.5</v>
      </c>
      <c r="S117" s="25">
        <f t="shared" si="22"/>
        <v>5.3588827837658434E-2</v>
      </c>
      <c r="T117" s="34">
        <v>16.809999999999999</v>
      </c>
      <c r="U117" s="35">
        <v>1345.21</v>
      </c>
      <c r="V117" s="23">
        <f t="shared" si="23"/>
        <v>0.755162583016322</v>
      </c>
      <c r="W117" s="34">
        <v>16.82</v>
      </c>
      <c r="X117" s="35">
        <v>494.5</v>
      </c>
      <c r="Y117" s="19">
        <f t="shared" si="24"/>
        <v>0.19484980252199086</v>
      </c>
      <c r="Z117" s="34">
        <v>17.04</v>
      </c>
      <c r="AA117" s="35">
        <v>446.5</v>
      </c>
      <c r="AB117" s="23">
        <f t="shared" si="25"/>
        <v>0.22059592222138558</v>
      </c>
    </row>
    <row r="118" spans="2:28" s="16" customFormat="1" x14ac:dyDescent="0.25">
      <c r="B118" s="65" t="s">
        <v>446</v>
      </c>
      <c r="C118" s="35" t="s">
        <v>210</v>
      </c>
      <c r="D118" s="75" t="s">
        <v>270</v>
      </c>
      <c r="E118" s="106">
        <v>4</v>
      </c>
      <c r="F118" s="112">
        <v>1</v>
      </c>
      <c r="G118" s="116" t="s">
        <v>325</v>
      </c>
      <c r="H118" s="27">
        <v>15.66</v>
      </c>
      <c r="I118" s="19">
        <v>434.49</v>
      </c>
      <c r="J118" s="23">
        <f t="shared" si="19"/>
        <v>0.32538921039963364</v>
      </c>
      <c r="K118" s="102">
        <v>17.68</v>
      </c>
      <c r="L118" s="22">
        <v>1624.77</v>
      </c>
      <c r="M118" s="20">
        <f t="shared" si="20"/>
        <v>0.80620843562258637</v>
      </c>
      <c r="N118" s="27" t="s">
        <v>22</v>
      </c>
      <c r="O118" s="19">
        <v>0</v>
      </c>
      <c r="P118" s="23">
        <f t="shared" si="21"/>
        <v>0</v>
      </c>
      <c r="Q118" s="27">
        <v>17.690000000000001</v>
      </c>
      <c r="R118" s="19">
        <v>673.85</v>
      </c>
      <c r="S118" s="23">
        <f t="shared" si="22"/>
        <v>0.30732622670983945</v>
      </c>
      <c r="T118" s="34" t="s">
        <v>22</v>
      </c>
      <c r="U118" s="35">
        <v>0</v>
      </c>
      <c r="V118" s="23">
        <f t="shared" si="23"/>
        <v>0</v>
      </c>
      <c r="W118" s="34">
        <v>17.55</v>
      </c>
      <c r="X118" s="35">
        <v>1553.66</v>
      </c>
      <c r="Y118" s="19">
        <f t="shared" si="24"/>
        <v>0.61219483151934551</v>
      </c>
      <c r="Z118" s="34">
        <v>17.670000000000002</v>
      </c>
      <c r="AA118" s="35">
        <v>1059.68</v>
      </c>
      <c r="AB118" s="23">
        <f t="shared" si="25"/>
        <v>0.52354106799453048</v>
      </c>
    </row>
    <row r="119" spans="2:28" s="16" customFormat="1" x14ac:dyDescent="0.25">
      <c r="B119" s="65" t="s">
        <v>447</v>
      </c>
      <c r="C119" s="35" t="s">
        <v>210</v>
      </c>
      <c r="D119" s="75" t="s">
        <v>270</v>
      </c>
      <c r="E119" s="106">
        <v>4</v>
      </c>
      <c r="F119" s="112">
        <v>1</v>
      </c>
      <c r="G119" s="116" t="s">
        <v>325</v>
      </c>
      <c r="H119" s="28" t="s">
        <v>22</v>
      </c>
      <c r="I119" s="31">
        <v>0</v>
      </c>
      <c r="J119" s="23">
        <f t="shared" si="19"/>
        <v>0</v>
      </c>
      <c r="K119" s="98">
        <v>18.739999999999998</v>
      </c>
      <c r="L119" s="24">
        <v>1228.52</v>
      </c>
      <c r="M119" s="31">
        <f t="shared" si="20"/>
        <v>0.60958978029570954</v>
      </c>
      <c r="N119" s="28" t="s">
        <v>22</v>
      </c>
      <c r="O119" s="31">
        <v>0</v>
      </c>
      <c r="P119" s="25">
        <f t="shared" si="21"/>
        <v>0</v>
      </c>
      <c r="Q119" s="28">
        <v>18.63</v>
      </c>
      <c r="R119" s="31">
        <v>1230.4000000000001</v>
      </c>
      <c r="S119" s="25">
        <f t="shared" si="22"/>
        <v>0.56115484060812715</v>
      </c>
      <c r="T119" s="34" t="s">
        <v>22</v>
      </c>
      <c r="U119" s="35">
        <v>0</v>
      </c>
      <c r="V119" s="23">
        <f t="shared" si="23"/>
        <v>0</v>
      </c>
      <c r="W119" s="34">
        <v>18.600000000000001</v>
      </c>
      <c r="X119" s="35">
        <v>2448.71</v>
      </c>
      <c r="Y119" s="19">
        <f t="shared" si="24"/>
        <v>0.96487494425404297</v>
      </c>
      <c r="Z119" s="34">
        <v>18.72</v>
      </c>
      <c r="AA119" s="35">
        <v>1281.75</v>
      </c>
      <c r="AB119" s="23">
        <f t="shared" si="25"/>
        <v>0.63325604324134588</v>
      </c>
    </row>
    <row r="120" spans="2:28" s="16" customFormat="1" x14ac:dyDescent="0.25">
      <c r="B120" s="65" t="s">
        <v>448</v>
      </c>
      <c r="C120" s="35" t="s">
        <v>210</v>
      </c>
      <c r="D120" s="78" t="s">
        <v>326</v>
      </c>
      <c r="E120" s="110">
        <v>4</v>
      </c>
      <c r="F120" s="112">
        <v>1</v>
      </c>
      <c r="G120" s="116" t="s">
        <v>299</v>
      </c>
      <c r="H120" s="27" t="s">
        <v>22</v>
      </c>
      <c r="I120" s="20">
        <v>0</v>
      </c>
      <c r="J120" s="23">
        <f t="shared" si="19"/>
        <v>0</v>
      </c>
      <c r="K120" s="102">
        <v>20.62</v>
      </c>
      <c r="L120" s="22">
        <v>665.15</v>
      </c>
      <c r="M120" s="20">
        <f t="shared" si="20"/>
        <v>0.33004643177456711</v>
      </c>
      <c r="N120" s="26">
        <v>20.66</v>
      </c>
      <c r="O120" s="20">
        <v>1852.12</v>
      </c>
      <c r="P120" s="23">
        <f t="shared" si="21"/>
        <v>1.0979859961315694</v>
      </c>
      <c r="Q120" s="27">
        <v>20.52</v>
      </c>
      <c r="R120" s="19">
        <v>2139.71</v>
      </c>
      <c r="S120" s="23">
        <f t="shared" si="22"/>
        <v>0.97586851755332871</v>
      </c>
      <c r="T120" s="34" t="s">
        <v>22</v>
      </c>
      <c r="U120" s="35">
        <v>0</v>
      </c>
      <c r="V120" s="23">
        <f t="shared" si="23"/>
        <v>0</v>
      </c>
      <c r="W120" s="34">
        <v>20.48</v>
      </c>
      <c r="X120" s="35">
        <v>1362.69</v>
      </c>
      <c r="Y120" s="19">
        <f t="shared" si="24"/>
        <v>0.53694616258582761</v>
      </c>
      <c r="Z120" s="34">
        <v>20.6</v>
      </c>
      <c r="AA120" s="35">
        <v>836.91</v>
      </c>
      <c r="AB120" s="23">
        <f t="shared" si="25"/>
        <v>0.41348025367592334</v>
      </c>
    </row>
    <row r="121" spans="2:28" s="16" customFormat="1" x14ac:dyDescent="0.25">
      <c r="B121" s="65" t="s">
        <v>449</v>
      </c>
      <c r="C121" s="35" t="s">
        <v>210</v>
      </c>
      <c r="D121" s="78" t="s">
        <v>326</v>
      </c>
      <c r="E121" s="110">
        <v>4</v>
      </c>
      <c r="F121" s="112">
        <v>1</v>
      </c>
      <c r="G121" s="116" t="s">
        <v>299</v>
      </c>
      <c r="H121" s="27" t="s">
        <v>22</v>
      </c>
      <c r="I121" s="20">
        <v>0</v>
      </c>
      <c r="J121" s="23">
        <f t="shared" si="19"/>
        <v>0</v>
      </c>
      <c r="K121" s="102">
        <v>22.91</v>
      </c>
      <c r="L121" s="22">
        <v>446.36</v>
      </c>
      <c r="M121" s="20">
        <f t="shared" si="20"/>
        <v>0.22148316212417615</v>
      </c>
      <c r="N121" s="26">
        <v>22.95</v>
      </c>
      <c r="O121" s="20">
        <v>1799</v>
      </c>
      <c r="P121" s="23">
        <f t="shared" si="21"/>
        <v>1.0664950473191226</v>
      </c>
      <c r="Q121" s="27">
        <v>22.84</v>
      </c>
      <c r="R121" s="19">
        <v>1951.86</v>
      </c>
      <c r="S121" s="23">
        <f t="shared" si="22"/>
        <v>0.89019480428265507</v>
      </c>
      <c r="T121" s="34" t="s">
        <v>22</v>
      </c>
      <c r="U121" s="35">
        <v>0</v>
      </c>
      <c r="V121" s="23">
        <f t="shared" si="23"/>
        <v>0</v>
      </c>
      <c r="W121" s="34">
        <v>22.69</v>
      </c>
      <c r="X121" s="35">
        <v>1024.23</v>
      </c>
      <c r="Y121" s="19">
        <f t="shared" si="24"/>
        <v>0.40358142211748982</v>
      </c>
      <c r="Z121" s="34">
        <v>22.92</v>
      </c>
      <c r="AA121" s="35">
        <v>522.44000000000005</v>
      </c>
      <c r="AB121" s="23">
        <f t="shared" si="25"/>
        <v>0.25811452095261067</v>
      </c>
    </row>
    <row r="122" spans="2:28" s="16" customFormat="1" x14ac:dyDescent="0.25">
      <c r="B122" s="65" t="s">
        <v>450</v>
      </c>
      <c r="C122" s="35" t="s">
        <v>210</v>
      </c>
      <c r="D122" s="92" t="s">
        <v>391</v>
      </c>
      <c r="E122" s="110">
        <v>4</v>
      </c>
      <c r="F122" s="112">
        <v>1</v>
      </c>
      <c r="G122" s="116" t="s">
        <v>342</v>
      </c>
      <c r="H122" s="27" t="s">
        <v>22</v>
      </c>
      <c r="I122" s="19">
        <v>0</v>
      </c>
      <c r="J122" s="23">
        <f t="shared" si="19"/>
        <v>0</v>
      </c>
      <c r="K122" s="97">
        <v>23.74</v>
      </c>
      <c r="L122" s="13">
        <v>280.45</v>
      </c>
      <c r="M122" s="19">
        <f t="shared" si="20"/>
        <v>0.13915886911400036</v>
      </c>
      <c r="N122" s="27" t="s">
        <v>22</v>
      </c>
      <c r="O122" s="19">
        <v>0</v>
      </c>
      <c r="P122" s="23">
        <f t="shared" si="21"/>
        <v>0</v>
      </c>
      <c r="Q122" s="27" t="s">
        <v>22</v>
      </c>
      <c r="R122" s="19">
        <v>0</v>
      </c>
      <c r="S122" s="23">
        <f t="shared" si="22"/>
        <v>0</v>
      </c>
      <c r="T122" s="34" t="s">
        <v>22</v>
      </c>
      <c r="U122" s="35">
        <v>0</v>
      </c>
      <c r="V122" s="23">
        <f t="shared" si="23"/>
        <v>0</v>
      </c>
      <c r="W122" s="34">
        <v>23.53</v>
      </c>
      <c r="X122" s="35">
        <v>353.97</v>
      </c>
      <c r="Y122" s="19">
        <f t="shared" si="24"/>
        <v>0.13947620747969486</v>
      </c>
      <c r="Z122" s="34">
        <v>23.65</v>
      </c>
      <c r="AA122" s="35">
        <v>221.73</v>
      </c>
      <c r="AB122" s="23">
        <f t="shared" si="25"/>
        <v>0.10954699626908805</v>
      </c>
    </row>
    <row r="123" spans="2:28" x14ac:dyDescent="0.25">
      <c r="B123" s="65">
        <v>1331</v>
      </c>
      <c r="C123" s="35" t="s">
        <v>98</v>
      </c>
      <c r="D123" s="79" t="s">
        <v>99</v>
      </c>
      <c r="E123" s="106">
        <v>2</v>
      </c>
      <c r="F123" s="113">
        <v>0</v>
      </c>
      <c r="G123" s="116">
        <v>0</v>
      </c>
      <c r="H123" s="27">
        <v>22.16</v>
      </c>
      <c r="I123" s="19">
        <v>1741.58</v>
      </c>
      <c r="J123" s="23">
        <f t="shared" si="19"/>
        <v>1.3042678566774701</v>
      </c>
      <c r="K123" s="102">
        <v>23.85</v>
      </c>
      <c r="L123" s="22">
        <v>2136.0700000000002</v>
      </c>
      <c r="M123" s="20">
        <f t="shared" si="20"/>
        <v>1.0599147282879045</v>
      </c>
      <c r="N123" s="27">
        <v>24.1</v>
      </c>
      <c r="O123" s="19">
        <v>1563.14</v>
      </c>
      <c r="P123" s="23">
        <f t="shared" si="21"/>
        <v>0.92667096624036316</v>
      </c>
      <c r="Q123" s="27">
        <v>23.9</v>
      </c>
      <c r="R123" s="19">
        <v>2518.62</v>
      </c>
      <c r="S123" s="23">
        <f t="shared" si="22"/>
        <v>1.1486799452636876</v>
      </c>
      <c r="T123" s="34">
        <v>23.75</v>
      </c>
      <c r="U123" s="35">
        <v>2530.14</v>
      </c>
      <c r="V123" s="23">
        <f t="shared" si="23"/>
        <v>1.4203485387358976</v>
      </c>
      <c r="W123" s="34">
        <v>23.73</v>
      </c>
      <c r="X123" s="35">
        <v>2705.49</v>
      </c>
      <c r="Y123" s="19">
        <f t="shared" si="24"/>
        <v>1.0660549893331062</v>
      </c>
      <c r="Z123" s="34">
        <v>23.97</v>
      </c>
      <c r="AA123" s="35">
        <v>2866.49</v>
      </c>
      <c r="AB123" s="23">
        <f t="shared" si="25"/>
        <v>1.4162060584286214</v>
      </c>
    </row>
    <row r="124" spans="2:28" s="16" customFormat="1" x14ac:dyDescent="0.25">
      <c r="B124" s="65">
        <v>1332</v>
      </c>
      <c r="C124" s="35" t="s">
        <v>212</v>
      </c>
      <c r="D124" s="79" t="s">
        <v>213</v>
      </c>
      <c r="E124" s="106">
        <v>2</v>
      </c>
      <c r="F124" s="112">
        <v>0</v>
      </c>
      <c r="G124" s="116" t="s">
        <v>280</v>
      </c>
      <c r="H124" s="27">
        <v>21.12</v>
      </c>
      <c r="I124" s="19">
        <v>146.54</v>
      </c>
      <c r="J124" s="23">
        <f t="shared" si="19"/>
        <v>0.10974368775337133</v>
      </c>
      <c r="K124" s="102">
        <v>22.81</v>
      </c>
      <c r="L124" s="22">
        <v>166.89</v>
      </c>
      <c r="M124" s="20">
        <f t="shared" si="20"/>
        <v>8.2810567539438468E-2</v>
      </c>
      <c r="N124" s="27" t="s">
        <v>22</v>
      </c>
      <c r="O124" s="19">
        <v>0</v>
      </c>
      <c r="P124" s="23">
        <f t="shared" si="21"/>
        <v>0</v>
      </c>
      <c r="Q124" s="27" t="s">
        <v>22</v>
      </c>
      <c r="R124" s="19">
        <v>0</v>
      </c>
      <c r="S124" s="23">
        <f t="shared" si="22"/>
        <v>0</v>
      </c>
      <c r="T124" s="34" t="s">
        <v>22</v>
      </c>
      <c r="U124" s="35">
        <v>0</v>
      </c>
      <c r="V124" s="23">
        <f t="shared" si="23"/>
        <v>0</v>
      </c>
      <c r="W124" s="34">
        <v>22.58</v>
      </c>
      <c r="X124" s="35">
        <v>408.1</v>
      </c>
      <c r="Y124" s="19">
        <f t="shared" si="24"/>
        <v>0.16080526675272896</v>
      </c>
      <c r="Z124" s="34">
        <v>22.58</v>
      </c>
      <c r="AA124" s="35">
        <v>214.67</v>
      </c>
      <c r="AB124" s="23">
        <f t="shared" si="25"/>
        <v>0.10605896220216089</v>
      </c>
    </row>
    <row r="125" spans="2:28" s="16" customFormat="1" x14ac:dyDescent="0.25">
      <c r="B125" s="68">
        <v>1339</v>
      </c>
      <c r="C125" s="35" t="s">
        <v>327</v>
      </c>
      <c r="D125" s="92" t="s">
        <v>359</v>
      </c>
      <c r="E125" s="110">
        <v>1</v>
      </c>
      <c r="F125" s="112">
        <v>1</v>
      </c>
      <c r="G125" s="120">
        <v>0</v>
      </c>
      <c r="H125" s="27" t="s">
        <v>22</v>
      </c>
      <c r="I125" s="20">
        <v>0</v>
      </c>
      <c r="J125" s="23">
        <f t="shared" si="19"/>
        <v>0</v>
      </c>
      <c r="K125" s="102">
        <v>20.21</v>
      </c>
      <c r="L125" s="22">
        <v>361.59</v>
      </c>
      <c r="M125" s="20">
        <f t="shared" si="20"/>
        <v>0.1794204153429538</v>
      </c>
      <c r="N125" s="26">
        <v>20.350000000000001</v>
      </c>
      <c r="O125" s="20">
        <v>534.29999999999995</v>
      </c>
      <c r="P125" s="17">
        <f t="shared" si="21"/>
        <v>0.31674725057398956</v>
      </c>
      <c r="Q125" s="26">
        <v>20.21</v>
      </c>
      <c r="R125" s="20">
        <v>548.02</v>
      </c>
      <c r="S125" s="17">
        <f t="shared" si="22"/>
        <v>0.24993829303483892</v>
      </c>
      <c r="T125" s="34">
        <v>19.95</v>
      </c>
      <c r="U125" s="35">
        <v>641.16</v>
      </c>
      <c r="V125" s="23">
        <f t="shared" si="23"/>
        <v>0.359928964047803</v>
      </c>
      <c r="W125" s="34">
        <v>20.07</v>
      </c>
      <c r="X125" s="35">
        <v>577.76</v>
      </c>
      <c r="Y125" s="19">
        <f t="shared" si="24"/>
        <v>0.22765707159778653</v>
      </c>
      <c r="Z125" s="34">
        <v>20.190000000000001</v>
      </c>
      <c r="AA125" s="35">
        <v>341.31</v>
      </c>
      <c r="AB125" s="23">
        <f t="shared" si="25"/>
        <v>0.1686261908474381</v>
      </c>
    </row>
    <row r="126" spans="2:28" x14ac:dyDescent="0.25">
      <c r="B126" s="65">
        <v>1348</v>
      </c>
      <c r="C126" s="35" t="s">
        <v>214</v>
      </c>
      <c r="D126" s="74" t="s">
        <v>215</v>
      </c>
      <c r="E126" s="105">
        <v>2</v>
      </c>
      <c r="F126" s="112">
        <v>0</v>
      </c>
      <c r="G126" s="116" t="s">
        <v>280</v>
      </c>
      <c r="H126" s="27">
        <v>20.8</v>
      </c>
      <c r="I126" s="19">
        <v>370.2</v>
      </c>
      <c r="J126" s="23">
        <f t="shared" si="19"/>
        <v>0.27724248127677131</v>
      </c>
      <c r="K126" s="102">
        <v>22.41</v>
      </c>
      <c r="L126" s="22">
        <v>516.99</v>
      </c>
      <c r="M126" s="20">
        <f t="shared" si="20"/>
        <v>0.25652966212603689</v>
      </c>
      <c r="N126" s="27" t="s">
        <v>22</v>
      </c>
      <c r="O126" s="19">
        <v>0</v>
      </c>
      <c r="P126" s="23">
        <f t="shared" si="21"/>
        <v>0</v>
      </c>
      <c r="Q126" s="27" t="s">
        <v>22</v>
      </c>
      <c r="R126" s="19">
        <v>0</v>
      </c>
      <c r="S126" s="23">
        <f t="shared" si="22"/>
        <v>0</v>
      </c>
      <c r="T126" s="34" t="s">
        <v>22</v>
      </c>
      <c r="U126" s="35">
        <v>0</v>
      </c>
      <c r="V126" s="23">
        <f t="shared" si="23"/>
        <v>0</v>
      </c>
      <c r="W126" s="34">
        <v>22.27</v>
      </c>
      <c r="X126" s="35">
        <v>836.55</v>
      </c>
      <c r="Y126" s="19">
        <f t="shared" si="24"/>
        <v>0.32962912497425972</v>
      </c>
      <c r="Z126" s="34">
        <v>22.5</v>
      </c>
      <c r="AA126" s="35">
        <v>581.73</v>
      </c>
      <c r="AB126" s="23">
        <f t="shared" si="25"/>
        <v>0.28740709033336309</v>
      </c>
    </row>
    <row r="127" spans="2:28" s="16" customFormat="1" x14ac:dyDescent="0.25">
      <c r="B127" s="65">
        <v>1381</v>
      </c>
      <c r="C127" s="35" t="s">
        <v>216</v>
      </c>
      <c r="D127" s="78" t="s">
        <v>392</v>
      </c>
      <c r="E127" s="105">
        <v>4</v>
      </c>
      <c r="F127" s="112">
        <v>1</v>
      </c>
      <c r="G127" s="116" t="s">
        <v>281</v>
      </c>
      <c r="H127" s="27">
        <v>17.399999999999999</v>
      </c>
      <c r="I127" s="19">
        <v>569.41999999999996</v>
      </c>
      <c r="J127" s="23">
        <f t="shared" si="19"/>
        <v>0.42643817852139143</v>
      </c>
      <c r="K127" s="102">
        <v>18.739999999999998</v>
      </c>
      <c r="L127" s="22">
        <v>897.92</v>
      </c>
      <c r="M127" s="20">
        <f t="shared" si="20"/>
        <v>0.44554655644444008</v>
      </c>
      <c r="N127" s="27" t="s">
        <v>22</v>
      </c>
      <c r="O127" s="19">
        <v>0</v>
      </c>
      <c r="P127" s="23">
        <f t="shared" si="21"/>
        <v>0</v>
      </c>
      <c r="Q127" s="27">
        <v>18.95</v>
      </c>
      <c r="R127" s="19">
        <v>1093.21</v>
      </c>
      <c r="S127" s="23">
        <f t="shared" si="22"/>
        <v>0.49858589345026871</v>
      </c>
      <c r="T127" s="34">
        <v>18.489999999999998</v>
      </c>
      <c r="U127" s="35">
        <v>711.5</v>
      </c>
      <c r="V127" s="23">
        <f t="shared" si="23"/>
        <v>0.39941583679582604</v>
      </c>
      <c r="W127" s="34">
        <v>18.5</v>
      </c>
      <c r="X127" s="35">
        <v>1267.5899999999999</v>
      </c>
      <c r="Y127" s="19">
        <f t="shared" si="24"/>
        <v>0.49947353120091081</v>
      </c>
      <c r="Z127" s="34">
        <v>18.72</v>
      </c>
      <c r="AA127" s="35">
        <v>858.72</v>
      </c>
      <c r="AB127" s="23">
        <f t="shared" si="25"/>
        <v>0.42425561104131743</v>
      </c>
    </row>
    <row r="128" spans="2:28" s="16" customFormat="1" x14ac:dyDescent="0.25">
      <c r="B128" s="65" t="s">
        <v>218</v>
      </c>
      <c r="C128" s="35" t="s">
        <v>217</v>
      </c>
      <c r="D128" s="74" t="s">
        <v>221</v>
      </c>
      <c r="E128" s="105">
        <v>4</v>
      </c>
      <c r="F128" s="112">
        <v>0</v>
      </c>
      <c r="G128" s="116" t="s">
        <v>396</v>
      </c>
      <c r="H128" s="27">
        <v>18.96</v>
      </c>
      <c r="I128" s="19">
        <v>351.06</v>
      </c>
      <c r="J128" s="23">
        <f t="shared" si="19"/>
        <v>0.26290855072129482</v>
      </c>
      <c r="K128" s="102">
        <v>20</v>
      </c>
      <c r="L128" s="22">
        <v>188.6</v>
      </c>
      <c r="M128" s="20">
        <f t="shared" si="20"/>
        <v>9.3583036958104715E-2</v>
      </c>
      <c r="N128" s="27" t="s">
        <v>22</v>
      </c>
      <c r="O128" s="19">
        <v>0</v>
      </c>
      <c r="P128" s="23">
        <f t="shared" si="21"/>
        <v>0</v>
      </c>
      <c r="Q128" s="27" t="s">
        <v>22</v>
      </c>
      <c r="R128" s="19">
        <v>0</v>
      </c>
      <c r="S128" s="23">
        <f t="shared" si="22"/>
        <v>0</v>
      </c>
      <c r="T128" s="34" t="s">
        <v>22</v>
      </c>
      <c r="U128" s="35">
        <v>0</v>
      </c>
      <c r="V128" s="23">
        <f t="shared" si="23"/>
        <v>0</v>
      </c>
      <c r="W128" s="34">
        <v>19.760000000000002</v>
      </c>
      <c r="X128" s="35">
        <v>220.03</v>
      </c>
      <c r="Y128" s="19">
        <f t="shared" si="24"/>
        <v>8.669929635776269E-2</v>
      </c>
      <c r="Z128" s="34">
        <v>19.88</v>
      </c>
      <c r="AA128" s="35">
        <v>201.85</v>
      </c>
      <c r="AB128" s="23">
        <f t="shared" si="25"/>
        <v>9.9725166630205322E-2</v>
      </c>
    </row>
    <row r="129" spans="2:28" s="16" customFormat="1" x14ac:dyDescent="0.25">
      <c r="B129" s="65" t="s">
        <v>219</v>
      </c>
      <c r="C129" s="35" t="s">
        <v>217</v>
      </c>
      <c r="D129" s="81" t="s">
        <v>222</v>
      </c>
      <c r="E129" s="105">
        <v>2</v>
      </c>
      <c r="F129" s="112">
        <v>0</v>
      </c>
      <c r="G129" s="116" t="s">
        <v>396</v>
      </c>
      <c r="H129" s="27">
        <v>21.74</v>
      </c>
      <c r="I129" s="19">
        <v>419.2</v>
      </c>
      <c r="J129" s="23">
        <f t="shared" si="19"/>
        <v>0.31393854173750013</v>
      </c>
      <c r="K129" s="102">
        <v>20.72</v>
      </c>
      <c r="L129" s="22">
        <v>489.48</v>
      </c>
      <c r="M129" s="20">
        <f t="shared" si="20"/>
        <v>0.24287924141173436</v>
      </c>
      <c r="N129" s="27" t="s">
        <v>22</v>
      </c>
      <c r="O129" s="19">
        <v>0</v>
      </c>
      <c r="P129" s="23">
        <f t="shared" si="21"/>
        <v>0</v>
      </c>
      <c r="Q129" s="27" t="s">
        <v>22</v>
      </c>
      <c r="R129" s="19">
        <v>0</v>
      </c>
      <c r="S129" s="23">
        <f t="shared" si="22"/>
        <v>0</v>
      </c>
      <c r="T129" s="34" t="s">
        <v>22</v>
      </c>
      <c r="U129" s="35">
        <v>0</v>
      </c>
      <c r="V129" s="23">
        <f t="shared" si="23"/>
        <v>0</v>
      </c>
      <c r="W129" s="34">
        <v>20.38</v>
      </c>
      <c r="X129" s="35">
        <v>617.07000000000005</v>
      </c>
      <c r="Y129" s="19">
        <f t="shared" si="24"/>
        <v>0.24314654730484309</v>
      </c>
      <c r="Z129" s="34">
        <v>20.49</v>
      </c>
      <c r="AA129" s="35">
        <v>392.23</v>
      </c>
      <c r="AB129" s="23">
        <f t="shared" si="25"/>
        <v>0.19378351304119612</v>
      </c>
    </row>
    <row r="130" spans="2:28" s="48" customFormat="1" x14ac:dyDescent="0.25">
      <c r="B130" s="66" t="s">
        <v>220</v>
      </c>
      <c r="C130" s="35" t="s">
        <v>217</v>
      </c>
      <c r="D130" s="77" t="s">
        <v>395</v>
      </c>
      <c r="E130" s="105">
        <v>4</v>
      </c>
      <c r="F130" s="112">
        <v>0</v>
      </c>
      <c r="G130" s="116" t="s">
        <v>394</v>
      </c>
      <c r="H130" s="27" t="s">
        <v>22</v>
      </c>
      <c r="I130" s="101">
        <v>0</v>
      </c>
      <c r="J130" s="23">
        <f t="shared" si="19"/>
        <v>0</v>
      </c>
      <c r="K130" s="100">
        <v>23.23</v>
      </c>
      <c r="L130" s="47">
        <v>416.27</v>
      </c>
      <c r="M130" s="101">
        <f t="shared" si="20"/>
        <v>0.20655254928181468</v>
      </c>
      <c r="N130" s="27" t="s">
        <v>22</v>
      </c>
      <c r="O130" s="101">
        <v>0</v>
      </c>
      <c r="P130" s="50">
        <f t="shared" si="21"/>
        <v>0</v>
      </c>
      <c r="Q130" s="27" t="s">
        <v>22</v>
      </c>
      <c r="R130" s="47">
        <v>0</v>
      </c>
      <c r="S130" s="50">
        <f t="shared" si="22"/>
        <v>0</v>
      </c>
      <c r="T130" s="42" t="s">
        <v>22</v>
      </c>
      <c r="U130" s="47">
        <v>0</v>
      </c>
      <c r="V130" s="50">
        <f t="shared" si="23"/>
        <v>0</v>
      </c>
      <c r="W130" s="51">
        <v>23.11</v>
      </c>
      <c r="X130" s="52">
        <v>762.35</v>
      </c>
      <c r="Y130" s="101">
        <f t="shared" si="24"/>
        <v>0.30039180374649088</v>
      </c>
      <c r="Z130" s="51">
        <v>23.13</v>
      </c>
      <c r="AA130" s="63">
        <v>478.42</v>
      </c>
      <c r="AB130" s="50">
        <f t="shared" si="25"/>
        <v>0.23636618389508463</v>
      </c>
    </row>
    <row r="131" spans="2:28" s="16" customFormat="1" x14ac:dyDescent="0.25">
      <c r="B131" s="65" t="s">
        <v>393</v>
      </c>
      <c r="C131" s="35" t="s">
        <v>217</v>
      </c>
      <c r="D131" s="74" t="s">
        <v>223</v>
      </c>
      <c r="E131" s="105">
        <v>4</v>
      </c>
      <c r="F131" s="112">
        <v>0</v>
      </c>
      <c r="G131" s="116" t="s">
        <v>394</v>
      </c>
      <c r="H131" s="27">
        <v>22.47</v>
      </c>
      <c r="I131" s="19">
        <v>285.14</v>
      </c>
      <c r="J131" s="23">
        <f t="shared" si="19"/>
        <v>0.21354111591371847</v>
      </c>
      <c r="K131" s="102">
        <v>23.85</v>
      </c>
      <c r="L131" s="22">
        <v>132.5</v>
      </c>
      <c r="M131" s="20">
        <f t="shared" si="20"/>
        <v>6.5746301150312172E-2</v>
      </c>
      <c r="N131" s="27" t="s">
        <v>22</v>
      </c>
      <c r="O131" s="19">
        <v>0</v>
      </c>
      <c r="P131" s="23">
        <f t="shared" si="21"/>
        <v>0</v>
      </c>
      <c r="Q131" s="27" t="s">
        <v>22</v>
      </c>
      <c r="R131" s="19">
        <v>0</v>
      </c>
      <c r="S131" s="23">
        <f t="shared" si="22"/>
        <v>0</v>
      </c>
      <c r="T131" s="34" t="s">
        <v>22</v>
      </c>
      <c r="U131" s="35">
        <v>0</v>
      </c>
      <c r="V131" s="23">
        <f t="shared" si="23"/>
        <v>0</v>
      </c>
      <c r="W131" s="34">
        <v>23.73</v>
      </c>
      <c r="X131" s="35">
        <v>606.6</v>
      </c>
      <c r="Y131" s="19">
        <f t="shared" si="24"/>
        <v>0.23902101154669292</v>
      </c>
      <c r="Z131" s="34">
        <v>23.86</v>
      </c>
      <c r="AA131" s="35">
        <v>389.47</v>
      </c>
      <c r="AB131" s="23">
        <f t="shared" si="25"/>
        <v>0.19241991898670333</v>
      </c>
    </row>
    <row r="132" spans="2:28" s="16" customFormat="1" x14ac:dyDescent="0.25">
      <c r="B132" s="65" t="s">
        <v>451</v>
      </c>
      <c r="C132" s="35" t="s">
        <v>360</v>
      </c>
      <c r="D132" s="78" t="s">
        <v>361</v>
      </c>
      <c r="E132" s="105">
        <v>4</v>
      </c>
      <c r="F132" s="112">
        <v>1</v>
      </c>
      <c r="G132" s="116" t="s">
        <v>281</v>
      </c>
      <c r="H132" s="27">
        <v>14.89</v>
      </c>
      <c r="I132" s="19">
        <v>350.91</v>
      </c>
      <c r="J132" s="23">
        <f t="shared" si="19"/>
        <v>0.26279621584233342</v>
      </c>
      <c r="K132" s="97">
        <v>16.07</v>
      </c>
      <c r="L132" s="13">
        <v>298.02</v>
      </c>
      <c r="M132" s="19">
        <f t="shared" ref="M132:M163" si="26">L132/$L$170*100</f>
        <v>0.14787707674578138</v>
      </c>
      <c r="N132" s="27" t="s">
        <v>22</v>
      </c>
      <c r="O132" s="19">
        <v>0</v>
      </c>
      <c r="P132" s="23">
        <f t="shared" ref="P132:P163" si="27">O132/$O$170*100</f>
        <v>0</v>
      </c>
      <c r="Q132" s="27" t="s">
        <v>374</v>
      </c>
      <c r="R132" s="19">
        <v>117.4</v>
      </c>
      <c r="S132" s="23">
        <f t="shared" ref="S132:S157" si="28">R132/$R$170*100</f>
        <v>5.3543220324605102E-2</v>
      </c>
      <c r="T132" s="42">
        <v>15.99</v>
      </c>
      <c r="U132" s="13">
        <v>228.39</v>
      </c>
      <c r="V132" s="23">
        <f t="shared" ref="V132:V159" si="29">U132/$U$170*100</f>
        <v>0.12821164155417947</v>
      </c>
      <c r="W132" s="34">
        <v>16</v>
      </c>
      <c r="X132" s="29">
        <v>241.65</v>
      </c>
      <c r="Y132" s="19">
        <f t="shared" ref="Y132:Y159" si="30">X132/$X$170*100</f>
        <v>9.5218310979654386E-2</v>
      </c>
      <c r="Z132" s="34">
        <v>16.21</v>
      </c>
      <c r="AA132" s="35">
        <v>128.96</v>
      </c>
      <c r="AB132" s="23">
        <f t="shared" ref="AB132:AB159" si="31">AA132/$AA$170*100</f>
        <v>6.3713438140358084E-2</v>
      </c>
    </row>
    <row r="133" spans="2:28" s="16" customFormat="1" x14ac:dyDescent="0.25">
      <c r="B133" s="65" t="s">
        <v>452</v>
      </c>
      <c r="C133" s="35" t="s">
        <v>360</v>
      </c>
      <c r="D133" s="78" t="s">
        <v>362</v>
      </c>
      <c r="E133" s="105">
        <v>4</v>
      </c>
      <c r="F133" s="112">
        <v>1</v>
      </c>
      <c r="G133" s="116" t="s">
        <v>281</v>
      </c>
      <c r="H133" s="27">
        <v>16.28</v>
      </c>
      <c r="I133" s="19">
        <v>255.97</v>
      </c>
      <c r="J133" s="23">
        <f t="shared" ref="J133:J169" si="32">I133/$I$170*100</f>
        <v>0.1916957264516887</v>
      </c>
      <c r="K133" s="97" t="s">
        <v>365</v>
      </c>
      <c r="L133" s="13">
        <v>226.5</v>
      </c>
      <c r="M133" s="19">
        <f t="shared" si="26"/>
        <v>0.11238896007959025</v>
      </c>
      <c r="N133" s="27" t="s">
        <v>22</v>
      </c>
      <c r="O133" s="19">
        <v>0</v>
      </c>
      <c r="P133" s="23">
        <f t="shared" si="27"/>
        <v>0</v>
      </c>
      <c r="Q133" s="27" t="s">
        <v>375</v>
      </c>
      <c r="R133" s="19">
        <v>127.9</v>
      </c>
      <c r="S133" s="23">
        <f t="shared" si="28"/>
        <v>5.8332009195204378E-2</v>
      </c>
      <c r="T133" s="42" t="s">
        <v>366</v>
      </c>
      <c r="U133" s="13">
        <v>215.9</v>
      </c>
      <c r="V133" s="23">
        <f t="shared" si="29"/>
        <v>0.12120011126383534</v>
      </c>
      <c r="W133" s="34">
        <v>17.55</v>
      </c>
      <c r="X133" s="29">
        <v>606.37</v>
      </c>
      <c r="Y133" s="19">
        <f t="shared" si="30"/>
        <v>0.23893038373156644</v>
      </c>
      <c r="Z133" s="34" t="s">
        <v>367</v>
      </c>
      <c r="AA133" s="35">
        <v>287.5</v>
      </c>
      <c r="AB133" s="23">
        <f t="shared" si="31"/>
        <v>0.14204104734299741</v>
      </c>
    </row>
    <row r="134" spans="2:28" s="16" customFormat="1" x14ac:dyDescent="0.25">
      <c r="B134" s="65" t="s">
        <v>453</v>
      </c>
      <c r="C134" s="35" t="s">
        <v>360</v>
      </c>
      <c r="D134" s="78" t="s">
        <v>363</v>
      </c>
      <c r="E134" s="105">
        <v>4</v>
      </c>
      <c r="F134" s="112">
        <v>1</v>
      </c>
      <c r="G134" s="116" t="s">
        <v>364</v>
      </c>
      <c r="H134" s="27">
        <v>18.96</v>
      </c>
      <c r="I134" s="19">
        <v>193.17</v>
      </c>
      <c r="J134" s="23">
        <f t="shared" si="32"/>
        <v>0.14466485712650975</v>
      </c>
      <c r="K134" s="97" t="s">
        <v>368</v>
      </c>
      <c r="L134" s="13">
        <v>135.19999999999999</v>
      </c>
      <c r="M134" s="19">
        <f t="shared" si="26"/>
        <v>6.7086037098280787E-2</v>
      </c>
      <c r="N134" s="27" t="s">
        <v>22</v>
      </c>
      <c r="O134" s="19">
        <v>0</v>
      </c>
      <c r="P134" s="23">
        <f t="shared" si="27"/>
        <v>0</v>
      </c>
      <c r="Q134" s="27" t="s">
        <v>376</v>
      </c>
      <c r="R134" s="19">
        <v>241.5</v>
      </c>
      <c r="S134" s="23">
        <f t="shared" si="28"/>
        <v>0.11014214402378308</v>
      </c>
      <c r="T134" s="42" t="s">
        <v>22</v>
      </c>
      <c r="U134" s="13">
        <v>0</v>
      </c>
      <c r="V134" s="23">
        <f t="shared" si="29"/>
        <v>0</v>
      </c>
      <c r="W134" s="34" t="s">
        <v>369</v>
      </c>
      <c r="X134" s="29">
        <v>231.6</v>
      </c>
      <c r="Y134" s="19">
        <f t="shared" si="30"/>
        <v>9.1258269492604807E-2</v>
      </c>
      <c r="Z134" s="34">
        <v>20.39</v>
      </c>
      <c r="AA134" s="35">
        <v>238.42</v>
      </c>
      <c r="AB134" s="23">
        <f t="shared" si="31"/>
        <v>0.11779278785223458</v>
      </c>
    </row>
    <row r="135" spans="2:28" s="16" customFormat="1" x14ac:dyDescent="0.25">
      <c r="B135" s="65">
        <v>1406</v>
      </c>
      <c r="C135" s="35" t="s">
        <v>377</v>
      </c>
      <c r="D135" s="78" t="s">
        <v>378</v>
      </c>
      <c r="E135" s="105">
        <v>1</v>
      </c>
      <c r="F135" s="112">
        <v>0</v>
      </c>
      <c r="G135" s="116" t="s">
        <v>276</v>
      </c>
      <c r="H135" s="27" t="s">
        <v>22</v>
      </c>
      <c r="I135" s="19">
        <v>0</v>
      </c>
      <c r="J135" s="23">
        <f t="shared" si="32"/>
        <v>0</v>
      </c>
      <c r="K135" s="97" t="s">
        <v>22</v>
      </c>
      <c r="L135" s="13">
        <v>0</v>
      </c>
      <c r="M135" s="19">
        <f t="shared" si="26"/>
        <v>0</v>
      </c>
      <c r="N135" s="27" t="s">
        <v>22</v>
      </c>
      <c r="O135" s="19">
        <v>0</v>
      </c>
      <c r="P135" s="23">
        <f t="shared" si="27"/>
        <v>0</v>
      </c>
      <c r="Q135" s="27">
        <v>26.91</v>
      </c>
      <c r="R135" s="13">
        <v>557.16999999999996</v>
      </c>
      <c r="S135" s="23">
        <f t="shared" si="28"/>
        <v>0.25411138047921827</v>
      </c>
      <c r="T135" s="42" t="s">
        <v>22</v>
      </c>
      <c r="U135" s="13">
        <v>0</v>
      </c>
      <c r="V135" s="23">
        <f t="shared" si="29"/>
        <v>0</v>
      </c>
      <c r="W135" s="34">
        <v>26.85</v>
      </c>
      <c r="X135" s="29">
        <v>684.06</v>
      </c>
      <c r="Y135" s="19">
        <f t="shared" si="30"/>
        <v>0.26954288354538536</v>
      </c>
      <c r="Z135" s="34">
        <v>26.88</v>
      </c>
      <c r="AA135" s="35">
        <v>473.74</v>
      </c>
      <c r="AB135" s="23">
        <f t="shared" si="31"/>
        <v>0.23405400267224905</v>
      </c>
    </row>
    <row r="136" spans="2:28" s="59" customFormat="1" x14ac:dyDescent="0.25">
      <c r="B136" s="66">
        <v>1420</v>
      </c>
      <c r="C136" s="63" t="s">
        <v>419</v>
      </c>
      <c r="D136" s="80" t="s">
        <v>403</v>
      </c>
      <c r="E136" s="105">
        <v>2</v>
      </c>
      <c r="F136" s="112">
        <v>1</v>
      </c>
      <c r="G136" s="119" t="s">
        <v>281</v>
      </c>
      <c r="H136" s="49" t="s">
        <v>22</v>
      </c>
      <c r="I136" s="101">
        <v>0</v>
      </c>
      <c r="J136" s="23">
        <f t="shared" si="32"/>
        <v>0</v>
      </c>
      <c r="K136" s="100" t="s">
        <v>420</v>
      </c>
      <c r="L136" s="47">
        <v>188.3</v>
      </c>
      <c r="M136" s="101">
        <f t="shared" si="26"/>
        <v>9.3434177408330432E-2</v>
      </c>
      <c r="N136" s="49" t="s">
        <v>22</v>
      </c>
      <c r="O136" s="101">
        <v>0</v>
      </c>
      <c r="P136" s="50">
        <f t="shared" si="27"/>
        <v>0</v>
      </c>
      <c r="Q136" s="49" t="s">
        <v>22</v>
      </c>
      <c r="R136" s="47">
        <v>0</v>
      </c>
      <c r="S136" s="50">
        <f t="shared" si="28"/>
        <v>0</v>
      </c>
      <c r="T136" s="57">
        <v>21</v>
      </c>
      <c r="U136" s="47">
        <v>756.9</v>
      </c>
      <c r="V136" s="50">
        <f t="shared" si="29"/>
        <v>0.42490210382397853</v>
      </c>
      <c r="W136" s="51">
        <v>21.11</v>
      </c>
      <c r="X136" s="52">
        <v>637.04</v>
      </c>
      <c r="Y136" s="101">
        <f t="shared" si="30"/>
        <v>0.25101540586169679</v>
      </c>
      <c r="Z136" s="51" t="s">
        <v>421</v>
      </c>
      <c r="AA136" s="63">
        <v>153.9</v>
      </c>
      <c r="AB136" s="50">
        <f t="shared" si="31"/>
        <v>7.603519021247758E-2</v>
      </c>
    </row>
    <row r="137" spans="2:28" s="59" customFormat="1" x14ac:dyDescent="0.25">
      <c r="B137" s="66">
        <v>1428</v>
      </c>
      <c r="C137" s="63" t="s">
        <v>422</v>
      </c>
      <c r="D137" s="82" t="s">
        <v>423</v>
      </c>
      <c r="E137" s="105">
        <v>2</v>
      </c>
      <c r="F137" s="112">
        <v>1</v>
      </c>
      <c r="G137" s="119" t="s">
        <v>325</v>
      </c>
      <c r="H137" s="49" t="s">
        <v>22</v>
      </c>
      <c r="I137" s="101">
        <v>0</v>
      </c>
      <c r="J137" s="23">
        <f t="shared" si="32"/>
        <v>0</v>
      </c>
      <c r="K137" s="100">
        <v>17.37</v>
      </c>
      <c r="L137" s="47">
        <v>228.86</v>
      </c>
      <c r="M137" s="101">
        <f t="shared" si="26"/>
        <v>0.11355998853781468</v>
      </c>
      <c r="N137" s="49" t="s">
        <v>22</v>
      </c>
      <c r="O137" s="101">
        <v>0</v>
      </c>
      <c r="P137" s="50">
        <f t="shared" si="27"/>
        <v>0</v>
      </c>
      <c r="Q137" s="49" t="s">
        <v>22</v>
      </c>
      <c r="R137" s="47">
        <v>0</v>
      </c>
      <c r="S137" s="50">
        <f t="shared" si="28"/>
        <v>0</v>
      </c>
      <c r="T137" s="57" t="s">
        <v>22</v>
      </c>
      <c r="U137" s="47">
        <v>0</v>
      </c>
      <c r="V137" s="50">
        <f t="shared" si="29"/>
        <v>0</v>
      </c>
      <c r="W137" s="51">
        <v>17.350000000000001</v>
      </c>
      <c r="X137" s="52">
        <v>428.46</v>
      </c>
      <c r="Y137" s="101">
        <f t="shared" si="30"/>
        <v>0.16882779856131891</v>
      </c>
      <c r="Z137" s="51">
        <v>17.46</v>
      </c>
      <c r="AA137" s="63">
        <v>194.8</v>
      </c>
      <c r="AB137" s="50">
        <f t="shared" si="31"/>
        <v>9.62420731214466E-2</v>
      </c>
    </row>
    <row r="138" spans="2:28" x14ac:dyDescent="0.25">
      <c r="B138" s="65">
        <v>1447</v>
      </c>
      <c r="C138" s="35" t="s">
        <v>100</v>
      </c>
      <c r="D138" s="74" t="s">
        <v>101</v>
      </c>
      <c r="E138" s="105">
        <v>2</v>
      </c>
      <c r="F138" s="112">
        <v>0</v>
      </c>
      <c r="G138" s="116" t="s">
        <v>272</v>
      </c>
      <c r="H138" s="27">
        <v>17.920000000000002</v>
      </c>
      <c r="I138" s="19">
        <v>226.3</v>
      </c>
      <c r="J138" s="23">
        <f t="shared" si="32"/>
        <v>0.16947588739312089</v>
      </c>
      <c r="K138" s="102">
        <v>19.37</v>
      </c>
      <c r="L138" s="22">
        <v>256.2</v>
      </c>
      <c r="M138" s="20">
        <f t="shared" si="26"/>
        <v>0.12712605550724509</v>
      </c>
      <c r="N138" s="27" t="s">
        <v>398</v>
      </c>
      <c r="O138" s="19">
        <v>183</v>
      </c>
      <c r="P138" s="23">
        <f t="shared" si="27"/>
        <v>0.10848726718143382</v>
      </c>
      <c r="Q138" s="27">
        <v>19.27</v>
      </c>
      <c r="R138" s="19">
        <v>443.64</v>
      </c>
      <c r="S138" s="23">
        <f t="shared" si="28"/>
        <v>0.2023331709097769</v>
      </c>
      <c r="T138" s="34" t="s">
        <v>22</v>
      </c>
      <c r="U138" s="35">
        <v>0</v>
      </c>
      <c r="V138" s="23">
        <f t="shared" si="29"/>
        <v>0</v>
      </c>
      <c r="W138" s="34">
        <v>19.23</v>
      </c>
      <c r="X138" s="35">
        <v>426.95</v>
      </c>
      <c r="Y138" s="19">
        <f t="shared" si="30"/>
        <v>0.16823280725331444</v>
      </c>
      <c r="Z138" s="34">
        <v>19.350000000000001</v>
      </c>
      <c r="AA138" s="35">
        <v>332.82</v>
      </c>
      <c r="AB138" s="23">
        <f t="shared" si="31"/>
        <v>0.16443165696242226</v>
      </c>
    </row>
    <row r="139" spans="2:28" s="16" customFormat="1" x14ac:dyDescent="0.25">
      <c r="B139" s="65">
        <v>1463</v>
      </c>
      <c r="C139" s="35" t="s">
        <v>18</v>
      </c>
      <c r="D139" s="93" t="s">
        <v>102</v>
      </c>
      <c r="E139" s="105">
        <v>2</v>
      </c>
      <c r="F139" s="112">
        <v>0</v>
      </c>
      <c r="G139" s="116" t="s">
        <v>276</v>
      </c>
      <c r="H139" s="27" t="s">
        <v>22</v>
      </c>
      <c r="I139" s="19">
        <v>0</v>
      </c>
      <c r="J139" s="23">
        <f t="shared" si="32"/>
        <v>0</v>
      </c>
      <c r="K139" s="102">
        <v>22.62</v>
      </c>
      <c r="L139" s="22">
        <v>209.43</v>
      </c>
      <c r="M139" s="20">
        <f t="shared" si="26"/>
        <v>0.10391885169743305</v>
      </c>
      <c r="N139" s="27">
        <v>22.64</v>
      </c>
      <c r="O139" s="19">
        <v>921.18</v>
      </c>
      <c r="P139" s="23">
        <f t="shared" si="27"/>
        <v>0.54610000427427974</v>
      </c>
      <c r="Q139" s="27">
        <v>22.52</v>
      </c>
      <c r="R139" s="19">
        <v>446.2</v>
      </c>
      <c r="S139" s="23">
        <f t="shared" si="28"/>
        <v>0.20350072324394208</v>
      </c>
      <c r="T139" s="34" t="s">
        <v>22</v>
      </c>
      <c r="U139" s="35">
        <v>0</v>
      </c>
      <c r="V139" s="23">
        <f t="shared" si="29"/>
        <v>0</v>
      </c>
      <c r="W139" s="34">
        <v>22.37</v>
      </c>
      <c r="X139" s="35">
        <v>536.87</v>
      </c>
      <c r="Y139" s="19">
        <f t="shared" si="30"/>
        <v>0.21154502220420873</v>
      </c>
      <c r="Z139" s="34">
        <v>22.81</v>
      </c>
      <c r="AA139" s="35">
        <v>467.07</v>
      </c>
      <c r="AB139" s="23">
        <f t="shared" si="31"/>
        <v>0.23075865037389151</v>
      </c>
    </row>
    <row r="140" spans="2:28" x14ac:dyDescent="0.25">
      <c r="B140" s="65" t="s">
        <v>224</v>
      </c>
      <c r="C140" s="35" t="s">
        <v>225</v>
      </c>
      <c r="D140" s="87" t="s">
        <v>383</v>
      </c>
      <c r="E140" s="105">
        <v>4</v>
      </c>
      <c r="F140" s="112">
        <v>1</v>
      </c>
      <c r="G140" s="116" t="s">
        <v>382</v>
      </c>
      <c r="H140" s="27">
        <v>14.72</v>
      </c>
      <c r="I140" s="19">
        <v>664.48</v>
      </c>
      <c r="J140" s="23">
        <f t="shared" si="32"/>
        <v>0.49762853581520539</v>
      </c>
      <c r="K140" s="102">
        <v>15.93</v>
      </c>
      <c r="L140" s="22">
        <v>889.91</v>
      </c>
      <c r="M140" s="20">
        <f t="shared" si="26"/>
        <v>0.4415720064654664</v>
      </c>
      <c r="N140" s="27" t="s">
        <v>22</v>
      </c>
      <c r="O140" s="19">
        <v>0</v>
      </c>
      <c r="P140" s="23">
        <f t="shared" si="27"/>
        <v>0</v>
      </c>
      <c r="Q140" s="27">
        <v>15.87</v>
      </c>
      <c r="R140" s="19">
        <v>362.12</v>
      </c>
      <c r="S140" s="23">
        <f t="shared" si="28"/>
        <v>0.16515392626870529</v>
      </c>
      <c r="T140" s="34" t="s">
        <v>22</v>
      </c>
      <c r="U140" s="35">
        <v>0</v>
      </c>
      <c r="V140" s="23">
        <f t="shared" si="29"/>
        <v>0</v>
      </c>
      <c r="W140" s="34">
        <v>15.8</v>
      </c>
      <c r="X140" s="35">
        <v>694.65</v>
      </c>
      <c r="Y140" s="19">
        <f t="shared" si="30"/>
        <v>0.27371570338099283</v>
      </c>
      <c r="Z140" s="34">
        <v>15.87</v>
      </c>
      <c r="AA140" s="35">
        <v>520.52</v>
      </c>
      <c r="AB140" s="23">
        <f t="shared" si="31"/>
        <v>0.25716593378426789</v>
      </c>
    </row>
    <row r="141" spans="2:28" s="16" customFormat="1" x14ac:dyDescent="0.25">
      <c r="B141" s="65" t="s">
        <v>226</v>
      </c>
      <c r="C141" s="35" t="s">
        <v>225</v>
      </c>
      <c r="D141" s="78" t="s">
        <v>230</v>
      </c>
      <c r="E141" s="105">
        <v>4</v>
      </c>
      <c r="F141" s="112">
        <v>1</v>
      </c>
      <c r="G141" s="116" t="s">
        <v>382</v>
      </c>
      <c r="H141" s="27">
        <v>17.71</v>
      </c>
      <c r="I141" s="19">
        <v>1689.3</v>
      </c>
      <c r="J141" s="23">
        <f t="shared" si="32"/>
        <v>1.2651154068634516</v>
      </c>
      <c r="K141" s="102">
        <v>19.05</v>
      </c>
      <c r="L141" s="22">
        <v>1881.35</v>
      </c>
      <c r="M141" s="20">
        <f t="shared" si="26"/>
        <v>0.93352304655954566</v>
      </c>
      <c r="N141" s="27" t="s">
        <v>22</v>
      </c>
      <c r="O141" s="19">
        <v>0</v>
      </c>
      <c r="P141" s="23">
        <f t="shared" si="27"/>
        <v>0</v>
      </c>
      <c r="Q141" s="27">
        <v>19.05</v>
      </c>
      <c r="R141" s="19">
        <v>1610.02</v>
      </c>
      <c r="S141" s="23">
        <f t="shared" si="28"/>
        <v>0.7342900816611645</v>
      </c>
      <c r="T141" s="34" t="s">
        <v>22</v>
      </c>
      <c r="U141" s="35">
        <v>0</v>
      </c>
      <c r="V141" s="23">
        <f t="shared" si="29"/>
        <v>0</v>
      </c>
      <c r="W141" s="34">
        <v>18.920000000000002</v>
      </c>
      <c r="X141" s="35">
        <v>3529.17</v>
      </c>
      <c r="Y141" s="19">
        <f t="shared" si="30"/>
        <v>1.3906128970000697</v>
      </c>
      <c r="Z141" s="34">
        <v>19.04</v>
      </c>
      <c r="AA141" s="35">
        <v>1870.22</v>
      </c>
      <c r="AB141" s="23">
        <f t="shared" si="31"/>
        <v>0.92399306978024565</v>
      </c>
    </row>
    <row r="142" spans="2:28" s="16" customFormat="1" x14ac:dyDescent="0.25">
      <c r="B142" s="65" t="s">
        <v>227</v>
      </c>
      <c r="C142" s="35" t="s">
        <v>225</v>
      </c>
      <c r="D142" s="74" t="s">
        <v>231</v>
      </c>
      <c r="E142" s="105">
        <v>4</v>
      </c>
      <c r="F142" s="112">
        <v>1</v>
      </c>
      <c r="G142" s="116" t="s">
        <v>384</v>
      </c>
      <c r="H142" s="27">
        <v>19.59</v>
      </c>
      <c r="I142" s="19">
        <v>479.3</v>
      </c>
      <c r="J142" s="23">
        <f t="shared" si="32"/>
        <v>0.3589473832413736</v>
      </c>
      <c r="K142" s="102">
        <v>20.83</v>
      </c>
      <c r="L142" s="22">
        <v>536.5</v>
      </c>
      <c r="M142" s="20">
        <f t="shared" si="26"/>
        <v>0.26621049484635834</v>
      </c>
      <c r="N142" s="27" t="s">
        <v>22</v>
      </c>
      <c r="O142" s="19">
        <v>0</v>
      </c>
      <c r="P142" s="23">
        <f t="shared" si="27"/>
        <v>0</v>
      </c>
      <c r="Q142" s="27">
        <v>21.26</v>
      </c>
      <c r="R142" s="19">
        <v>744.5</v>
      </c>
      <c r="S142" s="23">
        <f t="shared" si="28"/>
        <v>0.3395479346820145</v>
      </c>
      <c r="T142" s="34" t="s">
        <v>22</v>
      </c>
      <c r="U142" s="35">
        <v>0</v>
      </c>
      <c r="V142" s="23">
        <f t="shared" si="29"/>
        <v>0</v>
      </c>
      <c r="W142" s="34">
        <v>20.69</v>
      </c>
      <c r="X142" s="35">
        <v>700.1</v>
      </c>
      <c r="Y142" s="19">
        <f t="shared" si="30"/>
        <v>0.27586318856551223</v>
      </c>
      <c r="Z142" s="34">
        <v>20.91</v>
      </c>
      <c r="AA142" s="35">
        <v>529.1</v>
      </c>
      <c r="AB142" s="23">
        <f t="shared" si="31"/>
        <v>0.2614049326927998</v>
      </c>
    </row>
    <row r="143" spans="2:28" s="16" customFormat="1" x14ac:dyDescent="0.25">
      <c r="B143" s="65" t="s">
        <v>228</v>
      </c>
      <c r="C143" s="35" t="s">
        <v>225</v>
      </c>
      <c r="D143" s="74" t="s">
        <v>231</v>
      </c>
      <c r="E143" s="105">
        <v>4</v>
      </c>
      <c r="F143" s="112">
        <v>1</v>
      </c>
      <c r="G143" s="116" t="s">
        <v>384</v>
      </c>
      <c r="H143" s="27">
        <v>20.49</v>
      </c>
      <c r="I143" s="19">
        <v>491.4</v>
      </c>
      <c r="J143" s="23">
        <f t="shared" si="32"/>
        <v>0.36800906347759432</v>
      </c>
      <c r="K143" s="102">
        <v>21.88</v>
      </c>
      <c r="L143" s="22">
        <v>724.5</v>
      </c>
      <c r="M143" s="20">
        <f t="shared" si="26"/>
        <v>0.35949581270491449</v>
      </c>
      <c r="N143" s="27" t="s">
        <v>22</v>
      </c>
      <c r="O143" s="19">
        <v>0</v>
      </c>
      <c r="P143" s="23">
        <f t="shared" si="27"/>
        <v>0</v>
      </c>
      <c r="Q143" s="27">
        <v>21.79</v>
      </c>
      <c r="R143" s="19">
        <v>350.8</v>
      </c>
      <c r="S143" s="23">
        <f t="shared" si="28"/>
        <v>0.15999115579106876</v>
      </c>
      <c r="T143" s="34" t="s">
        <v>22</v>
      </c>
      <c r="U143" s="35">
        <v>0</v>
      </c>
      <c r="V143" s="23">
        <f t="shared" si="29"/>
        <v>0</v>
      </c>
      <c r="W143" s="34">
        <v>21.64</v>
      </c>
      <c r="X143" s="35">
        <v>741.7</v>
      </c>
      <c r="Y143" s="19">
        <f t="shared" si="30"/>
        <v>0.29225500208404576</v>
      </c>
      <c r="Z143" s="34">
        <v>21.76</v>
      </c>
      <c r="AA143" s="35">
        <v>527</v>
      </c>
      <c r="AB143" s="23">
        <f t="shared" si="31"/>
        <v>0.26036741547742481</v>
      </c>
    </row>
    <row r="144" spans="2:28" s="16" customFormat="1" x14ac:dyDescent="0.25">
      <c r="B144" s="65" t="s">
        <v>229</v>
      </c>
      <c r="C144" s="35" t="s">
        <v>225</v>
      </c>
      <c r="D144" s="78" t="s">
        <v>381</v>
      </c>
      <c r="E144" s="105">
        <v>4</v>
      </c>
      <c r="F144" s="112">
        <v>1</v>
      </c>
      <c r="G144" s="116" t="s">
        <v>382</v>
      </c>
      <c r="H144" s="27">
        <v>21.85</v>
      </c>
      <c r="I144" s="19">
        <v>157.28</v>
      </c>
      <c r="J144" s="23">
        <f t="shared" si="32"/>
        <v>0.11778686508700863</v>
      </c>
      <c r="K144" s="102">
        <v>23.33</v>
      </c>
      <c r="L144" s="22">
        <v>308</v>
      </c>
      <c r="M144" s="20">
        <f t="shared" si="26"/>
        <v>0.15282913776827281</v>
      </c>
      <c r="N144" s="27" t="s">
        <v>22</v>
      </c>
      <c r="O144" s="19">
        <v>0</v>
      </c>
      <c r="P144" s="23">
        <f t="shared" si="27"/>
        <v>0</v>
      </c>
      <c r="Q144" s="27" t="s">
        <v>22</v>
      </c>
      <c r="R144" s="19">
        <v>0</v>
      </c>
      <c r="S144" s="23">
        <f t="shared" si="28"/>
        <v>0</v>
      </c>
      <c r="T144" s="34" t="s">
        <v>22</v>
      </c>
      <c r="U144" s="35">
        <v>0</v>
      </c>
      <c r="V144" s="23">
        <f t="shared" si="29"/>
        <v>0</v>
      </c>
      <c r="W144" s="34">
        <v>23.22</v>
      </c>
      <c r="X144" s="35">
        <v>953.02</v>
      </c>
      <c r="Y144" s="19">
        <f t="shared" si="30"/>
        <v>0.37552226248636544</v>
      </c>
      <c r="Z144" s="34">
        <v>23.44</v>
      </c>
      <c r="AA144" s="35">
        <v>369.02</v>
      </c>
      <c r="AB144" s="23">
        <f t="shared" si="31"/>
        <v>0.1823164775322188</v>
      </c>
    </row>
    <row r="145" spans="2:28" x14ac:dyDescent="0.25">
      <c r="B145" s="65">
        <v>1536</v>
      </c>
      <c r="C145" s="35" t="s">
        <v>232</v>
      </c>
      <c r="D145" s="74" t="s">
        <v>233</v>
      </c>
      <c r="E145" s="105">
        <v>4</v>
      </c>
      <c r="F145" s="112">
        <v>0</v>
      </c>
      <c r="G145" s="116" t="s">
        <v>325</v>
      </c>
      <c r="H145" s="27">
        <v>21.33</v>
      </c>
      <c r="I145" s="19">
        <v>625.44000000000005</v>
      </c>
      <c r="J145" s="23">
        <f t="shared" si="32"/>
        <v>0.4683915113175145</v>
      </c>
      <c r="K145" s="102">
        <v>22.91</v>
      </c>
      <c r="L145" s="22">
        <v>859.41</v>
      </c>
      <c r="M145" s="20">
        <f t="shared" si="26"/>
        <v>0.42643795223841346</v>
      </c>
      <c r="N145" s="27" t="s">
        <v>22</v>
      </c>
      <c r="O145" s="19">
        <v>0</v>
      </c>
      <c r="P145" s="23">
        <f t="shared" si="27"/>
        <v>0</v>
      </c>
      <c r="Q145" s="27" t="s">
        <v>22</v>
      </c>
      <c r="R145" s="19">
        <v>0</v>
      </c>
      <c r="S145" s="23">
        <f t="shared" si="28"/>
        <v>0</v>
      </c>
      <c r="T145" s="34" t="s">
        <v>22</v>
      </c>
      <c r="U145" s="35">
        <v>0</v>
      </c>
      <c r="V145" s="23">
        <f t="shared" si="29"/>
        <v>0</v>
      </c>
      <c r="W145" s="34">
        <v>22.69</v>
      </c>
      <c r="X145" s="35">
        <v>791.03</v>
      </c>
      <c r="Y145" s="19">
        <f t="shared" si="30"/>
        <v>0.31169269825878754</v>
      </c>
      <c r="Z145" s="34">
        <v>22.81</v>
      </c>
      <c r="AA145" s="35">
        <v>632.41999999999996</v>
      </c>
      <c r="AB145" s="23">
        <f t="shared" si="31"/>
        <v>0.31245077968924667</v>
      </c>
    </row>
    <row r="146" spans="2:28" s="60" customFormat="1" x14ac:dyDescent="0.25">
      <c r="B146" s="66" t="s">
        <v>424</v>
      </c>
      <c r="C146" s="63" t="s">
        <v>426</v>
      </c>
      <c r="D146" s="80" t="s">
        <v>428</v>
      </c>
      <c r="E146" s="105">
        <v>2</v>
      </c>
      <c r="F146" s="112">
        <v>0</v>
      </c>
      <c r="G146" s="116" t="s">
        <v>299</v>
      </c>
      <c r="H146" s="27" t="s">
        <v>22</v>
      </c>
      <c r="I146" s="101">
        <v>0</v>
      </c>
      <c r="J146" s="23">
        <f t="shared" si="32"/>
        <v>0</v>
      </c>
      <c r="K146" s="97" t="s">
        <v>22</v>
      </c>
      <c r="L146" s="47">
        <v>0</v>
      </c>
      <c r="M146" s="101">
        <f t="shared" si="26"/>
        <v>0</v>
      </c>
      <c r="N146" s="49">
        <v>24.83</v>
      </c>
      <c r="O146" s="101">
        <v>359.19</v>
      </c>
      <c r="P146" s="50">
        <f t="shared" si="27"/>
        <v>0.21293738523988642</v>
      </c>
      <c r="Q146" s="49">
        <v>24.73</v>
      </c>
      <c r="R146" s="47">
        <v>755.55</v>
      </c>
      <c r="S146" s="50">
        <f t="shared" si="28"/>
        <v>0.34458756487440706</v>
      </c>
      <c r="T146" s="42" t="s">
        <v>22</v>
      </c>
      <c r="U146" s="47">
        <v>0</v>
      </c>
      <c r="V146" s="50">
        <f t="shared" si="29"/>
        <v>0</v>
      </c>
      <c r="W146" s="51">
        <v>24.57</v>
      </c>
      <c r="X146" s="52">
        <v>424.33</v>
      </c>
      <c r="Y146" s="101">
        <f t="shared" si="30"/>
        <v>0.16720043822882988</v>
      </c>
      <c r="Z146" s="51">
        <v>24.69</v>
      </c>
      <c r="AA146" s="63">
        <v>313.83</v>
      </c>
      <c r="AB146" s="50">
        <f t="shared" si="31"/>
        <v>0.15504953700053176</v>
      </c>
    </row>
    <row r="147" spans="2:28" s="60" customFormat="1" x14ac:dyDescent="0.25">
      <c r="B147" s="66" t="s">
        <v>425</v>
      </c>
      <c r="C147" s="63" t="s">
        <v>426</v>
      </c>
      <c r="D147" s="92" t="s">
        <v>427</v>
      </c>
      <c r="E147" s="105">
        <v>2</v>
      </c>
      <c r="F147" s="112">
        <v>0</v>
      </c>
      <c r="G147" s="116" t="s">
        <v>299</v>
      </c>
      <c r="H147" s="27" t="s">
        <v>22</v>
      </c>
      <c r="I147" s="101">
        <v>0</v>
      </c>
      <c r="J147" s="23">
        <f t="shared" si="32"/>
        <v>0</v>
      </c>
      <c r="K147" s="100">
        <v>26.86</v>
      </c>
      <c r="L147" s="47">
        <v>253.78</v>
      </c>
      <c r="M147" s="101">
        <f t="shared" si="26"/>
        <v>0.12592525513906583</v>
      </c>
      <c r="N147" s="49">
        <v>26.9</v>
      </c>
      <c r="O147" s="101">
        <v>498.36</v>
      </c>
      <c r="P147" s="50">
        <f t="shared" si="27"/>
        <v>0.29544106269147191</v>
      </c>
      <c r="Q147" s="49">
        <v>26.8</v>
      </c>
      <c r="R147" s="47">
        <v>743.65</v>
      </c>
      <c r="S147" s="50">
        <f t="shared" si="28"/>
        <v>0.3391602708210612</v>
      </c>
      <c r="T147" s="42" t="s">
        <v>22</v>
      </c>
      <c r="U147" s="47">
        <v>0</v>
      </c>
      <c r="V147" s="50">
        <f t="shared" si="29"/>
        <v>0</v>
      </c>
      <c r="W147" s="51">
        <v>26.64</v>
      </c>
      <c r="X147" s="52">
        <v>602.32000000000005</v>
      </c>
      <c r="Y147" s="101">
        <f t="shared" si="30"/>
        <v>0.23733454611738228</v>
      </c>
      <c r="Z147" s="51">
        <v>26.77</v>
      </c>
      <c r="AA147" s="63">
        <v>477.04</v>
      </c>
      <c r="AB147" s="50">
        <f t="shared" si="31"/>
        <v>0.23568438686783821</v>
      </c>
    </row>
    <row r="148" spans="2:28" x14ac:dyDescent="0.25">
      <c r="B148" s="65">
        <v>1616</v>
      </c>
      <c r="C148" s="35" t="s">
        <v>234</v>
      </c>
      <c r="D148" s="74" t="s">
        <v>235</v>
      </c>
      <c r="E148" s="105">
        <v>4</v>
      </c>
      <c r="F148" s="112">
        <v>1</v>
      </c>
      <c r="G148" s="116" t="s">
        <v>325</v>
      </c>
      <c r="H148" s="27">
        <v>19.07</v>
      </c>
      <c r="I148" s="19">
        <v>371.1</v>
      </c>
      <c r="J148" s="23">
        <f t="shared" si="32"/>
        <v>0.27791649055053985</v>
      </c>
      <c r="K148" s="102">
        <v>20.309999999999999</v>
      </c>
      <c r="L148" s="22">
        <v>974.06</v>
      </c>
      <c r="M148" s="20">
        <f t="shared" si="26"/>
        <v>0.48332711017715524</v>
      </c>
      <c r="N148" s="27" t="s">
        <v>22</v>
      </c>
      <c r="O148" s="19">
        <v>0</v>
      </c>
      <c r="P148" s="23">
        <f t="shared" si="27"/>
        <v>0</v>
      </c>
      <c r="Q148" s="27" t="s">
        <v>22</v>
      </c>
      <c r="R148" s="19">
        <v>0</v>
      </c>
      <c r="S148" s="23">
        <f t="shared" si="28"/>
        <v>0</v>
      </c>
      <c r="T148" s="34" t="s">
        <v>22</v>
      </c>
      <c r="U148" s="35">
        <v>0</v>
      </c>
      <c r="V148" s="23">
        <f t="shared" si="29"/>
        <v>0</v>
      </c>
      <c r="W148" s="34">
        <v>20.170000000000002</v>
      </c>
      <c r="X148" s="35">
        <v>1144.1500000000001</v>
      </c>
      <c r="Y148" s="19">
        <f t="shared" si="30"/>
        <v>0.45083397685649312</v>
      </c>
      <c r="Z148" s="34">
        <v>20.29</v>
      </c>
      <c r="AA148" s="35">
        <v>807.51</v>
      </c>
      <c r="AB148" s="23">
        <f t="shared" si="31"/>
        <v>0.39895501266067424</v>
      </c>
    </row>
    <row r="149" spans="2:28" s="61" customFormat="1" x14ac:dyDescent="0.25">
      <c r="B149" s="65">
        <v>1727</v>
      </c>
      <c r="C149" s="35" t="s">
        <v>429</v>
      </c>
      <c r="D149" s="75" t="s">
        <v>403</v>
      </c>
      <c r="E149" s="105" t="s">
        <v>170</v>
      </c>
      <c r="F149" s="112">
        <v>1</v>
      </c>
      <c r="G149" s="116" t="s">
        <v>170</v>
      </c>
      <c r="H149" s="27" t="s">
        <v>22</v>
      </c>
      <c r="I149" s="19">
        <v>0</v>
      </c>
      <c r="J149" s="23">
        <f t="shared" si="32"/>
        <v>0</v>
      </c>
      <c r="K149" s="97">
        <v>21.35</v>
      </c>
      <c r="L149" s="13">
        <v>398.99</v>
      </c>
      <c r="M149" s="19">
        <f t="shared" si="26"/>
        <v>0.1979782392148155</v>
      </c>
      <c r="N149" s="27" t="s">
        <v>22</v>
      </c>
      <c r="O149" s="19">
        <v>0</v>
      </c>
      <c r="P149" s="23">
        <f t="shared" si="27"/>
        <v>0</v>
      </c>
      <c r="Q149" s="27">
        <v>21.48</v>
      </c>
      <c r="R149" s="13">
        <v>475.65</v>
      </c>
      <c r="S149" s="23">
        <f t="shared" si="28"/>
        <v>0.21693213583814666</v>
      </c>
      <c r="T149" s="42">
        <v>21.21</v>
      </c>
      <c r="U149" s="13">
        <v>508.26</v>
      </c>
      <c r="V149" s="23">
        <f t="shared" si="29"/>
        <v>0.28532268898081031</v>
      </c>
      <c r="W149" s="34">
        <v>21.53</v>
      </c>
      <c r="X149" s="29">
        <v>517.92999999999995</v>
      </c>
      <c r="Y149" s="19">
        <f t="shared" si="30"/>
        <v>0.20408201864553027</v>
      </c>
      <c r="Z149" s="34">
        <v>21.44</v>
      </c>
      <c r="AA149" s="35">
        <v>339.22</v>
      </c>
      <c r="AB149" s="23">
        <f t="shared" si="31"/>
        <v>0.16759361419023161</v>
      </c>
    </row>
    <row r="150" spans="2:28" s="54" customFormat="1" x14ac:dyDescent="0.25">
      <c r="B150" s="65" t="s">
        <v>454</v>
      </c>
      <c r="C150" s="35" t="s">
        <v>402</v>
      </c>
      <c r="D150" s="75" t="s">
        <v>403</v>
      </c>
      <c r="E150" s="105">
        <v>4</v>
      </c>
      <c r="F150" s="112">
        <v>1</v>
      </c>
      <c r="G150" s="116" t="s">
        <v>170</v>
      </c>
      <c r="H150" s="27" t="s">
        <v>22</v>
      </c>
      <c r="I150" s="19">
        <v>0</v>
      </c>
      <c r="J150" s="23">
        <f t="shared" si="32"/>
        <v>0</v>
      </c>
      <c r="K150" s="97">
        <v>20.62</v>
      </c>
      <c r="L150" s="13">
        <v>716.27</v>
      </c>
      <c r="M150" s="19">
        <f t="shared" si="26"/>
        <v>0.35541209905610638</v>
      </c>
      <c r="N150" s="27" t="s">
        <v>22</v>
      </c>
      <c r="O150" s="19">
        <v>0</v>
      </c>
      <c r="P150" s="23">
        <f t="shared" si="27"/>
        <v>0</v>
      </c>
      <c r="Q150" s="27" t="s">
        <v>22</v>
      </c>
      <c r="R150" s="13">
        <v>0</v>
      </c>
      <c r="S150" s="23">
        <f t="shared" si="28"/>
        <v>0</v>
      </c>
      <c r="T150" s="42">
        <v>20.47</v>
      </c>
      <c r="U150" s="13">
        <v>2750.95</v>
      </c>
      <c r="V150" s="23">
        <f t="shared" si="29"/>
        <v>1.5443049841651126</v>
      </c>
      <c r="W150" s="34">
        <v>20.59</v>
      </c>
      <c r="X150" s="29">
        <v>1749.55</v>
      </c>
      <c r="Y150" s="19">
        <f t="shared" si="30"/>
        <v>0.68938214762861294</v>
      </c>
      <c r="Z150" s="34">
        <v>20.81</v>
      </c>
      <c r="AA150" s="35">
        <v>540</v>
      </c>
      <c r="AB150" s="23">
        <f t="shared" si="31"/>
        <v>0.26679014109641253</v>
      </c>
    </row>
    <row r="151" spans="2:28" s="54" customFormat="1" x14ac:dyDescent="0.25">
      <c r="B151" s="65" t="s">
        <v>455</v>
      </c>
      <c r="C151" s="35" t="s">
        <v>402</v>
      </c>
      <c r="D151" s="75" t="s">
        <v>403</v>
      </c>
      <c r="E151" s="105">
        <v>4</v>
      </c>
      <c r="F151" s="112">
        <v>1</v>
      </c>
      <c r="G151" s="116" t="s">
        <v>170</v>
      </c>
      <c r="H151" s="27" t="s">
        <v>22</v>
      </c>
      <c r="I151" s="19">
        <v>0</v>
      </c>
      <c r="J151" s="23">
        <f t="shared" si="32"/>
        <v>0</v>
      </c>
      <c r="K151" s="97" t="s">
        <v>22</v>
      </c>
      <c r="L151" s="13">
        <v>0</v>
      </c>
      <c r="M151" s="19">
        <f t="shared" si="26"/>
        <v>0</v>
      </c>
      <c r="N151" s="27">
        <v>23.79</v>
      </c>
      <c r="O151" s="19">
        <v>1450.23</v>
      </c>
      <c r="P151" s="23">
        <f t="shared" si="27"/>
        <v>0.85973491521601519</v>
      </c>
      <c r="Q151" s="27">
        <v>23.58</v>
      </c>
      <c r="R151" s="13">
        <v>1649.92</v>
      </c>
      <c r="S151" s="23">
        <f t="shared" si="28"/>
        <v>0.75248747936944171</v>
      </c>
      <c r="T151" s="42" t="s">
        <v>22</v>
      </c>
      <c r="U151" s="13">
        <v>0</v>
      </c>
      <c r="V151" s="23">
        <f t="shared" si="29"/>
        <v>0</v>
      </c>
      <c r="W151" s="34" t="s">
        <v>22</v>
      </c>
      <c r="X151" s="29">
        <v>0</v>
      </c>
      <c r="Y151" s="19">
        <f t="shared" si="30"/>
        <v>0</v>
      </c>
      <c r="Z151" s="34" t="s">
        <v>22</v>
      </c>
      <c r="AA151" s="35">
        <v>0</v>
      </c>
      <c r="AB151" s="23">
        <f t="shared" si="31"/>
        <v>0</v>
      </c>
    </row>
    <row r="152" spans="2:28" s="54" customFormat="1" x14ac:dyDescent="0.25">
      <c r="B152" s="65">
        <v>1885</v>
      </c>
      <c r="C152" s="35" t="s">
        <v>407</v>
      </c>
      <c r="D152" s="94" t="s">
        <v>408</v>
      </c>
      <c r="E152" s="105">
        <v>2</v>
      </c>
      <c r="F152" s="112">
        <v>0</v>
      </c>
      <c r="G152" s="116">
        <v>0</v>
      </c>
      <c r="H152" s="27" t="s">
        <v>22</v>
      </c>
      <c r="I152" s="19">
        <v>0</v>
      </c>
      <c r="J152" s="23">
        <f t="shared" si="32"/>
        <v>0</v>
      </c>
      <c r="K152" s="97">
        <v>21.67</v>
      </c>
      <c r="L152" s="13">
        <v>318.95999999999998</v>
      </c>
      <c r="M152" s="19">
        <f t="shared" si="26"/>
        <v>0.15826747332002694</v>
      </c>
      <c r="N152" s="27">
        <v>21.7</v>
      </c>
      <c r="O152" s="19">
        <v>210.36</v>
      </c>
      <c r="P152" s="23">
        <f t="shared" si="27"/>
        <v>0.12470700286495312</v>
      </c>
      <c r="Q152" s="27">
        <v>21.58</v>
      </c>
      <c r="R152" s="13">
        <v>226.53</v>
      </c>
      <c r="S152" s="23">
        <f t="shared" si="28"/>
        <v>0.10331469931970012</v>
      </c>
      <c r="T152" s="42">
        <v>21.53</v>
      </c>
      <c r="U152" s="13">
        <v>481.99</v>
      </c>
      <c r="V152" s="23">
        <f t="shared" si="29"/>
        <v>0.27057545913874942</v>
      </c>
      <c r="W152" s="34">
        <v>21.53</v>
      </c>
      <c r="X152" s="29">
        <v>282.32</v>
      </c>
      <c r="Y152" s="19">
        <f t="shared" si="30"/>
        <v>0.11124367289789373</v>
      </c>
      <c r="Z152" s="34">
        <v>21.65</v>
      </c>
      <c r="AA152" s="35">
        <v>215.82</v>
      </c>
      <c r="AB152" s="23">
        <f t="shared" si="31"/>
        <v>0.10662712639153288</v>
      </c>
    </row>
    <row r="153" spans="2:28" s="16" customFormat="1" x14ac:dyDescent="0.25">
      <c r="B153" s="68">
        <v>1914</v>
      </c>
      <c r="C153" s="22" t="s">
        <v>328</v>
      </c>
      <c r="D153" s="95" t="s">
        <v>403</v>
      </c>
      <c r="E153" s="105">
        <v>4</v>
      </c>
      <c r="F153" s="112">
        <v>1</v>
      </c>
      <c r="G153" s="116" t="s">
        <v>170</v>
      </c>
      <c r="H153" s="26" t="s">
        <v>22</v>
      </c>
      <c r="I153" s="20">
        <v>0</v>
      </c>
      <c r="J153" s="23">
        <f t="shared" si="32"/>
        <v>0</v>
      </c>
      <c r="K153" s="102">
        <v>22.81</v>
      </c>
      <c r="L153" s="22">
        <v>368.27</v>
      </c>
      <c r="M153" s="20">
        <f t="shared" si="26"/>
        <v>0.18273502131792801</v>
      </c>
      <c r="N153" s="26">
        <v>23.16</v>
      </c>
      <c r="O153" s="20">
        <v>549.76</v>
      </c>
      <c r="P153" s="17">
        <f t="shared" si="27"/>
        <v>0.32591234975773253</v>
      </c>
      <c r="Q153" s="26">
        <v>23.16</v>
      </c>
      <c r="R153" s="20">
        <v>855.32</v>
      </c>
      <c r="S153" s="17">
        <f t="shared" si="28"/>
        <v>0.39009018064771073</v>
      </c>
      <c r="T153" s="34">
        <v>22.9</v>
      </c>
      <c r="U153" s="35">
        <v>511.7</v>
      </c>
      <c r="V153" s="23">
        <f t="shared" si="29"/>
        <v>0.28725380701113729</v>
      </c>
      <c r="W153" s="34">
        <v>22.9</v>
      </c>
      <c r="X153" s="35">
        <v>997.07</v>
      </c>
      <c r="Y153" s="19">
        <f t="shared" si="30"/>
        <v>0.39287945925298567</v>
      </c>
      <c r="Z153" s="34" t="s">
        <v>22</v>
      </c>
      <c r="AA153" s="35">
        <v>0</v>
      </c>
      <c r="AB153" s="23">
        <f t="shared" si="31"/>
        <v>0</v>
      </c>
    </row>
    <row r="154" spans="2:28" x14ac:dyDescent="0.25">
      <c r="B154" s="65">
        <v>1915</v>
      </c>
      <c r="C154" s="35" t="s">
        <v>236</v>
      </c>
      <c r="D154" s="75" t="s">
        <v>403</v>
      </c>
      <c r="E154" s="105">
        <v>4</v>
      </c>
      <c r="F154" s="112">
        <v>1</v>
      </c>
      <c r="G154" s="116" t="s">
        <v>170</v>
      </c>
      <c r="H154" s="27">
        <v>17.71</v>
      </c>
      <c r="I154" s="19">
        <v>518.89</v>
      </c>
      <c r="J154" s="23">
        <f t="shared" si="32"/>
        <v>0.38859630229525627</v>
      </c>
      <c r="K154" s="102">
        <v>19.260000000000002</v>
      </c>
      <c r="L154" s="22">
        <v>865.49</v>
      </c>
      <c r="M154" s="20">
        <f t="shared" si="26"/>
        <v>0.42945483911383914</v>
      </c>
      <c r="N154" s="27" t="s">
        <v>22</v>
      </c>
      <c r="O154" s="19">
        <v>0</v>
      </c>
      <c r="P154" s="23">
        <f t="shared" si="27"/>
        <v>0</v>
      </c>
      <c r="Q154" s="27">
        <v>19.37</v>
      </c>
      <c r="R154" s="19">
        <v>912.76</v>
      </c>
      <c r="S154" s="23">
        <f t="shared" si="28"/>
        <v>0.41628713614554136</v>
      </c>
      <c r="T154" s="34">
        <v>19.32</v>
      </c>
      <c r="U154" s="35">
        <v>732.83</v>
      </c>
      <c r="V154" s="23">
        <f t="shared" si="29"/>
        <v>0.41138989132689419</v>
      </c>
      <c r="W154" s="34">
        <v>19.440000000000001</v>
      </c>
      <c r="X154" s="35">
        <v>986.61</v>
      </c>
      <c r="Y154" s="19">
        <f t="shared" si="30"/>
        <v>0.38875786383462368</v>
      </c>
      <c r="Z154" s="34">
        <v>19.350000000000001</v>
      </c>
      <c r="AA154" s="35">
        <v>742.98</v>
      </c>
      <c r="AB154" s="23">
        <f t="shared" si="31"/>
        <v>0.36707359079965296</v>
      </c>
    </row>
    <row r="155" spans="2:28" x14ac:dyDescent="0.25">
      <c r="B155" s="65">
        <v>1974</v>
      </c>
      <c r="C155" s="35" t="s">
        <v>103</v>
      </c>
      <c r="D155" s="81" t="s">
        <v>104</v>
      </c>
      <c r="E155" s="105">
        <v>2</v>
      </c>
      <c r="F155" s="112">
        <v>0</v>
      </c>
      <c r="G155" s="116" t="s">
        <v>299</v>
      </c>
      <c r="H155" s="27">
        <v>24.44</v>
      </c>
      <c r="I155" s="19">
        <v>397.3</v>
      </c>
      <c r="J155" s="23">
        <f t="shared" si="32"/>
        <v>0.29753764940913358</v>
      </c>
      <c r="K155" s="97" t="s">
        <v>22</v>
      </c>
      <c r="L155" s="22">
        <v>0</v>
      </c>
      <c r="M155" s="20">
        <f t="shared" si="26"/>
        <v>0</v>
      </c>
      <c r="N155" s="26">
        <v>25.96</v>
      </c>
      <c r="O155" s="20">
        <v>338.25</v>
      </c>
      <c r="P155" s="23">
        <f t="shared" si="27"/>
        <v>0.20052359630666661</v>
      </c>
      <c r="Q155" s="27">
        <v>25.86</v>
      </c>
      <c r="R155" s="19">
        <v>384.14</v>
      </c>
      <c r="S155" s="23">
        <f t="shared" si="28"/>
        <v>0.17519670064304774</v>
      </c>
      <c r="T155" s="34" t="s">
        <v>22</v>
      </c>
      <c r="U155" s="35">
        <v>0</v>
      </c>
      <c r="V155" s="23">
        <f t="shared" si="29"/>
        <v>0</v>
      </c>
      <c r="W155" s="34">
        <v>25.91</v>
      </c>
      <c r="X155" s="35">
        <v>762.6</v>
      </c>
      <c r="Y155" s="19">
        <f t="shared" si="30"/>
        <v>0.3004903122411936</v>
      </c>
      <c r="Z155" s="34">
        <v>25.83</v>
      </c>
      <c r="AA155" s="35">
        <v>520.53</v>
      </c>
      <c r="AB155" s="23">
        <f t="shared" si="31"/>
        <v>0.2571708743424363</v>
      </c>
    </row>
    <row r="156" spans="2:28" x14ac:dyDescent="0.25">
      <c r="B156" s="65">
        <v>2088</v>
      </c>
      <c r="C156" s="35" t="s">
        <v>105</v>
      </c>
      <c r="D156" s="83" t="s">
        <v>106</v>
      </c>
      <c r="E156" s="105">
        <v>2</v>
      </c>
      <c r="F156" s="112">
        <v>0</v>
      </c>
      <c r="G156" s="116">
        <v>0</v>
      </c>
      <c r="H156" s="27">
        <v>20.91</v>
      </c>
      <c r="I156" s="19">
        <v>242.84</v>
      </c>
      <c r="J156" s="23">
        <f t="shared" si="32"/>
        <v>0.18186268004659953</v>
      </c>
      <c r="K156" s="102">
        <v>21.99</v>
      </c>
      <c r="L156" s="22">
        <v>287.2</v>
      </c>
      <c r="M156" s="20">
        <f t="shared" si="26"/>
        <v>0.14250820898392191</v>
      </c>
      <c r="N156" s="27" t="s">
        <v>430</v>
      </c>
      <c r="O156" s="19">
        <v>238.2</v>
      </c>
      <c r="P156" s="23">
        <f t="shared" si="27"/>
        <v>0.14121129531484991</v>
      </c>
      <c r="Q156" s="27">
        <v>22</v>
      </c>
      <c r="R156" s="19">
        <v>325.32</v>
      </c>
      <c r="S156" s="23">
        <f t="shared" si="28"/>
        <v>0.14837036146508117</v>
      </c>
      <c r="T156" s="34">
        <v>21.95</v>
      </c>
      <c r="U156" s="35">
        <v>226.37</v>
      </c>
      <c r="V156" s="23">
        <f t="shared" si="29"/>
        <v>0.12707767108288284</v>
      </c>
      <c r="W156" s="34">
        <v>21.85</v>
      </c>
      <c r="X156" s="35">
        <v>364.06</v>
      </c>
      <c r="Y156" s="19">
        <f t="shared" si="30"/>
        <v>0.14345201032589686</v>
      </c>
      <c r="Z156" s="34">
        <v>21.97</v>
      </c>
      <c r="AA156" s="35">
        <v>337.27</v>
      </c>
      <c r="AB156" s="23">
        <f t="shared" si="31"/>
        <v>0.16663020534738343</v>
      </c>
    </row>
    <row r="157" spans="2:28" x14ac:dyDescent="0.25">
      <c r="B157" s="69" t="s">
        <v>456</v>
      </c>
      <c r="C157" s="35" t="s">
        <v>4</v>
      </c>
      <c r="D157" s="96" t="s">
        <v>239</v>
      </c>
      <c r="E157" s="105" t="s">
        <v>119</v>
      </c>
      <c r="F157" s="112">
        <v>0</v>
      </c>
      <c r="G157" s="116">
        <v>0</v>
      </c>
      <c r="H157" s="27">
        <v>22.16</v>
      </c>
      <c r="I157" s="19">
        <v>505.98</v>
      </c>
      <c r="J157" s="23">
        <f t="shared" si="32"/>
        <v>0.37892801371264384</v>
      </c>
      <c r="K157" s="102">
        <v>23.12</v>
      </c>
      <c r="L157" s="22">
        <v>974.91</v>
      </c>
      <c r="M157" s="20">
        <f t="shared" si="26"/>
        <v>0.48374887890151569</v>
      </c>
      <c r="N157" s="27">
        <v>23.16</v>
      </c>
      <c r="O157" s="19">
        <v>528.72</v>
      </c>
      <c r="P157" s="23">
        <f t="shared" si="27"/>
        <v>0.31343927816485079</v>
      </c>
      <c r="Q157" s="27">
        <v>23.05</v>
      </c>
      <c r="R157" s="19">
        <v>1559.9</v>
      </c>
      <c r="S157" s="23">
        <f t="shared" si="28"/>
        <v>0.71143159611883744</v>
      </c>
      <c r="T157" s="34">
        <v>22.9</v>
      </c>
      <c r="U157" s="35">
        <v>1033.99</v>
      </c>
      <c r="V157" s="23">
        <f t="shared" si="29"/>
        <v>0.58045253842377531</v>
      </c>
      <c r="W157" s="34">
        <v>23.01</v>
      </c>
      <c r="X157" s="35">
        <v>797.4</v>
      </c>
      <c r="Y157" s="19">
        <f t="shared" si="30"/>
        <v>0.31420269470381296</v>
      </c>
      <c r="Z157" s="34">
        <v>23.02</v>
      </c>
      <c r="AA157" s="35">
        <v>1162.5999999999999</v>
      </c>
      <c r="AB157" s="23">
        <f t="shared" si="31"/>
        <v>0.57438929266423921</v>
      </c>
    </row>
    <row r="158" spans="2:28" x14ac:dyDescent="0.25">
      <c r="B158" s="70" t="s">
        <v>237</v>
      </c>
      <c r="C158" s="35" t="s">
        <v>4</v>
      </c>
      <c r="D158" s="96" t="s">
        <v>240</v>
      </c>
      <c r="E158" s="105" t="s">
        <v>119</v>
      </c>
      <c r="F158" s="112">
        <v>0</v>
      </c>
      <c r="G158" s="116">
        <v>0</v>
      </c>
      <c r="H158" s="27">
        <v>23.71</v>
      </c>
      <c r="I158" s="19">
        <v>560.37</v>
      </c>
      <c r="J158" s="23">
        <f t="shared" si="32"/>
        <v>0.41966064082405274</v>
      </c>
      <c r="K158" s="102">
        <v>24.79</v>
      </c>
      <c r="L158" s="22">
        <v>974.39</v>
      </c>
      <c r="M158" s="20">
        <f t="shared" si="26"/>
        <v>0.48349085568190697</v>
      </c>
      <c r="N158" s="27">
        <v>24.94</v>
      </c>
      <c r="O158" s="19">
        <v>412.85</v>
      </c>
      <c r="P158" s="23">
        <f t="shared" si="27"/>
        <v>0.24474846041450796</v>
      </c>
      <c r="Q158" s="27">
        <v>24.83</v>
      </c>
      <c r="R158" s="19">
        <v>1055.28</v>
      </c>
      <c r="S158" s="23">
        <f t="shared" ref="S158:S169" si="33">R158/$R$170*100</f>
        <v>0.48128696374914198</v>
      </c>
      <c r="T158" s="34">
        <v>24.69</v>
      </c>
      <c r="U158" s="35">
        <v>744.23</v>
      </c>
      <c r="V158" s="23">
        <f t="shared" si="29"/>
        <v>0.41778952665995445</v>
      </c>
      <c r="W158" s="34">
        <v>24.15</v>
      </c>
      <c r="X158" s="35">
        <v>1136.43</v>
      </c>
      <c r="Y158" s="19">
        <f t="shared" si="30"/>
        <v>0.44779203454007294</v>
      </c>
      <c r="Z158" s="34">
        <v>24.28</v>
      </c>
      <c r="AA158" s="35">
        <v>595.66</v>
      </c>
      <c r="AB158" s="23">
        <f t="shared" si="31"/>
        <v>0.2942892878620168</v>
      </c>
    </row>
    <row r="159" spans="2:28" x14ac:dyDescent="0.25">
      <c r="B159" s="69" t="s">
        <v>238</v>
      </c>
      <c r="C159" s="35" t="s">
        <v>4</v>
      </c>
      <c r="D159" s="96" t="s">
        <v>241</v>
      </c>
      <c r="E159" s="105" t="s">
        <v>119</v>
      </c>
      <c r="F159" s="112">
        <v>0</v>
      </c>
      <c r="G159" s="116">
        <v>0</v>
      </c>
      <c r="H159" s="27">
        <v>24.75</v>
      </c>
      <c r="I159" s="19">
        <v>495.5</v>
      </c>
      <c r="J159" s="23">
        <f t="shared" si="32"/>
        <v>0.37107955016920635</v>
      </c>
      <c r="K159" s="102">
        <v>25.92</v>
      </c>
      <c r="L159" s="22">
        <v>1506.04</v>
      </c>
      <c r="M159" s="20">
        <f t="shared" si="26"/>
        <v>0.74729478780691427</v>
      </c>
      <c r="N159" s="27">
        <v>26.07</v>
      </c>
      <c r="O159" s="19">
        <v>1046.58</v>
      </c>
      <c r="P159" s="23">
        <f t="shared" si="27"/>
        <v>0.62044045949040982</v>
      </c>
      <c r="Q159" s="27">
        <v>26.07</v>
      </c>
      <c r="R159" s="19">
        <v>1084.05</v>
      </c>
      <c r="S159" s="23">
        <f t="shared" si="33"/>
        <v>0.49440824525458399</v>
      </c>
      <c r="T159" s="34">
        <v>25.73</v>
      </c>
      <c r="U159" s="35">
        <v>1706.39</v>
      </c>
      <c r="V159" s="23">
        <f t="shared" si="29"/>
        <v>0.95791874877024541</v>
      </c>
      <c r="W159" s="34">
        <v>25.81</v>
      </c>
      <c r="X159" s="35">
        <v>1275.7</v>
      </c>
      <c r="Y159" s="19">
        <f t="shared" si="30"/>
        <v>0.50266914676906727</v>
      </c>
      <c r="Z159" s="34">
        <v>25.93</v>
      </c>
      <c r="AA159" s="35">
        <v>1415.37</v>
      </c>
      <c r="AB159" s="23">
        <f t="shared" si="31"/>
        <v>0.69927178148820257</v>
      </c>
    </row>
    <row r="160" spans="2:28" x14ac:dyDescent="0.25">
      <c r="B160" s="70" t="s">
        <v>242</v>
      </c>
      <c r="C160" s="35" t="s">
        <v>245</v>
      </c>
      <c r="D160" s="74" t="s">
        <v>246</v>
      </c>
      <c r="E160" s="105" t="s">
        <v>119</v>
      </c>
      <c r="F160" s="112">
        <v>0</v>
      </c>
      <c r="G160" s="116">
        <v>0</v>
      </c>
      <c r="H160" s="27">
        <v>24.02</v>
      </c>
      <c r="I160" s="19">
        <v>987.71</v>
      </c>
      <c r="J160" s="23">
        <f t="shared" si="32"/>
        <v>0.73969522199319238</v>
      </c>
      <c r="K160" s="102">
        <v>24.89</v>
      </c>
      <c r="L160" s="22">
        <v>2869.73</v>
      </c>
      <c r="M160" s="20">
        <f t="shared" si="26"/>
        <v>1.4239557192459271</v>
      </c>
      <c r="N160" s="27">
        <v>24.94</v>
      </c>
      <c r="O160" s="19">
        <v>1943.77</v>
      </c>
      <c r="P160" s="23">
        <f t="shared" si="27"/>
        <v>1.1523185537117793</v>
      </c>
      <c r="Q160" s="27">
        <v>24.73</v>
      </c>
      <c r="R160" s="19">
        <v>432.37</v>
      </c>
      <c r="S160" s="23">
        <f t="shared" si="33"/>
        <v>0.19719320418866704</v>
      </c>
      <c r="T160" s="34">
        <v>24.69</v>
      </c>
      <c r="U160" s="35">
        <v>421.3</v>
      </c>
      <c r="V160" s="23">
        <f t="shared" ref="V160:V169" si="34">U160/$U$170*100</f>
        <v>0.23650582156300987</v>
      </c>
      <c r="W160" s="34">
        <v>24.88</v>
      </c>
      <c r="X160" s="35">
        <v>1683.77</v>
      </c>
      <c r="Y160" s="19">
        <f t="shared" ref="Y160:Y169" si="35">X160/$X$170*100</f>
        <v>0.66346259250243178</v>
      </c>
      <c r="Z160" s="34">
        <v>25.22</v>
      </c>
      <c r="AA160" s="35">
        <v>1444.43</v>
      </c>
      <c r="AB160" s="23">
        <f t="shared" ref="AB160:AB169" si="36">AA160/$AA$170*100</f>
        <v>0.71362904352572443</v>
      </c>
    </row>
    <row r="161" spans="2:28" x14ac:dyDescent="0.25">
      <c r="B161" s="65" t="s">
        <v>243</v>
      </c>
      <c r="C161" s="35" t="s">
        <v>245</v>
      </c>
      <c r="D161" s="74" t="s">
        <v>246</v>
      </c>
      <c r="E161" s="105" t="s">
        <v>119</v>
      </c>
      <c r="F161" s="112">
        <v>0</v>
      </c>
      <c r="G161" s="116">
        <v>0</v>
      </c>
      <c r="H161" s="27">
        <v>25.07</v>
      </c>
      <c r="I161" s="19">
        <v>1102.5</v>
      </c>
      <c r="J161" s="23">
        <f t="shared" si="32"/>
        <v>0.82566136036639759</v>
      </c>
      <c r="K161" s="102">
        <v>26.34</v>
      </c>
      <c r="L161" s="22">
        <v>3071.07</v>
      </c>
      <c r="M161" s="20">
        <f t="shared" si="26"/>
        <v>1.5238603250844469</v>
      </c>
      <c r="N161" s="27">
        <v>26.49</v>
      </c>
      <c r="O161" s="19">
        <v>2062.9699999999998</v>
      </c>
      <c r="P161" s="23">
        <f t="shared" si="27"/>
        <v>1.2229834840288663</v>
      </c>
      <c r="Q161" s="27">
        <v>26.39</v>
      </c>
      <c r="R161" s="19">
        <v>1902.66</v>
      </c>
      <c r="S161" s="23">
        <f t="shared" si="33"/>
        <v>0.86775590786041867</v>
      </c>
      <c r="T161" s="34">
        <v>26.15</v>
      </c>
      <c r="U161" s="35">
        <v>2885.26</v>
      </c>
      <c r="V161" s="23">
        <f t="shared" si="34"/>
        <v>1.6197027930759313</v>
      </c>
      <c r="W161" s="34">
        <v>26.12</v>
      </c>
      <c r="X161" s="35">
        <v>2701.73</v>
      </c>
      <c r="Y161" s="19">
        <f t="shared" si="35"/>
        <v>1.0645734215727773</v>
      </c>
      <c r="Z161" s="34">
        <v>26.35</v>
      </c>
      <c r="AA161" s="35">
        <v>1471.31</v>
      </c>
      <c r="AB161" s="23">
        <f t="shared" si="36"/>
        <v>0.72690926388252353</v>
      </c>
    </row>
    <row r="162" spans="2:28" x14ac:dyDescent="0.25">
      <c r="B162" s="65" t="s">
        <v>244</v>
      </c>
      <c r="C162" s="35" t="s">
        <v>245</v>
      </c>
      <c r="D162" s="74" t="s">
        <v>246</v>
      </c>
      <c r="E162" s="105" t="s">
        <v>119</v>
      </c>
      <c r="F162" s="112">
        <v>0</v>
      </c>
      <c r="G162" s="116">
        <v>0</v>
      </c>
      <c r="H162" s="27">
        <v>26.43</v>
      </c>
      <c r="I162" s="19">
        <v>1030.49</v>
      </c>
      <c r="J162" s="23">
        <f t="shared" si="32"/>
        <v>0.77173312947298778</v>
      </c>
      <c r="K162" s="102">
        <v>27.48</v>
      </c>
      <c r="L162" s="22">
        <v>2613.6999999999998</v>
      </c>
      <c r="M162" s="20">
        <f t="shared" si="26"/>
        <v>1.2969140174835541</v>
      </c>
      <c r="N162" s="27">
        <v>27.74</v>
      </c>
      <c r="O162" s="19">
        <v>2877.79</v>
      </c>
      <c r="P162" s="23">
        <f t="shared" si="27"/>
        <v>1.7060304514866582</v>
      </c>
      <c r="Q162" s="27">
        <v>27.53</v>
      </c>
      <c r="R162" s="19">
        <v>1205.23</v>
      </c>
      <c r="S162" s="23">
        <f t="shared" si="33"/>
        <v>0.54967542957260485</v>
      </c>
      <c r="T162" s="34">
        <v>27.4</v>
      </c>
      <c r="U162" s="35">
        <v>1614.95</v>
      </c>
      <c r="V162" s="23">
        <f t="shared" si="34"/>
        <v>0.90658693694085635</v>
      </c>
      <c r="W162" s="34">
        <v>27.37</v>
      </c>
      <c r="X162" s="35">
        <v>2812.83</v>
      </c>
      <c r="Y162" s="19">
        <f t="shared" si="35"/>
        <v>1.1083505966186684</v>
      </c>
      <c r="Z162" s="34">
        <v>27.6</v>
      </c>
      <c r="AA162" s="35">
        <v>1950.84</v>
      </c>
      <c r="AB162" s="23">
        <f t="shared" si="36"/>
        <v>0.96382384973430635</v>
      </c>
    </row>
    <row r="163" spans="2:28" s="16" customFormat="1" x14ac:dyDescent="0.25">
      <c r="B163" s="65" t="s">
        <v>247</v>
      </c>
      <c r="C163" s="35" t="s">
        <v>251</v>
      </c>
      <c r="D163" s="90" t="s">
        <v>252</v>
      </c>
      <c r="E163" s="105" t="s">
        <v>119</v>
      </c>
      <c r="F163" s="112">
        <v>0</v>
      </c>
      <c r="G163" s="116">
        <v>0</v>
      </c>
      <c r="H163" s="27">
        <v>24.02</v>
      </c>
      <c r="I163" s="19">
        <v>1216.32</v>
      </c>
      <c r="J163" s="23">
        <f t="shared" si="32"/>
        <v>0.91090106652231895</v>
      </c>
      <c r="K163" s="97" t="s">
        <v>397</v>
      </c>
      <c r="L163" s="22">
        <v>1612.4</v>
      </c>
      <c r="M163" s="20">
        <f t="shared" si="26"/>
        <v>0.80007046018689321</v>
      </c>
      <c r="N163" s="27">
        <v>24.94</v>
      </c>
      <c r="O163" s="19">
        <v>1376.87</v>
      </c>
      <c r="P163" s="23">
        <f t="shared" si="27"/>
        <v>0.81624515608798232</v>
      </c>
      <c r="Q163" s="27">
        <v>25.35</v>
      </c>
      <c r="R163" s="19">
        <v>2315.84</v>
      </c>
      <c r="S163" s="23">
        <f t="shared" si="33"/>
        <v>1.0561970302941526</v>
      </c>
      <c r="T163" s="34">
        <v>24.69</v>
      </c>
      <c r="U163" s="35">
        <v>2465.2800000000002</v>
      </c>
      <c r="V163" s="23">
        <f t="shared" si="34"/>
        <v>1.3839379819199074</v>
      </c>
      <c r="W163" s="34">
        <v>24.78</v>
      </c>
      <c r="X163" s="35">
        <v>2055.54</v>
      </c>
      <c r="Y163" s="19">
        <f t="shared" si="35"/>
        <v>0.80995260480496067</v>
      </c>
      <c r="Z163" s="34">
        <v>24.9</v>
      </c>
      <c r="AA163" s="35">
        <v>2104.29</v>
      </c>
      <c r="AB163" s="23">
        <f t="shared" si="36"/>
        <v>1.0396367148292036</v>
      </c>
    </row>
    <row r="164" spans="2:28" s="16" customFormat="1" x14ac:dyDescent="0.25">
      <c r="B164" s="65" t="s">
        <v>248</v>
      </c>
      <c r="C164" s="35" t="s">
        <v>251</v>
      </c>
      <c r="D164" s="90" t="s">
        <v>253</v>
      </c>
      <c r="E164" s="105" t="s">
        <v>119</v>
      </c>
      <c r="F164" s="112">
        <v>0</v>
      </c>
      <c r="G164" s="116">
        <v>0</v>
      </c>
      <c r="H164" s="27">
        <v>24.96</v>
      </c>
      <c r="I164" s="19">
        <v>3856.71</v>
      </c>
      <c r="J164" s="23">
        <f t="shared" si="32"/>
        <v>2.888287006928516</v>
      </c>
      <c r="K164" s="102">
        <v>26.23</v>
      </c>
      <c r="L164" s="22">
        <v>7034.32</v>
      </c>
      <c r="M164" s="20">
        <f t="shared" ref="M164:M166" si="37">L164/$L$170*100</f>
        <v>3.4904190272276523</v>
      </c>
      <c r="N164" s="27">
        <v>25.04</v>
      </c>
      <c r="O164" s="19">
        <v>1072.49</v>
      </c>
      <c r="P164" s="23">
        <f t="shared" ref="P164:P166" si="38">O164/$O$170*100</f>
        <v>0.63580059660883037</v>
      </c>
      <c r="Q164" s="27">
        <v>26.28</v>
      </c>
      <c r="R164" s="19">
        <v>7206.8</v>
      </c>
      <c r="S164" s="23">
        <f t="shared" si="33"/>
        <v>3.2868422507271218</v>
      </c>
      <c r="T164" s="34">
        <v>26.15</v>
      </c>
      <c r="U164" s="35">
        <v>6964.06</v>
      </c>
      <c r="V164" s="23">
        <f t="shared" si="34"/>
        <v>3.9094249506624603</v>
      </c>
      <c r="W164" s="34">
        <v>26.12</v>
      </c>
      <c r="X164" s="35">
        <v>6860.8</v>
      </c>
      <c r="Y164" s="19">
        <f t="shared" si="35"/>
        <v>2.7033883218258339</v>
      </c>
      <c r="Z164" s="34">
        <v>26.35</v>
      </c>
      <c r="AA164" s="35">
        <v>6713.43</v>
      </c>
      <c r="AB164" s="23">
        <f t="shared" si="36"/>
        <v>3.3168091424831276</v>
      </c>
    </row>
    <row r="165" spans="2:28" s="16" customFormat="1" x14ac:dyDescent="0.25">
      <c r="B165" s="65" t="s">
        <v>249</v>
      </c>
      <c r="C165" s="35" t="s">
        <v>251</v>
      </c>
      <c r="D165" s="90" t="s">
        <v>254</v>
      </c>
      <c r="E165" s="105" t="s">
        <v>119</v>
      </c>
      <c r="F165" s="112">
        <v>0</v>
      </c>
      <c r="G165" s="116">
        <v>0</v>
      </c>
      <c r="H165" s="27">
        <v>26.32</v>
      </c>
      <c r="I165" s="19">
        <v>2988.12</v>
      </c>
      <c r="J165" s="23">
        <f t="shared" si="32"/>
        <v>2.2378006568145485</v>
      </c>
      <c r="K165" s="102">
        <v>27.58</v>
      </c>
      <c r="L165" s="22">
        <v>4021.75</v>
      </c>
      <c r="M165" s="20">
        <f t="shared" si="37"/>
        <v>1.9955863143491923</v>
      </c>
      <c r="N165" s="27">
        <v>27.84</v>
      </c>
      <c r="O165" s="19">
        <v>6137.98</v>
      </c>
      <c r="P165" s="23">
        <f t="shared" si="38"/>
        <v>3.6387577935207491</v>
      </c>
      <c r="Q165" s="27">
        <v>27.63</v>
      </c>
      <c r="R165" s="19">
        <v>5882.88</v>
      </c>
      <c r="S165" s="23">
        <f t="shared" si="33"/>
        <v>2.683035263911524</v>
      </c>
      <c r="T165" s="34">
        <v>27.51</v>
      </c>
      <c r="U165" s="35">
        <v>4538.53</v>
      </c>
      <c r="V165" s="23">
        <f t="shared" si="34"/>
        <v>2.5478014866801972</v>
      </c>
      <c r="W165" s="34">
        <v>26.95</v>
      </c>
      <c r="X165" s="35">
        <v>6158.54</v>
      </c>
      <c r="Y165" s="19">
        <f t="shared" si="35"/>
        <v>2.4266740198660903</v>
      </c>
      <c r="Z165" s="34">
        <v>27.19</v>
      </c>
      <c r="AA165" s="35">
        <v>7776.53</v>
      </c>
      <c r="AB165" s="23">
        <f t="shared" si="36"/>
        <v>3.8420398813712682</v>
      </c>
    </row>
    <row r="166" spans="2:28" s="16" customFormat="1" x14ac:dyDescent="0.25">
      <c r="B166" s="65" t="s">
        <v>250</v>
      </c>
      <c r="C166" s="35" t="s">
        <v>251</v>
      </c>
      <c r="D166" s="90" t="s">
        <v>255</v>
      </c>
      <c r="E166" s="105" t="s">
        <v>119</v>
      </c>
      <c r="F166" s="112">
        <v>0</v>
      </c>
      <c r="G166" s="116">
        <v>0</v>
      </c>
      <c r="H166" s="27">
        <v>27.34</v>
      </c>
      <c r="I166" s="19">
        <v>5374.56</v>
      </c>
      <c r="J166" s="23">
        <f t="shared" si="32"/>
        <v>4.0250036471390711</v>
      </c>
      <c r="K166" s="102">
        <v>28.62</v>
      </c>
      <c r="L166" s="22">
        <v>12204.9</v>
      </c>
      <c r="M166" s="20">
        <f t="shared" si="37"/>
        <v>6.0560530634675089</v>
      </c>
      <c r="N166" s="27">
        <v>28.89</v>
      </c>
      <c r="O166" s="19">
        <v>6456.04</v>
      </c>
      <c r="P166" s="23">
        <f t="shared" si="38"/>
        <v>3.827312220841661</v>
      </c>
      <c r="Q166" s="27">
        <v>28.57</v>
      </c>
      <c r="R166" s="19">
        <v>10356.49</v>
      </c>
      <c r="S166" s="23">
        <f t="shared" si="33"/>
        <v>4.723337528616435</v>
      </c>
      <c r="T166" s="34">
        <v>28.34</v>
      </c>
      <c r="U166" s="35">
        <v>7936.66</v>
      </c>
      <c r="V166" s="23">
        <f t="shared" si="34"/>
        <v>4.4554148914461846</v>
      </c>
      <c r="W166" s="34">
        <v>28.41</v>
      </c>
      <c r="X166" s="35">
        <v>8785.61</v>
      </c>
      <c r="Y166" s="19">
        <f t="shared" si="35"/>
        <v>3.4618288645808457</v>
      </c>
      <c r="Z166" s="34">
        <v>28.75</v>
      </c>
      <c r="AA166" s="35">
        <v>9139.32</v>
      </c>
      <c r="AB166" s="23">
        <f t="shared" si="36"/>
        <v>4.51533420800975</v>
      </c>
    </row>
    <row r="167" spans="2:28" x14ac:dyDescent="0.25">
      <c r="B167" s="65" t="s">
        <v>256</v>
      </c>
      <c r="C167" s="35" t="s">
        <v>259</v>
      </c>
      <c r="D167" s="90" t="s">
        <v>260</v>
      </c>
      <c r="E167" s="105" t="s">
        <v>119</v>
      </c>
      <c r="F167" s="112">
        <v>0</v>
      </c>
      <c r="G167" s="116">
        <v>0</v>
      </c>
      <c r="H167" s="27">
        <v>28.21</v>
      </c>
      <c r="I167" s="19">
        <v>575.82000000000005</v>
      </c>
      <c r="J167" s="23">
        <f t="shared" si="32"/>
        <v>0.43123113335707858</v>
      </c>
      <c r="K167" s="102">
        <v>26.02</v>
      </c>
      <c r="L167" s="22">
        <v>781.46</v>
      </c>
      <c r="M167" s="20">
        <f t="shared" ref="M167:M169" si="39">L167/$L$170*100</f>
        <v>0.38775927922205999</v>
      </c>
      <c r="N167" s="27">
        <v>26.49</v>
      </c>
      <c r="O167" s="19">
        <v>1192.1400000000001</v>
      </c>
      <c r="P167" s="23">
        <f t="shared" ref="P167:P169" si="40">O167/$O$170*100</f>
        <v>0.70673229889439637</v>
      </c>
      <c r="Q167" s="27">
        <v>26.28</v>
      </c>
      <c r="R167" s="19">
        <v>1184.4000000000001</v>
      </c>
      <c r="S167" s="23">
        <f t="shared" si="33"/>
        <v>0.54017538460359704</v>
      </c>
      <c r="T167" s="34">
        <v>25.94</v>
      </c>
      <c r="U167" s="35">
        <v>1342.79</v>
      </c>
      <c r="V167" s="23">
        <f t="shared" si="34"/>
        <v>0.75380406393684785</v>
      </c>
      <c r="W167" s="34">
        <v>26.43</v>
      </c>
      <c r="X167" s="35">
        <v>1588.94</v>
      </c>
      <c r="Y167" s="19">
        <f t="shared" si="35"/>
        <v>0.626096350291794</v>
      </c>
      <c r="Z167" s="34">
        <v>26.25</v>
      </c>
      <c r="AA167" s="35">
        <v>2452.2800000000002</v>
      </c>
      <c r="AB167" s="23">
        <f t="shared" si="36"/>
        <v>1.2115631985331676</v>
      </c>
    </row>
    <row r="168" spans="2:28" s="16" customFormat="1" x14ac:dyDescent="0.25">
      <c r="B168" s="65" t="s">
        <v>257</v>
      </c>
      <c r="C168" s="35" t="s">
        <v>259</v>
      </c>
      <c r="D168" s="90" t="s">
        <v>260</v>
      </c>
      <c r="E168" s="105" t="s">
        <v>119</v>
      </c>
      <c r="F168" s="112">
        <v>0</v>
      </c>
      <c r="G168" s="116">
        <v>0</v>
      </c>
      <c r="H168" s="27">
        <v>29.35</v>
      </c>
      <c r="I168" s="19">
        <v>1791.61</v>
      </c>
      <c r="J168" s="23">
        <f t="shared" si="32"/>
        <v>1.341735283307067</v>
      </c>
      <c r="K168" s="102">
        <v>27.69</v>
      </c>
      <c r="L168" s="22">
        <v>3377.45</v>
      </c>
      <c r="M168" s="20">
        <f t="shared" si="39"/>
        <v>1.6758856212839384</v>
      </c>
      <c r="N168" s="27">
        <v>27.95</v>
      </c>
      <c r="O168" s="19">
        <v>1196.47</v>
      </c>
      <c r="P168" s="23">
        <f t="shared" si="40"/>
        <v>0.7092992380577603</v>
      </c>
      <c r="Q168" s="27">
        <v>27.94</v>
      </c>
      <c r="R168" s="19">
        <v>1701.53</v>
      </c>
      <c r="S168" s="23">
        <f t="shared" si="33"/>
        <v>0.77602551685626342</v>
      </c>
      <c r="T168" s="34">
        <v>27.51</v>
      </c>
      <c r="U168" s="35">
        <v>1674.35</v>
      </c>
      <c r="V168" s="23">
        <f t="shared" si="34"/>
        <v>0.93993240525522326</v>
      </c>
      <c r="W168" s="34">
        <v>27.58</v>
      </c>
      <c r="X168" s="35">
        <v>1185.4100000000001</v>
      </c>
      <c r="Y168" s="19">
        <f t="shared" si="35"/>
        <v>0.467091818822231</v>
      </c>
      <c r="Z168" s="34">
        <v>27.81</v>
      </c>
      <c r="AA168" s="35">
        <v>1517.98</v>
      </c>
      <c r="AB168" s="23">
        <f t="shared" si="36"/>
        <v>0.74996684885468945</v>
      </c>
    </row>
    <row r="169" spans="2:28" x14ac:dyDescent="0.25">
      <c r="B169" s="65" t="s">
        <v>258</v>
      </c>
      <c r="C169" s="35" t="s">
        <v>259</v>
      </c>
      <c r="D169" s="90" t="s">
        <v>260</v>
      </c>
      <c r="E169" s="105" t="s">
        <v>119</v>
      </c>
      <c r="F169" s="112">
        <v>0</v>
      </c>
      <c r="G169" s="116">
        <v>0</v>
      </c>
      <c r="H169" s="27">
        <v>30.91</v>
      </c>
      <c r="I169" s="19">
        <v>3616.27</v>
      </c>
      <c r="J169" s="23">
        <f t="shared" si="32"/>
        <v>2.7082216849452991</v>
      </c>
      <c r="K169" s="102">
        <v>28.73</v>
      </c>
      <c r="L169" s="22">
        <v>4847.2299999999996</v>
      </c>
      <c r="M169" s="20">
        <f t="shared" si="39"/>
        <v>2.4051882515081333</v>
      </c>
      <c r="N169" s="27">
        <v>28.99</v>
      </c>
      <c r="O169" s="19">
        <v>2300.09</v>
      </c>
      <c r="P169" s="23">
        <f t="shared" si="40"/>
        <v>1.3635545266193669</v>
      </c>
      <c r="Q169" s="27">
        <v>28.99</v>
      </c>
      <c r="R169" s="19">
        <v>3862.85</v>
      </c>
      <c r="S169" s="23">
        <f t="shared" si="33"/>
        <v>1.7617498179804161</v>
      </c>
      <c r="T169" s="34">
        <v>28.55</v>
      </c>
      <c r="U169" s="35">
        <v>4657.45</v>
      </c>
      <c r="V169" s="23">
        <f t="shared" si="34"/>
        <v>2.6145597878913844</v>
      </c>
      <c r="W169" s="34">
        <v>28.83</v>
      </c>
      <c r="X169" s="35">
        <v>4149.3999999999996</v>
      </c>
      <c r="Y169" s="19">
        <f t="shared" si="35"/>
        <v>1.6350045916779552</v>
      </c>
      <c r="Z169" s="34">
        <v>29.06</v>
      </c>
      <c r="AA169" s="35">
        <v>5352.87</v>
      </c>
      <c r="AB169" s="23">
        <f t="shared" si="36"/>
        <v>2.6446165603162108</v>
      </c>
    </row>
    <row r="170" spans="2:28" x14ac:dyDescent="0.25">
      <c r="B170" s="128"/>
      <c r="C170" s="129"/>
      <c r="D170" s="130"/>
      <c r="E170" s="131"/>
      <c r="F170" s="132"/>
      <c r="G170" s="133"/>
      <c r="H170" s="134"/>
      <c r="I170" s="135">
        <f>SUM(I4:I169)</f>
        <v>133529.31999999998</v>
      </c>
      <c r="J170" s="125">
        <f>SUBTOTAL(109,Table134[Percentage])</f>
        <v>100.00000000000004</v>
      </c>
      <c r="K170" s="62"/>
      <c r="L170" s="62">
        <f>SUM(L4:L169)</f>
        <v>201532.25</v>
      </c>
      <c r="M170" s="126">
        <f>SUBTOTAL(109,Table134[Percentage3])</f>
        <v>100.00000000000004</v>
      </c>
      <c r="N170" s="134"/>
      <c r="O170" s="135">
        <f>SUM(O4:O169)</f>
        <v>168683.38999999998</v>
      </c>
      <c r="P170" s="125">
        <f>SUBTOTAL(109,Table134[Percentage2])</f>
        <v>100.00000000000003</v>
      </c>
      <c r="Q170" s="134"/>
      <c r="R170" s="135">
        <f>SUM(R4:R169)</f>
        <v>219262.11999999994</v>
      </c>
      <c r="S170" s="125">
        <f>SUBTOTAL(109,Table134[Percentage232])</f>
        <v>100.00000000000003</v>
      </c>
      <c r="T170" s="56"/>
      <c r="U170" s="62">
        <f>SUM(U4:U169)</f>
        <v>178135.15000000002</v>
      </c>
      <c r="V170" s="127">
        <f>SUBTOTAL(109,Table134[Percentage30])</f>
        <v>99.999999999999957</v>
      </c>
      <c r="W170" s="56"/>
      <c r="X170" s="62">
        <f>SUM(X4:X169)</f>
        <v>253785.21999999997</v>
      </c>
      <c r="Y170" s="126">
        <f>SUBTOTAL(109,Table134[Percentage24])</f>
        <v>100</v>
      </c>
      <c r="Z170" s="56"/>
      <c r="AA170" s="62">
        <f>SUM(AA4:AA169)</f>
        <v>202406.28000000006</v>
      </c>
      <c r="AB170" s="127">
        <f>SUBTOTAL(109,Table134[Percentage27])</f>
        <v>99.999999999999957</v>
      </c>
    </row>
    <row r="173" spans="2:28" ht="21" x14ac:dyDescent="0.35">
      <c r="B173" s="4" t="s">
        <v>5</v>
      </c>
    </row>
    <row r="174" spans="2:28" x14ac:dyDescent="0.25">
      <c r="B174" s="5" t="s">
        <v>6</v>
      </c>
      <c r="C174" t="s">
        <v>7</v>
      </c>
    </row>
    <row r="175" spans="2:28" x14ac:dyDescent="0.25">
      <c r="B175" s="5" t="s">
        <v>8</v>
      </c>
      <c r="C175" t="s">
        <v>9</v>
      </c>
    </row>
    <row r="176" spans="2:28" x14ac:dyDescent="0.25">
      <c r="B176" s="5" t="s">
        <v>10</v>
      </c>
      <c r="C176" t="s">
        <v>11</v>
      </c>
    </row>
    <row r="177" spans="2:3" x14ac:dyDescent="0.25">
      <c r="C177" t="s">
        <v>12</v>
      </c>
    </row>
    <row r="178" spans="2:3" x14ac:dyDescent="0.25">
      <c r="B178" s="5" t="s">
        <v>13</v>
      </c>
      <c r="C178" s="15" t="s">
        <v>107</v>
      </c>
    </row>
    <row r="179" spans="2:3" x14ac:dyDescent="0.25">
      <c r="B179" s="5" t="s">
        <v>14</v>
      </c>
      <c r="C179" t="s">
        <v>16</v>
      </c>
    </row>
    <row r="180" spans="2:3" x14ac:dyDescent="0.25">
      <c r="B180" s="5" t="s">
        <v>15</v>
      </c>
      <c r="C180" t="s">
        <v>17</v>
      </c>
    </row>
  </sheetData>
  <pageMargins left="0.7" right="0.7" top="0.75" bottom="0.75" header="0.3" footer="0.3"/>
  <pageSetup paperSize="9" orientation="portrait" r:id="rId1"/>
  <ignoredErrors>
    <ignoredError sqref="P4 J4" calculatedColumn="1"/>
  </ignoredErrors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55"/>
  <sheetViews>
    <sheetView zoomScale="80" zoomScaleNormal="80" workbookViewId="0">
      <selection activeCell="D55" sqref="D55"/>
    </sheetView>
  </sheetViews>
  <sheetFormatPr defaultColWidth="8.85546875" defaultRowHeight="15" x14ac:dyDescent="0.25"/>
  <cols>
    <col min="1" max="1" width="8.85546875" style="61"/>
    <col min="2" max="2" width="12.85546875" style="61" customWidth="1"/>
    <col min="3" max="3" width="33.7109375" style="61" customWidth="1"/>
    <col min="4" max="4" width="105.5703125" style="61" customWidth="1"/>
    <col min="5" max="6" width="7.140625" style="61" customWidth="1"/>
    <col min="7" max="8" width="9.28515625" style="7" customWidth="1"/>
    <col min="9" max="10" width="9.28515625" style="61" customWidth="1"/>
    <col min="11" max="11" width="11.7109375" style="61" bestFit="1" customWidth="1"/>
    <col min="12" max="12" width="15" style="61" bestFit="1" customWidth="1"/>
    <col min="13" max="13" width="8.85546875" style="61" customWidth="1"/>
    <col min="14" max="14" width="12.85546875" style="61" bestFit="1" customWidth="1"/>
    <col min="15" max="15" width="15" style="14" bestFit="1" customWidth="1"/>
    <col min="16" max="16" width="8.85546875" style="61"/>
    <col min="17" max="17" width="12.85546875" style="61" bestFit="1" customWidth="1"/>
    <col min="18" max="18" width="15" style="14" bestFit="1" customWidth="1"/>
    <col min="19" max="19" width="8.85546875" style="61"/>
    <col min="20" max="20" width="9.5703125" style="61" bestFit="1" customWidth="1"/>
    <col min="21" max="21" width="16" style="14" bestFit="1" customWidth="1"/>
    <col min="22" max="16384" width="8.85546875" style="61"/>
  </cols>
  <sheetData>
    <row r="1" spans="2:21" x14ac:dyDescent="0.25">
      <c r="G1" s="7" t="s">
        <v>504</v>
      </c>
      <c r="J1" s="189" t="s">
        <v>505</v>
      </c>
      <c r="K1" s="170"/>
      <c r="L1" s="199" t="s">
        <v>533</v>
      </c>
      <c r="M1" s="170" t="s">
        <v>503</v>
      </c>
      <c r="N1" s="170"/>
      <c r="O1" s="199" t="s">
        <v>531</v>
      </c>
      <c r="P1" s="172" t="s">
        <v>502</v>
      </c>
      <c r="Q1" s="170"/>
      <c r="R1" s="199" t="s">
        <v>530</v>
      </c>
      <c r="S1" s="170" t="s">
        <v>501</v>
      </c>
      <c r="T1" s="170"/>
      <c r="U1" s="199" t="s">
        <v>534</v>
      </c>
    </row>
    <row r="2" spans="2:21" ht="23.25" x14ac:dyDescent="0.35">
      <c r="G2" s="8" t="s">
        <v>457</v>
      </c>
      <c r="H2" s="136"/>
      <c r="I2" s="1"/>
      <c r="J2" s="169" t="s">
        <v>535</v>
      </c>
      <c r="K2" s="170"/>
      <c r="L2" s="170"/>
      <c r="M2" s="169" t="s">
        <v>536</v>
      </c>
      <c r="N2" s="170"/>
      <c r="O2" s="171"/>
      <c r="P2" s="169" t="s">
        <v>538</v>
      </c>
      <c r="Q2" s="170"/>
      <c r="R2" s="171"/>
      <c r="S2" s="169" t="s">
        <v>537</v>
      </c>
      <c r="T2" s="170"/>
      <c r="U2" s="171"/>
    </row>
    <row r="3" spans="2:21" ht="18" thickBot="1" x14ac:dyDescent="0.3">
      <c r="B3" s="2" t="s">
        <v>0</v>
      </c>
      <c r="C3" s="3" t="s">
        <v>1</v>
      </c>
      <c r="D3" s="3" t="s">
        <v>2</v>
      </c>
      <c r="E3" s="3" t="s">
        <v>458</v>
      </c>
      <c r="F3" s="3" t="s">
        <v>459</v>
      </c>
      <c r="G3" s="6" t="s">
        <v>19</v>
      </c>
      <c r="H3" s="6" t="s">
        <v>20</v>
      </c>
      <c r="I3" s="2" t="s">
        <v>3</v>
      </c>
      <c r="J3" s="137" t="s">
        <v>331</v>
      </c>
      <c r="K3" s="137" t="s">
        <v>332</v>
      </c>
      <c r="L3" s="137" t="s">
        <v>21</v>
      </c>
      <c r="M3" s="137" t="s">
        <v>346</v>
      </c>
      <c r="N3" s="137" t="s">
        <v>347</v>
      </c>
      <c r="O3" s="138" t="s">
        <v>460</v>
      </c>
      <c r="P3" s="137" t="s">
        <v>348</v>
      </c>
      <c r="Q3" s="137" t="s">
        <v>349</v>
      </c>
      <c r="R3" s="138" t="s">
        <v>461</v>
      </c>
      <c r="S3" s="139" t="s">
        <v>24</v>
      </c>
      <c r="T3" s="139" t="s">
        <v>25</v>
      </c>
      <c r="U3" s="197" t="s">
        <v>462</v>
      </c>
    </row>
    <row r="4" spans="2:21" x14ac:dyDescent="0.25">
      <c r="B4" s="143">
        <v>1317</v>
      </c>
      <c r="C4" s="71" t="s">
        <v>463</v>
      </c>
      <c r="D4" s="144" t="s">
        <v>464</v>
      </c>
      <c r="E4" s="153">
        <v>0</v>
      </c>
      <c r="F4" s="144">
        <v>0</v>
      </c>
      <c r="G4" s="140" t="s">
        <v>519</v>
      </c>
      <c r="H4" s="140">
        <v>278.60000000000002</v>
      </c>
      <c r="I4" s="19">
        <f t="shared" ref="I4:I25" si="0">H4/$H$26*100</f>
        <v>0.36838349329895093</v>
      </c>
      <c r="J4" s="121">
        <v>21.2</v>
      </c>
      <c r="K4" s="164">
        <v>279.63</v>
      </c>
      <c r="L4" s="123">
        <f t="shared" ref="L4:L25" si="1">K4/$K$26*100</f>
        <v>0.49510463806262761</v>
      </c>
      <c r="M4" s="140" t="s">
        <v>520</v>
      </c>
      <c r="N4" s="140">
        <v>239.2</v>
      </c>
      <c r="O4" s="122">
        <f t="shared" ref="O4:O25" si="2">N4/$N$26*100</f>
        <v>0.40808854702563663</v>
      </c>
      <c r="P4" s="121">
        <v>21.42</v>
      </c>
      <c r="Q4" s="164">
        <v>243.91</v>
      </c>
      <c r="R4" s="123">
        <f t="shared" ref="R4:R25" si="3">Q4/$Q$26*100</f>
        <v>0.48743599792083792</v>
      </c>
      <c r="S4" s="166">
        <v>21.47</v>
      </c>
      <c r="T4" s="141">
        <v>469.69</v>
      </c>
      <c r="U4" s="168">
        <f t="shared" ref="U4:U25" si="4">T4/$T$26*100</f>
        <v>0.69490504069135128</v>
      </c>
    </row>
    <row r="5" spans="2:21" s="193" customFormat="1" x14ac:dyDescent="0.25">
      <c r="B5" s="178" t="s">
        <v>506</v>
      </c>
      <c r="C5" s="35" t="s">
        <v>18</v>
      </c>
      <c r="D5" s="177" t="s">
        <v>508</v>
      </c>
      <c r="E5" s="176">
        <v>1</v>
      </c>
      <c r="F5" s="146">
        <v>0</v>
      </c>
      <c r="G5" s="179">
        <v>16.89</v>
      </c>
      <c r="H5" s="179">
        <v>742.11</v>
      </c>
      <c r="I5" s="191">
        <f t="shared" si="0"/>
        <v>0.98126731590841509</v>
      </c>
      <c r="J5" s="185">
        <v>16.39</v>
      </c>
      <c r="K5" s="179">
        <v>380.19</v>
      </c>
      <c r="L5" s="182">
        <f t="shared" si="1"/>
        <v>0.67315321083227975</v>
      </c>
      <c r="M5" s="179">
        <v>16.489999999999998</v>
      </c>
      <c r="N5" s="179">
        <v>540.04999999999995</v>
      </c>
      <c r="O5" s="183">
        <f t="shared" si="2"/>
        <v>0.92135543403509634</v>
      </c>
      <c r="P5" s="185">
        <v>16.47</v>
      </c>
      <c r="Q5" s="179">
        <v>476.39</v>
      </c>
      <c r="R5" s="182">
        <f t="shared" si="3"/>
        <v>0.95202999077326866</v>
      </c>
      <c r="S5" s="185">
        <v>16.55</v>
      </c>
      <c r="T5" s="179">
        <v>485.83</v>
      </c>
      <c r="U5" s="182">
        <f t="shared" si="4"/>
        <v>0.71878412552764415</v>
      </c>
    </row>
    <row r="6" spans="2:21" x14ac:dyDescent="0.25">
      <c r="B6" s="65" t="s">
        <v>507</v>
      </c>
      <c r="C6" s="35" t="s">
        <v>18</v>
      </c>
      <c r="D6" s="145" t="s">
        <v>465</v>
      </c>
      <c r="E6" s="35">
        <v>1</v>
      </c>
      <c r="F6" s="145">
        <v>0</v>
      </c>
      <c r="G6" s="140">
        <v>18.690000000000001</v>
      </c>
      <c r="H6" s="140">
        <v>10568.73</v>
      </c>
      <c r="I6" s="19">
        <f t="shared" si="0"/>
        <v>13.974679386695698</v>
      </c>
      <c r="J6" s="27">
        <v>18.27</v>
      </c>
      <c r="K6" s="97">
        <v>7625.05</v>
      </c>
      <c r="L6" s="23">
        <f t="shared" si="1"/>
        <v>13.500688840465754</v>
      </c>
      <c r="M6" s="140">
        <v>18.3</v>
      </c>
      <c r="N6" s="140">
        <v>7839.52</v>
      </c>
      <c r="O6" s="19">
        <f t="shared" si="2"/>
        <v>13.374658554257604</v>
      </c>
      <c r="P6" s="27">
        <v>18.41</v>
      </c>
      <c r="Q6" s="97">
        <v>6803.81</v>
      </c>
      <c r="R6" s="23">
        <f t="shared" si="3"/>
        <v>13.59690835559746</v>
      </c>
      <c r="S6" s="27">
        <v>18.36</v>
      </c>
      <c r="T6" s="97">
        <v>10125.200000000001</v>
      </c>
      <c r="U6" s="23">
        <f t="shared" si="4"/>
        <v>14.980205067189148</v>
      </c>
    </row>
    <row r="7" spans="2:21" x14ac:dyDescent="0.25">
      <c r="B7" s="65">
        <v>1479</v>
      </c>
      <c r="C7" s="35" t="s">
        <v>466</v>
      </c>
      <c r="D7" s="146" t="s">
        <v>467</v>
      </c>
      <c r="E7" s="154">
        <v>0</v>
      </c>
      <c r="F7" s="146">
        <v>0</v>
      </c>
      <c r="G7" s="140">
        <v>17.170000000000002</v>
      </c>
      <c r="H7" s="140">
        <v>473.23</v>
      </c>
      <c r="I7" s="19">
        <f t="shared" si="0"/>
        <v>0.62573625460826465</v>
      </c>
      <c r="J7" s="27">
        <v>16.78</v>
      </c>
      <c r="K7" s="97">
        <v>312.64</v>
      </c>
      <c r="L7" s="23">
        <f t="shared" si="1"/>
        <v>0.55355117134749443</v>
      </c>
      <c r="M7" s="140">
        <v>16.77</v>
      </c>
      <c r="N7" s="140">
        <v>516.87</v>
      </c>
      <c r="O7" s="19">
        <f t="shared" si="2"/>
        <v>0.88180906062349829</v>
      </c>
      <c r="P7" s="27">
        <v>16.850000000000001</v>
      </c>
      <c r="Q7" s="97">
        <v>420.42</v>
      </c>
      <c r="R7" s="23">
        <f t="shared" si="3"/>
        <v>0.84017810768676426</v>
      </c>
      <c r="S7" s="27">
        <v>16.84</v>
      </c>
      <c r="T7" s="97">
        <v>632.73</v>
      </c>
      <c r="U7" s="23">
        <f t="shared" si="4"/>
        <v>0.93612226446515512</v>
      </c>
    </row>
    <row r="8" spans="2:21" s="193" customFormat="1" x14ac:dyDescent="0.25">
      <c r="B8" s="65" t="s">
        <v>509</v>
      </c>
      <c r="C8" s="35" t="s">
        <v>468</v>
      </c>
      <c r="D8" s="177" t="s">
        <v>511</v>
      </c>
      <c r="E8" s="176">
        <v>1</v>
      </c>
      <c r="F8" s="146"/>
      <c r="G8" s="179">
        <v>17.64</v>
      </c>
      <c r="H8" s="179">
        <v>1744.41</v>
      </c>
      <c r="I8" s="191">
        <f t="shared" si="0"/>
        <v>2.30657519578472</v>
      </c>
      <c r="J8" s="185">
        <v>17.23</v>
      </c>
      <c r="K8" s="179">
        <v>1034.9100000000001</v>
      </c>
      <c r="L8" s="182">
        <f t="shared" si="1"/>
        <v>1.8323811500103493</v>
      </c>
      <c r="M8" s="179">
        <v>17.149999999999999</v>
      </c>
      <c r="N8" s="179">
        <v>1072.23</v>
      </c>
      <c r="O8" s="183">
        <f t="shared" si="2"/>
        <v>1.8292842089351939</v>
      </c>
      <c r="P8" s="185">
        <v>17.21</v>
      </c>
      <c r="Q8" s="179">
        <v>970.25</v>
      </c>
      <c r="R8" s="182">
        <f t="shared" si="3"/>
        <v>1.938972477482239</v>
      </c>
      <c r="S8" s="185">
        <v>17.309999999999999</v>
      </c>
      <c r="T8" s="179">
        <v>944.14</v>
      </c>
      <c r="U8" s="182">
        <f t="shared" si="4"/>
        <v>1.3968524880630468</v>
      </c>
    </row>
    <row r="9" spans="2:21" x14ac:dyDescent="0.25">
      <c r="B9" s="65" t="s">
        <v>510</v>
      </c>
      <c r="C9" s="35" t="s">
        <v>468</v>
      </c>
      <c r="D9" s="147" t="s">
        <v>469</v>
      </c>
      <c r="E9" s="155">
        <v>1</v>
      </c>
      <c r="F9" s="147">
        <v>0</v>
      </c>
      <c r="G9" s="140">
        <v>19.350000000000001</v>
      </c>
      <c r="H9" s="140">
        <v>9914.35</v>
      </c>
      <c r="I9" s="19">
        <f t="shared" si="0"/>
        <v>13.109414525443123</v>
      </c>
      <c r="J9" s="27">
        <v>18.93</v>
      </c>
      <c r="K9" s="97">
        <v>10115.049999999999</v>
      </c>
      <c r="L9" s="23">
        <f t="shared" si="1"/>
        <v>17.909409466921936</v>
      </c>
      <c r="M9" s="140">
        <v>18.98</v>
      </c>
      <c r="N9" s="140">
        <v>14080.3</v>
      </c>
      <c r="O9" s="19">
        <f t="shared" si="2"/>
        <v>24.02177746105799</v>
      </c>
      <c r="P9" s="27">
        <v>19.07</v>
      </c>
      <c r="Q9" s="97">
        <v>11184.19</v>
      </c>
      <c r="R9" s="23">
        <f t="shared" si="3"/>
        <v>22.350772061769735</v>
      </c>
      <c r="S9" s="27">
        <v>19.02</v>
      </c>
      <c r="T9" s="97">
        <v>15677.34</v>
      </c>
      <c r="U9" s="23">
        <f t="shared" si="4"/>
        <v>23.194580660929866</v>
      </c>
    </row>
    <row r="10" spans="2:21" x14ac:dyDescent="0.25">
      <c r="B10" s="65">
        <v>1641</v>
      </c>
      <c r="C10" s="35" t="s">
        <v>470</v>
      </c>
      <c r="D10" s="148" t="s">
        <v>471</v>
      </c>
      <c r="E10" s="156">
        <v>0</v>
      </c>
      <c r="F10" s="162">
        <v>0</v>
      </c>
      <c r="G10" s="140">
        <v>18.11</v>
      </c>
      <c r="H10" s="140">
        <v>581.42999999999995</v>
      </c>
      <c r="I10" s="19">
        <f t="shared" si="0"/>
        <v>0.76880550792824487</v>
      </c>
      <c r="J10" s="27">
        <v>17.7</v>
      </c>
      <c r="K10" s="97">
        <v>488.16</v>
      </c>
      <c r="L10" s="23">
        <f t="shared" si="1"/>
        <v>0.86432171124933777</v>
      </c>
      <c r="M10" s="140" t="s">
        <v>512</v>
      </c>
      <c r="N10" s="140">
        <v>387.7</v>
      </c>
      <c r="O10" s="19">
        <f t="shared" si="2"/>
        <v>0.66143783311805726</v>
      </c>
      <c r="P10" s="27">
        <v>17.739999999999998</v>
      </c>
      <c r="Q10" s="97">
        <v>201.49</v>
      </c>
      <c r="R10" s="23">
        <f t="shared" si="3"/>
        <v>0.40266278226013547</v>
      </c>
      <c r="S10" s="27">
        <v>17.79</v>
      </c>
      <c r="T10" s="97">
        <v>475.67</v>
      </c>
      <c r="U10" s="23">
        <f t="shared" si="4"/>
        <v>0.70375243395783404</v>
      </c>
    </row>
    <row r="11" spans="2:21" x14ac:dyDescent="0.25">
      <c r="B11" s="65">
        <v>1666</v>
      </c>
      <c r="C11" s="35" t="s">
        <v>472</v>
      </c>
      <c r="D11" s="149" t="s">
        <v>473</v>
      </c>
      <c r="E11" s="157">
        <v>1</v>
      </c>
      <c r="F11" s="149">
        <v>0</v>
      </c>
      <c r="G11" s="140">
        <v>15.77</v>
      </c>
      <c r="H11" s="140">
        <v>1512.78</v>
      </c>
      <c r="I11" s="19">
        <f t="shared" si="0"/>
        <v>2.0002985678133056</v>
      </c>
      <c r="J11" s="27">
        <v>15.37</v>
      </c>
      <c r="K11" s="97">
        <v>959.47</v>
      </c>
      <c r="L11" s="23">
        <f t="shared" si="1"/>
        <v>1.6988093090224559</v>
      </c>
      <c r="M11" s="140">
        <v>15.36</v>
      </c>
      <c r="N11" s="140">
        <v>1000.07</v>
      </c>
      <c r="O11" s="19">
        <f t="shared" si="2"/>
        <v>1.706175222508062</v>
      </c>
      <c r="P11" s="27">
        <v>15.36</v>
      </c>
      <c r="Q11" s="97">
        <v>1237.46</v>
      </c>
      <c r="R11" s="23">
        <f t="shared" si="3"/>
        <v>2.4729717928216148</v>
      </c>
      <c r="S11" s="27">
        <v>15.43</v>
      </c>
      <c r="T11" s="97">
        <v>1444.94</v>
      </c>
      <c r="U11" s="23">
        <f t="shared" si="4"/>
        <v>2.1377846867009329</v>
      </c>
    </row>
    <row r="12" spans="2:21" x14ac:dyDescent="0.25">
      <c r="B12" s="65">
        <v>1682</v>
      </c>
      <c r="C12" s="35" t="s">
        <v>474</v>
      </c>
      <c r="D12" s="146" t="s">
        <v>475</v>
      </c>
      <c r="E12" s="154">
        <v>0</v>
      </c>
      <c r="F12" s="146">
        <v>0</v>
      </c>
      <c r="G12" s="140" t="s">
        <v>513</v>
      </c>
      <c r="H12" s="140">
        <v>361.3</v>
      </c>
      <c r="I12" s="19">
        <f t="shared" si="0"/>
        <v>0.47773494662207816</v>
      </c>
      <c r="J12" s="27">
        <v>14.06</v>
      </c>
      <c r="K12" s="97">
        <v>133.19999999999999</v>
      </c>
      <c r="L12" s="23">
        <f t="shared" si="1"/>
        <v>0.23583999495741512</v>
      </c>
      <c r="M12" s="140">
        <v>14.03</v>
      </c>
      <c r="N12" s="140">
        <v>152.49</v>
      </c>
      <c r="O12" s="19">
        <f t="shared" si="2"/>
        <v>0.26015644872884336</v>
      </c>
      <c r="P12" s="27">
        <v>14.12</v>
      </c>
      <c r="Q12" s="97">
        <v>222.73</v>
      </c>
      <c r="R12" s="23">
        <f t="shared" si="3"/>
        <v>0.445109342859695</v>
      </c>
      <c r="S12" s="27">
        <v>14.08</v>
      </c>
      <c r="T12" s="97">
        <v>200.71</v>
      </c>
      <c r="U12" s="23">
        <f t="shared" si="4"/>
        <v>0.2969498833638381</v>
      </c>
    </row>
    <row r="13" spans="2:21" x14ac:dyDescent="0.25">
      <c r="B13" s="65">
        <v>1787</v>
      </c>
      <c r="C13" s="35" t="s">
        <v>476</v>
      </c>
      <c r="D13" s="146" t="s">
        <v>477</v>
      </c>
      <c r="E13" s="154">
        <v>1</v>
      </c>
      <c r="F13" s="146">
        <v>0</v>
      </c>
      <c r="G13" s="140">
        <v>20.02</v>
      </c>
      <c r="H13" s="140">
        <v>12359.33</v>
      </c>
      <c r="I13" s="19">
        <f t="shared" si="0"/>
        <v>16.34233007980805</v>
      </c>
      <c r="J13" s="27">
        <v>19.690000000000001</v>
      </c>
      <c r="K13" s="97">
        <v>9201.67</v>
      </c>
      <c r="L13" s="23">
        <f t="shared" si="1"/>
        <v>16.292205753752238</v>
      </c>
      <c r="M13" s="140">
        <v>19.739999999999998</v>
      </c>
      <c r="N13" s="140">
        <v>8678.7800000000007</v>
      </c>
      <c r="O13" s="19">
        <f t="shared" si="2"/>
        <v>14.806482943792453</v>
      </c>
      <c r="P13" s="27">
        <v>19.82</v>
      </c>
      <c r="Q13" s="97">
        <v>5709.67</v>
      </c>
      <c r="R13" s="23">
        <f t="shared" si="3"/>
        <v>11.410350925540858</v>
      </c>
      <c r="S13" s="27">
        <v>19.77</v>
      </c>
      <c r="T13" s="97">
        <v>9410.77</v>
      </c>
      <c r="U13" s="23">
        <f t="shared" si="4"/>
        <v>13.923207881340774</v>
      </c>
    </row>
    <row r="14" spans="2:21" x14ac:dyDescent="0.25">
      <c r="B14" s="65">
        <v>1828</v>
      </c>
      <c r="C14" s="35" t="s">
        <v>478</v>
      </c>
      <c r="D14" s="150" t="s">
        <v>479</v>
      </c>
      <c r="E14" s="158">
        <v>1</v>
      </c>
      <c r="F14" s="150">
        <v>0</v>
      </c>
      <c r="G14" s="140">
        <v>16.7</v>
      </c>
      <c r="H14" s="140">
        <v>5438.78</v>
      </c>
      <c r="I14" s="19">
        <f t="shared" si="0"/>
        <v>7.1915175006621261</v>
      </c>
      <c r="J14" s="27">
        <v>16.12</v>
      </c>
      <c r="K14" s="97">
        <v>1561.07</v>
      </c>
      <c r="L14" s="23">
        <f t="shared" si="1"/>
        <v>2.763984541502793</v>
      </c>
      <c r="M14" s="140">
        <v>16.21</v>
      </c>
      <c r="N14" s="140">
        <v>2428.59</v>
      </c>
      <c r="O14" s="19">
        <f t="shared" si="2"/>
        <v>4.1433100519272195</v>
      </c>
      <c r="P14" s="27">
        <v>16.190000000000001</v>
      </c>
      <c r="Q14" s="97">
        <v>2565.23</v>
      </c>
      <c r="R14" s="23">
        <f t="shared" si="3"/>
        <v>5.1264214052169699</v>
      </c>
      <c r="S14" s="27">
        <v>16.170000000000002</v>
      </c>
      <c r="T14" s="97">
        <v>2940.2</v>
      </c>
      <c r="U14" s="23">
        <f t="shared" si="4"/>
        <v>4.3500176725940749</v>
      </c>
    </row>
    <row r="15" spans="2:21" x14ac:dyDescent="0.25">
      <c r="B15" s="65">
        <v>1916</v>
      </c>
      <c r="C15" s="35" t="s">
        <v>480</v>
      </c>
      <c r="D15" s="146" t="s">
        <v>481</v>
      </c>
      <c r="E15" s="154">
        <v>1</v>
      </c>
      <c r="F15" s="146">
        <v>1</v>
      </c>
      <c r="G15" s="140">
        <v>20.56</v>
      </c>
      <c r="H15" s="140">
        <v>1577.49</v>
      </c>
      <c r="I15" s="19">
        <f t="shared" si="0"/>
        <v>2.0858624438053197</v>
      </c>
      <c r="J15" s="27">
        <v>20.25</v>
      </c>
      <c r="K15" s="97">
        <v>920.3</v>
      </c>
      <c r="L15" s="23">
        <f t="shared" si="1"/>
        <v>1.6294560612560749</v>
      </c>
      <c r="M15" s="140">
        <v>20.309999999999999</v>
      </c>
      <c r="N15" s="140">
        <v>952.76</v>
      </c>
      <c r="O15" s="19">
        <f t="shared" si="2"/>
        <v>1.6254617226761938</v>
      </c>
      <c r="P15" s="27">
        <v>20.47</v>
      </c>
      <c r="Q15" s="97">
        <v>912.06</v>
      </c>
      <c r="R15" s="23">
        <f t="shared" si="3"/>
        <v>1.8226840894743117</v>
      </c>
      <c r="S15" s="27">
        <v>20.329999999999998</v>
      </c>
      <c r="T15" s="97">
        <v>1014.8</v>
      </c>
      <c r="U15" s="23">
        <f t="shared" si="4"/>
        <v>1.5013937603389114</v>
      </c>
    </row>
    <row r="16" spans="2:21" x14ac:dyDescent="0.25">
      <c r="B16" s="65">
        <v>1990</v>
      </c>
      <c r="C16" s="35" t="s">
        <v>482</v>
      </c>
      <c r="D16" s="146" t="s">
        <v>483</v>
      </c>
      <c r="E16" s="159">
        <v>1</v>
      </c>
      <c r="F16" s="151">
        <v>0</v>
      </c>
      <c r="G16" s="140">
        <v>16.98</v>
      </c>
      <c r="H16" s="140">
        <v>4508.08</v>
      </c>
      <c r="I16" s="19">
        <f t="shared" si="0"/>
        <v>5.960883914110318</v>
      </c>
      <c r="J16" s="27">
        <v>16.489999999999998</v>
      </c>
      <c r="K16" s="97">
        <v>2333.9499999999998</v>
      </c>
      <c r="L16" s="23">
        <f t="shared" si="1"/>
        <v>4.1324230948262697</v>
      </c>
      <c r="M16" s="140">
        <v>16.489999999999998</v>
      </c>
      <c r="N16" s="140">
        <v>1912.75</v>
      </c>
      <c r="O16" s="19">
        <f t="shared" si="2"/>
        <v>3.2632582287762806</v>
      </c>
      <c r="P16" s="27">
        <v>16.57</v>
      </c>
      <c r="Q16" s="97">
        <v>2291.17</v>
      </c>
      <c r="R16" s="23">
        <f t="shared" si="3"/>
        <v>4.5787328742416724</v>
      </c>
      <c r="S16" s="27">
        <v>16.55</v>
      </c>
      <c r="T16" s="97">
        <v>2689.02</v>
      </c>
      <c r="U16" s="23">
        <f t="shared" si="4"/>
        <v>3.9783975654577648</v>
      </c>
    </row>
    <row r="17" spans="2:21" s="193" customFormat="1" x14ac:dyDescent="0.25">
      <c r="B17" s="65">
        <v>2078</v>
      </c>
      <c r="C17" s="35" t="s">
        <v>484</v>
      </c>
      <c r="D17" s="177" t="s">
        <v>514</v>
      </c>
      <c r="E17" s="176">
        <v>1</v>
      </c>
      <c r="F17" s="151">
        <v>1</v>
      </c>
      <c r="G17" s="179">
        <v>19.63</v>
      </c>
      <c r="H17" s="179">
        <v>557.03</v>
      </c>
      <c r="I17" s="191">
        <f t="shared" si="0"/>
        <v>0.73654220126458947</v>
      </c>
      <c r="J17" s="185">
        <v>19.309999999999999</v>
      </c>
      <c r="K17" s="179">
        <v>419.21</v>
      </c>
      <c r="L17" s="182">
        <f t="shared" si="1"/>
        <v>0.74224087301875374</v>
      </c>
      <c r="M17" s="179" t="s">
        <v>515</v>
      </c>
      <c r="N17" s="179">
        <v>352.8</v>
      </c>
      <c r="O17" s="183">
        <f t="shared" si="2"/>
        <v>0.60189648574684196</v>
      </c>
      <c r="P17" s="185">
        <v>19.350000000000001</v>
      </c>
      <c r="Q17" s="179">
        <v>340.08</v>
      </c>
      <c r="R17" s="182">
        <f t="shared" si="3"/>
        <v>0.67962459174662182</v>
      </c>
      <c r="S17" s="185">
        <v>19.399999999999999</v>
      </c>
      <c r="T17" s="179">
        <v>447.83</v>
      </c>
      <c r="U17" s="182">
        <f t="shared" si="4"/>
        <v>0.66256323186103139</v>
      </c>
    </row>
    <row r="18" spans="2:21" x14ac:dyDescent="0.25">
      <c r="B18" s="65">
        <v>2078</v>
      </c>
      <c r="C18" s="35" t="s">
        <v>484</v>
      </c>
      <c r="D18" s="151" t="s">
        <v>485</v>
      </c>
      <c r="E18" s="160">
        <v>1</v>
      </c>
      <c r="F18" s="163">
        <v>1</v>
      </c>
      <c r="G18" s="140">
        <v>21.14</v>
      </c>
      <c r="H18" s="140">
        <v>5230.3500000000004</v>
      </c>
      <c r="I18" s="19">
        <f t="shared" si="0"/>
        <v>6.9159174593545165</v>
      </c>
      <c r="J18" s="27">
        <v>20.82</v>
      </c>
      <c r="K18" s="97">
        <v>5917.5</v>
      </c>
      <c r="L18" s="23">
        <f t="shared" si="1"/>
        <v>10.477351127331112</v>
      </c>
      <c r="M18" s="140">
        <v>20.89</v>
      </c>
      <c r="N18" s="140">
        <v>5129.28</v>
      </c>
      <c r="O18" s="19">
        <f t="shared" si="2"/>
        <v>8.7508378866540859</v>
      </c>
      <c r="P18" s="27">
        <v>21.05</v>
      </c>
      <c r="Q18" s="97">
        <v>4684.29</v>
      </c>
      <c r="R18" s="23">
        <f t="shared" si="3"/>
        <v>9.3612052425099499</v>
      </c>
      <c r="S18" s="27">
        <v>20.9</v>
      </c>
      <c r="T18" s="97">
        <v>6147.37</v>
      </c>
      <c r="U18" s="23">
        <f t="shared" si="4"/>
        <v>9.09501671314014</v>
      </c>
    </row>
    <row r="19" spans="2:21" x14ac:dyDescent="0.25">
      <c r="B19" s="65">
        <v>2119</v>
      </c>
      <c r="C19" s="35" t="s">
        <v>486</v>
      </c>
      <c r="D19" s="146" t="s">
        <v>487</v>
      </c>
      <c r="E19" s="154">
        <v>1</v>
      </c>
      <c r="F19" s="146">
        <v>1</v>
      </c>
      <c r="G19" s="140">
        <v>17.64</v>
      </c>
      <c r="H19" s="140">
        <v>560.59</v>
      </c>
      <c r="I19" s="19">
        <f t="shared" si="0"/>
        <v>0.74124947059748358</v>
      </c>
      <c r="J19" s="27">
        <v>17.329999999999998</v>
      </c>
      <c r="K19" s="97">
        <v>370.08</v>
      </c>
      <c r="L19" s="23">
        <f t="shared" si="1"/>
        <v>0.65525274274654799</v>
      </c>
      <c r="M19" s="140">
        <v>17.34</v>
      </c>
      <c r="N19" s="140">
        <v>721.12</v>
      </c>
      <c r="O19" s="19">
        <f t="shared" si="2"/>
        <v>1.2302709574879893</v>
      </c>
      <c r="P19" s="27">
        <v>17.309999999999999</v>
      </c>
      <c r="Q19" s="97">
        <v>695.22</v>
      </c>
      <c r="R19" s="23">
        <f t="shared" si="3"/>
        <v>1.3893454736358697</v>
      </c>
      <c r="S19" s="27">
        <v>17.41</v>
      </c>
      <c r="T19" s="97">
        <v>792.15</v>
      </c>
      <c r="U19" s="23">
        <f t="shared" si="4"/>
        <v>1.1719837083686131</v>
      </c>
    </row>
    <row r="20" spans="2:21" x14ac:dyDescent="0.25">
      <c r="B20" s="65">
        <v>2135</v>
      </c>
      <c r="C20" s="35" t="s">
        <v>488</v>
      </c>
      <c r="D20" s="146" t="s">
        <v>489</v>
      </c>
      <c r="E20" s="154">
        <v>0</v>
      </c>
      <c r="F20" s="146">
        <v>1</v>
      </c>
      <c r="G20" s="140">
        <v>16.7</v>
      </c>
      <c r="H20" s="140">
        <v>398.74</v>
      </c>
      <c r="I20" s="19">
        <f t="shared" si="0"/>
        <v>0.52724061061745764</v>
      </c>
      <c r="J20" s="27" t="s">
        <v>516</v>
      </c>
      <c r="K20" s="97">
        <v>440</v>
      </c>
      <c r="L20" s="23">
        <f t="shared" si="1"/>
        <v>0.77905103439386381</v>
      </c>
      <c r="M20" s="140" t="s">
        <v>517</v>
      </c>
      <c r="N20" s="140">
        <v>458.6</v>
      </c>
      <c r="O20" s="19">
        <f t="shared" si="2"/>
        <v>0.78239718923895052</v>
      </c>
      <c r="P20" s="27">
        <v>16.190000000000001</v>
      </c>
      <c r="Q20" s="97">
        <v>307.29000000000002</v>
      </c>
      <c r="R20" s="23">
        <f t="shared" si="3"/>
        <v>0.61409621500182154</v>
      </c>
      <c r="S20" s="27">
        <v>16.260000000000002</v>
      </c>
      <c r="T20" s="97">
        <v>528.01</v>
      </c>
      <c r="U20" s="23">
        <f t="shared" si="4"/>
        <v>0.78118931749758436</v>
      </c>
    </row>
    <row r="21" spans="2:21" x14ac:dyDescent="0.25">
      <c r="B21" s="69" t="s">
        <v>490</v>
      </c>
      <c r="C21" s="35" t="s">
        <v>4</v>
      </c>
      <c r="D21" s="152" t="s">
        <v>491</v>
      </c>
      <c r="E21" s="161">
        <v>0</v>
      </c>
      <c r="F21" s="152">
        <v>1</v>
      </c>
      <c r="G21" s="140">
        <v>20.56</v>
      </c>
      <c r="H21" s="140">
        <v>463.12</v>
      </c>
      <c r="I21" s="19">
        <f t="shared" si="0"/>
        <v>0.61236813860951234</v>
      </c>
      <c r="J21" s="27">
        <v>20.25</v>
      </c>
      <c r="K21" s="97">
        <v>430.27</v>
      </c>
      <c r="L21" s="23">
        <f t="shared" si="1"/>
        <v>0.76182338311056319</v>
      </c>
      <c r="M21" s="140">
        <v>20.309999999999999</v>
      </c>
      <c r="N21" s="140">
        <v>538.48</v>
      </c>
      <c r="O21" s="19">
        <f t="shared" si="2"/>
        <v>0.91867692643129095</v>
      </c>
      <c r="P21" s="27" t="s">
        <v>518</v>
      </c>
      <c r="Q21" s="97">
        <v>457.9</v>
      </c>
      <c r="R21" s="23">
        <f t="shared" si="3"/>
        <v>0.91507910068448062</v>
      </c>
      <c r="S21" s="27">
        <v>20.239999999999998</v>
      </c>
      <c r="T21" s="97">
        <v>661.88</v>
      </c>
      <c r="U21" s="23">
        <f t="shared" si="4"/>
        <v>0.97924960789625404</v>
      </c>
    </row>
    <row r="22" spans="2:21" x14ac:dyDescent="0.25">
      <c r="B22" s="65">
        <v>2281</v>
      </c>
      <c r="C22" s="35" t="s">
        <v>492</v>
      </c>
      <c r="D22" s="152" t="s">
        <v>493</v>
      </c>
      <c r="E22" s="161">
        <v>1</v>
      </c>
      <c r="F22" s="152">
        <v>1</v>
      </c>
      <c r="G22" s="140">
        <v>18.309999999999999</v>
      </c>
      <c r="H22" s="140">
        <v>5825.8</v>
      </c>
      <c r="I22" s="19">
        <f t="shared" si="0"/>
        <v>7.703261145947697</v>
      </c>
      <c r="J22" s="27">
        <v>17.89</v>
      </c>
      <c r="K22" s="97">
        <v>3970.39</v>
      </c>
      <c r="L22" s="23">
        <f t="shared" si="1"/>
        <v>7.0298555373796656</v>
      </c>
      <c r="M22" s="140">
        <v>17.920000000000002</v>
      </c>
      <c r="N22" s="140">
        <v>3467.73</v>
      </c>
      <c r="O22" s="19">
        <f t="shared" si="2"/>
        <v>5.9161408744866675</v>
      </c>
      <c r="P22" s="27">
        <v>18.03</v>
      </c>
      <c r="Q22" s="97">
        <v>3189.43</v>
      </c>
      <c r="R22" s="23">
        <f t="shared" si="3"/>
        <v>6.3738386898801114</v>
      </c>
      <c r="S22" s="27">
        <v>17.98</v>
      </c>
      <c r="T22" s="97">
        <v>4504.6400000000003</v>
      </c>
      <c r="U22" s="23">
        <f t="shared" si="4"/>
        <v>6.664602274904488</v>
      </c>
    </row>
    <row r="23" spans="2:21" x14ac:dyDescent="0.25">
      <c r="B23" s="65">
        <v>2369</v>
      </c>
      <c r="C23" s="35" t="s">
        <v>494</v>
      </c>
      <c r="D23" s="152" t="s">
        <v>495</v>
      </c>
      <c r="E23" s="161">
        <v>1</v>
      </c>
      <c r="F23" s="152">
        <v>1</v>
      </c>
      <c r="G23" s="140">
        <v>22.01</v>
      </c>
      <c r="H23" s="140">
        <v>6192.3</v>
      </c>
      <c r="I23" s="19">
        <f t="shared" si="0"/>
        <v>8.1878718792358001</v>
      </c>
      <c r="J23" s="27">
        <v>21.77</v>
      </c>
      <c r="K23" s="97">
        <v>4479.6400000000003</v>
      </c>
      <c r="L23" s="23">
        <f t="shared" si="1"/>
        <v>7.9315185811639282</v>
      </c>
      <c r="M23" s="140">
        <v>21.95</v>
      </c>
      <c r="N23" s="140">
        <v>3736.98</v>
      </c>
      <c r="O23" s="19">
        <f t="shared" si="2"/>
        <v>6.3754963982602986</v>
      </c>
      <c r="P23" s="27">
        <v>21.97</v>
      </c>
      <c r="Q23" s="97">
        <v>3194.83</v>
      </c>
      <c r="R23" s="23">
        <f t="shared" si="3"/>
        <v>6.3846301883376269</v>
      </c>
      <c r="S23" s="27">
        <v>21.85</v>
      </c>
      <c r="T23" s="97">
        <v>4152.26</v>
      </c>
      <c r="U23" s="23">
        <f t="shared" si="4"/>
        <v>6.1432570509507771</v>
      </c>
    </row>
    <row r="24" spans="2:21" x14ac:dyDescent="0.25">
      <c r="B24" s="65">
        <v>2426</v>
      </c>
      <c r="C24" s="35" t="s">
        <v>496</v>
      </c>
      <c r="D24" s="146" t="s">
        <v>497</v>
      </c>
      <c r="E24" s="154">
        <v>0</v>
      </c>
      <c r="F24" s="146">
        <v>1</v>
      </c>
      <c r="G24" s="140">
        <v>18.02</v>
      </c>
      <c r="H24" s="140">
        <v>573.5</v>
      </c>
      <c r="I24" s="19">
        <f t="shared" si="0"/>
        <v>0.75831993326255687</v>
      </c>
      <c r="J24" s="27">
        <v>7.8</v>
      </c>
      <c r="K24" s="97">
        <v>450.2</v>
      </c>
      <c r="L24" s="23">
        <f t="shared" si="1"/>
        <v>0.79711085382753977</v>
      </c>
      <c r="M24" s="140" t="s">
        <v>522</v>
      </c>
      <c r="N24" s="140">
        <v>285</v>
      </c>
      <c r="O24" s="19">
        <f t="shared" si="2"/>
        <v>0.48622590260161552</v>
      </c>
      <c r="P24" s="27" t="s">
        <v>521</v>
      </c>
      <c r="Q24" s="97">
        <v>242</v>
      </c>
      <c r="R24" s="23">
        <f t="shared" si="3"/>
        <v>0.48361900494790194</v>
      </c>
      <c r="S24" s="27">
        <v>17.79</v>
      </c>
      <c r="T24" s="97">
        <v>417.36</v>
      </c>
      <c r="U24" s="23">
        <f t="shared" si="4"/>
        <v>0.61748295212361848</v>
      </c>
    </row>
    <row r="25" spans="2:21" x14ac:dyDescent="0.25">
      <c r="B25" s="65">
        <v>2572</v>
      </c>
      <c r="C25" s="35" t="s">
        <v>498</v>
      </c>
      <c r="D25" s="146" t="s">
        <v>499</v>
      </c>
      <c r="E25" s="154">
        <v>1</v>
      </c>
      <c r="F25" s="146">
        <v>1</v>
      </c>
      <c r="G25" s="140">
        <v>19.63</v>
      </c>
      <c r="H25" s="140">
        <v>5765.66</v>
      </c>
      <c r="I25" s="19">
        <f t="shared" si="0"/>
        <v>7.6237400286217856</v>
      </c>
      <c r="J25" s="27">
        <v>19.309999999999999</v>
      </c>
      <c r="K25" s="97">
        <v>4656.3900000000003</v>
      </c>
      <c r="L25" s="23">
        <f t="shared" si="1"/>
        <v>8.2444669228210081</v>
      </c>
      <c r="M25" s="140">
        <v>19.36</v>
      </c>
      <c r="N25" s="140">
        <v>4123.43</v>
      </c>
      <c r="O25" s="19">
        <f t="shared" si="2"/>
        <v>7.0348016616301035</v>
      </c>
      <c r="P25" s="27">
        <v>19.45</v>
      </c>
      <c r="Q25" s="97">
        <v>3689.57</v>
      </c>
      <c r="R25" s="23">
        <f t="shared" si="3"/>
        <v>7.3733312896100438</v>
      </c>
      <c r="S25" s="27">
        <v>19.399999999999999</v>
      </c>
      <c r="T25" s="97">
        <v>3427.99</v>
      </c>
      <c r="U25" s="23">
        <f t="shared" si="4"/>
        <v>5.0717016126371552</v>
      </c>
    </row>
    <row r="26" spans="2:21" ht="15.75" thickBot="1" x14ac:dyDescent="0.3">
      <c r="B26" s="175"/>
      <c r="C26" s="173"/>
      <c r="D26" s="180"/>
      <c r="E26" s="173"/>
      <c r="F26" s="180"/>
      <c r="G26" s="174"/>
      <c r="H26" s="174">
        <f>SUM(H4:H25)</f>
        <v>75627.709999999992</v>
      </c>
      <c r="I26" s="188">
        <f>SUBTOTAL(109,Table15[Percentage])</f>
        <v>99.999999999999986</v>
      </c>
      <c r="J26" s="186"/>
      <c r="K26" s="174">
        <f>SUM(K4:K25)</f>
        <v>56478.969999999994</v>
      </c>
      <c r="L26" s="181">
        <f>SUBTOTAL(109,Table15[Percentage2])</f>
        <v>100</v>
      </c>
      <c r="M26" s="184"/>
      <c r="N26" s="187">
        <f>SUM(N4:N25)</f>
        <v>58614.730000000018</v>
      </c>
      <c r="O26" s="165">
        <f>SUBTOTAL(109,Table15[Percentage5])</f>
        <v>99.999999999999972</v>
      </c>
      <c r="P26" s="196"/>
      <c r="Q26" s="195">
        <f>SUM(Q4:Q25)</f>
        <v>50039.390000000007</v>
      </c>
      <c r="R26" s="127">
        <f>SUBTOTAL(109,Table15[Percentage8])</f>
        <v>100</v>
      </c>
      <c r="S26" s="167"/>
      <c r="T26" s="142">
        <f>SUM(T4:T25)</f>
        <v>67590.53</v>
      </c>
      <c r="U26" s="198">
        <f>SUBTOTAL(109,Table15[Percentage11])</f>
        <v>99.999999999999986</v>
      </c>
    </row>
    <row r="29" spans="2:21" ht="21" x14ac:dyDescent="0.35">
      <c r="B29" s="4" t="s">
        <v>5</v>
      </c>
    </row>
    <row r="30" spans="2:21" x14ac:dyDescent="0.25">
      <c r="B30" s="5" t="s">
        <v>6</v>
      </c>
      <c r="C30" s="61" t="s">
        <v>7</v>
      </c>
    </row>
    <row r="31" spans="2:21" x14ac:dyDescent="0.25">
      <c r="B31" s="5" t="s">
        <v>8</v>
      </c>
      <c r="C31" s="61" t="s">
        <v>9</v>
      </c>
      <c r="P31" s="194"/>
      <c r="Q31" s="194"/>
      <c r="R31" s="192"/>
      <c r="S31" s="194"/>
    </row>
    <row r="32" spans="2:21" x14ac:dyDescent="0.25">
      <c r="B32" s="5" t="s">
        <v>10</v>
      </c>
      <c r="C32" s="61" t="s">
        <v>11</v>
      </c>
      <c r="P32" s="194"/>
      <c r="Q32" s="194"/>
      <c r="R32" s="190"/>
      <c r="S32" s="194"/>
    </row>
    <row r="33" spans="2:19" x14ac:dyDescent="0.25">
      <c r="C33" s="61" t="s">
        <v>12</v>
      </c>
      <c r="P33" s="194"/>
      <c r="Q33" s="194"/>
      <c r="R33" s="190"/>
      <c r="S33" s="194"/>
    </row>
    <row r="34" spans="2:19" x14ac:dyDescent="0.25">
      <c r="B34" s="5" t="s">
        <v>13</v>
      </c>
      <c r="C34" s="61" t="s">
        <v>500</v>
      </c>
      <c r="P34" s="194"/>
      <c r="Q34" s="194"/>
      <c r="R34" s="190"/>
      <c r="S34" s="194"/>
    </row>
    <row r="35" spans="2:19" x14ac:dyDescent="0.25">
      <c r="B35" s="5" t="s">
        <v>14</v>
      </c>
      <c r="C35" s="61" t="s">
        <v>16</v>
      </c>
      <c r="P35" s="194"/>
      <c r="Q35" s="194"/>
      <c r="R35" s="190"/>
      <c r="S35" s="194"/>
    </row>
    <row r="36" spans="2:19" x14ac:dyDescent="0.25">
      <c r="B36" s="5" t="s">
        <v>15</v>
      </c>
      <c r="C36" s="61" t="s">
        <v>17</v>
      </c>
    </row>
    <row r="55" spans="4:4" x14ac:dyDescent="0.25">
      <c r="D55" s="201"/>
    </row>
  </sheetData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F86"/>
  <sheetViews>
    <sheetView topLeftCell="D1" zoomScale="80" zoomScaleNormal="80" workbookViewId="0">
      <pane ySplit="3" topLeftCell="A4" activePane="bottomLeft" state="frozen"/>
      <selection activeCell="S1" sqref="S1"/>
      <selection pane="bottomLeft" activeCell="AA18" sqref="AA18"/>
    </sheetView>
  </sheetViews>
  <sheetFormatPr defaultColWidth="8.85546875" defaultRowHeight="15" x14ac:dyDescent="0.25"/>
  <cols>
    <col min="1" max="1" width="8.85546875" style="201"/>
    <col min="2" max="2" width="9.85546875" style="202" customWidth="1"/>
    <col min="3" max="3" width="30.5703125" style="202" customWidth="1"/>
    <col min="4" max="4" width="69.28515625" style="202" customWidth="1"/>
    <col min="5" max="8" width="8.85546875" style="203" customWidth="1"/>
    <col min="9" max="9" width="8.85546875" style="207" customWidth="1"/>
    <col min="10" max="10" width="9.85546875" style="207" customWidth="1"/>
    <col min="11" max="11" width="8.85546875" style="202" customWidth="1"/>
    <col min="12" max="12" width="8.85546875" style="207" customWidth="1"/>
    <col min="13" max="13" width="10.85546875" style="207" customWidth="1"/>
    <col min="14" max="14" width="8.85546875" style="202" customWidth="1"/>
    <col min="15" max="15" width="8.85546875" style="209" customWidth="1"/>
    <col min="16" max="16" width="13.140625" style="209" bestFit="1" customWidth="1"/>
    <col min="17" max="17" width="13.140625" style="294" customWidth="1"/>
    <col min="18" max="18" width="8.85546875" style="209" customWidth="1"/>
    <col min="19" max="19" width="9.5703125" style="209" customWidth="1"/>
    <col min="20" max="20" width="15" style="295" bestFit="1" customWidth="1"/>
    <col min="21" max="21" width="8.85546875" style="209" customWidth="1"/>
    <col min="22" max="22" width="9.42578125" style="209" customWidth="1"/>
    <col min="23" max="23" width="13.140625" style="294" bestFit="1" customWidth="1"/>
    <col min="24" max="32" width="9.140625" style="193" customWidth="1"/>
    <col min="33" max="16384" width="8.85546875" style="201"/>
  </cols>
  <sheetData>
    <row r="1" spans="2:32" ht="18.75" x14ac:dyDescent="0.3">
      <c r="I1" s="204" t="s">
        <v>539</v>
      </c>
      <c r="J1" s="205"/>
      <c r="K1" s="206"/>
      <c r="L1" s="7" t="s">
        <v>540</v>
      </c>
      <c r="O1" s="208" t="s">
        <v>541</v>
      </c>
      <c r="Q1" s="210" t="s">
        <v>542</v>
      </c>
      <c r="R1" s="208" t="s">
        <v>543</v>
      </c>
      <c r="T1" s="210" t="s">
        <v>544</v>
      </c>
      <c r="U1" s="208" t="s">
        <v>545</v>
      </c>
      <c r="W1" s="210" t="s">
        <v>546</v>
      </c>
      <c r="X1" s="201"/>
      <c r="Y1" s="201"/>
      <c r="Z1" s="201"/>
      <c r="AA1" s="201"/>
      <c r="AB1" s="201"/>
      <c r="AC1" s="201"/>
      <c r="AD1" s="201"/>
      <c r="AE1" s="201"/>
      <c r="AF1" s="201"/>
    </row>
    <row r="2" spans="2:32" s="223" customFormat="1" ht="21" x14ac:dyDescent="0.35">
      <c r="B2" s="211"/>
      <c r="C2" s="211"/>
      <c r="D2" s="211"/>
      <c r="E2" s="212"/>
      <c r="F2" s="212"/>
      <c r="G2" s="212"/>
      <c r="H2" s="212"/>
      <c r="I2" s="213" t="s">
        <v>547</v>
      </c>
      <c r="J2" s="213"/>
      <c r="K2" s="214"/>
      <c r="L2" s="215" t="s">
        <v>548</v>
      </c>
      <c r="M2" s="216"/>
      <c r="N2" s="211"/>
      <c r="O2" s="217" t="s">
        <v>549</v>
      </c>
      <c r="P2" s="218"/>
      <c r="Q2" s="219"/>
      <c r="R2" s="220" t="s">
        <v>550</v>
      </c>
      <c r="S2" s="221"/>
      <c r="T2" s="222"/>
      <c r="U2" s="220" t="s">
        <v>551</v>
      </c>
      <c r="V2" s="218"/>
      <c r="W2" s="219"/>
    </row>
    <row r="3" spans="2:32" ht="15.75" thickBot="1" x14ac:dyDescent="0.3">
      <c r="B3" s="224" t="s">
        <v>552</v>
      </c>
      <c r="C3" s="225" t="s">
        <v>553</v>
      </c>
      <c r="D3" s="226" t="s">
        <v>554</v>
      </c>
      <c r="E3" s="227" t="s">
        <v>555</v>
      </c>
      <c r="F3" s="227" t="s">
        <v>556</v>
      </c>
      <c r="G3" s="227" t="s">
        <v>557</v>
      </c>
      <c r="H3" s="228" t="s">
        <v>558</v>
      </c>
      <c r="I3" s="229" t="s">
        <v>559</v>
      </c>
      <c r="J3" s="229" t="s">
        <v>560</v>
      </c>
      <c r="K3" s="230" t="s">
        <v>460</v>
      </c>
      <c r="L3" s="229" t="s">
        <v>561</v>
      </c>
      <c r="M3" s="229" t="s">
        <v>562</v>
      </c>
      <c r="N3" s="230" t="s">
        <v>563</v>
      </c>
      <c r="O3" s="231" t="s">
        <v>564</v>
      </c>
      <c r="P3" s="231" t="s">
        <v>565</v>
      </c>
      <c r="Q3" s="232" t="s">
        <v>343</v>
      </c>
      <c r="R3" s="233" t="s">
        <v>566</v>
      </c>
      <c r="S3" s="233" t="s">
        <v>567</v>
      </c>
      <c r="T3" s="234" t="s">
        <v>568</v>
      </c>
      <c r="U3" s="235" t="s">
        <v>569</v>
      </c>
      <c r="V3" s="235" t="s">
        <v>570</v>
      </c>
      <c r="W3" s="225" t="s">
        <v>571</v>
      </c>
      <c r="X3" s="201"/>
      <c r="Y3" s="201"/>
      <c r="Z3" s="201"/>
      <c r="AA3" s="201"/>
      <c r="AB3" s="201"/>
      <c r="AC3" s="201"/>
      <c r="AD3" s="201"/>
      <c r="AE3" s="201"/>
      <c r="AF3" s="201"/>
    </row>
    <row r="4" spans="2:32" x14ac:dyDescent="0.25">
      <c r="B4" s="236">
        <v>384</v>
      </c>
      <c r="C4" s="237" t="s">
        <v>26</v>
      </c>
      <c r="D4" s="82" t="s">
        <v>112</v>
      </c>
      <c r="E4" s="238">
        <v>0</v>
      </c>
      <c r="F4" s="112">
        <v>0</v>
      </c>
      <c r="G4" s="116">
        <v>1</v>
      </c>
      <c r="H4" s="111">
        <v>0</v>
      </c>
      <c r="I4" s="239">
        <v>10.64</v>
      </c>
      <c r="J4" s="240">
        <v>1192.01</v>
      </c>
      <c r="K4" s="241">
        <f t="shared" ref="K4:K67" si="0">J4/$J$86*100</f>
        <v>0.19659662431914149</v>
      </c>
      <c r="L4" s="239">
        <v>10.59</v>
      </c>
      <c r="M4" s="240">
        <v>579.41</v>
      </c>
      <c r="N4" s="241">
        <f t="shared" ref="N4:N67" si="1">M4/$M$86*100</f>
        <v>0.10170360426683665</v>
      </c>
      <c r="O4" s="242">
        <v>10.63</v>
      </c>
      <c r="P4" s="243">
        <v>2918.35</v>
      </c>
      <c r="Q4" s="244">
        <f t="shared" ref="Q4:Q67" si="2">P4/$P$86*100</f>
        <v>0.5345074774635411</v>
      </c>
      <c r="R4" s="242">
        <v>10.6</v>
      </c>
      <c r="S4" s="243">
        <v>2379.73</v>
      </c>
      <c r="T4" s="244">
        <f t="shared" ref="T4:T67" si="3">S4/$S$86*100</f>
        <v>0.40086794050000102</v>
      </c>
      <c r="U4" s="242">
        <v>10.62</v>
      </c>
      <c r="V4" s="243">
        <v>1291.21</v>
      </c>
      <c r="W4" s="244">
        <f t="shared" ref="W4:W67" si="4">V4/$V$86*100</f>
        <v>0.28605755592075072</v>
      </c>
      <c r="X4" s="201"/>
      <c r="Y4" s="201"/>
      <c r="Z4" s="201"/>
      <c r="AA4" s="201"/>
      <c r="AB4" s="201"/>
      <c r="AC4" s="201"/>
      <c r="AD4" s="201"/>
      <c r="AE4" s="201"/>
      <c r="AF4" s="201"/>
    </row>
    <row r="5" spans="2:32" x14ac:dyDescent="0.25">
      <c r="B5" s="34" t="s">
        <v>115</v>
      </c>
      <c r="C5" s="145" t="s">
        <v>117</v>
      </c>
      <c r="D5" s="82" t="s">
        <v>262</v>
      </c>
      <c r="E5" s="116">
        <v>0</v>
      </c>
      <c r="F5" s="112">
        <v>0</v>
      </c>
      <c r="G5" s="116">
        <v>3</v>
      </c>
      <c r="H5" s="112">
        <v>0</v>
      </c>
      <c r="I5" s="239">
        <v>11.05</v>
      </c>
      <c r="J5" s="240">
        <v>405.74</v>
      </c>
      <c r="K5" s="245">
        <f t="shared" si="0"/>
        <v>6.6918158699380434E-2</v>
      </c>
      <c r="L5" s="239">
        <v>11.12</v>
      </c>
      <c r="M5" s="240">
        <v>129.28</v>
      </c>
      <c r="N5" s="245">
        <f t="shared" si="1"/>
        <v>2.2692466404819808E-2</v>
      </c>
      <c r="O5" s="27">
        <v>11.07</v>
      </c>
      <c r="P5" s="97">
        <v>3388.13</v>
      </c>
      <c r="Q5" s="23">
        <f t="shared" si="2"/>
        <v>0.62054956383523141</v>
      </c>
      <c r="R5" s="242">
        <v>11.07</v>
      </c>
      <c r="S5" s="243">
        <v>1960.27</v>
      </c>
      <c r="T5" s="244">
        <f t="shared" si="3"/>
        <v>0.33020947658933453</v>
      </c>
      <c r="U5" s="242">
        <v>11.1</v>
      </c>
      <c r="V5" s="243">
        <v>1508.89</v>
      </c>
      <c r="W5" s="246">
        <f t="shared" si="4"/>
        <v>0.33428287075941293</v>
      </c>
      <c r="X5" s="201"/>
      <c r="Y5" s="201"/>
      <c r="Z5" s="201"/>
      <c r="AA5" s="201"/>
      <c r="AB5" s="201"/>
      <c r="AC5" s="201"/>
      <c r="AD5" s="201"/>
      <c r="AE5" s="201"/>
      <c r="AF5" s="201"/>
    </row>
    <row r="6" spans="2:32" x14ac:dyDescent="0.25">
      <c r="B6" s="34" t="s">
        <v>116</v>
      </c>
      <c r="C6" s="145" t="s">
        <v>117</v>
      </c>
      <c r="D6" s="82" t="s">
        <v>572</v>
      </c>
      <c r="E6" s="116">
        <v>0</v>
      </c>
      <c r="F6" s="112">
        <v>0</v>
      </c>
      <c r="G6" s="116">
        <v>5</v>
      </c>
      <c r="H6" s="247">
        <v>0</v>
      </c>
      <c r="I6" s="239">
        <v>13.44</v>
      </c>
      <c r="J6" s="240">
        <v>1837.39</v>
      </c>
      <c r="K6" s="245">
        <f t="shared" si="0"/>
        <v>0.30303828957621781</v>
      </c>
      <c r="L6" s="239">
        <v>13.43</v>
      </c>
      <c r="M6" s="240">
        <v>1032.77</v>
      </c>
      <c r="N6" s="245">
        <f t="shared" si="1"/>
        <v>0.18128170272977839</v>
      </c>
      <c r="O6" s="248">
        <v>13.4</v>
      </c>
      <c r="P6" s="249">
        <v>9759.27</v>
      </c>
      <c r="Q6" s="250">
        <f t="shared" si="2"/>
        <v>1.787449342808646</v>
      </c>
      <c r="R6" s="242">
        <v>13.38</v>
      </c>
      <c r="S6" s="243">
        <v>6384.95</v>
      </c>
      <c r="T6" s="244">
        <f t="shared" si="3"/>
        <v>1.0755513258628002</v>
      </c>
      <c r="U6" s="242">
        <v>13.34</v>
      </c>
      <c r="V6" s="243">
        <v>9306.84</v>
      </c>
      <c r="W6" s="246">
        <f t="shared" si="4"/>
        <v>2.0618581824377751</v>
      </c>
      <c r="X6" s="201"/>
      <c r="Y6" s="201"/>
      <c r="Z6" s="201"/>
      <c r="AA6" s="201"/>
      <c r="AB6" s="201"/>
      <c r="AC6" s="201"/>
      <c r="AD6" s="201"/>
      <c r="AE6" s="201"/>
      <c r="AF6" s="201"/>
    </row>
    <row r="7" spans="2:32" x14ac:dyDescent="0.25">
      <c r="B7" s="34">
        <v>505</v>
      </c>
      <c r="C7" s="145" t="s">
        <v>573</v>
      </c>
      <c r="D7" s="146" t="s">
        <v>574</v>
      </c>
      <c r="E7" s="251">
        <v>0</v>
      </c>
      <c r="F7" s="252">
        <v>1</v>
      </c>
      <c r="G7" s="116">
        <v>0</v>
      </c>
      <c r="H7" s="112">
        <v>0</v>
      </c>
      <c r="I7" s="253" t="s">
        <v>22</v>
      </c>
      <c r="J7" s="240">
        <v>0</v>
      </c>
      <c r="K7" s="245">
        <f t="shared" si="0"/>
        <v>0</v>
      </c>
      <c r="L7" s="253" t="s">
        <v>22</v>
      </c>
      <c r="M7" s="240">
        <v>0</v>
      </c>
      <c r="N7" s="245">
        <f t="shared" si="1"/>
        <v>0</v>
      </c>
      <c r="O7" s="254">
        <v>12.22</v>
      </c>
      <c r="P7" s="243">
        <v>661.52</v>
      </c>
      <c r="Q7" s="23">
        <f t="shared" si="2"/>
        <v>0.12116003443441727</v>
      </c>
      <c r="R7" s="254">
        <v>12.01</v>
      </c>
      <c r="S7" s="243">
        <v>564.13</v>
      </c>
      <c r="T7" s="244">
        <f t="shared" si="3"/>
        <v>9.5028272650370241E-2</v>
      </c>
      <c r="U7" s="254">
        <v>12.01</v>
      </c>
      <c r="V7" s="243">
        <v>670.01</v>
      </c>
      <c r="W7" s="246">
        <f t="shared" si="4"/>
        <v>0.14843551633155116</v>
      </c>
      <c r="X7" s="201"/>
      <c r="Y7" s="201"/>
      <c r="Z7" s="201"/>
      <c r="AA7" s="201"/>
      <c r="AB7" s="201"/>
      <c r="AC7" s="201"/>
      <c r="AD7" s="201"/>
      <c r="AE7" s="201"/>
      <c r="AF7" s="201"/>
    </row>
    <row r="8" spans="2:32" x14ac:dyDescent="0.25">
      <c r="B8" s="34">
        <v>513</v>
      </c>
      <c r="C8" s="145" t="s">
        <v>122</v>
      </c>
      <c r="D8" s="152" t="s">
        <v>575</v>
      </c>
      <c r="E8" s="251">
        <v>1</v>
      </c>
      <c r="F8" s="252">
        <v>0</v>
      </c>
      <c r="G8" s="116">
        <v>0</v>
      </c>
      <c r="H8" s="112">
        <v>0</v>
      </c>
      <c r="I8" s="253">
        <v>11.73</v>
      </c>
      <c r="J8" s="240">
        <v>1568.46</v>
      </c>
      <c r="K8" s="245">
        <f t="shared" si="0"/>
        <v>0.25868402226457887</v>
      </c>
      <c r="L8" s="253">
        <v>11.77</v>
      </c>
      <c r="M8" s="240">
        <v>1549.87</v>
      </c>
      <c r="N8" s="245">
        <f t="shared" si="1"/>
        <v>0.27204805775710139</v>
      </c>
      <c r="O8" s="254" t="s">
        <v>22</v>
      </c>
      <c r="P8" s="243">
        <v>0</v>
      </c>
      <c r="Q8" s="23">
        <f t="shared" si="2"/>
        <v>0</v>
      </c>
      <c r="R8" s="254">
        <v>11.63</v>
      </c>
      <c r="S8" s="243">
        <v>8176.02</v>
      </c>
      <c r="T8" s="244">
        <f t="shared" si="3"/>
        <v>1.3772588902467164</v>
      </c>
      <c r="U8" s="254" t="s">
        <v>22</v>
      </c>
      <c r="V8" s="243">
        <v>0</v>
      </c>
      <c r="W8" s="246">
        <f t="shared" si="4"/>
        <v>0</v>
      </c>
      <c r="X8" s="201"/>
      <c r="Y8" s="255"/>
      <c r="Z8" s="201"/>
      <c r="AA8" s="201"/>
      <c r="AB8" s="201"/>
      <c r="AC8" s="201"/>
      <c r="AD8" s="201"/>
      <c r="AE8" s="201"/>
      <c r="AF8" s="201"/>
    </row>
    <row r="9" spans="2:32" x14ac:dyDescent="0.25">
      <c r="B9" s="34">
        <v>529</v>
      </c>
      <c r="C9" s="145" t="s">
        <v>334</v>
      </c>
      <c r="D9" s="146" t="s">
        <v>335</v>
      </c>
      <c r="E9" s="251">
        <v>1</v>
      </c>
      <c r="F9" s="252">
        <v>0</v>
      </c>
      <c r="G9" s="116">
        <v>0</v>
      </c>
      <c r="H9" s="112">
        <v>0</v>
      </c>
      <c r="I9" s="253">
        <v>11.57</v>
      </c>
      <c r="J9" s="240">
        <v>444</v>
      </c>
      <c r="K9" s="245">
        <f t="shared" si="0"/>
        <v>7.3228329626176633E-2</v>
      </c>
      <c r="L9" s="253">
        <v>11.61</v>
      </c>
      <c r="M9" s="240">
        <v>368.14</v>
      </c>
      <c r="N9" s="245">
        <f t="shared" si="1"/>
        <v>6.4619466137611103E-2</v>
      </c>
      <c r="O9" s="254" t="s">
        <v>22</v>
      </c>
      <c r="P9" s="243">
        <v>0</v>
      </c>
      <c r="Q9" s="23">
        <f t="shared" si="2"/>
        <v>0</v>
      </c>
      <c r="R9" s="254">
        <v>11.44</v>
      </c>
      <c r="S9" s="243">
        <v>1585.47</v>
      </c>
      <c r="T9" s="244">
        <f t="shared" si="3"/>
        <v>0.26707403513194211</v>
      </c>
      <c r="U9" s="254" t="s">
        <v>22</v>
      </c>
      <c r="V9" s="243">
        <v>0</v>
      </c>
      <c r="W9" s="246">
        <f t="shared" si="4"/>
        <v>0</v>
      </c>
      <c r="X9" s="201"/>
      <c r="Y9" s="255"/>
      <c r="Z9" s="201"/>
      <c r="AA9" s="201"/>
      <c r="AB9" s="201"/>
      <c r="AC9" s="201"/>
      <c r="AD9" s="201"/>
      <c r="AE9" s="201"/>
      <c r="AF9" s="201"/>
    </row>
    <row r="10" spans="2:32" x14ac:dyDescent="0.25">
      <c r="B10" s="256" t="s">
        <v>576</v>
      </c>
      <c r="C10" s="145" t="s">
        <v>29</v>
      </c>
      <c r="D10" s="257" t="s">
        <v>577</v>
      </c>
      <c r="E10" s="258">
        <v>0</v>
      </c>
      <c r="F10" s="259">
        <v>0</v>
      </c>
      <c r="G10" s="258">
        <v>0</v>
      </c>
      <c r="H10" s="259">
        <v>1</v>
      </c>
      <c r="I10" s="254">
        <v>15.89</v>
      </c>
      <c r="J10" s="260">
        <v>1095.03</v>
      </c>
      <c r="K10" s="261">
        <f t="shared" si="0"/>
        <v>0.18060184187061307</v>
      </c>
      <c r="L10" s="254" t="s">
        <v>578</v>
      </c>
      <c r="M10" s="260">
        <v>761.4</v>
      </c>
      <c r="N10" s="261">
        <f t="shared" si="1"/>
        <v>0.13364823577219834</v>
      </c>
      <c r="O10" s="262">
        <v>15.87</v>
      </c>
      <c r="P10" s="263">
        <v>1352.32</v>
      </c>
      <c r="Q10" s="264">
        <f t="shared" si="2"/>
        <v>0.24768281800452166</v>
      </c>
      <c r="R10" s="254" t="s">
        <v>579</v>
      </c>
      <c r="S10" s="260">
        <v>945.1</v>
      </c>
      <c r="T10" s="265">
        <f t="shared" si="3"/>
        <v>0.15920305688735739</v>
      </c>
      <c r="U10" s="254">
        <v>15.83</v>
      </c>
      <c r="V10" s="260">
        <v>1359.41</v>
      </c>
      <c r="W10" s="261">
        <f t="shared" si="4"/>
        <v>0.30116673669986116</v>
      </c>
      <c r="X10" s="201"/>
      <c r="Y10" s="255"/>
      <c r="Z10" s="201"/>
      <c r="AA10" s="201"/>
      <c r="AB10" s="201"/>
      <c r="AC10" s="201"/>
      <c r="AD10" s="201"/>
      <c r="AE10" s="201"/>
      <c r="AF10" s="201"/>
    </row>
    <row r="11" spans="2:32" x14ac:dyDescent="0.25">
      <c r="B11" s="256" t="s">
        <v>580</v>
      </c>
      <c r="C11" s="145" t="s">
        <v>29</v>
      </c>
      <c r="D11" s="146" t="s">
        <v>581</v>
      </c>
      <c r="E11" s="258">
        <v>0</v>
      </c>
      <c r="F11" s="259">
        <v>0</v>
      </c>
      <c r="G11" s="258">
        <v>0</v>
      </c>
      <c r="H11" s="259">
        <v>1</v>
      </c>
      <c r="I11" s="254" t="s">
        <v>582</v>
      </c>
      <c r="J11" s="260">
        <v>1847.6</v>
      </c>
      <c r="K11" s="261">
        <f t="shared" si="0"/>
        <v>0.30472221130027916</v>
      </c>
      <c r="L11" s="254" t="s">
        <v>583</v>
      </c>
      <c r="M11" s="260">
        <v>581.6</v>
      </c>
      <c r="N11" s="261">
        <f t="shared" si="1"/>
        <v>0.10208801408603958</v>
      </c>
      <c r="O11" s="262">
        <v>20.69</v>
      </c>
      <c r="P11" s="263">
        <v>607.65</v>
      </c>
      <c r="Q11" s="264">
        <f t="shared" si="2"/>
        <v>0.11129352842555577</v>
      </c>
      <c r="R11" s="254" t="s">
        <v>584</v>
      </c>
      <c r="S11" s="260">
        <v>1033.4000000000001</v>
      </c>
      <c r="T11" s="265">
        <f t="shared" si="3"/>
        <v>0.17407728175578788</v>
      </c>
      <c r="U11" s="254">
        <v>20.57</v>
      </c>
      <c r="V11" s="260">
        <v>531.1</v>
      </c>
      <c r="W11" s="261">
        <f t="shared" si="4"/>
        <v>0.11766108375052138</v>
      </c>
      <c r="X11" s="201"/>
      <c r="Y11" s="255"/>
      <c r="Z11" s="201"/>
      <c r="AA11" s="201"/>
      <c r="AB11" s="201"/>
      <c r="AC11" s="201"/>
      <c r="AD11" s="201"/>
      <c r="AE11" s="201"/>
      <c r="AF11" s="201"/>
    </row>
    <row r="12" spans="2:32" x14ac:dyDescent="0.25">
      <c r="B12" s="256" t="s">
        <v>585</v>
      </c>
      <c r="C12" s="145" t="s">
        <v>29</v>
      </c>
      <c r="D12" s="82" t="s">
        <v>30</v>
      </c>
      <c r="E12" s="116">
        <v>0</v>
      </c>
      <c r="F12" s="112">
        <v>0</v>
      </c>
      <c r="G12" s="116">
        <v>1</v>
      </c>
      <c r="H12" s="112">
        <v>1</v>
      </c>
      <c r="I12" s="253">
        <v>27.93</v>
      </c>
      <c r="J12" s="240">
        <v>50516.02</v>
      </c>
      <c r="K12" s="245">
        <f t="shared" si="0"/>
        <v>8.3315400089246197</v>
      </c>
      <c r="L12" s="253">
        <v>27.91</v>
      </c>
      <c r="M12" s="240">
        <v>52613.06</v>
      </c>
      <c r="N12" s="245">
        <f t="shared" si="1"/>
        <v>9.2351492613302035</v>
      </c>
      <c r="O12" s="254">
        <v>27.92</v>
      </c>
      <c r="P12" s="243">
        <v>57560.08</v>
      </c>
      <c r="Q12" s="23">
        <f t="shared" si="2"/>
        <v>10.542358923158504</v>
      </c>
      <c r="R12" s="254">
        <v>27.9</v>
      </c>
      <c r="S12" s="243">
        <v>40864.94</v>
      </c>
      <c r="T12" s="244">
        <f t="shared" si="3"/>
        <v>6.8837407338043031</v>
      </c>
      <c r="U12" s="254">
        <v>27.91</v>
      </c>
      <c r="V12" s="243">
        <v>50677.47</v>
      </c>
      <c r="W12" s="246">
        <f t="shared" si="4"/>
        <v>11.227200229588655</v>
      </c>
      <c r="X12" s="201"/>
      <c r="Y12" s="255"/>
      <c r="Z12" s="201"/>
      <c r="AA12" s="201"/>
      <c r="AB12" s="201"/>
      <c r="AC12" s="201"/>
      <c r="AD12" s="201"/>
      <c r="AE12" s="201"/>
      <c r="AF12" s="201"/>
    </row>
    <row r="13" spans="2:32" x14ac:dyDescent="0.25">
      <c r="B13" s="34" t="s">
        <v>124</v>
      </c>
      <c r="C13" s="145" t="s">
        <v>31</v>
      </c>
      <c r="D13" s="82" t="s">
        <v>125</v>
      </c>
      <c r="E13" s="116">
        <v>0</v>
      </c>
      <c r="F13" s="112">
        <v>0</v>
      </c>
      <c r="G13" s="116">
        <v>2</v>
      </c>
      <c r="H13" s="112">
        <v>0</v>
      </c>
      <c r="I13" s="253" t="s">
        <v>586</v>
      </c>
      <c r="J13" s="240">
        <v>763.7</v>
      </c>
      <c r="K13" s="245">
        <f t="shared" si="0"/>
        <v>0.12595602553043039</v>
      </c>
      <c r="L13" s="253" t="s">
        <v>587</v>
      </c>
      <c r="M13" s="240">
        <v>684.6</v>
      </c>
      <c r="N13" s="245">
        <f t="shared" si="1"/>
        <v>0.12016756266042419</v>
      </c>
      <c r="O13" s="254" t="s">
        <v>588</v>
      </c>
      <c r="P13" s="243">
        <v>1018.7</v>
      </c>
      <c r="Q13" s="23">
        <f t="shared" si="2"/>
        <v>0.18657898034578077</v>
      </c>
      <c r="R13" s="254" t="s">
        <v>589</v>
      </c>
      <c r="S13" s="243">
        <v>1297.0999999999999</v>
      </c>
      <c r="T13" s="244">
        <f t="shared" si="3"/>
        <v>0.2184978151397643</v>
      </c>
      <c r="U13" s="254" t="s">
        <v>590</v>
      </c>
      <c r="V13" s="243">
        <v>1555.6</v>
      </c>
      <c r="W13" s="246">
        <f t="shared" si="4"/>
        <v>0.34463110879742237</v>
      </c>
      <c r="X13" s="201"/>
      <c r="Y13" s="255"/>
      <c r="Z13" s="201"/>
      <c r="AA13" s="201"/>
      <c r="AB13" s="201"/>
      <c r="AC13" s="201"/>
      <c r="AD13" s="201"/>
      <c r="AE13" s="201"/>
      <c r="AF13" s="201"/>
    </row>
    <row r="14" spans="2:32" x14ac:dyDescent="0.25">
      <c r="B14" s="34" t="s">
        <v>126</v>
      </c>
      <c r="C14" s="145" t="s">
        <v>31</v>
      </c>
      <c r="D14" s="82" t="s">
        <v>263</v>
      </c>
      <c r="E14" s="251">
        <v>0</v>
      </c>
      <c r="F14" s="252">
        <v>0</v>
      </c>
      <c r="G14" s="251">
        <v>3</v>
      </c>
      <c r="H14" s="112">
        <v>0</v>
      </c>
      <c r="I14" s="253">
        <v>15.49</v>
      </c>
      <c r="J14" s="240">
        <v>13039.27</v>
      </c>
      <c r="K14" s="245">
        <f t="shared" si="0"/>
        <v>2.1505494631637752</v>
      </c>
      <c r="L14" s="253">
        <v>15.39</v>
      </c>
      <c r="M14" s="240">
        <v>11385.87</v>
      </c>
      <c r="N14" s="245">
        <f t="shared" si="1"/>
        <v>1.998557181811925</v>
      </c>
      <c r="O14" s="254">
        <v>15.49</v>
      </c>
      <c r="P14" s="243">
        <v>10268.01</v>
      </c>
      <c r="Q14" s="23">
        <f t="shared" si="2"/>
        <v>1.8806271090412097</v>
      </c>
      <c r="R14" s="254">
        <v>15.42</v>
      </c>
      <c r="S14" s="243">
        <v>12095.77</v>
      </c>
      <c r="T14" s="244">
        <f t="shared" si="3"/>
        <v>2.0375447671213531</v>
      </c>
      <c r="U14" s="254">
        <v>15.44</v>
      </c>
      <c r="V14" s="243">
        <v>14435.85</v>
      </c>
      <c r="W14" s="246">
        <f t="shared" si="4"/>
        <v>3.1981505476557412</v>
      </c>
      <c r="X14" s="201"/>
      <c r="Y14" s="255"/>
      <c r="Z14" s="201"/>
      <c r="AA14" s="201"/>
      <c r="AB14" s="201"/>
      <c r="AC14" s="201"/>
      <c r="AD14" s="201"/>
      <c r="AE14" s="201"/>
      <c r="AF14" s="201"/>
    </row>
    <row r="15" spans="2:32" x14ac:dyDescent="0.25">
      <c r="B15" s="34">
        <v>628</v>
      </c>
      <c r="C15" s="145" t="s">
        <v>128</v>
      </c>
      <c r="D15" s="82" t="s">
        <v>129</v>
      </c>
      <c r="E15" s="251">
        <v>0</v>
      </c>
      <c r="F15" s="252">
        <v>0</v>
      </c>
      <c r="G15" s="251">
        <v>4</v>
      </c>
      <c r="H15" s="112">
        <v>0</v>
      </c>
      <c r="I15" s="253" t="s">
        <v>22</v>
      </c>
      <c r="J15" s="240">
        <v>0</v>
      </c>
      <c r="K15" s="245">
        <f t="shared" si="0"/>
        <v>0</v>
      </c>
      <c r="L15" s="253">
        <v>14.89</v>
      </c>
      <c r="M15" s="240">
        <v>630.16999999999996</v>
      </c>
      <c r="N15" s="245">
        <f t="shared" si="1"/>
        <v>0.11061348665164987</v>
      </c>
      <c r="O15" s="254">
        <v>15.01</v>
      </c>
      <c r="P15" s="243">
        <v>661.13</v>
      </c>
      <c r="Q15" s="23">
        <f t="shared" si="2"/>
        <v>0.12108860437420833</v>
      </c>
      <c r="R15" s="254">
        <v>14.93</v>
      </c>
      <c r="S15" s="243">
        <v>640.80999999999995</v>
      </c>
      <c r="T15" s="244">
        <f t="shared" si="3"/>
        <v>0.10794509669240025</v>
      </c>
      <c r="U15" s="254" t="s">
        <v>22</v>
      </c>
      <c r="V15" s="243">
        <v>0</v>
      </c>
      <c r="W15" s="246">
        <f t="shared" si="4"/>
        <v>0</v>
      </c>
      <c r="X15" s="201"/>
      <c r="Y15" s="255"/>
      <c r="Z15" s="201"/>
      <c r="AA15" s="201"/>
      <c r="AB15" s="201"/>
      <c r="AC15" s="201"/>
      <c r="AD15" s="201"/>
      <c r="AE15" s="201"/>
      <c r="AF15" s="201"/>
    </row>
    <row r="16" spans="2:32" x14ac:dyDescent="0.25">
      <c r="B16" s="34">
        <v>667</v>
      </c>
      <c r="C16" s="145" t="s">
        <v>33</v>
      </c>
      <c r="D16" s="82" t="s">
        <v>34</v>
      </c>
      <c r="E16" s="116">
        <v>0</v>
      </c>
      <c r="F16" s="112">
        <v>1</v>
      </c>
      <c r="G16" s="116">
        <v>2</v>
      </c>
      <c r="H16" s="112">
        <v>0</v>
      </c>
      <c r="I16" s="253">
        <v>14.32</v>
      </c>
      <c r="J16" s="240">
        <v>43764.47</v>
      </c>
      <c r="K16" s="245">
        <f t="shared" si="0"/>
        <v>7.2180158447633298</v>
      </c>
      <c r="L16" s="253">
        <v>14.21</v>
      </c>
      <c r="M16" s="240">
        <v>38008.559999999998</v>
      </c>
      <c r="N16" s="245">
        <f t="shared" si="1"/>
        <v>6.6716272501204958</v>
      </c>
      <c r="O16" s="254">
        <v>14.43</v>
      </c>
      <c r="P16" s="243">
        <v>65270.34</v>
      </c>
      <c r="Q16" s="23">
        <f t="shared" si="2"/>
        <v>11.954523887329367</v>
      </c>
      <c r="R16" s="254">
        <v>14.15</v>
      </c>
      <c r="S16" s="243">
        <v>63545.49</v>
      </c>
      <c r="T16" s="244">
        <f t="shared" si="3"/>
        <v>10.704302464718019</v>
      </c>
      <c r="U16" s="254">
        <v>14.18</v>
      </c>
      <c r="V16" s="243">
        <v>69623.820000000007</v>
      </c>
      <c r="W16" s="246">
        <f t="shared" si="4"/>
        <v>15.424617051499201</v>
      </c>
      <c r="X16" s="201"/>
      <c r="Y16" s="255"/>
      <c r="Z16" s="201"/>
      <c r="AA16" s="201"/>
      <c r="AB16" s="201"/>
      <c r="AC16" s="201"/>
      <c r="AD16" s="201"/>
      <c r="AE16" s="201"/>
      <c r="AF16" s="201"/>
    </row>
    <row r="17" spans="2:32" x14ac:dyDescent="0.25">
      <c r="B17" s="34" t="s">
        <v>35</v>
      </c>
      <c r="C17" s="145" t="s">
        <v>36</v>
      </c>
      <c r="D17" s="82" t="s">
        <v>37</v>
      </c>
      <c r="E17" s="251">
        <v>1</v>
      </c>
      <c r="F17" s="252">
        <v>0</v>
      </c>
      <c r="G17" s="251">
        <v>1</v>
      </c>
      <c r="H17" s="112">
        <v>0</v>
      </c>
      <c r="I17" s="253">
        <v>12.84</v>
      </c>
      <c r="J17" s="240">
        <v>14128.82</v>
      </c>
      <c r="K17" s="245">
        <f t="shared" si="0"/>
        <v>2.3302474959209842</v>
      </c>
      <c r="L17" s="253">
        <v>12.83</v>
      </c>
      <c r="M17" s="240">
        <v>9096.4</v>
      </c>
      <c r="N17" s="245">
        <f t="shared" si="1"/>
        <v>1.5966874335148737</v>
      </c>
      <c r="O17" s="254" t="s">
        <v>22</v>
      </c>
      <c r="P17" s="243">
        <v>0</v>
      </c>
      <c r="Q17" s="23">
        <f t="shared" si="2"/>
        <v>0</v>
      </c>
      <c r="R17" s="254">
        <v>12.79</v>
      </c>
      <c r="S17" s="243">
        <v>20662.73</v>
      </c>
      <c r="T17" s="244">
        <f t="shared" si="3"/>
        <v>3.4806578982521486</v>
      </c>
      <c r="U17" s="254" t="s">
        <v>22</v>
      </c>
      <c r="V17" s="243">
        <v>0</v>
      </c>
      <c r="W17" s="246">
        <f t="shared" si="4"/>
        <v>0</v>
      </c>
      <c r="X17" s="201"/>
      <c r="Y17" s="255"/>
      <c r="Z17" s="201"/>
      <c r="AA17" s="201"/>
      <c r="AB17" s="201"/>
      <c r="AC17" s="201"/>
      <c r="AD17" s="201"/>
      <c r="AE17" s="201"/>
      <c r="AF17" s="201"/>
    </row>
    <row r="18" spans="2:32" x14ac:dyDescent="0.25">
      <c r="B18" s="34" t="s">
        <v>38</v>
      </c>
      <c r="C18" s="145" t="s">
        <v>36</v>
      </c>
      <c r="D18" s="82" t="s">
        <v>39</v>
      </c>
      <c r="E18" s="251">
        <v>1</v>
      </c>
      <c r="F18" s="252">
        <v>0</v>
      </c>
      <c r="G18" s="251">
        <v>1</v>
      </c>
      <c r="H18" s="112">
        <v>0</v>
      </c>
      <c r="I18" s="253">
        <v>14.8</v>
      </c>
      <c r="J18" s="240">
        <v>14452.45</v>
      </c>
      <c r="K18" s="245">
        <f t="shared" si="0"/>
        <v>2.3836233614996321</v>
      </c>
      <c r="L18" s="253">
        <v>14.79</v>
      </c>
      <c r="M18" s="240">
        <v>11976.88</v>
      </c>
      <c r="N18" s="245">
        <f t="shared" si="1"/>
        <v>2.1022969294133524</v>
      </c>
      <c r="O18" s="254" t="s">
        <v>22</v>
      </c>
      <c r="P18" s="243">
        <v>0</v>
      </c>
      <c r="Q18" s="23">
        <f t="shared" si="2"/>
        <v>0</v>
      </c>
      <c r="R18" s="254" t="s">
        <v>22</v>
      </c>
      <c r="S18" s="243">
        <v>0</v>
      </c>
      <c r="T18" s="244">
        <f t="shared" si="3"/>
        <v>0</v>
      </c>
      <c r="U18" s="254" t="s">
        <v>22</v>
      </c>
      <c r="V18" s="243">
        <v>0</v>
      </c>
      <c r="W18" s="246">
        <f t="shared" si="4"/>
        <v>0</v>
      </c>
      <c r="X18" s="201"/>
      <c r="Y18" s="255"/>
      <c r="Z18" s="201"/>
      <c r="AA18" s="201"/>
      <c r="AB18" s="201"/>
      <c r="AC18" s="201"/>
      <c r="AD18" s="201"/>
      <c r="AE18" s="201"/>
      <c r="AF18" s="201"/>
    </row>
    <row r="19" spans="2:32" x14ac:dyDescent="0.25">
      <c r="B19" s="34" t="s">
        <v>130</v>
      </c>
      <c r="C19" s="145" t="s">
        <v>133</v>
      </c>
      <c r="D19" s="82" t="s">
        <v>132</v>
      </c>
      <c r="E19" s="116">
        <v>1</v>
      </c>
      <c r="F19" s="112">
        <v>0</v>
      </c>
      <c r="G19" s="116">
        <v>1</v>
      </c>
      <c r="H19" s="112">
        <v>0</v>
      </c>
      <c r="I19" s="253">
        <v>12.75</v>
      </c>
      <c r="J19" s="240">
        <v>5050.8900000000003</v>
      </c>
      <c r="K19" s="245">
        <f t="shared" si="0"/>
        <v>0.83303657167918765</v>
      </c>
      <c r="L19" s="253">
        <v>12.74</v>
      </c>
      <c r="M19" s="240">
        <v>4039.87</v>
      </c>
      <c r="N19" s="245">
        <f t="shared" si="1"/>
        <v>0.70911675630290361</v>
      </c>
      <c r="O19" s="254" t="s">
        <v>22</v>
      </c>
      <c r="P19" s="243">
        <v>0</v>
      </c>
      <c r="Q19" s="23">
        <f t="shared" si="2"/>
        <v>0</v>
      </c>
      <c r="R19" s="254">
        <v>12.6</v>
      </c>
      <c r="S19" s="243">
        <v>10330.75</v>
      </c>
      <c r="T19" s="244">
        <f t="shared" si="3"/>
        <v>1.7402253517501507</v>
      </c>
      <c r="U19" s="254" t="s">
        <v>22</v>
      </c>
      <c r="V19" s="243">
        <v>0</v>
      </c>
      <c r="W19" s="246">
        <f t="shared" si="4"/>
        <v>0</v>
      </c>
      <c r="X19" s="201"/>
      <c r="Y19" s="255"/>
      <c r="Z19" s="201"/>
      <c r="AA19" s="201"/>
      <c r="AB19" s="201"/>
      <c r="AC19" s="201"/>
      <c r="AD19" s="201"/>
      <c r="AE19" s="201"/>
      <c r="AF19" s="201"/>
    </row>
    <row r="20" spans="2:32" x14ac:dyDescent="0.25">
      <c r="B20" s="34" t="s">
        <v>131</v>
      </c>
      <c r="C20" s="145" t="s">
        <v>133</v>
      </c>
      <c r="D20" s="82" t="s">
        <v>264</v>
      </c>
      <c r="E20" s="116">
        <v>1</v>
      </c>
      <c r="F20" s="112">
        <v>0</v>
      </c>
      <c r="G20" s="116">
        <v>1</v>
      </c>
      <c r="H20" s="112">
        <v>0</v>
      </c>
      <c r="I20" s="253">
        <v>14.51</v>
      </c>
      <c r="J20" s="240">
        <v>8672.1200000000008</v>
      </c>
      <c r="K20" s="245">
        <f t="shared" si="0"/>
        <v>1.4302812205354933</v>
      </c>
      <c r="L20" s="253">
        <v>14.6</v>
      </c>
      <c r="M20" s="240">
        <v>5797.78</v>
      </c>
      <c r="N20" s="245">
        <f t="shared" si="1"/>
        <v>1.0176819915883057</v>
      </c>
      <c r="O20" s="254" t="s">
        <v>22</v>
      </c>
      <c r="P20" s="243">
        <v>0</v>
      </c>
      <c r="Q20" s="23">
        <f t="shared" si="2"/>
        <v>0</v>
      </c>
      <c r="R20" s="254" t="s">
        <v>22</v>
      </c>
      <c r="S20" s="243">
        <v>0</v>
      </c>
      <c r="T20" s="244">
        <f t="shared" si="3"/>
        <v>0</v>
      </c>
      <c r="U20" s="254" t="s">
        <v>22</v>
      </c>
      <c r="V20" s="243">
        <v>0</v>
      </c>
      <c r="W20" s="246">
        <f t="shared" si="4"/>
        <v>0</v>
      </c>
      <c r="X20" s="201"/>
      <c r="Y20" s="255"/>
      <c r="Z20" s="201"/>
      <c r="AA20" s="201"/>
      <c r="AB20" s="201"/>
      <c r="AC20" s="201"/>
      <c r="AD20" s="201"/>
      <c r="AE20" s="201"/>
      <c r="AF20" s="201"/>
    </row>
    <row r="21" spans="2:32" x14ac:dyDescent="0.25">
      <c r="B21" s="34">
        <v>692</v>
      </c>
      <c r="C21" s="145" t="s">
        <v>591</v>
      </c>
      <c r="D21" s="152" t="s">
        <v>592</v>
      </c>
      <c r="E21" s="251">
        <v>0</v>
      </c>
      <c r="F21" s="252">
        <v>0</v>
      </c>
      <c r="G21" s="116">
        <v>0</v>
      </c>
      <c r="H21" s="112">
        <v>1</v>
      </c>
      <c r="I21" s="253">
        <v>20.74</v>
      </c>
      <c r="J21" s="240">
        <v>1372.5</v>
      </c>
      <c r="K21" s="245">
        <f t="shared" si="0"/>
        <v>0.22636460002686359</v>
      </c>
      <c r="L21" s="253">
        <v>20.66</v>
      </c>
      <c r="M21" s="240">
        <v>882.65</v>
      </c>
      <c r="N21" s="245">
        <f t="shared" si="1"/>
        <v>0.15493119950660736</v>
      </c>
      <c r="O21" s="254">
        <v>20.69</v>
      </c>
      <c r="P21" s="243">
        <v>924.82</v>
      </c>
      <c r="Q21" s="23">
        <f t="shared" si="2"/>
        <v>0.16938448277548343</v>
      </c>
      <c r="R21" s="254">
        <v>20.65</v>
      </c>
      <c r="S21" s="243">
        <v>1096.9100000000001</v>
      </c>
      <c r="T21" s="244">
        <f t="shared" si="3"/>
        <v>0.1847756058938855</v>
      </c>
      <c r="U21" s="254">
        <v>20.67</v>
      </c>
      <c r="V21" s="243">
        <v>946.74</v>
      </c>
      <c r="W21" s="246">
        <f t="shared" si="4"/>
        <v>0.20974290045183319</v>
      </c>
      <c r="X21" s="201"/>
      <c r="Y21" s="255"/>
      <c r="Z21" s="201"/>
      <c r="AA21" s="201"/>
      <c r="AB21" s="201"/>
      <c r="AC21" s="201"/>
      <c r="AD21" s="201"/>
      <c r="AE21" s="201"/>
      <c r="AF21" s="201"/>
    </row>
    <row r="22" spans="2:32" x14ac:dyDescent="0.25">
      <c r="B22" s="34">
        <v>708</v>
      </c>
      <c r="C22" s="145" t="s">
        <v>135</v>
      </c>
      <c r="D22" s="82" t="s">
        <v>134</v>
      </c>
      <c r="E22" s="116">
        <v>0</v>
      </c>
      <c r="F22" s="112">
        <v>1</v>
      </c>
      <c r="G22" s="116">
        <v>4</v>
      </c>
      <c r="H22" s="112">
        <v>0</v>
      </c>
      <c r="I22" s="253">
        <v>15.29</v>
      </c>
      <c r="J22" s="240">
        <v>21992.21</v>
      </c>
      <c r="K22" s="245">
        <f t="shared" si="0"/>
        <v>3.6271459529011216</v>
      </c>
      <c r="L22" s="253">
        <v>15.29</v>
      </c>
      <c r="M22" s="240">
        <v>18746.759999999998</v>
      </c>
      <c r="N22" s="245">
        <f t="shared" si="1"/>
        <v>3.2906112430323304</v>
      </c>
      <c r="O22" s="254">
        <v>15.68</v>
      </c>
      <c r="P22" s="243">
        <v>20337.96</v>
      </c>
      <c r="Q22" s="23">
        <f t="shared" si="2"/>
        <v>3.7249787367363063</v>
      </c>
      <c r="R22" s="254">
        <v>15.32</v>
      </c>
      <c r="S22" s="243">
        <v>19372.95</v>
      </c>
      <c r="T22" s="244">
        <f t="shared" si="3"/>
        <v>3.2633931445624063</v>
      </c>
      <c r="U22" s="254">
        <v>15.44</v>
      </c>
      <c r="V22" s="243">
        <v>20842.77</v>
      </c>
      <c r="W22" s="246">
        <f t="shared" si="4"/>
        <v>4.6175539570002906</v>
      </c>
      <c r="X22" s="201"/>
      <c r="Y22" s="255"/>
      <c r="Z22" s="201"/>
      <c r="AA22" s="201"/>
      <c r="AB22" s="201"/>
      <c r="AC22" s="201"/>
      <c r="AD22" s="201"/>
      <c r="AE22" s="201"/>
      <c r="AF22" s="201"/>
    </row>
    <row r="23" spans="2:32" x14ac:dyDescent="0.25">
      <c r="B23" s="34" t="s">
        <v>136</v>
      </c>
      <c r="C23" s="145" t="s">
        <v>138</v>
      </c>
      <c r="D23" s="82" t="s">
        <v>139</v>
      </c>
      <c r="E23" s="116">
        <v>1</v>
      </c>
      <c r="F23" s="112">
        <v>0</v>
      </c>
      <c r="G23" s="116">
        <v>3</v>
      </c>
      <c r="H23" s="112">
        <v>0</v>
      </c>
      <c r="I23" s="253">
        <v>13.04</v>
      </c>
      <c r="J23" s="240">
        <v>9322.06</v>
      </c>
      <c r="K23" s="245">
        <f t="shared" si="0"/>
        <v>1.5374749605292706</v>
      </c>
      <c r="L23" s="253">
        <v>13.03</v>
      </c>
      <c r="M23" s="240">
        <v>5388.81</v>
      </c>
      <c r="N23" s="245">
        <f t="shared" si="1"/>
        <v>0.94589565197213032</v>
      </c>
      <c r="O23" s="254" t="s">
        <v>22</v>
      </c>
      <c r="P23" s="243">
        <v>0</v>
      </c>
      <c r="Q23" s="23">
        <f t="shared" si="2"/>
        <v>0</v>
      </c>
      <c r="R23" s="254">
        <v>12.99</v>
      </c>
      <c r="S23" s="243">
        <v>10817.87</v>
      </c>
      <c r="T23" s="244">
        <f t="shared" si="3"/>
        <v>1.8222812115226292</v>
      </c>
      <c r="U23" s="254" t="s">
        <v>22</v>
      </c>
      <c r="V23" s="243">
        <v>0</v>
      </c>
      <c r="W23" s="246">
        <f t="shared" si="4"/>
        <v>0</v>
      </c>
      <c r="X23" s="201"/>
      <c r="Y23" s="255"/>
      <c r="Z23" s="201"/>
      <c r="AA23" s="201"/>
      <c r="AB23" s="201"/>
      <c r="AC23" s="201"/>
      <c r="AD23" s="201"/>
      <c r="AE23" s="201"/>
      <c r="AF23" s="201"/>
    </row>
    <row r="24" spans="2:32" x14ac:dyDescent="0.25">
      <c r="B24" s="34" t="s">
        <v>137</v>
      </c>
      <c r="C24" s="145" t="s">
        <v>138</v>
      </c>
      <c r="D24" s="82" t="s">
        <v>593</v>
      </c>
      <c r="E24" s="116">
        <v>1</v>
      </c>
      <c r="F24" s="112">
        <v>0</v>
      </c>
      <c r="G24" s="116">
        <v>5</v>
      </c>
      <c r="H24" s="112">
        <v>0</v>
      </c>
      <c r="I24" s="253">
        <v>15.69</v>
      </c>
      <c r="J24" s="240">
        <v>12972.97</v>
      </c>
      <c r="K24" s="245">
        <f t="shared" si="0"/>
        <v>2.1396146923209476</v>
      </c>
      <c r="L24" s="253">
        <v>15.79</v>
      </c>
      <c r="M24" s="240">
        <v>10501.06</v>
      </c>
      <c r="N24" s="246">
        <f t="shared" si="1"/>
        <v>1.8432468383740488</v>
      </c>
      <c r="O24" s="254" t="s">
        <v>22</v>
      </c>
      <c r="P24" s="243">
        <v>0</v>
      </c>
      <c r="Q24" s="23">
        <f t="shared" si="2"/>
        <v>0</v>
      </c>
      <c r="R24" s="254">
        <v>15.81</v>
      </c>
      <c r="S24" s="243">
        <v>11405.66</v>
      </c>
      <c r="T24" s="244">
        <f t="shared" si="3"/>
        <v>1.9212950352532607</v>
      </c>
      <c r="U24" s="254" t="s">
        <v>22</v>
      </c>
      <c r="V24" s="243">
        <v>0</v>
      </c>
      <c r="W24" s="246">
        <f t="shared" si="4"/>
        <v>0</v>
      </c>
      <c r="X24" s="201"/>
      <c r="Y24" s="255"/>
      <c r="Z24" s="201"/>
      <c r="AA24" s="201"/>
      <c r="AB24" s="201"/>
      <c r="AC24" s="201"/>
      <c r="AD24" s="201"/>
      <c r="AE24" s="201"/>
      <c r="AF24" s="201"/>
    </row>
    <row r="25" spans="2:32" x14ac:dyDescent="0.25">
      <c r="B25" s="34" t="s">
        <v>141</v>
      </c>
      <c r="C25" s="145" t="s">
        <v>143</v>
      </c>
      <c r="D25" s="82" t="s">
        <v>144</v>
      </c>
      <c r="E25" s="116">
        <v>1</v>
      </c>
      <c r="F25" s="112">
        <v>0</v>
      </c>
      <c r="G25" s="116">
        <v>3</v>
      </c>
      <c r="H25" s="112">
        <v>0</v>
      </c>
      <c r="I25" s="253">
        <v>12.94</v>
      </c>
      <c r="J25" s="240">
        <v>3102.15</v>
      </c>
      <c r="K25" s="245">
        <f t="shared" si="0"/>
        <v>0.51163347466181053</v>
      </c>
      <c r="L25" s="253">
        <v>12.93</v>
      </c>
      <c r="M25" s="240">
        <v>1889.13</v>
      </c>
      <c r="N25" s="245">
        <f t="shared" si="1"/>
        <v>0.33159822910997244</v>
      </c>
      <c r="O25" s="254" t="s">
        <v>22</v>
      </c>
      <c r="P25" s="243">
        <v>0</v>
      </c>
      <c r="Q25" s="23">
        <f t="shared" si="2"/>
        <v>0</v>
      </c>
      <c r="R25" s="254">
        <v>12.89</v>
      </c>
      <c r="S25" s="243">
        <v>4167.3999999999996</v>
      </c>
      <c r="T25" s="244">
        <f t="shared" si="3"/>
        <v>0.70200277142352452</v>
      </c>
      <c r="U25" s="254" t="s">
        <v>22</v>
      </c>
      <c r="V25" s="243">
        <v>0</v>
      </c>
      <c r="W25" s="246">
        <f t="shared" si="4"/>
        <v>0</v>
      </c>
      <c r="X25" s="201"/>
      <c r="Y25" s="255"/>
      <c r="Z25" s="201"/>
      <c r="AA25" s="201"/>
      <c r="AB25" s="201"/>
      <c r="AC25" s="201"/>
      <c r="AD25" s="201"/>
      <c r="AE25" s="201"/>
      <c r="AF25" s="201"/>
    </row>
    <row r="26" spans="2:32" x14ac:dyDescent="0.25">
      <c r="B26" s="34" t="s">
        <v>142</v>
      </c>
      <c r="C26" s="145" t="s">
        <v>143</v>
      </c>
      <c r="D26" s="82" t="s">
        <v>145</v>
      </c>
      <c r="E26" s="116">
        <v>1</v>
      </c>
      <c r="F26" s="112">
        <v>0</v>
      </c>
      <c r="G26" s="116">
        <v>5</v>
      </c>
      <c r="H26" s="112">
        <v>0</v>
      </c>
      <c r="I26" s="253">
        <v>15.49</v>
      </c>
      <c r="J26" s="240">
        <v>6634.87</v>
      </c>
      <c r="K26" s="245">
        <f t="shared" si="0"/>
        <v>1.0942802869072761</v>
      </c>
      <c r="L26" s="253">
        <v>15.49</v>
      </c>
      <c r="M26" s="240">
        <v>5440.77</v>
      </c>
      <c r="N26" s="246">
        <f t="shared" si="1"/>
        <v>0.95501616987431515</v>
      </c>
      <c r="O26" s="254" t="s">
        <v>22</v>
      </c>
      <c r="P26" s="243">
        <v>0</v>
      </c>
      <c r="Q26" s="23">
        <f t="shared" si="2"/>
        <v>0</v>
      </c>
      <c r="R26" s="254">
        <v>15.51</v>
      </c>
      <c r="S26" s="243">
        <v>5100.8599999999997</v>
      </c>
      <c r="T26" s="244">
        <f t="shared" si="3"/>
        <v>0.85924505846412624</v>
      </c>
      <c r="U26" s="254" t="s">
        <v>22</v>
      </c>
      <c r="V26" s="243">
        <v>0</v>
      </c>
      <c r="W26" s="246">
        <f t="shared" si="4"/>
        <v>0</v>
      </c>
      <c r="X26" s="201"/>
      <c r="Y26" s="255"/>
      <c r="Z26" s="201"/>
      <c r="AA26" s="201"/>
      <c r="AB26" s="201"/>
      <c r="AC26" s="201"/>
      <c r="AD26" s="201"/>
      <c r="AE26" s="201"/>
      <c r="AF26" s="201"/>
    </row>
    <row r="27" spans="2:32" x14ac:dyDescent="0.25">
      <c r="B27" s="34" t="s">
        <v>40</v>
      </c>
      <c r="C27" s="145" t="s">
        <v>41</v>
      </c>
      <c r="D27" s="266" t="s">
        <v>42</v>
      </c>
      <c r="E27" s="251">
        <v>0</v>
      </c>
      <c r="F27" s="252">
        <v>0</v>
      </c>
      <c r="G27" s="116">
        <v>1</v>
      </c>
      <c r="H27" s="112">
        <v>1</v>
      </c>
      <c r="I27" s="253">
        <v>19.21</v>
      </c>
      <c r="J27" s="240">
        <v>12776.03</v>
      </c>
      <c r="K27" s="245">
        <f t="shared" si="0"/>
        <v>2.1071336399863099</v>
      </c>
      <c r="L27" s="253">
        <v>19.22</v>
      </c>
      <c r="M27" s="240">
        <v>14707.48</v>
      </c>
      <c r="N27" s="245">
        <f t="shared" si="1"/>
        <v>2.5815980491921344</v>
      </c>
      <c r="O27" s="254">
        <v>19.28</v>
      </c>
      <c r="P27" s="243">
        <v>16692.05</v>
      </c>
      <c r="Q27" s="23">
        <f t="shared" si="2"/>
        <v>3.0572157346429663</v>
      </c>
      <c r="R27" s="254">
        <v>19.12</v>
      </c>
      <c r="S27" s="243">
        <v>15955.39</v>
      </c>
      <c r="T27" s="244">
        <f t="shared" si="3"/>
        <v>2.6877016842979291</v>
      </c>
      <c r="U27" s="254">
        <v>19.14</v>
      </c>
      <c r="V27" s="243">
        <v>1260.1099999999999</v>
      </c>
      <c r="W27" s="246">
        <f t="shared" si="4"/>
        <v>0.27916759225168419</v>
      </c>
      <c r="X27" s="201"/>
      <c r="Y27" s="255"/>
      <c r="Z27" s="201"/>
      <c r="AA27" s="201"/>
      <c r="AB27" s="201"/>
      <c r="AC27" s="201"/>
      <c r="AD27" s="201"/>
      <c r="AE27" s="201"/>
      <c r="AF27" s="201"/>
    </row>
    <row r="28" spans="2:32" x14ac:dyDescent="0.25">
      <c r="B28" s="34" t="s">
        <v>43</v>
      </c>
      <c r="C28" s="145" t="s">
        <v>41</v>
      </c>
      <c r="D28" s="82" t="s">
        <v>150</v>
      </c>
      <c r="E28" s="251">
        <v>0</v>
      </c>
      <c r="F28" s="252">
        <v>0</v>
      </c>
      <c r="G28" s="251">
        <v>3</v>
      </c>
      <c r="H28" s="112">
        <v>1</v>
      </c>
      <c r="I28" s="253">
        <v>22.34</v>
      </c>
      <c r="J28" s="240">
        <v>15374.59</v>
      </c>
      <c r="K28" s="245">
        <f t="shared" si="0"/>
        <v>2.5357106855570253</v>
      </c>
      <c r="L28" s="253">
        <v>22.31</v>
      </c>
      <c r="M28" s="240">
        <v>17562.03</v>
      </c>
      <c r="N28" s="245">
        <f t="shared" si="1"/>
        <v>3.0826560626194115</v>
      </c>
      <c r="O28" s="254">
        <v>22.33</v>
      </c>
      <c r="P28" s="243">
        <v>19099.29</v>
      </c>
      <c r="Q28" s="23">
        <f t="shared" si="2"/>
        <v>3.4981113708926737</v>
      </c>
      <c r="R28" s="254">
        <v>22.19</v>
      </c>
      <c r="S28" s="243">
        <v>13229.58</v>
      </c>
      <c r="T28" s="244">
        <f t="shared" si="3"/>
        <v>2.2285362155706756</v>
      </c>
      <c r="U28" s="254">
        <v>22.21</v>
      </c>
      <c r="V28" s="243">
        <v>15564.97</v>
      </c>
      <c r="W28" s="246">
        <f t="shared" si="4"/>
        <v>3.4482983218684851</v>
      </c>
      <c r="X28" s="201"/>
      <c r="Y28" s="255"/>
      <c r="Z28" s="201"/>
      <c r="AA28" s="201"/>
      <c r="AB28" s="201"/>
      <c r="AC28" s="201"/>
      <c r="AD28" s="201"/>
      <c r="AE28" s="201"/>
      <c r="AF28" s="201"/>
    </row>
    <row r="29" spans="2:32" x14ac:dyDescent="0.25">
      <c r="B29" s="34">
        <v>749</v>
      </c>
      <c r="C29" s="145" t="s">
        <v>45</v>
      </c>
      <c r="D29" s="146" t="s">
        <v>46</v>
      </c>
      <c r="E29" s="251">
        <v>0</v>
      </c>
      <c r="F29" s="252">
        <v>0</v>
      </c>
      <c r="G29" s="116">
        <v>2</v>
      </c>
      <c r="H29" s="112">
        <v>0</v>
      </c>
      <c r="I29" s="253">
        <v>17.29</v>
      </c>
      <c r="J29" s="240">
        <v>3908.15</v>
      </c>
      <c r="K29" s="245">
        <f t="shared" si="0"/>
        <v>0.64456598294716727</v>
      </c>
      <c r="L29" s="253">
        <v>17.29</v>
      </c>
      <c r="M29" s="240">
        <v>3896.85</v>
      </c>
      <c r="N29" s="245">
        <f t="shared" si="1"/>
        <v>0.68401251322418055</v>
      </c>
      <c r="O29" s="254">
        <v>17.260000000000002</v>
      </c>
      <c r="P29" s="243">
        <v>5370.12</v>
      </c>
      <c r="Q29" s="23">
        <f t="shared" si="2"/>
        <v>0.9835589613571063</v>
      </c>
      <c r="R29" s="254">
        <v>17.21</v>
      </c>
      <c r="S29" s="243">
        <v>5872.11</v>
      </c>
      <c r="T29" s="244">
        <f t="shared" si="3"/>
        <v>0.98916290591346967</v>
      </c>
      <c r="U29" s="254">
        <v>17.22</v>
      </c>
      <c r="V29" s="243">
        <v>6161.75</v>
      </c>
      <c r="W29" s="246">
        <f t="shared" si="4"/>
        <v>1.3650878983238091</v>
      </c>
      <c r="X29" s="201"/>
      <c r="Y29" s="255"/>
      <c r="Z29" s="201"/>
      <c r="AA29" s="201"/>
      <c r="AB29" s="201"/>
      <c r="AC29" s="201"/>
      <c r="AD29" s="201"/>
      <c r="AE29" s="201"/>
      <c r="AF29" s="201"/>
    </row>
    <row r="30" spans="2:32" x14ac:dyDescent="0.25">
      <c r="B30" s="256">
        <v>788</v>
      </c>
      <c r="C30" s="257" t="s">
        <v>594</v>
      </c>
      <c r="D30" s="152" t="s">
        <v>595</v>
      </c>
      <c r="E30" s="258">
        <v>0</v>
      </c>
      <c r="F30" s="259">
        <v>1</v>
      </c>
      <c r="G30" s="258">
        <v>4</v>
      </c>
      <c r="H30" s="259">
        <v>0</v>
      </c>
      <c r="I30" s="253" t="s">
        <v>596</v>
      </c>
      <c r="J30" s="240">
        <v>417.8</v>
      </c>
      <c r="K30" s="245">
        <f t="shared" si="0"/>
        <v>6.8907198463550909E-2</v>
      </c>
      <c r="L30" s="239">
        <v>14.7</v>
      </c>
      <c r="M30" s="240">
        <v>479.5</v>
      </c>
      <c r="N30" s="245">
        <f t="shared" si="1"/>
        <v>8.4166442149683607E-2</v>
      </c>
      <c r="O30" s="262">
        <v>15.3</v>
      </c>
      <c r="P30" s="267">
        <v>525.27</v>
      </c>
      <c r="Q30" s="264">
        <f t="shared" si="2"/>
        <v>9.6205301861419706E-2</v>
      </c>
      <c r="R30" s="268">
        <v>14.83</v>
      </c>
      <c r="S30" s="269">
        <v>506.09</v>
      </c>
      <c r="T30" s="270">
        <f t="shared" si="3"/>
        <v>8.5251375579433589E-2</v>
      </c>
      <c r="U30" s="268">
        <v>14.86</v>
      </c>
      <c r="V30" s="269">
        <v>518.34</v>
      </c>
      <c r="W30" s="271">
        <f t="shared" si="4"/>
        <v>0.11483420476604266</v>
      </c>
      <c r="X30" s="201"/>
      <c r="Y30" s="255"/>
      <c r="Z30" s="201"/>
      <c r="AA30" s="201"/>
      <c r="AB30" s="201"/>
      <c r="AC30" s="201"/>
      <c r="AD30" s="201"/>
      <c r="AE30" s="201"/>
      <c r="AF30" s="201"/>
    </row>
    <row r="31" spans="2:32" x14ac:dyDescent="0.25">
      <c r="B31" s="34">
        <v>790</v>
      </c>
      <c r="C31" s="145" t="s">
        <v>49</v>
      </c>
      <c r="D31" s="146" t="s">
        <v>597</v>
      </c>
      <c r="E31" s="251">
        <v>0</v>
      </c>
      <c r="F31" s="252">
        <v>0</v>
      </c>
      <c r="G31" s="116">
        <v>4</v>
      </c>
      <c r="H31" s="112">
        <v>0</v>
      </c>
      <c r="I31" s="253">
        <v>18.21</v>
      </c>
      <c r="J31" s="240">
        <v>1302.3</v>
      </c>
      <c r="K31" s="245">
        <f t="shared" si="0"/>
        <v>0.21478660736975186</v>
      </c>
      <c r="L31" s="253">
        <v>18.2</v>
      </c>
      <c r="M31" s="240">
        <v>1263.04</v>
      </c>
      <c r="N31" s="245">
        <f t="shared" si="1"/>
        <v>0.22170090321738553</v>
      </c>
      <c r="O31" s="254">
        <v>18.28</v>
      </c>
      <c r="P31" s="243">
        <v>977.77</v>
      </c>
      <c r="Q31" s="23">
        <f t="shared" si="2"/>
        <v>0.17908248710385199</v>
      </c>
      <c r="R31" s="254">
        <v>18.22</v>
      </c>
      <c r="S31" s="243">
        <v>1602.92</v>
      </c>
      <c r="T31" s="244">
        <f t="shared" si="3"/>
        <v>0.27001350539189811</v>
      </c>
      <c r="U31" s="254">
        <v>18.239999999999998</v>
      </c>
      <c r="V31" s="243">
        <v>1211.56</v>
      </c>
      <c r="W31" s="246">
        <f t="shared" si="4"/>
        <v>0.26841171649177492</v>
      </c>
      <c r="X31" s="201"/>
      <c r="Y31" s="255"/>
      <c r="Z31" s="201"/>
      <c r="AA31" s="201"/>
      <c r="AB31" s="201"/>
      <c r="AC31" s="201"/>
      <c r="AD31" s="201"/>
      <c r="AE31" s="201"/>
      <c r="AF31" s="201"/>
    </row>
    <row r="32" spans="2:32" x14ac:dyDescent="0.25">
      <c r="B32" s="34">
        <v>813</v>
      </c>
      <c r="C32" s="145" t="s">
        <v>51</v>
      </c>
      <c r="D32" s="82" t="s">
        <v>52</v>
      </c>
      <c r="E32" s="251">
        <v>0</v>
      </c>
      <c r="F32" s="252">
        <v>1</v>
      </c>
      <c r="G32" s="251">
        <v>2</v>
      </c>
      <c r="H32" s="112">
        <v>1</v>
      </c>
      <c r="I32" s="253">
        <v>27.83</v>
      </c>
      <c r="J32" s="240">
        <v>115229.56</v>
      </c>
      <c r="K32" s="245">
        <f t="shared" si="0"/>
        <v>19.004658113421844</v>
      </c>
      <c r="L32" s="253">
        <v>28.01</v>
      </c>
      <c r="M32" s="240">
        <v>117246.98</v>
      </c>
      <c r="N32" s="245">
        <f t="shared" si="1"/>
        <v>20.580315243785421</v>
      </c>
      <c r="O32" s="254">
        <v>28.39</v>
      </c>
      <c r="P32" s="243">
        <v>105543.19</v>
      </c>
      <c r="Q32" s="23">
        <f t="shared" si="2"/>
        <v>19.330657477806032</v>
      </c>
      <c r="R32" s="254">
        <v>28</v>
      </c>
      <c r="S32" s="243">
        <v>100230.59</v>
      </c>
      <c r="T32" s="244">
        <f t="shared" si="3"/>
        <v>16.883944896437832</v>
      </c>
      <c r="U32" s="254">
        <v>28</v>
      </c>
      <c r="V32" s="243">
        <v>89125.4</v>
      </c>
      <c r="W32" s="246">
        <f t="shared" si="4"/>
        <v>19.745040771415397</v>
      </c>
      <c r="X32" s="201"/>
      <c r="Y32" s="255"/>
      <c r="Z32" s="201"/>
      <c r="AA32" s="201"/>
      <c r="AB32" s="201"/>
      <c r="AC32" s="201"/>
      <c r="AD32" s="201"/>
      <c r="AE32" s="201"/>
      <c r="AF32" s="201"/>
    </row>
    <row r="33" spans="2:32" x14ac:dyDescent="0.25">
      <c r="B33" s="34">
        <v>821</v>
      </c>
      <c r="C33" s="145" t="s">
        <v>598</v>
      </c>
      <c r="D33" s="146" t="s">
        <v>599</v>
      </c>
      <c r="E33" s="251">
        <v>1</v>
      </c>
      <c r="F33" s="252">
        <v>0</v>
      </c>
      <c r="G33" s="116">
        <v>1</v>
      </c>
      <c r="H33" s="112">
        <v>1</v>
      </c>
      <c r="I33" s="253">
        <v>27.83</v>
      </c>
      <c r="J33" s="240">
        <v>31761.05</v>
      </c>
      <c r="K33" s="245">
        <f t="shared" si="0"/>
        <v>5.2383077447600845</v>
      </c>
      <c r="L33" s="253">
        <v>27.82</v>
      </c>
      <c r="M33" s="240">
        <v>27438.27</v>
      </c>
      <c r="N33" s="245">
        <f t="shared" si="1"/>
        <v>4.8162284976900924</v>
      </c>
      <c r="O33" s="254" t="s">
        <v>22</v>
      </c>
      <c r="P33" s="243">
        <v>0</v>
      </c>
      <c r="Q33" s="23">
        <f t="shared" si="2"/>
        <v>0</v>
      </c>
      <c r="R33" s="254">
        <v>28</v>
      </c>
      <c r="S33" s="243">
        <v>26217.8</v>
      </c>
      <c r="T33" s="244">
        <f t="shared" si="3"/>
        <v>4.416415093494189</v>
      </c>
      <c r="U33" s="254" t="s">
        <v>22</v>
      </c>
      <c r="V33" s="243">
        <v>0</v>
      </c>
      <c r="W33" s="246">
        <f t="shared" si="4"/>
        <v>0</v>
      </c>
      <c r="X33" s="201"/>
      <c r="Y33" s="255"/>
      <c r="Z33" s="201"/>
      <c r="AA33" s="201"/>
      <c r="AB33" s="201"/>
      <c r="AC33" s="201"/>
      <c r="AD33" s="201"/>
      <c r="AE33" s="201"/>
      <c r="AF33" s="201"/>
    </row>
    <row r="34" spans="2:32" x14ac:dyDescent="0.25">
      <c r="B34" s="34">
        <v>829</v>
      </c>
      <c r="C34" s="145" t="s">
        <v>600</v>
      </c>
      <c r="D34" s="146" t="s">
        <v>156</v>
      </c>
      <c r="E34" s="251">
        <v>0</v>
      </c>
      <c r="F34" s="252">
        <v>1</v>
      </c>
      <c r="G34" s="116">
        <v>2</v>
      </c>
      <c r="H34" s="112">
        <v>0</v>
      </c>
      <c r="I34" s="253">
        <v>17.079999999999998</v>
      </c>
      <c r="J34" s="240">
        <v>8889.09</v>
      </c>
      <c r="K34" s="245">
        <f t="shared" si="0"/>
        <v>1.4660657941368256</v>
      </c>
      <c r="L34" s="253">
        <v>17.190000000000001</v>
      </c>
      <c r="M34" s="240">
        <v>7429.74</v>
      </c>
      <c r="N34" s="245">
        <f t="shared" si="1"/>
        <v>1.3041392740295938</v>
      </c>
      <c r="O34" s="254">
        <v>17.47</v>
      </c>
      <c r="P34" s="243">
        <v>9979.43</v>
      </c>
      <c r="Q34" s="23">
        <f t="shared" si="2"/>
        <v>1.8277725275665995</v>
      </c>
      <c r="R34" s="254">
        <v>17.11</v>
      </c>
      <c r="S34" s="243">
        <v>9990.06</v>
      </c>
      <c r="T34" s="272">
        <f t="shared" si="3"/>
        <v>1.6828357745086377</v>
      </c>
      <c r="U34" s="254">
        <v>17.32</v>
      </c>
      <c r="V34" s="243">
        <v>10784.74</v>
      </c>
      <c r="W34" s="261">
        <f t="shared" si="4"/>
        <v>2.3892754591745393</v>
      </c>
      <c r="X34" s="201"/>
      <c r="Y34" s="255"/>
      <c r="Z34" s="201"/>
      <c r="AA34" s="201"/>
      <c r="AB34" s="201"/>
      <c r="AC34" s="201"/>
      <c r="AD34" s="201"/>
      <c r="AE34" s="201"/>
      <c r="AF34" s="201"/>
    </row>
    <row r="35" spans="2:32" x14ac:dyDescent="0.25">
      <c r="B35" s="256">
        <v>837</v>
      </c>
      <c r="C35" s="257" t="s">
        <v>601</v>
      </c>
      <c r="D35" s="257" t="s">
        <v>602</v>
      </c>
      <c r="E35" s="251">
        <v>1</v>
      </c>
      <c r="F35" s="252">
        <v>0</v>
      </c>
      <c r="G35" s="116">
        <v>1</v>
      </c>
      <c r="H35" s="112">
        <v>1</v>
      </c>
      <c r="I35" s="253">
        <v>27.83</v>
      </c>
      <c r="J35" s="240">
        <v>6830.14</v>
      </c>
      <c r="K35" s="245">
        <f t="shared" si="0"/>
        <v>1.1264859083624643</v>
      </c>
      <c r="L35" s="253">
        <v>27.82</v>
      </c>
      <c r="M35" s="240">
        <v>5959.07</v>
      </c>
      <c r="N35" s="245">
        <f t="shared" si="1"/>
        <v>1.0459931604190094</v>
      </c>
      <c r="O35" s="254" t="s">
        <v>22</v>
      </c>
      <c r="P35" s="243">
        <v>0</v>
      </c>
      <c r="Q35" s="23">
        <f t="shared" si="2"/>
        <v>0</v>
      </c>
      <c r="R35" s="254">
        <v>28</v>
      </c>
      <c r="S35" s="243">
        <v>5868.85</v>
      </c>
      <c r="T35" s="272">
        <f t="shared" si="3"/>
        <v>0.98861375559556386</v>
      </c>
      <c r="U35" s="254" t="s">
        <v>22</v>
      </c>
      <c r="V35" s="243">
        <v>0</v>
      </c>
      <c r="W35" s="261">
        <f t="shared" si="4"/>
        <v>0</v>
      </c>
      <c r="X35" s="201"/>
      <c r="Y35" s="255"/>
      <c r="Z35" s="201"/>
      <c r="AA35" s="201"/>
      <c r="AB35" s="201"/>
      <c r="AC35" s="201"/>
      <c r="AD35" s="201"/>
      <c r="AE35" s="201"/>
      <c r="AF35" s="201"/>
    </row>
    <row r="36" spans="2:32" x14ac:dyDescent="0.25">
      <c r="B36" s="256" t="s">
        <v>437</v>
      </c>
      <c r="C36" s="257" t="s">
        <v>53</v>
      </c>
      <c r="D36" s="257" t="s">
        <v>603</v>
      </c>
      <c r="E36" s="251">
        <v>0</v>
      </c>
      <c r="F36" s="252">
        <v>1</v>
      </c>
      <c r="G36" s="116">
        <v>2</v>
      </c>
      <c r="H36" s="112">
        <v>0</v>
      </c>
      <c r="I36" s="253">
        <v>16.88</v>
      </c>
      <c r="J36" s="240">
        <v>2184.88</v>
      </c>
      <c r="K36" s="245">
        <f t="shared" si="0"/>
        <v>0.36034935322892075</v>
      </c>
      <c r="L36" s="253">
        <v>16.98</v>
      </c>
      <c r="M36" s="240">
        <v>1825.79</v>
      </c>
      <c r="N36" s="245">
        <f t="shared" si="1"/>
        <v>0.32048018438471493</v>
      </c>
      <c r="O36" s="254">
        <v>17.059999999999999</v>
      </c>
      <c r="P36" s="243">
        <v>2146.7600000000002</v>
      </c>
      <c r="Q36" s="23">
        <f t="shared" si="2"/>
        <v>0.39318768219015249</v>
      </c>
      <c r="R36" s="254" t="s">
        <v>604</v>
      </c>
      <c r="S36" s="243">
        <v>2064.5</v>
      </c>
      <c r="T36" s="272">
        <f t="shared" si="3"/>
        <v>0.34776712617072197</v>
      </c>
      <c r="U36" s="254">
        <v>16.71</v>
      </c>
      <c r="V36" s="243">
        <v>11650.17</v>
      </c>
      <c r="W36" s="261">
        <f t="shared" si="4"/>
        <v>2.5810047600787263</v>
      </c>
      <c r="X36" s="201"/>
      <c r="Y36" s="255"/>
      <c r="Z36" s="201"/>
      <c r="AA36" s="201"/>
      <c r="AB36" s="201"/>
      <c r="AC36" s="201"/>
      <c r="AD36" s="201"/>
      <c r="AE36" s="201"/>
      <c r="AF36" s="201"/>
    </row>
    <row r="37" spans="2:32" x14ac:dyDescent="0.25">
      <c r="B37" s="256" t="s">
        <v>157</v>
      </c>
      <c r="C37" s="257" t="s">
        <v>53</v>
      </c>
      <c r="D37" s="257" t="s">
        <v>605</v>
      </c>
      <c r="E37" s="251">
        <v>0</v>
      </c>
      <c r="F37" s="252">
        <v>1</v>
      </c>
      <c r="G37" s="251">
        <v>4</v>
      </c>
      <c r="H37" s="112">
        <v>0</v>
      </c>
      <c r="I37" s="253">
        <v>18</v>
      </c>
      <c r="J37" s="240">
        <v>2362.34</v>
      </c>
      <c r="K37" s="245">
        <f t="shared" si="0"/>
        <v>0.38961759506554533</v>
      </c>
      <c r="L37" s="253">
        <v>18.100000000000001</v>
      </c>
      <c r="M37" s="240">
        <v>2399.85</v>
      </c>
      <c r="N37" s="245">
        <f t="shared" si="1"/>
        <v>0.42124470530327041</v>
      </c>
      <c r="O37" s="254">
        <v>18.38</v>
      </c>
      <c r="P37" s="243">
        <v>2837.73</v>
      </c>
      <c r="Q37" s="23">
        <f t="shared" si="2"/>
        <v>0.51974160194034791</v>
      </c>
      <c r="R37" s="254" t="s">
        <v>606</v>
      </c>
      <c r="S37" s="243">
        <v>1710.9</v>
      </c>
      <c r="T37" s="272">
        <f t="shared" si="3"/>
        <v>0.28820284628989495</v>
      </c>
      <c r="U37" s="254" t="s">
        <v>607</v>
      </c>
      <c r="V37" s="243">
        <v>2139.9</v>
      </c>
      <c r="W37" s="261">
        <f t="shared" si="4"/>
        <v>0.47407823972461066</v>
      </c>
      <c r="X37" s="201"/>
      <c r="Y37" s="255"/>
      <c r="Z37" s="201"/>
      <c r="AA37" s="201"/>
      <c r="AB37" s="201"/>
      <c r="AC37" s="201"/>
      <c r="AD37" s="201"/>
      <c r="AE37" s="201"/>
      <c r="AF37" s="201"/>
    </row>
    <row r="38" spans="2:32" x14ac:dyDescent="0.25">
      <c r="B38" s="256" t="s">
        <v>159</v>
      </c>
      <c r="C38" s="257" t="s">
        <v>53</v>
      </c>
      <c r="D38" s="257" t="s">
        <v>608</v>
      </c>
      <c r="E38" s="116">
        <v>0</v>
      </c>
      <c r="F38" s="112">
        <v>1</v>
      </c>
      <c r="G38" s="116">
        <v>4</v>
      </c>
      <c r="H38" s="112">
        <v>0</v>
      </c>
      <c r="I38" s="253">
        <v>19.21</v>
      </c>
      <c r="J38" s="240">
        <v>10531.8</v>
      </c>
      <c r="K38" s="245">
        <f t="shared" si="0"/>
        <v>1.7369957701733492</v>
      </c>
      <c r="L38" s="253">
        <v>19.309999999999999</v>
      </c>
      <c r="M38" s="240">
        <v>9316.3799999999992</v>
      </c>
      <c r="N38" s="245">
        <f t="shared" si="1"/>
        <v>1.6353004344410202</v>
      </c>
      <c r="O38" s="254">
        <v>19.579999999999998</v>
      </c>
      <c r="P38" s="243">
        <v>11961.28</v>
      </c>
      <c r="Q38" s="23">
        <f t="shared" si="2"/>
        <v>2.1907562835283994</v>
      </c>
      <c r="R38" s="254">
        <v>19.22</v>
      </c>
      <c r="S38" s="243">
        <v>17594.59</v>
      </c>
      <c r="T38" s="272">
        <f t="shared" si="3"/>
        <v>2.9638265926142515</v>
      </c>
      <c r="U38" s="254">
        <v>19.239999999999998</v>
      </c>
      <c r="V38" s="243">
        <v>17585.099999999999</v>
      </c>
      <c r="W38" s="261">
        <f t="shared" si="4"/>
        <v>3.8958424474887843</v>
      </c>
      <c r="X38" s="201"/>
      <c r="Y38" s="255"/>
      <c r="Z38" s="201"/>
      <c r="AA38" s="201"/>
      <c r="AB38" s="201"/>
      <c r="AC38" s="201"/>
      <c r="AD38" s="201"/>
      <c r="AE38" s="201"/>
      <c r="AF38" s="201"/>
    </row>
    <row r="39" spans="2:32" x14ac:dyDescent="0.25">
      <c r="B39" s="256" t="s">
        <v>277</v>
      </c>
      <c r="C39" s="257" t="s">
        <v>54</v>
      </c>
      <c r="D39" s="257" t="s">
        <v>609</v>
      </c>
      <c r="E39" s="116">
        <v>1</v>
      </c>
      <c r="F39" s="112">
        <v>0</v>
      </c>
      <c r="G39" s="116">
        <v>1</v>
      </c>
      <c r="H39" s="112">
        <v>0</v>
      </c>
      <c r="I39" s="253">
        <v>12.26</v>
      </c>
      <c r="J39" s="240">
        <v>697.31</v>
      </c>
      <c r="K39" s="245">
        <f t="shared" si="0"/>
        <v>0.11500641110727304</v>
      </c>
      <c r="L39" s="253">
        <v>12.3</v>
      </c>
      <c r="M39" s="240">
        <v>463.88</v>
      </c>
      <c r="N39" s="245">
        <f t="shared" si="1"/>
        <v>8.1424669831898291E-2</v>
      </c>
      <c r="O39" s="254">
        <v>12.42</v>
      </c>
      <c r="P39" s="243">
        <v>4600.18</v>
      </c>
      <c r="Q39" s="23">
        <f t="shared" si="2"/>
        <v>0.84254137018460162</v>
      </c>
      <c r="R39" s="254">
        <v>12.2</v>
      </c>
      <c r="S39" s="243">
        <v>3540.05</v>
      </c>
      <c r="T39" s="272">
        <f t="shared" si="3"/>
        <v>0.59632502543020793</v>
      </c>
      <c r="U39" s="254" t="s">
        <v>22</v>
      </c>
      <c r="V39" s="243">
        <v>0</v>
      </c>
      <c r="W39" s="261">
        <f t="shared" si="4"/>
        <v>0</v>
      </c>
      <c r="X39" s="201"/>
      <c r="Y39" s="255"/>
      <c r="Z39" s="201"/>
      <c r="AA39" s="201"/>
      <c r="AB39" s="201"/>
      <c r="AC39" s="201"/>
      <c r="AD39" s="201"/>
      <c r="AE39" s="201"/>
      <c r="AF39" s="201"/>
    </row>
    <row r="40" spans="2:32" x14ac:dyDescent="0.25">
      <c r="B40" s="256" t="s">
        <v>278</v>
      </c>
      <c r="C40" s="257" t="s">
        <v>54</v>
      </c>
      <c r="D40" s="257" t="s">
        <v>161</v>
      </c>
      <c r="E40" s="251">
        <v>1</v>
      </c>
      <c r="F40" s="252">
        <v>0</v>
      </c>
      <c r="G40" s="116">
        <v>1</v>
      </c>
      <c r="H40" s="112">
        <v>0</v>
      </c>
      <c r="I40" s="253">
        <v>15.69</v>
      </c>
      <c r="J40" s="240">
        <v>5132.4399999999996</v>
      </c>
      <c r="K40" s="245">
        <f t="shared" si="0"/>
        <v>0.84648650474453602</v>
      </c>
      <c r="L40" s="253">
        <v>15.69</v>
      </c>
      <c r="M40" s="240">
        <v>4357.1400000000003</v>
      </c>
      <c r="N40" s="245">
        <f t="shared" si="1"/>
        <v>0.76480703179994247</v>
      </c>
      <c r="O40" s="254" t="s">
        <v>22</v>
      </c>
      <c r="P40" s="243">
        <v>0</v>
      </c>
      <c r="Q40" s="23">
        <f t="shared" si="2"/>
        <v>0</v>
      </c>
      <c r="R40" s="254">
        <v>15.71</v>
      </c>
      <c r="S40" s="243">
        <v>6393.17</v>
      </c>
      <c r="T40" s="272">
        <f t="shared" si="3"/>
        <v>1.0769359932288081</v>
      </c>
      <c r="U40" s="254" t="s">
        <v>22</v>
      </c>
      <c r="V40" s="243">
        <v>0</v>
      </c>
      <c r="W40" s="261">
        <f t="shared" si="4"/>
        <v>0</v>
      </c>
      <c r="X40" s="201"/>
      <c r="Y40" s="255"/>
      <c r="Z40" s="201"/>
      <c r="AA40" s="201"/>
      <c r="AB40" s="201"/>
      <c r="AC40" s="201"/>
      <c r="AD40" s="201"/>
      <c r="AE40" s="201"/>
      <c r="AF40" s="201"/>
    </row>
    <row r="41" spans="2:32" x14ac:dyDescent="0.25">
      <c r="B41" s="256" t="s">
        <v>610</v>
      </c>
      <c r="C41" s="257" t="s">
        <v>163</v>
      </c>
      <c r="D41" s="257" t="s">
        <v>611</v>
      </c>
      <c r="E41" s="116">
        <v>1</v>
      </c>
      <c r="F41" s="112">
        <v>0</v>
      </c>
      <c r="G41" s="116">
        <v>1</v>
      </c>
      <c r="H41" s="112">
        <v>0</v>
      </c>
      <c r="I41" s="253">
        <v>12.17</v>
      </c>
      <c r="J41" s="240">
        <v>228.22</v>
      </c>
      <c r="K41" s="245">
        <f t="shared" si="0"/>
        <v>3.7640021142536111E-2</v>
      </c>
      <c r="L41" s="253">
        <v>12.18</v>
      </c>
      <c r="M41" s="240">
        <v>185.65</v>
      </c>
      <c r="N41" s="245">
        <f t="shared" si="1"/>
        <v>3.2587069833344653E-2</v>
      </c>
      <c r="O41" s="254">
        <v>12.22</v>
      </c>
      <c r="P41" s="243">
        <v>1846.02</v>
      </c>
      <c r="Q41" s="23">
        <f t="shared" si="2"/>
        <v>0.33810594806902738</v>
      </c>
      <c r="R41" s="254">
        <v>12.1</v>
      </c>
      <c r="S41" s="243">
        <v>1450.26</v>
      </c>
      <c r="T41" s="272">
        <f t="shared" si="3"/>
        <v>0.24429777302027184</v>
      </c>
      <c r="U41" s="254">
        <v>12.11</v>
      </c>
      <c r="V41" s="243">
        <v>1749</v>
      </c>
      <c r="W41" s="261">
        <f t="shared" si="4"/>
        <v>0.38747737804492915</v>
      </c>
      <c r="X41" s="201"/>
      <c r="Y41" s="255"/>
      <c r="Z41" s="201"/>
      <c r="AA41" s="201"/>
      <c r="AB41" s="201"/>
      <c r="AC41" s="201"/>
      <c r="AD41" s="201"/>
      <c r="AE41" s="201"/>
      <c r="AF41" s="201"/>
    </row>
    <row r="42" spans="2:32" x14ac:dyDescent="0.25">
      <c r="B42" s="256" t="s">
        <v>612</v>
      </c>
      <c r="C42" s="257" t="s">
        <v>163</v>
      </c>
      <c r="D42" s="257" t="s">
        <v>164</v>
      </c>
      <c r="E42" s="116">
        <v>1</v>
      </c>
      <c r="F42" s="112">
        <v>0</v>
      </c>
      <c r="G42" s="116">
        <v>2</v>
      </c>
      <c r="H42" s="112">
        <v>0</v>
      </c>
      <c r="I42" s="253">
        <v>17.600000000000001</v>
      </c>
      <c r="J42" s="240">
        <v>608.04</v>
      </c>
      <c r="K42" s="245">
        <f t="shared" si="0"/>
        <v>0.10028322870698296</v>
      </c>
      <c r="L42" s="253">
        <v>17.7</v>
      </c>
      <c r="M42" s="240">
        <v>769.47</v>
      </c>
      <c r="N42" s="245">
        <f t="shared" si="1"/>
        <v>0.13506475962652148</v>
      </c>
      <c r="O42" s="254" t="s">
        <v>22</v>
      </c>
      <c r="P42" s="243">
        <v>0</v>
      </c>
      <c r="Q42" s="23">
        <f t="shared" si="2"/>
        <v>0</v>
      </c>
      <c r="R42" s="254">
        <v>15.51</v>
      </c>
      <c r="S42" s="243">
        <v>1183.4100000000001</v>
      </c>
      <c r="T42" s="272">
        <f t="shared" si="3"/>
        <v>0.19934661893034347</v>
      </c>
      <c r="U42" s="254" t="s">
        <v>22</v>
      </c>
      <c r="V42" s="243">
        <v>0</v>
      </c>
      <c r="W42" s="261">
        <f t="shared" si="4"/>
        <v>0</v>
      </c>
      <c r="X42" s="201"/>
      <c r="Y42" s="255"/>
      <c r="Z42" s="201"/>
      <c r="AA42" s="201"/>
      <c r="AB42" s="201"/>
      <c r="AC42" s="201"/>
      <c r="AD42" s="201"/>
      <c r="AE42" s="201"/>
      <c r="AF42" s="201"/>
    </row>
    <row r="43" spans="2:32" x14ac:dyDescent="0.25">
      <c r="B43" s="256" t="s">
        <v>55</v>
      </c>
      <c r="C43" s="257" t="s">
        <v>56</v>
      </c>
      <c r="D43" s="257" t="s">
        <v>58</v>
      </c>
      <c r="E43" s="251">
        <v>0</v>
      </c>
      <c r="F43" s="252">
        <v>0</v>
      </c>
      <c r="G43" s="116">
        <v>2</v>
      </c>
      <c r="H43" s="112">
        <v>1</v>
      </c>
      <c r="I43" s="253">
        <v>22.65</v>
      </c>
      <c r="J43" s="240">
        <v>1965.98</v>
      </c>
      <c r="K43" s="245">
        <f t="shared" si="0"/>
        <v>0.32424646729385304</v>
      </c>
      <c r="L43" s="253">
        <v>22.61</v>
      </c>
      <c r="M43" s="240">
        <v>2217.37</v>
      </c>
      <c r="N43" s="245">
        <f t="shared" si="1"/>
        <v>0.38921406429498212</v>
      </c>
      <c r="O43" s="254">
        <v>22.63</v>
      </c>
      <c r="P43" s="243">
        <v>3114.8</v>
      </c>
      <c r="Q43" s="23">
        <f t="shared" si="2"/>
        <v>0.57048808086879155</v>
      </c>
      <c r="R43" s="254">
        <v>22.6</v>
      </c>
      <c r="S43" s="243">
        <v>2545.56</v>
      </c>
      <c r="T43" s="272">
        <f t="shared" si="3"/>
        <v>0.42880217277555965</v>
      </c>
      <c r="U43" s="254">
        <v>22.62</v>
      </c>
      <c r="V43" s="243">
        <v>2353.6799999999998</v>
      </c>
      <c r="W43" s="261">
        <f t="shared" si="4"/>
        <v>0.52143953982663738</v>
      </c>
      <c r="X43" s="201"/>
      <c r="Y43" s="255"/>
      <c r="Z43" s="201"/>
      <c r="AA43" s="201"/>
      <c r="AB43" s="201"/>
      <c r="AC43" s="201"/>
      <c r="AD43" s="201"/>
      <c r="AE43" s="201"/>
      <c r="AF43" s="201"/>
    </row>
    <row r="44" spans="2:32" x14ac:dyDescent="0.25">
      <c r="B44" s="256" t="s">
        <v>438</v>
      </c>
      <c r="C44" s="257" t="s">
        <v>56</v>
      </c>
      <c r="D44" s="257" t="s">
        <v>59</v>
      </c>
      <c r="E44" s="251">
        <v>0</v>
      </c>
      <c r="F44" s="252">
        <v>0</v>
      </c>
      <c r="G44" s="116">
        <v>2</v>
      </c>
      <c r="H44" s="112">
        <v>1</v>
      </c>
      <c r="I44" s="253">
        <v>28.71</v>
      </c>
      <c r="J44" s="240">
        <v>1847.38</v>
      </c>
      <c r="K44" s="245">
        <f t="shared" si="0"/>
        <v>0.30468592699280678</v>
      </c>
      <c r="L44" s="253">
        <v>28.59</v>
      </c>
      <c r="M44" s="240">
        <v>1832.7</v>
      </c>
      <c r="N44" s="245">
        <f t="shared" si="1"/>
        <v>0.32169309390557904</v>
      </c>
      <c r="O44" s="254" t="s">
        <v>613</v>
      </c>
      <c r="P44" s="243">
        <v>1848.6</v>
      </c>
      <c r="Q44" s="23">
        <f t="shared" si="2"/>
        <v>0.33857848539040958</v>
      </c>
      <c r="R44" s="254">
        <v>28.58</v>
      </c>
      <c r="S44" s="243">
        <v>2102.08</v>
      </c>
      <c r="T44" s="272">
        <f t="shared" si="3"/>
        <v>0.35409751541823742</v>
      </c>
      <c r="U44" s="254">
        <v>28.6</v>
      </c>
      <c r="V44" s="243">
        <v>2368.39</v>
      </c>
      <c r="W44" s="261">
        <f t="shared" si="4"/>
        <v>0.52469842617943385</v>
      </c>
      <c r="X44" s="201"/>
      <c r="Y44" s="255"/>
      <c r="Z44" s="201"/>
      <c r="AA44" s="201"/>
      <c r="AB44" s="201"/>
      <c r="AC44" s="201"/>
      <c r="AD44" s="201"/>
      <c r="AE44" s="201"/>
      <c r="AF44" s="201"/>
    </row>
    <row r="45" spans="2:32" x14ac:dyDescent="0.25">
      <c r="B45" s="256" t="s">
        <v>614</v>
      </c>
      <c r="C45" s="257" t="s">
        <v>615</v>
      </c>
      <c r="D45" s="257" t="s">
        <v>616</v>
      </c>
      <c r="E45" s="251">
        <v>0</v>
      </c>
      <c r="F45" s="252">
        <v>0</v>
      </c>
      <c r="G45" s="116">
        <v>2</v>
      </c>
      <c r="H45" s="112">
        <v>0</v>
      </c>
      <c r="I45" s="253" t="s">
        <v>582</v>
      </c>
      <c r="J45" s="240">
        <v>383.1</v>
      </c>
      <c r="K45" s="245">
        <f t="shared" si="0"/>
        <v>6.3184173603126739E-2</v>
      </c>
      <c r="L45" s="253">
        <v>20.97</v>
      </c>
      <c r="M45" s="240">
        <v>769.87</v>
      </c>
      <c r="N45" s="245">
        <f t="shared" si="1"/>
        <v>0.13513497146564529</v>
      </c>
      <c r="O45" s="254">
        <v>20.89</v>
      </c>
      <c r="P45" s="243">
        <v>1228.08</v>
      </c>
      <c r="Q45" s="23">
        <f t="shared" si="2"/>
        <v>0.22492776497795861</v>
      </c>
      <c r="R45" s="254">
        <v>20.76</v>
      </c>
      <c r="S45" s="243">
        <v>1721.25</v>
      </c>
      <c r="T45" s="272">
        <f t="shared" si="3"/>
        <v>0.28994631432373702</v>
      </c>
      <c r="U45" s="254">
        <v>20.77</v>
      </c>
      <c r="V45" s="243">
        <v>1363.04</v>
      </c>
      <c r="W45" s="261">
        <f t="shared" si="4"/>
        <v>0.30197093503165251</v>
      </c>
      <c r="X45" s="201"/>
      <c r="Y45" s="255"/>
      <c r="Z45" s="201"/>
      <c r="AA45" s="201"/>
      <c r="AB45" s="201"/>
      <c r="AC45" s="201"/>
      <c r="AD45" s="201"/>
      <c r="AE45" s="201"/>
      <c r="AF45" s="201"/>
    </row>
    <row r="46" spans="2:32" x14ac:dyDescent="0.25">
      <c r="B46" s="256" t="s">
        <v>617</v>
      </c>
      <c r="C46" s="257" t="s">
        <v>615</v>
      </c>
      <c r="D46" s="257" t="s">
        <v>618</v>
      </c>
      <c r="E46" s="251">
        <v>0</v>
      </c>
      <c r="F46" s="252">
        <v>0</v>
      </c>
      <c r="G46" s="116">
        <v>1</v>
      </c>
      <c r="H46" s="112">
        <v>0</v>
      </c>
      <c r="I46" s="253">
        <v>21.84</v>
      </c>
      <c r="J46" s="240">
        <v>1277.79</v>
      </c>
      <c r="K46" s="245">
        <f t="shared" si="0"/>
        <v>0.21074420565998253</v>
      </c>
      <c r="L46" s="253">
        <v>21.8</v>
      </c>
      <c r="M46" s="240">
        <v>1574.27</v>
      </c>
      <c r="N46" s="245">
        <f t="shared" si="1"/>
        <v>0.27633097994365463</v>
      </c>
      <c r="O46" s="254">
        <v>21.72</v>
      </c>
      <c r="P46" s="243">
        <v>1307.26</v>
      </c>
      <c r="Q46" s="23">
        <f t="shared" si="2"/>
        <v>0.23942989874038023</v>
      </c>
      <c r="R46" s="254">
        <v>21.68</v>
      </c>
      <c r="S46" s="243">
        <v>1779.59</v>
      </c>
      <c r="T46" s="272">
        <f t="shared" si="3"/>
        <v>0.29977374670000245</v>
      </c>
      <c r="U46" s="254">
        <v>21.71</v>
      </c>
      <c r="V46" s="243">
        <v>1481.71</v>
      </c>
      <c r="W46" s="261">
        <f t="shared" si="4"/>
        <v>0.32826135267178502</v>
      </c>
      <c r="X46" s="201"/>
      <c r="Y46" s="255"/>
      <c r="Z46" s="201"/>
      <c r="AA46" s="201"/>
      <c r="AB46" s="201"/>
      <c r="AC46" s="201"/>
      <c r="AD46" s="201"/>
      <c r="AE46" s="201"/>
      <c r="AF46" s="201"/>
    </row>
    <row r="47" spans="2:32" x14ac:dyDescent="0.25">
      <c r="B47" s="256" t="s">
        <v>60</v>
      </c>
      <c r="C47" s="257" t="s">
        <v>61</v>
      </c>
      <c r="D47" s="257" t="s">
        <v>619</v>
      </c>
      <c r="E47" s="251">
        <v>0</v>
      </c>
      <c r="F47" s="252">
        <v>0</v>
      </c>
      <c r="G47" s="116">
        <v>3</v>
      </c>
      <c r="H47" s="112">
        <v>1</v>
      </c>
      <c r="I47" s="253">
        <v>17.190000000000001</v>
      </c>
      <c r="J47" s="240">
        <v>4296.63</v>
      </c>
      <c r="K47" s="245">
        <f t="shared" si="0"/>
        <v>0.70863747279666511</v>
      </c>
      <c r="L47" s="253">
        <v>17.190000000000001</v>
      </c>
      <c r="M47" s="240">
        <v>3832.81</v>
      </c>
      <c r="N47" s="245">
        <f t="shared" si="1"/>
        <v>0.67277159778045637</v>
      </c>
      <c r="O47" s="254">
        <v>17.16</v>
      </c>
      <c r="P47" s="243">
        <v>4740.4799999999996</v>
      </c>
      <c r="Q47" s="23">
        <f t="shared" si="2"/>
        <v>0.86823787645976902</v>
      </c>
      <c r="R47" s="254">
        <v>17.11</v>
      </c>
      <c r="S47" s="243">
        <v>3845.09</v>
      </c>
      <c r="T47" s="272">
        <f t="shared" si="3"/>
        <v>0.6477093238884869</v>
      </c>
      <c r="U47" s="254">
        <v>17.12</v>
      </c>
      <c r="V47" s="243">
        <v>5726.85</v>
      </c>
      <c r="W47" s="261">
        <f t="shared" si="4"/>
        <v>1.2687391780769597</v>
      </c>
      <c r="X47" s="201"/>
      <c r="Y47" s="255"/>
      <c r="Z47" s="201"/>
      <c r="AA47" s="201"/>
      <c r="AB47" s="201"/>
      <c r="AC47" s="201"/>
      <c r="AD47" s="201"/>
      <c r="AE47" s="201"/>
      <c r="AF47" s="201"/>
    </row>
    <row r="48" spans="2:32" x14ac:dyDescent="0.25">
      <c r="B48" s="256" t="s">
        <v>62</v>
      </c>
      <c r="C48" s="257" t="s">
        <v>61</v>
      </c>
      <c r="D48" s="257" t="s">
        <v>620</v>
      </c>
      <c r="E48" s="251">
        <v>0</v>
      </c>
      <c r="F48" s="252">
        <v>0</v>
      </c>
      <c r="G48" s="116">
        <v>4</v>
      </c>
      <c r="H48" s="112">
        <v>1</v>
      </c>
      <c r="I48" s="253">
        <v>23.25</v>
      </c>
      <c r="J48" s="240">
        <v>2405.98</v>
      </c>
      <c r="K48" s="245">
        <f t="shared" si="0"/>
        <v>0.39681508223871276</v>
      </c>
      <c r="L48" s="253">
        <v>23.32</v>
      </c>
      <c r="M48" s="240">
        <v>2741.28</v>
      </c>
      <c r="N48" s="245">
        <f t="shared" si="1"/>
        <v>0.48117577588338828</v>
      </c>
      <c r="O48" s="254">
        <v>23.34</v>
      </c>
      <c r="P48" s="243">
        <v>2087.44</v>
      </c>
      <c r="Q48" s="23">
        <f t="shared" si="2"/>
        <v>0.38232298687837102</v>
      </c>
      <c r="R48" s="254">
        <v>23.31</v>
      </c>
      <c r="S48" s="243">
        <v>1977.19</v>
      </c>
      <c r="T48" s="272">
        <f t="shared" si="3"/>
        <v>0.33305966780987639</v>
      </c>
      <c r="U48" s="254">
        <v>23.23</v>
      </c>
      <c r="V48" s="243">
        <v>1694.87</v>
      </c>
      <c r="W48" s="261">
        <f t="shared" si="4"/>
        <v>0.37548529658491087</v>
      </c>
      <c r="X48" s="201"/>
      <c r="Y48" s="255"/>
      <c r="Z48" s="201"/>
      <c r="AA48" s="201"/>
      <c r="AB48" s="201"/>
      <c r="AC48" s="201"/>
      <c r="AD48" s="201"/>
      <c r="AE48" s="201"/>
      <c r="AF48" s="201"/>
    </row>
    <row r="49" spans="2:32" x14ac:dyDescent="0.25">
      <c r="B49" s="256">
        <v>966</v>
      </c>
      <c r="C49" s="257" t="s">
        <v>69</v>
      </c>
      <c r="D49" s="257" t="s">
        <v>70</v>
      </c>
      <c r="E49" s="251">
        <v>1</v>
      </c>
      <c r="F49" s="252">
        <v>0</v>
      </c>
      <c r="G49" s="116">
        <v>1</v>
      </c>
      <c r="H49" s="112">
        <v>0</v>
      </c>
      <c r="I49" s="253">
        <v>15.1</v>
      </c>
      <c r="J49" s="240">
        <v>3395.31</v>
      </c>
      <c r="K49" s="245">
        <f t="shared" si="0"/>
        <v>0.55998396365552661</v>
      </c>
      <c r="L49" s="253">
        <v>15.19</v>
      </c>
      <c r="M49" s="240">
        <v>4140.16</v>
      </c>
      <c r="N49" s="245">
        <f t="shared" si="1"/>
        <v>0.72672061966722423</v>
      </c>
      <c r="O49" s="254" t="s">
        <v>22</v>
      </c>
      <c r="P49" s="243">
        <v>0</v>
      </c>
      <c r="Q49" s="23">
        <f t="shared" si="2"/>
        <v>0</v>
      </c>
      <c r="R49" s="254" t="s">
        <v>22</v>
      </c>
      <c r="S49" s="243">
        <v>0</v>
      </c>
      <c r="T49" s="272">
        <f t="shared" si="3"/>
        <v>0</v>
      </c>
      <c r="U49" s="254" t="s">
        <v>22</v>
      </c>
      <c r="V49" s="243">
        <v>0</v>
      </c>
      <c r="W49" s="261">
        <f t="shared" si="4"/>
        <v>0</v>
      </c>
      <c r="X49" s="201"/>
      <c r="Y49" s="255"/>
      <c r="Z49" s="201"/>
      <c r="AA49" s="201"/>
      <c r="AB49" s="201"/>
      <c r="AC49" s="201"/>
      <c r="AD49" s="201"/>
      <c r="AE49" s="201"/>
      <c r="AF49" s="201"/>
    </row>
    <row r="50" spans="2:32" x14ac:dyDescent="0.25">
      <c r="B50" s="256" t="s">
        <v>177</v>
      </c>
      <c r="C50" s="257" t="s">
        <v>71</v>
      </c>
      <c r="D50" s="257" t="s">
        <v>179</v>
      </c>
      <c r="E50" s="116">
        <v>0</v>
      </c>
      <c r="F50" s="112">
        <v>1</v>
      </c>
      <c r="G50" s="116">
        <v>2</v>
      </c>
      <c r="H50" s="112">
        <v>1</v>
      </c>
      <c r="I50" s="253">
        <v>16.98</v>
      </c>
      <c r="J50" s="240">
        <v>4142.78</v>
      </c>
      <c r="K50" s="245">
        <f t="shared" si="0"/>
        <v>0.6832631968665136</v>
      </c>
      <c r="L50" s="253">
        <v>17.079999999999998</v>
      </c>
      <c r="M50" s="240">
        <v>3302.82</v>
      </c>
      <c r="N50" s="245">
        <f t="shared" si="1"/>
        <v>0.57974266623736814</v>
      </c>
      <c r="O50" s="254">
        <v>17.37</v>
      </c>
      <c r="P50" s="243">
        <v>56998.400000000001</v>
      </c>
      <c r="Q50" s="23">
        <f t="shared" si="2"/>
        <v>10.439484984137577</v>
      </c>
      <c r="R50" s="254">
        <v>17.11</v>
      </c>
      <c r="S50" s="243">
        <v>5869.9</v>
      </c>
      <c r="T50" s="272">
        <f t="shared" si="3"/>
        <v>0.98879062916421434</v>
      </c>
      <c r="U50" s="254">
        <v>17.12</v>
      </c>
      <c r="V50" s="243">
        <v>5334.76</v>
      </c>
      <c r="W50" s="261">
        <f t="shared" si="4"/>
        <v>1.1818746811314844</v>
      </c>
      <c r="X50" s="201"/>
      <c r="Y50" s="255"/>
      <c r="Z50" s="201"/>
      <c r="AA50" s="201"/>
      <c r="AB50" s="201"/>
      <c r="AC50" s="201"/>
      <c r="AD50" s="201"/>
      <c r="AE50" s="201"/>
      <c r="AF50" s="201"/>
    </row>
    <row r="51" spans="2:32" x14ac:dyDescent="0.25">
      <c r="B51" s="256" t="s">
        <v>178</v>
      </c>
      <c r="C51" s="257" t="s">
        <v>71</v>
      </c>
      <c r="D51" s="257" t="s">
        <v>269</v>
      </c>
      <c r="E51" s="251">
        <v>0</v>
      </c>
      <c r="F51" s="252">
        <v>1</v>
      </c>
      <c r="G51" s="116">
        <v>2</v>
      </c>
      <c r="H51" s="112">
        <v>1</v>
      </c>
      <c r="I51" s="253">
        <v>28.31</v>
      </c>
      <c r="J51" s="240">
        <v>3959.8</v>
      </c>
      <c r="K51" s="245">
        <f t="shared" si="0"/>
        <v>0.65308454876967181</v>
      </c>
      <c r="L51" s="253">
        <v>28.3</v>
      </c>
      <c r="M51" s="240">
        <v>3468.5</v>
      </c>
      <c r="N51" s="245">
        <f t="shared" si="1"/>
        <v>0.60882441000245591</v>
      </c>
      <c r="O51" s="254">
        <v>28.78</v>
      </c>
      <c r="P51" s="243">
        <v>4090.95</v>
      </c>
      <c r="Q51" s="23">
        <f t="shared" si="2"/>
        <v>0.74927385849177552</v>
      </c>
      <c r="R51" s="254">
        <v>28.28</v>
      </c>
      <c r="S51" s="243">
        <v>3902.8</v>
      </c>
      <c r="T51" s="272">
        <f t="shared" si="3"/>
        <v>0.6574306321235619</v>
      </c>
      <c r="U51" s="254">
        <v>28.4</v>
      </c>
      <c r="V51" s="243">
        <v>4093.01</v>
      </c>
      <c r="W51" s="261">
        <f t="shared" si="4"/>
        <v>0.90677460440919144</v>
      </c>
      <c r="X51" s="201"/>
      <c r="Y51" s="255"/>
      <c r="Z51" s="201"/>
      <c r="AA51" s="201"/>
      <c r="AB51" s="201"/>
      <c r="AC51" s="201"/>
      <c r="AD51" s="201"/>
      <c r="AE51" s="201"/>
      <c r="AF51" s="201"/>
    </row>
    <row r="52" spans="2:32" x14ac:dyDescent="0.25">
      <c r="B52" s="256">
        <v>982</v>
      </c>
      <c r="C52" s="257" t="s">
        <v>621</v>
      </c>
      <c r="D52" s="257" t="s">
        <v>622</v>
      </c>
      <c r="E52" s="251">
        <v>1</v>
      </c>
      <c r="F52" s="252">
        <v>0</v>
      </c>
      <c r="G52" s="116">
        <v>1</v>
      </c>
      <c r="H52" s="112">
        <v>0</v>
      </c>
      <c r="I52" s="253">
        <v>15</v>
      </c>
      <c r="J52" s="240">
        <v>1405.76</v>
      </c>
      <c r="K52" s="245">
        <f t="shared" si="0"/>
        <v>0.23185012760201365</v>
      </c>
      <c r="L52" s="253">
        <v>15.09</v>
      </c>
      <c r="M52" s="240">
        <v>1857.78</v>
      </c>
      <c r="N52" s="245">
        <f t="shared" si="1"/>
        <v>0.32609537621864276</v>
      </c>
      <c r="O52" s="254" t="s">
        <v>22</v>
      </c>
      <c r="P52" s="243">
        <v>0</v>
      </c>
      <c r="Q52" s="23">
        <f t="shared" si="2"/>
        <v>0</v>
      </c>
      <c r="R52" s="254" t="s">
        <v>22</v>
      </c>
      <c r="S52" s="243">
        <v>0</v>
      </c>
      <c r="T52" s="272">
        <f t="shared" si="3"/>
        <v>0</v>
      </c>
      <c r="U52" s="254" t="s">
        <v>22</v>
      </c>
      <c r="V52" s="243">
        <v>0</v>
      </c>
      <c r="W52" s="261">
        <f t="shared" si="4"/>
        <v>0</v>
      </c>
      <c r="X52" s="201"/>
      <c r="Y52" s="255"/>
      <c r="Z52" s="201"/>
      <c r="AA52" s="201"/>
      <c r="AB52" s="201"/>
      <c r="AC52" s="201"/>
      <c r="AD52" s="201"/>
      <c r="AE52" s="201"/>
      <c r="AF52" s="201"/>
    </row>
    <row r="53" spans="2:32" x14ac:dyDescent="0.25">
      <c r="B53" s="256">
        <v>998</v>
      </c>
      <c r="C53" s="257" t="s">
        <v>623</v>
      </c>
      <c r="D53" s="257" t="s">
        <v>624</v>
      </c>
      <c r="E53" s="251">
        <v>1</v>
      </c>
      <c r="F53" s="252">
        <v>0</v>
      </c>
      <c r="G53" s="116">
        <v>1</v>
      </c>
      <c r="H53" s="112">
        <v>0</v>
      </c>
      <c r="I53" s="253">
        <v>14.9</v>
      </c>
      <c r="J53" s="240">
        <v>3361.14</v>
      </c>
      <c r="K53" s="245">
        <f t="shared" si="0"/>
        <v>0.55434835099037683</v>
      </c>
      <c r="L53" s="253">
        <v>14.89</v>
      </c>
      <c r="M53" s="240">
        <v>4089.96</v>
      </c>
      <c r="N53" s="245">
        <f t="shared" si="1"/>
        <v>0.71790903385718452</v>
      </c>
      <c r="O53" s="254" t="s">
        <v>22</v>
      </c>
      <c r="P53" s="243">
        <v>0</v>
      </c>
      <c r="Q53" s="23">
        <f t="shared" si="2"/>
        <v>0</v>
      </c>
      <c r="R53" s="254" t="s">
        <v>22</v>
      </c>
      <c r="S53" s="243">
        <v>0</v>
      </c>
      <c r="T53" s="272">
        <f t="shared" si="3"/>
        <v>0</v>
      </c>
      <c r="U53" s="254" t="s">
        <v>22</v>
      </c>
      <c r="V53" s="243">
        <v>0</v>
      </c>
      <c r="W53" s="261">
        <f t="shared" si="4"/>
        <v>0</v>
      </c>
      <c r="X53" s="201"/>
      <c r="Y53" s="255"/>
      <c r="Z53" s="201"/>
      <c r="AA53" s="201"/>
      <c r="AB53" s="201"/>
      <c r="AC53" s="201"/>
      <c r="AD53" s="201"/>
      <c r="AE53" s="201"/>
      <c r="AF53" s="201"/>
    </row>
    <row r="54" spans="2:32" x14ac:dyDescent="0.25">
      <c r="B54" s="256" t="s">
        <v>181</v>
      </c>
      <c r="C54" s="257" t="s">
        <v>74</v>
      </c>
      <c r="D54" s="257" t="s">
        <v>186</v>
      </c>
      <c r="E54" s="116">
        <v>0</v>
      </c>
      <c r="F54" s="112">
        <v>1</v>
      </c>
      <c r="G54" s="116">
        <v>4</v>
      </c>
      <c r="H54" s="112">
        <v>1</v>
      </c>
      <c r="I54" s="253">
        <v>18.100000000000001</v>
      </c>
      <c r="J54" s="240">
        <v>3001.34</v>
      </c>
      <c r="K54" s="245">
        <f t="shared" si="0"/>
        <v>0.49500701540592118</v>
      </c>
      <c r="L54" s="253">
        <v>18.2</v>
      </c>
      <c r="M54" s="240">
        <v>2526.58</v>
      </c>
      <c r="N54" s="245">
        <f t="shared" si="1"/>
        <v>0.44348957123367594</v>
      </c>
      <c r="O54" s="254" t="s">
        <v>625</v>
      </c>
      <c r="P54" s="243">
        <v>1795.2</v>
      </c>
      <c r="Q54" s="23">
        <f t="shared" si="2"/>
        <v>0.32879806176179993</v>
      </c>
      <c r="R54" s="254">
        <v>18.22</v>
      </c>
      <c r="S54" s="243">
        <v>2110.4</v>
      </c>
      <c r="T54" s="272">
        <f t="shared" si="3"/>
        <v>0.35549902788602161</v>
      </c>
      <c r="U54" s="254">
        <v>18.14</v>
      </c>
      <c r="V54" s="243">
        <v>2235.7399999999998</v>
      </c>
      <c r="W54" s="261">
        <f t="shared" si="4"/>
        <v>0.49531084802182379</v>
      </c>
      <c r="X54" s="201"/>
      <c r="Y54" s="255"/>
      <c r="Z54" s="201"/>
      <c r="AA54" s="201"/>
      <c r="AB54" s="201"/>
      <c r="AC54" s="201"/>
      <c r="AD54" s="201"/>
      <c r="AE54" s="201"/>
      <c r="AF54" s="201"/>
    </row>
    <row r="55" spans="2:32" x14ac:dyDescent="0.25">
      <c r="B55" s="256" t="s">
        <v>183</v>
      </c>
      <c r="C55" s="257" t="s">
        <v>74</v>
      </c>
      <c r="D55" s="257" t="s">
        <v>626</v>
      </c>
      <c r="E55" s="251">
        <v>0</v>
      </c>
      <c r="F55" s="252">
        <v>1</v>
      </c>
      <c r="G55" s="116">
        <v>2</v>
      </c>
      <c r="H55" s="112">
        <v>1</v>
      </c>
      <c r="I55" s="253">
        <v>19.72</v>
      </c>
      <c r="J55" s="240">
        <v>40559.160000000003</v>
      </c>
      <c r="K55" s="245">
        <f t="shared" si="0"/>
        <v>6.6893683284703576</v>
      </c>
      <c r="L55" s="253">
        <v>19.82</v>
      </c>
      <c r="M55" s="240">
        <v>37442.300000000003</v>
      </c>
      <c r="N55" s="245">
        <f t="shared" si="1"/>
        <v>6.5722318600648562</v>
      </c>
      <c r="O55" s="254">
        <v>20.079999999999998</v>
      </c>
      <c r="P55" s="243">
        <v>40428.51</v>
      </c>
      <c r="Q55" s="23">
        <f t="shared" si="2"/>
        <v>7.4046433422000595</v>
      </c>
      <c r="R55" s="254">
        <v>19.72</v>
      </c>
      <c r="S55" s="243">
        <v>44693.81</v>
      </c>
      <c r="T55" s="272">
        <f t="shared" si="3"/>
        <v>7.5287177821846809</v>
      </c>
      <c r="U55" s="254">
        <v>19.739999999999998</v>
      </c>
      <c r="V55" s="243">
        <v>37307.449999999997</v>
      </c>
      <c r="W55" s="261">
        <f t="shared" si="4"/>
        <v>8.2651760477657472</v>
      </c>
      <c r="X55" s="201"/>
      <c r="Y55" s="255"/>
      <c r="Z55" s="201"/>
      <c r="AA55" s="201"/>
      <c r="AB55" s="201"/>
      <c r="AC55" s="201"/>
      <c r="AD55" s="201"/>
      <c r="AE55" s="201"/>
      <c r="AF55" s="201"/>
    </row>
    <row r="56" spans="2:32" x14ac:dyDescent="0.25">
      <c r="B56" s="256" t="s">
        <v>185</v>
      </c>
      <c r="C56" s="257" t="s">
        <v>74</v>
      </c>
      <c r="D56" s="257" t="s">
        <v>191</v>
      </c>
      <c r="E56" s="251">
        <v>0</v>
      </c>
      <c r="F56" s="252">
        <v>1</v>
      </c>
      <c r="G56" s="116">
        <v>4</v>
      </c>
      <c r="H56" s="112">
        <v>1</v>
      </c>
      <c r="I56" s="253">
        <v>24.07</v>
      </c>
      <c r="J56" s="240">
        <v>20219.36</v>
      </c>
      <c r="K56" s="245">
        <f t="shared" si="0"/>
        <v>3.3347521597079521</v>
      </c>
      <c r="L56" s="253">
        <v>24.03</v>
      </c>
      <c r="M56" s="240">
        <v>21883.7</v>
      </c>
      <c r="N56" s="245">
        <f t="shared" si="1"/>
        <v>3.8412370595850494</v>
      </c>
      <c r="O56" s="254">
        <v>24.35</v>
      </c>
      <c r="P56" s="243">
        <v>17076.22</v>
      </c>
      <c r="Q56" s="23">
        <f t="shared" si="2"/>
        <v>3.1275780070287902</v>
      </c>
      <c r="R56" s="254">
        <v>24.02</v>
      </c>
      <c r="S56" s="243">
        <v>14861.11</v>
      </c>
      <c r="T56" s="272">
        <f t="shared" si="3"/>
        <v>2.5033691045807593</v>
      </c>
      <c r="U56" s="254">
        <v>24.04</v>
      </c>
      <c r="V56" s="243">
        <v>15740.84</v>
      </c>
      <c r="W56" s="261">
        <f t="shared" si="4"/>
        <v>3.4872609556459362</v>
      </c>
      <c r="X56" s="201"/>
      <c r="Y56" s="255"/>
      <c r="Z56" s="201"/>
      <c r="AA56" s="201"/>
      <c r="AB56" s="201"/>
      <c r="AC56" s="201"/>
      <c r="AD56" s="201"/>
      <c r="AE56" s="201"/>
      <c r="AF56" s="201"/>
    </row>
    <row r="57" spans="2:32" x14ac:dyDescent="0.25">
      <c r="B57" s="256">
        <v>1024</v>
      </c>
      <c r="C57" s="257" t="s">
        <v>192</v>
      </c>
      <c r="D57" s="257" t="s">
        <v>627</v>
      </c>
      <c r="E57" s="251">
        <v>1</v>
      </c>
      <c r="F57" s="252">
        <v>0</v>
      </c>
      <c r="G57" s="116">
        <v>3</v>
      </c>
      <c r="H57" s="112">
        <v>1</v>
      </c>
      <c r="I57" s="253">
        <v>20.23</v>
      </c>
      <c r="J57" s="240">
        <v>10615.99</v>
      </c>
      <c r="K57" s="245">
        <f t="shared" si="0"/>
        <v>1.7508811149283667</v>
      </c>
      <c r="L57" s="253">
        <v>20.239999999999998</v>
      </c>
      <c r="M57" s="240">
        <v>10475.6</v>
      </c>
      <c r="N57" s="245">
        <f t="shared" si="1"/>
        <v>1.8387778548138178</v>
      </c>
      <c r="O57" s="254" t="s">
        <v>22</v>
      </c>
      <c r="P57" s="243">
        <v>0</v>
      </c>
      <c r="Q57" s="23">
        <f t="shared" si="2"/>
        <v>0</v>
      </c>
      <c r="R57" s="254">
        <v>20.14</v>
      </c>
      <c r="S57" s="243">
        <v>8899.2900000000009</v>
      </c>
      <c r="T57" s="272">
        <f t="shared" si="3"/>
        <v>1.4990944578638141</v>
      </c>
      <c r="U57" s="254" t="s">
        <v>22</v>
      </c>
      <c r="V57" s="243">
        <v>0</v>
      </c>
      <c r="W57" s="261">
        <f t="shared" si="4"/>
        <v>0</v>
      </c>
      <c r="X57" s="201"/>
      <c r="Y57" s="255"/>
      <c r="Z57" s="201"/>
      <c r="AA57" s="201"/>
      <c r="AB57" s="201"/>
      <c r="AC57" s="201"/>
      <c r="AD57" s="201"/>
      <c r="AE57" s="201"/>
      <c r="AF57" s="201"/>
    </row>
    <row r="58" spans="2:32" x14ac:dyDescent="0.25">
      <c r="B58" s="256">
        <v>1032</v>
      </c>
      <c r="C58" s="257" t="s">
        <v>193</v>
      </c>
      <c r="D58" s="257" t="s">
        <v>628</v>
      </c>
      <c r="E58" s="251">
        <v>0</v>
      </c>
      <c r="F58" s="252">
        <v>1</v>
      </c>
      <c r="G58" s="116">
        <v>4</v>
      </c>
      <c r="H58" s="112">
        <v>0</v>
      </c>
      <c r="I58" s="253">
        <v>20.83</v>
      </c>
      <c r="J58" s="240">
        <v>2333.77</v>
      </c>
      <c r="K58" s="245">
        <f t="shared" si="0"/>
        <v>0.38490558295423932</v>
      </c>
      <c r="L58" s="253">
        <v>20.86</v>
      </c>
      <c r="M58" s="240">
        <v>2152.4299999999998</v>
      </c>
      <c r="N58" s="245">
        <f t="shared" si="1"/>
        <v>0.3778151722132293</v>
      </c>
      <c r="O58" s="254">
        <v>21.1</v>
      </c>
      <c r="P58" s="243">
        <v>2631.44</v>
      </c>
      <c r="Q58" s="23">
        <f t="shared" si="2"/>
        <v>0.48195876316982555</v>
      </c>
      <c r="R58" s="254">
        <v>20.76</v>
      </c>
      <c r="S58" s="243">
        <v>3048.91</v>
      </c>
      <c r="T58" s="272">
        <f t="shared" si="3"/>
        <v>0.51359199256632393</v>
      </c>
      <c r="U58" s="254">
        <v>20.77</v>
      </c>
      <c r="V58" s="243">
        <v>4099.82</v>
      </c>
      <c r="W58" s="261">
        <f t="shared" si="4"/>
        <v>0.90828330706470062</v>
      </c>
      <c r="X58" s="201"/>
      <c r="Y58" s="255"/>
      <c r="Z58" s="201"/>
      <c r="AA58" s="201"/>
      <c r="AB58" s="201"/>
      <c r="AC58" s="201"/>
      <c r="AD58" s="201"/>
      <c r="AE58" s="201"/>
      <c r="AF58" s="201"/>
    </row>
    <row r="59" spans="2:32" x14ac:dyDescent="0.25">
      <c r="B59" s="256">
        <v>1040</v>
      </c>
      <c r="C59" s="257" t="s">
        <v>412</v>
      </c>
      <c r="D59" s="257" t="s">
        <v>629</v>
      </c>
      <c r="E59" s="251">
        <v>1</v>
      </c>
      <c r="F59" s="252">
        <v>0</v>
      </c>
      <c r="G59" s="116">
        <v>3</v>
      </c>
      <c r="H59" s="112">
        <v>1</v>
      </c>
      <c r="I59" s="253">
        <v>19.920000000000002</v>
      </c>
      <c r="J59" s="240">
        <v>2863.11</v>
      </c>
      <c r="K59" s="245">
        <f t="shared" si="0"/>
        <v>0.47220892530631214</v>
      </c>
      <c r="L59" s="253">
        <v>19.93</v>
      </c>
      <c r="M59" s="240">
        <v>3415.24</v>
      </c>
      <c r="N59" s="245">
        <f t="shared" si="1"/>
        <v>0.59947570362311875</v>
      </c>
      <c r="O59" s="254" t="s">
        <v>22</v>
      </c>
      <c r="P59" s="243">
        <v>0</v>
      </c>
      <c r="Q59" s="23">
        <f t="shared" si="2"/>
        <v>0</v>
      </c>
      <c r="R59" s="254">
        <v>19.829999999999998</v>
      </c>
      <c r="S59" s="243">
        <v>2985.7</v>
      </c>
      <c r="T59" s="272">
        <f t="shared" si="3"/>
        <v>0.50294420373355508</v>
      </c>
      <c r="U59" s="254" t="s">
        <v>22</v>
      </c>
      <c r="V59" s="243">
        <v>0</v>
      </c>
      <c r="W59" s="261">
        <f t="shared" si="4"/>
        <v>0</v>
      </c>
      <c r="X59" s="201"/>
      <c r="Y59" s="255"/>
      <c r="Z59" s="201"/>
      <c r="AA59" s="201"/>
      <c r="AB59" s="201"/>
      <c r="AC59" s="201"/>
      <c r="AD59" s="201"/>
      <c r="AE59" s="201"/>
      <c r="AF59" s="201"/>
    </row>
    <row r="60" spans="2:32" x14ac:dyDescent="0.25">
      <c r="B60" s="256" t="s">
        <v>630</v>
      </c>
      <c r="C60" s="257" t="s">
        <v>79</v>
      </c>
      <c r="D60" s="257" t="s">
        <v>631</v>
      </c>
      <c r="E60" s="251">
        <v>0</v>
      </c>
      <c r="F60" s="252">
        <v>0</v>
      </c>
      <c r="G60" s="116">
        <v>2</v>
      </c>
      <c r="H60" s="112">
        <v>1</v>
      </c>
      <c r="I60" s="253">
        <v>30.5</v>
      </c>
      <c r="J60" s="240">
        <v>4391.25</v>
      </c>
      <c r="K60" s="245">
        <f t="shared" si="0"/>
        <v>0.72424302358321657</v>
      </c>
      <c r="L60" s="253">
        <v>30.38</v>
      </c>
      <c r="M60" s="240">
        <v>4066.64</v>
      </c>
      <c r="N60" s="245">
        <f t="shared" si="1"/>
        <v>0.71381568363626546</v>
      </c>
      <c r="O60" s="254">
        <v>30.37</v>
      </c>
      <c r="P60" s="243">
        <v>3919.61</v>
      </c>
      <c r="Q60" s="23">
        <f t="shared" si="2"/>
        <v>0.71789225203997808</v>
      </c>
      <c r="R60" s="254">
        <v>30.37</v>
      </c>
      <c r="S60" s="243">
        <v>3021.27</v>
      </c>
      <c r="T60" s="272">
        <f t="shared" si="3"/>
        <v>0.50893600643536785</v>
      </c>
      <c r="U60" s="254">
        <v>30.38</v>
      </c>
      <c r="V60" s="243">
        <v>2786.19</v>
      </c>
      <c r="W60" s="261">
        <f t="shared" si="4"/>
        <v>0.61725877411949759</v>
      </c>
      <c r="X60" s="201"/>
      <c r="Y60" s="255"/>
      <c r="Z60" s="201"/>
      <c r="AA60" s="201"/>
      <c r="AB60" s="201"/>
      <c r="AC60" s="201"/>
      <c r="AD60" s="201"/>
      <c r="AE60" s="201"/>
      <c r="AF60" s="201"/>
    </row>
    <row r="61" spans="2:32" x14ac:dyDescent="0.25">
      <c r="B61" s="256">
        <v>1098</v>
      </c>
      <c r="C61" s="257" t="s">
        <v>81</v>
      </c>
      <c r="D61" s="257" t="s">
        <v>632</v>
      </c>
      <c r="E61" s="251">
        <v>0</v>
      </c>
      <c r="F61" s="252">
        <v>0</v>
      </c>
      <c r="G61" s="116">
        <v>2</v>
      </c>
      <c r="H61" s="273">
        <v>1</v>
      </c>
      <c r="I61" s="253">
        <v>16.78</v>
      </c>
      <c r="J61" s="240">
        <v>668.94</v>
      </c>
      <c r="K61" s="245">
        <f t="shared" si="0"/>
        <v>0.1103273847300329</v>
      </c>
      <c r="L61" s="253">
        <v>16.78</v>
      </c>
      <c r="M61" s="240">
        <v>601.03</v>
      </c>
      <c r="N61" s="245">
        <f t="shared" si="1"/>
        <v>0.10549855417147933</v>
      </c>
      <c r="O61" s="254">
        <v>16.86</v>
      </c>
      <c r="P61" s="243">
        <v>986.67</v>
      </c>
      <c r="Q61" s="274">
        <f t="shared" si="2"/>
        <v>0.1807125577086203</v>
      </c>
      <c r="R61" s="254">
        <v>16.809999999999999</v>
      </c>
      <c r="S61" s="243">
        <v>967.07</v>
      </c>
      <c r="T61" s="272">
        <f t="shared" si="3"/>
        <v>0.16290392574759993</v>
      </c>
      <c r="U61" s="254">
        <v>16.809999999999999</v>
      </c>
      <c r="V61" s="243">
        <v>1199.77</v>
      </c>
      <c r="W61" s="261">
        <f t="shared" si="4"/>
        <v>0.26579973348025426</v>
      </c>
      <c r="X61" s="201"/>
      <c r="Y61" s="255"/>
      <c r="Z61" s="201"/>
      <c r="AA61" s="201"/>
      <c r="AB61" s="201"/>
      <c r="AC61" s="201"/>
      <c r="AD61" s="201"/>
      <c r="AE61" s="201"/>
      <c r="AF61" s="201"/>
    </row>
    <row r="62" spans="2:32" x14ac:dyDescent="0.25">
      <c r="B62" s="256">
        <v>1121</v>
      </c>
      <c r="C62" s="257" t="s">
        <v>85</v>
      </c>
      <c r="D62" s="257" t="s">
        <v>86</v>
      </c>
      <c r="E62" s="251">
        <v>0</v>
      </c>
      <c r="F62" s="252">
        <v>1</v>
      </c>
      <c r="G62" s="116">
        <v>2</v>
      </c>
      <c r="H62" s="275">
        <v>1</v>
      </c>
      <c r="I62" s="253">
        <v>28.21</v>
      </c>
      <c r="J62" s="240">
        <v>12569.18</v>
      </c>
      <c r="K62" s="245">
        <f t="shared" si="0"/>
        <v>2.0730181445287093</v>
      </c>
      <c r="L62" s="253">
        <v>28.4</v>
      </c>
      <c r="M62" s="240">
        <v>14503.46</v>
      </c>
      <c r="N62" s="245">
        <f t="shared" si="1"/>
        <v>2.5457865006470284</v>
      </c>
      <c r="O62" s="254">
        <v>28.78</v>
      </c>
      <c r="P62" s="243">
        <v>13019.96</v>
      </c>
      <c r="Q62" s="276">
        <f t="shared" si="2"/>
        <v>2.3846577608155997</v>
      </c>
      <c r="R62" s="254">
        <v>28.28</v>
      </c>
      <c r="S62" s="243">
        <v>11377.7</v>
      </c>
      <c r="T62" s="272">
        <f t="shared" si="3"/>
        <v>1.9165851447966207</v>
      </c>
      <c r="U62" s="254">
        <v>28.4</v>
      </c>
      <c r="V62" s="243">
        <v>7657.99</v>
      </c>
      <c r="W62" s="261">
        <f t="shared" si="4"/>
        <v>1.6965682597451612</v>
      </c>
      <c r="X62" s="201"/>
      <c r="Y62" s="255"/>
      <c r="Z62" s="201"/>
      <c r="AA62" s="201"/>
      <c r="AB62" s="201"/>
      <c r="AC62" s="201"/>
      <c r="AD62" s="201"/>
      <c r="AE62" s="201"/>
      <c r="AF62" s="201"/>
    </row>
    <row r="63" spans="2:32" x14ac:dyDescent="0.25">
      <c r="B63" s="256">
        <v>1139</v>
      </c>
      <c r="C63" s="257" t="s">
        <v>633</v>
      </c>
      <c r="D63" s="257" t="s">
        <v>634</v>
      </c>
      <c r="E63" s="251">
        <v>0</v>
      </c>
      <c r="F63" s="252">
        <v>0</v>
      </c>
      <c r="G63" s="116">
        <v>4</v>
      </c>
      <c r="H63" s="275">
        <v>1</v>
      </c>
      <c r="I63" s="253">
        <v>17.8</v>
      </c>
      <c r="J63" s="240">
        <v>417.53</v>
      </c>
      <c r="K63" s="245">
        <f t="shared" si="0"/>
        <v>6.8862667722561999E-2</v>
      </c>
      <c r="L63" s="253">
        <v>17.8</v>
      </c>
      <c r="M63" s="240">
        <v>421.39</v>
      </c>
      <c r="N63" s="245">
        <f t="shared" si="1"/>
        <v>7.396641722097011E-2</v>
      </c>
      <c r="O63" s="254">
        <v>17.88</v>
      </c>
      <c r="P63" s="243">
        <v>257.58</v>
      </c>
      <c r="Q63" s="276">
        <f t="shared" si="2"/>
        <v>4.7176807458001575E-2</v>
      </c>
      <c r="R63" s="254">
        <v>17.82</v>
      </c>
      <c r="S63" s="243">
        <v>312.69</v>
      </c>
      <c r="T63" s="272">
        <f t="shared" si="3"/>
        <v>5.2672948744162285E-2</v>
      </c>
      <c r="U63" s="254">
        <v>17.829999999999998</v>
      </c>
      <c r="V63" s="243">
        <v>402.86</v>
      </c>
      <c r="W63" s="261">
        <f t="shared" si="4"/>
        <v>8.9250506872029831E-2</v>
      </c>
      <c r="X63" s="201"/>
      <c r="Y63" s="255"/>
      <c r="Z63" s="201"/>
      <c r="AA63" s="201"/>
      <c r="AB63" s="201"/>
      <c r="AC63" s="201"/>
      <c r="AD63" s="201"/>
      <c r="AE63" s="201"/>
      <c r="AF63" s="201"/>
    </row>
    <row r="64" spans="2:32" x14ac:dyDescent="0.25">
      <c r="B64" s="256">
        <v>1161</v>
      </c>
      <c r="C64" s="257" t="s">
        <v>635</v>
      </c>
      <c r="D64" s="257" t="s">
        <v>636</v>
      </c>
      <c r="E64" s="251">
        <v>1</v>
      </c>
      <c r="F64" s="252">
        <v>1</v>
      </c>
      <c r="G64" s="116">
        <v>2</v>
      </c>
      <c r="H64" s="275">
        <v>0</v>
      </c>
      <c r="I64" s="253">
        <v>15.69</v>
      </c>
      <c r="J64" s="240">
        <v>10476.33</v>
      </c>
      <c r="K64" s="245">
        <f t="shared" si="0"/>
        <v>1.7278471768301871</v>
      </c>
      <c r="L64" s="253">
        <v>15.79</v>
      </c>
      <c r="M64" s="240">
        <v>9264.39</v>
      </c>
      <c r="N64" s="245">
        <f t="shared" si="1"/>
        <v>1.6261746506509016</v>
      </c>
      <c r="O64" s="254">
        <v>16.27</v>
      </c>
      <c r="P64" s="243">
        <v>8559.15</v>
      </c>
      <c r="Q64" s="276">
        <f t="shared" si="2"/>
        <v>1.5676425636856672</v>
      </c>
      <c r="R64" s="254">
        <v>15.81</v>
      </c>
      <c r="S64" s="243">
        <v>8228.69</v>
      </c>
      <c r="T64" s="272">
        <f t="shared" si="3"/>
        <v>1.3861312053522683</v>
      </c>
      <c r="U64" s="254" t="s">
        <v>22</v>
      </c>
      <c r="V64" s="243">
        <v>0</v>
      </c>
      <c r="W64" s="261">
        <f t="shared" si="4"/>
        <v>0</v>
      </c>
      <c r="X64" s="201"/>
      <c r="Y64" s="255"/>
      <c r="Z64" s="201"/>
      <c r="AA64" s="201"/>
      <c r="AB64" s="201"/>
      <c r="AC64" s="201"/>
      <c r="AD64" s="201"/>
      <c r="AE64" s="201"/>
      <c r="AF64" s="201"/>
    </row>
    <row r="65" spans="2:32" x14ac:dyDescent="0.25">
      <c r="B65" s="256">
        <v>1162</v>
      </c>
      <c r="C65" s="257" t="s">
        <v>203</v>
      </c>
      <c r="D65" s="257" t="s">
        <v>205</v>
      </c>
      <c r="E65" s="116">
        <v>0</v>
      </c>
      <c r="F65" s="112">
        <v>1</v>
      </c>
      <c r="G65" s="116">
        <v>4</v>
      </c>
      <c r="H65" s="252">
        <v>1</v>
      </c>
      <c r="I65" s="253">
        <v>23.25</v>
      </c>
      <c r="J65" s="240">
        <v>437.77</v>
      </c>
      <c r="K65" s="245">
        <f t="shared" si="0"/>
        <v>7.220082401002556E-2</v>
      </c>
      <c r="L65" s="253" t="s">
        <v>637</v>
      </c>
      <c r="M65" s="240">
        <v>983.6</v>
      </c>
      <c r="N65" s="245">
        <f t="shared" si="1"/>
        <v>0.17265091240548236</v>
      </c>
      <c r="O65" s="254" t="s">
        <v>638</v>
      </c>
      <c r="P65" s="243">
        <v>601.4</v>
      </c>
      <c r="Q65" s="277">
        <f t="shared" si="2"/>
        <v>0.11014881592220727</v>
      </c>
      <c r="R65" s="254">
        <v>23.31</v>
      </c>
      <c r="S65" s="243">
        <v>675.01</v>
      </c>
      <c r="T65" s="272">
        <f t="shared" si="3"/>
        <v>0.11370612149987841</v>
      </c>
      <c r="U65" s="254">
        <v>23.34</v>
      </c>
      <c r="V65" s="243">
        <v>505.8</v>
      </c>
      <c r="W65" s="261">
        <f t="shared" si="4"/>
        <v>0.11205606507439976</v>
      </c>
      <c r="X65" s="201"/>
      <c r="Y65" s="255"/>
      <c r="Z65" s="201"/>
      <c r="AA65" s="201"/>
      <c r="AB65" s="201"/>
      <c r="AC65" s="201"/>
      <c r="AD65" s="201"/>
      <c r="AE65" s="201"/>
      <c r="AF65" s="201"/>
    </row>
    <row r="66" spans="2:32" x14ac:dyDescent="0.25">
      <c r="B66" s="256">
        <v>1169</v>
      </c>
      <c r="C66" s="257" t="s">
        <v>639</v>
      </c>
      <c r="D66" s="257" t="s">
        <v>640</v>
      </c>
      <c r="E66" s="251">
        <v>1</v>
      </c>
      <c r="F66" s="252">
        <v>0</v>
      </c>
      <c r="G66" s="116">
        <v>2</v>
      </c>
      <c r="H66" s="252">
        <v>0</v>
      </c>
      <c r="I66" s="253">
        <v>13.82</v>
      </c>
      <c r="J66" s="240">
        <v>1897.93</v>
      </c>
      <c r="K66" s="245">
        <f t="shared" si="0"/>
        <v>0.31302307127794915</v>
      </c>
      <c r="L66" s="253">
        <v>13.91</v>
      </c>
      <c r="M66" s="240">
        <v>1304.57</v>
      </c>
      <c r="N66" s="245">
        <f t="shared" si="1"/>
        <v>0.22899064741441652</v>
      </c>
      <c r="O66" s="254" t="s">
        <v>22</v>
      </c>
      <c r="P66" s="243">
        <v>0</v>
      </c>
      <c r="Q66" s="277">
        <f t="shared" si="2"/>
        <v>0</v>
      </c>
      <c r="R66" s="254">
        <v>13.86</v>
      </c>
      <c r="S66" s="243">
        <v>1616.76</v>
      </c>
      <c r="T66" s="272">
        <f t="shared" si="3"/>
        <v>0.27234486747773134</v>
      </c>
      <c r="U66" s="254" t="s">
        <v>22</v>
      </c>
      <c r="V66" s="243">
        <v>0</v>
      </c>
      <c r="W66" s="261">
        <f t="shared" si="4"/>
        <v>0</v>
      </c>
      <c r="X66" s="201"/>
      <c r="Y66" s="255"/>
      <c r="Z66" s="201"/>
      <c r="AA66" s="201"/>
      <c r="AB66" s="201"/>
      <c r="AC66" s="201"/>
      <c r="AD66" s="201"/>
      <c r="AE66" s="201"/>
      <c r="AF66" s="201"/>
    </row>
    <row r="67" spans="2:32" x14ac:dyDescent="0.25">
      <c r="B67" s="256">
        <v>1177</v>
      </c>
      <c r="C67" s="257" t="s">
        <v>641</v>
      </c>
      <c r="D67" s="257" t="s">
        <v>642</v>
      </c>
      <c r="E67" s="116">
        <v>1</v>
      </c>
      <c r="F67" s="112">
        <v>1</v>
      </c>
      <c r="G67" s="116">
        <v>4</v>
      </c>
      <c r="H67" s="112">
        <v>0</v>
      </c>
      <c r="I67" s="253">
        <v>15.29</v>
      </c>
      <c r="J67" s="240">
        <v>4609.51</v>
      </c>
      <c r="K67" s="245">
        <f t="shared" si="0"/>
        <v>0.76024035516927368</v>
      </c>
      <c r="L67" s="253" t="s">
        <v>643</v>
      </c>
      <c r="M67" s="240">
        <v>1965.4</v>
      </c>
      <c r="N67" s="245">
        <f t="shared" si="1"/>
        <v>0.34498587153490751</v>
      </c>
      <c r="O67" s="254" t="s">
        <v>644</v>
      </c>
      <c r="P67" s="243">
        <v>2086.5</v>
      </c>
      <c r="Q67" s="23">
        <f t="shared" si="2"/>
        <v>0.38215082211786744</v>
      </c>
      <c r="R67" s="254" t="s">
        <v>645</v>
      </c>
      <c r="S67" s="243">
        <v>2167.8000000000002</v>
      </c>
      <c r="T67" s="272">
        <f t="shared" si="3"/>
        <v>0.36516811630559026</v>
      </c>
      <c r="U67" s="254" t="s">
        <v>646</v>
      </c>
      <c r="V67" s="243">
        <v>1472.7</v>
      </c>
      <c r="W67" s="261">
        <f t="shared" si="4"/>
        <v>0.3262652570879172</v>
      </c>
      <c r="X67" s="201"/>
      <c r="Y67" s="255"/>
      <c r="Z67" s="201"/>
      <c r="AA67" s="201"/>
      <c r="AB67" s="201"/>
      <c r="AC67" s="201"/>
      <c r="AD67" s="201"/>
      <c r="AE67" s="201"/>
      <c r="AF67" s="201"/>
    </row>
    <row r="68" spans="2:32" x14ac:dyDescent="0.25">
      <c r="B68" s="256" t="s">
        <v>301</v>
      </c>
      <c r="C68" s="257" t="s">
        <v>89</v>
      </c>
      <c r="D68" s="257" t="s">
        <v>647</v>
      </c>
      <c r="E68" s="251">
        <v>0</v>
      </c>
      <c r="F68" s="252">
        <v>1</v>
      </c>
      <c r="G68" s="116">
        <v>2</v>
      </c>
      <c r="H68" s="112">
        <v>1</v>
      </c>
      <c r="I68" s="253" t="s">
        <v>648</v>
      </c>
      <c r="J68" s="240">
        <v>2372.4</v>
      </c>
      <c r="K68" s="245">
        <f t="shared" ref="K68:K85" si="5">J68/$J$86*100</f>
        <v>0.39127677748905737</v>
      </c>
      <c r="L68" s="253">
        <v>16.079999999999998</v>
      </c>
      <c r="M68" s="240">
        <v>2320.0100000000002</v>
      </c>
      <c r="N68" s="245">
        <f t="shared" ref="N68:N85" si="6">M68/$M$86*100</f>
        <v>0.40723042221415529</v>
      </c>
      <c r="O68" s="254">
        <v>16.37</v>
      </c>
      <c r="P68" s="243">
        <v>3498.78</v>
      </c>
      <c r="Q68" s="23">
        <f t="shared" ref="Q68:Q85" si="7">P68/$P$86*100</f>
        <v>0.6408155539945134</v>
      </c>
      <c r="R68" s="254">
        <v>16.11</v>
      </c>
      <c r="S68" s="243">
        <v>3279.02</v>
      </c>
      <c r="T68" s="272">
        <f t="shared" ref="T68:T85" si="8">S68/$S$86*100</f>
        <v>0.55235425626365742</v>
      </c>
      <c r="U68" s="254">
        <v>16.12</v>
      </c>
      <c r="V68" s="243">
        <v>3277.68</v>
      </c>
      <c r="W68" s="261">
        <f t="shared" ref="W68:W85" si="9">V68/$V$86*100</f>
        <v>0.72614456973716601</v>
      </c>
      <c r="X68" s="201"/>
      <c r="Y68" s="255"/>
      <c r="Z68" s="201"/>
      <c r="AA68" s="201"/>
      <c r="AB68" s="201"/>
      <c r="AC68" s="201"/>
      <c r="AD68" s="201"/>
      <c r="AE68" s="201"/>
      <c r="AF68" s="201"/>
    </row>
    <row r="69" spans="2:32" x14ac:dyDescent="0.25">
      <c r="B69" s="256" t="s">
        <v>302</v>
      </c>
      <c r="C69" s="257" t="s">
        <v>89</v>
      </c>
      <c r="D69" s="257" t="s">
        <v>649</v>
      </c>
      <c r="E69" s="251">
        <v>0</v>
      </c>
      <c r="F69" s="252">
        <v>1</v>
      </c>
      <c r="G69" s="116">
        <v>4</v>
      </c>
      <c r="H69" s="112">
        <v>1</v>
      </c>
      <c r="I69" s="253" t="s">
        <v>650</v>
      </c>
      <c r="J69" s="240">
        <v>777.6</v>
      </c>
      <c r="K69" s="245">
        <f t="shared" si="5"/>
        <v>0.12824853404800665</v>
      </c>
      <c r="L69" s="253">
        <v>20.03</v>
      </c>
      <c r="M69" s="240">
        <v>496.75</v>
      </c>
      <c r="N69" s="245">
        <f t="shared" si="6"/>
        <v>8.7194327711898501E-2</v>
      </c>
      <c r="O69" s="254" t="s">
        <v>651</v>
      </c>
      <c r="P69" s="243">
        <v>642.29999999999995</v>
      </c>
      <c r="Q69" s="23">
        <f t="shared" si="7"/>
        <v>0.11763981454411991</v>
      </c>
      <c r="R69" s="254">
        <v>19.93</v>
      </c>
      <c r="S69" s="243">
        <v>1900.2</v>
      </c>
      <c r="T69" s="272">
        <f t="shared" si="8"/>
        <v>0.32009062395233995</v>
      </c>
      <c r="U69" s="254">
        <v>18.84</v>
      </c>
      <c r="V69" s="243">
        <v>1193.23</v>
      </c>
      <c r="W69" s="261">
        <f t="shared" si="9"/>
        <v>0.26435084722958885</v>
      </c>
      <c r="X69" s="201"/>
      <c r="Y69" s="255"/>
      <c r="Z69" s="201"/>
      <c r="AA69" s="201"/>
      <c r="AB69" s="201"/>
      <c r="AC69" s="201"/>
      <c r="AD69" s="201"/>
      <c r="AE69" s="201"/>
      <c r="AF69" s="201"/>
    </row>
    <row r="70" spans="2:32" x14ac:dyDescent="0.25">
      <c r="B70" s="256" t="s">
        <v>303</v>
      </c>
      <c r="C70" s="257" t="s">
        <v>89</v>
      </c>
      <c r="D70" s="257" t="s">
        <v>652</v>
      </c>
      <c r="E70" s="251">
        <v>0</v>
      </c>
      <c r="F70" s="252">
        <v>1</v>
      </c>
      <c r="G70" s="116">
        <v>4</v>
      </c>
      <c r="H70" s="112">
        <v>1</v>
      </c>
      <c r="I70" s="253">
        <v>21.33</v>
      </c>
      <c r="J70" s="240">
        <v>596.95000000000005</v>
      </c>
      <c r="K70" s="245">
        <f t="shared" si="5"/>
        <v>9.8454169753031867E-2</v>
      </c>
      <c r="L70" s="253">
        <v>21.38</v>
      </c>
      <c r="M70" s="240">
        <v>1086.9000000000001</v>
      </c>
      <c r="N70" s="245">
        <f t="shared" si="6"/>
        <v>0.19078311985920984</v>
      </c>
      <c r="O70" s="254">
        <v>21.51</v>
      </c>
      <c r="P70" s="243">
        <v>1437.28</v>
      </c>
      <c r="Q70" s="23">
        <f t="shared" si="7"/>
        <v>0.26324358189003999</v>
      </c>
      <c r="R70" s="254">
        <v>21.27</v>
      </c>
      <c r="S70" s="243">
        <v>671.18</v>
      </c>
      <c r="T70" s="272">
        <f t="shared" si="8"/>
        <v>0.11306095410184797</v>
      </c>
      <c r="U70" s="254">
        <v>19.95</v>
      </c>
      <c r="V70" s="243">
        <v>2817.18</v>
      </c>
      <c r="W70" s="261">
        <f t="shared" si="9"/>
        <v>0.624124368142146</v>
      </c>
      <c r="X70" s="201"/>
      <c r="Y70" s="255"/>
      <c r="Z70" s="201"/>
      <c r="AA70" s="201"/>
      <c r="AB70" s="201"/>
      <c r="AC70" s="201"/>
      <c r="AD70" s="201"/>
      <c r="AE70" s="201"/>
      <c r="AF70" s="201"/>
    </row>
    <row r="71" spans="2:32" x14ac:dyDescent="0.25">
      <c r="B71" s="256" t="s">
        <v>304</v>
      </c>
      <c r="C71" s="257" t="s">
        <v>89</v>
      </c>
      <c r="D71" s="257" t="s">
        <v>309</v>
      </c>
      <c r="E71" s="251">
        <v>0</v>
      </c>
      <c r="F71" s="252">
        <v>1</v>
      </c>
      <c r="G71" s="116">
        <v>4</v>
      </c>
      <c r="H71" s="112">
        <v>1</v>
      </c>
      <c r="I71" s="253" t="s">
        <v>653</v>
      </c>
      <c r="J71" s="240">
        <v>1772.8</v>
      </c>
      <c r="K71" s="245">
        <f t="shared" si="5"/>
        <v>0.292385546759653</v>
      </c>
      <c r="L71" s="253" t="s">
        <v>654</v>
      </c>
      <c r="M71" s="240">
        <v>973.4</v>
      </c>
      <c r="N71" s="245">
        <f t="shared" si="6"/>
        <v>0.17086051050782486</v>
      </c>
      <c r="O71" s="254">
        <v>25.79</v>
      </c>
      <c r="P71" s="243">
        <v>964.51</v>
      </c>
      <c r="Q71" s="23">
        <f t="shared" si="7"/>
        <v>0.17665386505674782</v>
      </c>
      <c r="R71" s="254" t="s">
        <v>655</v>
      </c>
      <c r="S71" s="243">
        <v>875.6</v>
      </c>
      <c r="T71" s="272">
        <f t="shared" si="8"/>
        <v>0.14749571115286225</v>
      </c>
      <c r="U71" s="254">
        <v>25.58</v>
      </c>
      <c r="V71" s="243">
        <v>653.79999999999995</v>
      </c>
      <c r="W71" s="261">
        <f t="shared" si="9"/>
        <v>0.14484431661851038</v>
      </c>
      <c r="X71" s="201"/>
      <c r="Y71" s="255"/>
      <c r="Z71" s="201"/>
      <c r="AA71" s="201"/>
      <c r="AB71" s="201"/>
      <c r="AC71" s="201"/>
      <c r="AD71" s="201"/>
      <c r="AE71" s="201"/>
      <c r="AF71" s="201"/>
    </row>
    <row r="72" spans="2:32" x14ac:dyDescent="0.25">
      <c r="B72" s="256">
        <v>1201</v>
      </c>
      <c r="C72" s="257" t="s">
        <v>656</v>
      </c>
      <c r="D72" s="257" t="s">
        <v>657</v>
      </c>
      <c r="E72" s="251">
        <v>1</v>
      </c>
      <c r="F72" s="252">
        <v>0</v>
      </c>
      <c r="G72" s="116">
        <v>1</v>
      </c>
      <c r="H72" s="112">
        <v>0</v>
      </c>
      <c r="I72" s="253">
        <v>13.63</v>
      </c>
      <c r="J72" s="240">
        <v>740.46</v>
      </c>
      <c r="K72" s="245">
        <f t="shared" si="5"/>
        <v>0.12212308323197919</v>
      </c>
      <c r="L72" s="253">
        <v>13.62</v>
      </c>
      <c r="M72" s="240">
        <v>705.4</v>
      </c>
      <c r="N72" s="245">
        <f t="shared" si="6"/>
        <v>0.12381857829486301</v>
      </c>
      <c r="O72" s="254" t="s">
        <v>22</v>
      </c>
      <c r="P72" s="243">
        <v>0</v>
      </c>
      <c r="Q72" s="23">
        <f t="shared" si="7"/>
        <v>0</v>
      </c>
      <c r="R72" s="254">
        <v>13.57</v>
      </c>
      <c r="S72" s="243">
        <v>803.81</v>
      </c>
      <c r="T72" s="272">
        <f t="shared" si="8"/>
        <v>0.13540261258769096</v>
      </c>
      <c r="U72" s="254" t="s">
        <v>22</v>
      </c>
      <c r="V72" s="243">
        <v>0</v>
      </c>
      <c r="W72" s="261">
        <f t="shared" si="9"/>
        <v>0</v>
      </c>
      <c r="X72" s="201"/>
      <c r="Y72" s="255"/>
      <c r="Z72" s="201"/>
      <c r="AA72" s="201"/>
      <c r="AB72" s="201"/>
      <c r="AC72" s="201"/>
      <c r="AD72" s="201"/>
      <c r="AE72" s="201"/>
      <c r="AF72" s="201"/>
    </row>
    <row r="73" spans="2:32" x14ac:dyDescent="0.25">
      <c r="B73" s="256">
        <v>1202</v>
      </c>
      <c r="C73" s="257" t="s">
        <v>313</v>
      </c>
      <c r="D73" s="257" t="s">
        <v>658</v>
      </c>
      <c r="E73" s="251">
        <v>1</v>
      </c>
      <c r="F73" s="252">
        <v>0</v>
      </c>
      <c r="G73" s="116">
        <v>2</v>
      </c>
      <c r="H73" s="112">
        <v>1</v>
      </c>
      <c r="I73" s="253">
        <v>23.66</v>
      </c>
      <c r="J73" s="240">
        <v>897.99</v>
      </c>
      <c r="K73" s="245">
        <f t="shared" si="5"/>
        <v>0.14810429666894223</v>
      </c>
      <c r="L73" s="253">
        <v>23.83</v>
      </c>
      <c r="M73" s="240">
        <v>1587.04</v>
      </c>
      <c r="N73" s="245">
        <f t="shared" si="6"/>
        <v>0.27857249290768271</v>
      </c>
      <c r="O73" s="254" t="s">
        <v>22</v>
      </c>
      <c r="P73" s="243">
        <v>0</v>
      </c>
      <c r="Q73" s="23">
        <f t="shared" si="7"/>
        <v>0</v>
      </c>
      <c r="R73" s="254" t="s">
        <v>22</v>
      </c>
      <c r="S73" s="243">
        <v>0</v>
      </c>
      <c r="T73" s="272">
        <f t="shared" si="8"/>
        <v>0</v>
      </c>
      <c r="U73" s="254" t="s">
        <v>22</v>
      </c>
      <c r="V73" s="243">
        <v>0</v>
      </c>
      <c r="W73" s="261">
        <f t="shared" si="9"/>
        <v>0</v>
      </c>
      <c r="X73" s="201"/>
      <c r="Y73" s="255"/>
      <c r="Z73" s="201"/>
      <c r="AA73" s="201"/>
      <c r="AB73" s="201"/>
      <c r="AC73" s="201"/>
      <c r="AD73" s="201"/>
      <c r="AE73" s="201"/>
      <c r="AF73" s="201"/>
    </row>
    <row r="74" spans="2:32" x14ac:dyDescent="0.25">
      <c r="B74" s="256">
        <v>1218</v>
      </c>
      <c r="C74" s="257" t="s">
        <v>659</v>
      </c>
      <c r="D74" s="257" t="s">
        <v>660</v>
      </c>
      <c r="E74" s="251">
        <v>1</v>
      </c>
      <c r="F74" s="252">
        <v>0</v>
      </c>
      <c r="G74" s="116">
        <v>2</v>
      </c>
      <c r="H74" s="112">
        <v>0</v>
      </c>
      <c r="I74" s="253">
        <v>22.65</v>
      </c>
      <c r="J74" s="240">
        <v>1293.3699999999999</v>
      </c>
      <c r="K74" s="245">
        <f t="shared" si="5"/>
        <v>0.21331379434371187</v>
      </c>
      <c r="L74" s="253">
        <v>22.71</v>
      </c>
      <c r="M74" s="240">
        <v>1585.87</v>
      </c>
      <c r="N74" s="245">
        <f t="shared" si="6"/>
        <v>0.27836712327824553</v>
      </c>
      <c r="O74" s="254" t="s">
        <v>22</v>
      </c>
      <c r="P74" s="243">
        <v>0</v>
      </c>
      <c r="Q74" s="23">
        <f t="shared" si="7"/>
        <v>0</v>
      </c>
      <c r="R74" s="254" t="s">
        <v>661</v>
      </c>
      <c r="S74" s="243">
        <v>112.1</v>
      </c>
      <c r="T74" s="272">
        <f t="shared" si="8"/>
        <v>1.8883359091178456E-2</v>
      </c>
      <c r="U74" s="254" t="s">
        <v>22</v>
      </c>
      <c r="V74" s="243">
        <v>0</v>
      </c>
      <c r="W74" s="261">
        <f t="shared" si="9"/>
        <v>0</v>
      </c>
      <c r="X74" s="201"/>
      <c r="Y74" s="255"/>
      <c r="Z74" s="201"/>
      <c r="AA74" s="201"/>
      <c r="AB74" s="201"/>
      <c r="AC74" s="201"/>
      <c r="AD74" s="201"/>
      <c r="AE74" s="201"/>
      <c r="AF74" s="201"/>
    </row>
    <row r="75" spans="2:32" x14ac:dyDescent="0.25">
      <c r="B75" s="256" t="s">
        <v>662</v>
      </c>
      <c r="C75" s="257" t="s">
        <v>663</v>
      </c>
      <c r="D75" s="257" t="s">
        <v>664</v>
      </c>
      <c r="E75" s="251">
        <v>0</v>
      </c>
      <c r="F75" s="252">
        <v>1</v>
      </c>
      <c r="G75" s="116">
        <v>4</v>
      </c>
      <c r="H75" s="112">
        <v>1</v>
      </c>
      <c r="I75" s="253">
        <v>16.88</v>
      </c>
      <c r="J75" s="240">
        <v>873.25</v>
      </c>
      <c r="K75" s="245">
        <f t="shared" si="5"/>
        <v>0.14402396136499718</v>
      </c>
      <c r="L75" s="253">
        <v>16.98</v>
      </c>
      <c r="M75" s="240">
        <v>642.87</v>
      </c>
      <c r="N75" s="245">
        <f t="shared" si="6"/>
        <v>0.11284271254383127</v>
      </c>
      <c r="O75" s="254" t="s">
        <v>665</v>
      </c>
      <c r="P75" s="243">
        <v>537.9</v>
      </c>
      <c r="Q75" s="23">
        <f t="shared" si="7"/>
        <v>9.8518536888186375E-2</v>
      </c>
      <c r="R75" s="254">
        <v>17.010000000000002</v>
      </c>
      <c r="S75" s="243">
        <v>754.53</v>
      </c>
      <c r="T75" s="272">
        <f t="shared" si="8"/>
        <v>0.12710134643235399</v>
      </c>
      <c r="U75" s="254">
        <v>17.010000000000002</v>
      </c>
      <c r="V75" s="243">
        <v>915.65</v>
      </c>
      <c r="W75" s="261">
        <f t="shared" si="9"/>
        <v>0.20285515220516831</v>
      </c>
      <c r="X75" s="201"/>
      <c r="Y75" s="255"/>
      <c r="Z75" s="201"/>
      <c r="AA75" s="201"/>
      <c r="AB75" s="201"/>
      <c r="AC75" s="201"/>
      <c r="AD75" s="201"/>
      <c r="AE75" s="201"/>
      <c r="AF75" s="201"/>
    </row>
    <row r="76" spans="2:32" x14ac:dyDescent="0.25">
      <c r="B76" s="256" t="s">
        <v>666</v>
      </c>
      <c r="C76" s="257" t="s">
        <v>663</v>
      </c>
      <c r="D76" s="257" t="s">
        <v>667</v>
      </c>
      <c r="E76" s="251">
        <v>0</v>
      </c>
      <c r="F76" s="252">
        <v>1</v>
      </c>
      <c r="G76" s="116">
        <v>4</v>
      </c>
      <c r="H76" s="112">
        <v>1</v>
      </c>
      <c r="I76" s="253">
        <v>18.41</v>
      </c>
      <c r="J76" s="240">
        <v>7292.49</v>
      </c>
      <c r="K76" s="245">
        <f t="shared" si="5"/>
        <v>1.2027406790891821</v>
      </c>
      <c r="L76" s="253">
        <v>18.510000000000002</v>
      </c>
      <c r="M76" s="240">
        <v>5944.61</v>
      </c>
      <c r="N76" s="245">
        <f t="shared" si="6"/>
        <v>1.0434550024346834</v>
      </c>
      <c r="O76" s="254">
        <v>18.78</v>
      </c>
      <c r="P76" s="243">
        <v>6341.09</v>
      </c>
      <c r="Q76" s="23">
        <f t="shared" si="7"/>
        <v>1.161396001257315</v>
      </c>
      <c r="R76" s="254">
        <v>18.52</v>
      </c>
      <c r="S76" s="243">
        <v>6615.4</v>
      </c>
      <c r="T76" s="272">
        <f t="shared" si="8"/>
        <v>1.1143708629061728</v>
      </c>
      <c r="U76" s="254">
        <v>18.54</v>
      </c>
      <c r="V76" s="243">
        <v>5221.96</v>
      </c>
      <c r="W76" s="261">
        <f t="shared" si="9"/>
        <v>1.1568847164411082</v>
      </c>
      <c r="X76" s="201"/>
      <c r="Y76" s="255"/>
      <c r="Z76" s="201"/>
      <c r="AA76" s="201"/>
      <c r="AB76" s="201"/>
      <c r="AC76" s="201"/>
      <c r="AD76" s="201"/>
      <c r="AE76" s="201"/>
      <c r="AF76" s="201"/>
    </row>
    <row r="77" spans="2:32" x14ac:dyDescent="0.25">
      <c r="B77" s="256">
        <v>1227</v>
      </c>
      <c r="C77" s="257" t="s">
        <v>668</v>
      </c>
      <c r="D77" s="257" t="s">
        <v>669</v>
      </c>
      <c r="E77" s="251">
        <v>1</v>
      </c>
      <c r="F77" s="252">
        <v>0</v>
      </c>
      <c r="G77" s="116">
        <v>3</v>
      </c>
      <c r="H77" s="112">
        <v>1</v>
      </c>
      <c r="I77" s="253">
        <v>16.98</v>
      </c>
      <c r="J77" s="240">
        <v>2839.64</v>
      </c>
      <c r="K77" s="245">
        <f t="shared" si="5"/>
        <v>0.46833804941368523</v>
      </c>
      <c r="L77" s="253">
        <v>17.079999999999998</v>
      </c>
      <c r="M77" s="240">
        <v>2607.58</v>
      </c>
      <c r="N77" s="245">
        <f t="shared" si="6"/>
        <v>0.45770746865625017</v>
      </c>
      <c r="O77" s="254" t="s">
        <v>22</v>
      </c>
      <c r="P77" s="243">
        <v>0</v>
      </c>
      <c r="Q77" s="23">
        <f t="shared" si="7"/>
        <v>0</v>
      </c>
      <c r="R77" s="254">
        <v>17.11</v>
      </c>
      <c r="S77" s="243">
        <v>2812.65</v>
      </c>
      <c r="T77" s="272">
        <f t="shared" si="8"/>
        <v>0.47379375510975108</v>
      </c>
      <c r="U77" s="254" t="s">
        <v>22</v>
      </c>
      <c r="V77" s="243">
        <v>0</v>
      </c>
      <c r="W77" s="261">
        <f t="shared" si="9"/>
        <v>0</v>
      </c>
      <c r="X77" s="201"/>
      <c r="Y77" s="255"/>
      <c r="Z77" s="201"/>
      <c r="AA77" s="201"/>
      <c r="AB77" s="201"/>
      <c r="AC77" s="201"/>
      <c r="AD77" s="201"/>
      <c r="AE77" s="201"/>
      <c r="AF77" s="201"/>
    </row>
    <row r="78" spans="2:32" x14ac:dyDescent="0.25">
      <c r="B78" s="256">
        <v>1266</v>
      </c>
      <c r="C78" s="257" t="s">
        <v>670</v>
      </c>
      <c r="D78" s="257" t="s">
        <v>671</v>
      </c>
      <c r="E78" s="251">
        <v>1</v>
      </c>
      <c r="F78" s="252">
        <v>1</v>
      </c>
      <c r="G78" s="116">
        <v>2</v>
      </c>
      <c r="H78" s="112">
        <v>1</v>
      </c>
      <c r="I78" s="253">
        <v>19.62</v>
      </c>
      <c r="J78" s="240">
        <v>807.19</v>
      </c>
      <c r="K78" s="245">
        <f t="shared" si="5"/>
        <v>0.13312877340304849</v>
      </c>
      <c r="L78" s="253">
        <v>19.420000000000002</v>
      </c>
      <c r="M78" s="240">
        <v>1445.46</v>
      </c>
      <c r="N78" s="245">
        <f t="shared" si="6"/>
        <v>0.25372101244980538</v>
      </c>
      <c r="O78" s="254" t="s">
        <v>22</v>
      </c>
      <c r="P78" s="243">
        <v>0</v>
      </c>
      <c r="Q78" s="23">
        <f t="shared" si="7"/>
        <v>0</v>
      </c>
      <c r="R78" s="254" t="s">
        <v>22</v>
      </c>
      <c r="S78" s="243">
        <v>0</v>
      </c>
      <c r="T78" s="272">
        <f t="shared" si="8"/>
        <v>0</v>
      </c>
      <c r="U78" s="254" t="s">
        <v>22</v>
      </c>
      <c r="V78" s="243">
        <v>0</v>
      </c>
      <c r="W78" s="261">
        <f t="shared" si="9"/>
        <v>0</v>
      </c>
      <c r="X78" s="201"/>
      <c r="Y78" s="255"/>
      <c r="Z78" s="201"/>
      <c r="AA78" s="201"/>
      <c r="AB78" s="201"/>
      <c r="AC78" s="201"/>
      <c r="AD78" s="201"/>
      <c r="AE78" s="201"/>
      <c r="AF78" s="201"/>
    </row>
    <row r="79" spans="2:32" x14ac:dyDescent="0.25">
      <c r="B79" s="256" t="s">
        <v>444</v>
      </c>
      <c r="C79" s="257" t="s">
        <v>210</v>
      </c>
      <c r="D79" s="257" t="s">
        <v>672</v>
      </c>
      <c r="E79" s="251">
        <v>0</v>
      </c>
      <c r="F79" s="252">
        <v>1</v>
      </c>
      <c r="G79" s="116">
        <v>2</v>
      </c>
      <c r="H79" s="112">
        <v>1</v>
      </c>
      <c r="I79" s="253">
        <v>21.63</v>
      </c>
      <c r="J79" s="240">
        <v>1970.43</v>
      </c>
      <c r="K79" s="245">
        <f t="shared" si="5"/>
        <v>0.32498039987681809</v>
      </c>
      <c r="L79" s="253">
        <v>21.69</v>
      </c>
      <c r="M79" s="240">
        <v>2269.17</v>
      </c>
      <c r="N79" s="245">
        <f t="shared" si="6"/>
        <v>0.39830649746151731</v>
      </c>
      <c r="O79" s="254">
        <v>21.93</v>
      </c>
      <c r="P79" s="243">
        <v>2094.41</v>
      </c>
      <c r="Q79" s="23">
        <f t="shared" si="7"/>
        <v>0.38359957026210528</v>
      </c>
      <c r="R79" s="254">
        <v>21.58</v>
      </c>
      <c r="S79" s="243">
        <v>2302.54</v>
      </c>
      <c r="T79" s="272">
        <f t="shared" si="8"/>
        <v>0.38786520643891215</v>
      </c>
      <c r="U79" s="254">
        <v>21.6</v>
      </c>
      <c r="V79" s="243">
        <v>1986.51</v>
      </c>
      <c r="W79" s="261">
        <f t="shared" si="9"/>
        <v>0.44009587550602181</v>
      </c>
      <c r="X79" s="201"/>
      <c r="Y79" s="255"/>
      <c r="Z79" s="201"/>
      <c r="AA79" s="201"/>
      <c r="AB79" s="201"/>
      <c r="AC79" s="201"/>
      <c r="AD79" s="201"/>
      <c r="AE79" s="201"/>
      <c r="AF79" s="201"/>
    </row>
    <row r="80" spans="2:32" x14ac:dyDescent="0.25">
      <c r="B80" s="256" t="s">
        <v>445</v>
      </c>
      <c r="C80" s="257" t="s">
        <v>210</v>
      </c>
      <c r="D80" s="257" t="s">
        <v>673</v>
      </c>
      <c r="E80" s="251">
        <v>0</v>
      </c>
      <c r="F80" s="252">
        <v>1</v>
      </c>
      <c r="G80" s="116">
        <v>4</v>
      </c>
      <c r="H80" s="112">
        <v>1</v>
      </c>
      <c r="I80" s="253">
        <v>23.96</v>
      </c>
      <c r="J80" s="240">
        <v>2676.73</v>
      </c>
      <c r="K80" s="245">
        <f t="shared" si="5"/>
        <v>0.44146951973035092</v>
      </c>
      <c r="L80" s="253">
        <v>24.03</v>
      </c>
      <c r="M80" s="240">
        <v>3469.95</v>
      </c>
      <c r="N80" s="245">
        <f t="shared" si="6"/>
        <v>0.60907892791927964</v>
      </c>
      <c r="O80" s="254">
        <v>24.24</v>
      </c>
      <c r="P80" s="243">
        <v>2646.28</v>
      </c>
      <c r="Q80" s="23">
        <f t="shared" si="7"/>
        <v>0.4846767685377763</v>
      </c>
      <c r="R80" s="254">
        <v>24.02</v>
      </c>
      <c r="S80" s="243">
        <v>1619.85</v>
      </c>
      <c r="T80" s="272">
        <f t="shared" si="8"/>
        <v>0.27286538112261755</v>
      </c>
      <c r="U80" s="254">
        <v>24.04</v>
      </c>
      <c r="V80" s="243">
        <v>2064.64</v>
      </c>
      <c r="W80" s="261">
        <f t="shared" si="9"/>
        <v>0.45740497072994996</v>
      </c>
      <c r="X80" s="201"/>
      <c r="Y80" s="255"/>
      <c r="Z80" s="201"/>
      <c r="AA80" s="201"/>
      <c r="AB80" s="201"/>
      <c r="AC80" s="201"/>
      <c r="AD80" s="201"/>
      <c r="AE80" s="201"/>
      <c r="AF80" s="201"/>
    </row>
    <row r="81" spans="2:32" x14ac:dyDescent="0.25">
      <c r="B81" s="256" t="s">
        <v>446</v>
      </c>
      <c r="C81" s="257" t="s">
        <v>210</v>
      </c>
      <c r="D81" s="257" t="s">
        <v>674</v>
      </c>
      <c r="E81" s="251">
        <v>0</v>
      </c>
      <c r="F81" s="252">
        <v>1</v>
      </c>
      <c r="G81" s="116">
        <v>2</v>
      </c>
      <c r="H81" s="112">
        <v>1</v>
      </c>
      <c r="I81" s="253" t="s">
        <v>675</v>
      </c>
      <c r="J81" s="240">
        <v>1197.0999999999999</v>
      </c>
      <c r="K81" s="245">
        <f t="shared" si="5"/>
        <v>0.19743611125111724</v>
      </c>
      <c r="L81" s="253">
        <v>28.59</v>
      </c>
      <c r="M81" s="240">
        <v>1271.3399999999999</v>
      </c>
      <c r="N81" s="245">
        <f t="shared" si="6"/>
        <v>0.22315779887920489</v>
      </c>
      <c r="O81" s="254">
        <v>28.98</v>
      </c>
      <c r="P81" s="243">
        <v>1427.48</v>
      </c>
      <c r="Q81" s="23">
        <f t="shared" si="7"/>
        <v>0.26144867268478955</v>
      </c>
      <c r="R81" s="254" t="s">
        <v>676</v>
      </c>
      <c r="S81" s="243">
        <v>1407.8</v>
      </c>
      <c r="T81" s="272">
        <f t="shared" si="8"/>
        <v>0.23714534280607524</v>
      </c>
      <c r="U81" s="254" t="s">
        <v>677</v>
      </c>
      <c r="V81" s="243">
        <v>1829.8</v>
      </c>
      <c r="W81" s="261">
        <f t="shared" si="9"/>
        <v>0.40537799105009226</v>
      </c>
      <c r="X81" s="201"/>
      <c r="Y81" s="255"/>
      <c r="Z81" s="201"/>
      <c r="AA81" s="201"/>
      <c r="AB81" s="201"/>
      <c r="AC81" s="201"/>
      <c r="AD81" s="201"/>
      <c r="AE81" s="201"/>
      <c r="AF81" s="201"/>
    </row>
    <row r="82" spans="2:32" x14ac:dyDescent="0.25">
      <c r="B82" s="278">
        <v>1447</v>
      </c>
      <c r="C82" s="93" t="s">
        <v>100</v>
      </c>
      <c r="D82" s="152" t="s">
        <v>101</v>
      </c>
      <c r="E82" s="279">
        <v>0</v>
      </c>
      <c r="F82" s="280">
        <v>0</v>
      </c>
      <c r="G82" s="279">
        <v>2</v>
      </c>
      <c r="H82" s="280">
        <v>1</v>
      </c>
      <c r="I82" s="242">
        <v>21.33</v>
      </c>
      <c r="J82" s="281">
        <v>458.52</v>
      </c>
      <c r="K82" s="246">
        <f t="shared" si="5"/>
        <v>7.5623093919356996E-2</v>
      </c>
      <c r="L82" s="242">
        <v>21.38</v>
      </c>
      <c r="M82" s="281">
        <v>645.38</v>
      </c>
      <c r="N82" s="246">
        <f t="shared" si="6"/>
        <v>0.11328329183433326</v>
      </c>
      <c r="O82" s="262" t="s">
        <v>678</v>
      </c>
      <c r="P82" s="263">
        <v>603.6</v>
      </c>
      <c r="Q82" s="264">
        <f t="shared" si="7"/>
        <v>0.11055175472338595</v>
      </c>
      <c r="R82" s="242" t="s">
        <v>679</v>
      </c>
      <c r="S82" s="281">
        <v>305.10000000000002</v>
      </c>
      <c r="T82" s="282">
        <f t="shared" si="8"/>
        <v>5.1394405519344773E-2</v>
      </c>
      <c r="U82" s="242">
        <v>21.29</v>
      </c>
      <c r="V82" s="281">
        <v>678.27</v>
      </c>
      <c r="W82" s="246">
        <f t="shared" si="9"/>
        <v>0.1502654552352968</v>
      </c>
      <c r="X82" s="201"/>
      <c r="Y82" s="255"/>
      <c r="Z82" s="201"/>
      <c r="AA82" s="201"/>
      <c r="AB82" s="201"/>
      <c r="AC82" s="201"/>
      <c r="AD82" s="201"/>
      <c r="AE82" s="201"/>
      <c r="AF82" s="201"/>
    </row>
    <row r="83" spans="2:32" x14ac:dyDescent="0.25">
      <c r="B83" s="256" t="s">
        <v>680</v>
      </c>
      <c r="C83" s="257" t="s">
        <v>681</v>
      </c>
      <c r="D83" s="257" t="s">
        <v>682</v>
      </c>
      <c r="E83" s="116">
        <v>1</v>
      </c>
      <c r="F83" s="112">
        <v>1</v>
      </c>
      <c r="G83" s="116">
        <v>2</v>
      </c>
      <c r="H83" s="283">
        <v>1</v>
      </c>
      <c r="I83" s="253">
        <v>18.21</v>
      </c>
      <c r="J83" s="240">
        <v>1054.98</v>
      </c>
      <c r="K83" s="245">
        <f t="shared" si="5"/>
        <v>0.17399644862392755</v>
      </c>
      <c r="L83" s="253">
        <v>18.41</v>
      </c>
      <c r="M83" s="240">
        <v>1139.69</v>
      </c>
      <c r="N83" s="245">
        <f t="shared" si="6"/>
        <v>0.20004932732757646</v>
      </c>
      <c r="O83" s="254" t="s">
        <v>22</v>
      </c>
      <c r="P83" s="243">
        <v>0</v>
      </c>
      <c r="Q83" s="284">
        <f t="shared" si="7"/>
        <v>0</v>
      </c>
      <c r="R83" s="254">
        <v>18.32</v>
      </c>
      <c r="S83" s="243">
        <v>373.28</v>
      </c>
      <c r="T83" s="272">
        <f t="shared" si="8"/>
        <v>6.2879395910393349E-2</v>
      </c>
      <c r="U83" s="254" t="s">
        <v>22</v>
      </c>
      <c r="V83" s="243">
        <v>0</v>
      </c>
      <c r="W83" s="261">
        <f t="shared" si="9"/>
        <v>0</v>
      </c>
      <c r="X83" s="201"/>
      <c r="Y83" s="255"/>
      <c r="Z83" s="201"/>
      <c r="AA83" s="201"/>
      <c r="AB83" s="201"/>
      <c r="AC83" s="201"/>
      <c r="AD83" s="201"/>
      <c r="AE83" s="201"/>
      <c r="AF83" s="201"/>
    </row>
    <row r="84" spans="2:32" x14ac:dyDescent="0.25">
      <c r="B84" s="256">
        <v>1527</v>
      </c>
      <c r="C84" s="257" t="s">
        <v>683</v>
      </c>
      <c r="D84" s="257" t="s">
        <v>684</v>
      </c>
      <c r="E84" s="251">
        <v>0</v>
      </c>
      <c r="F84" s="252">
        <v>1</v>
      </c>
      <c r="G84" s="116">
        <v>4</v>
      </c>
      <c r="H84" s="285">
        <v>1</v>
      </c>
      <c r="I84" s="253">
        <v>20.83</v>
      </c>
      <c r="J84" s="240">
        <v>2331.81</v>
      </c>
      <c r="K84" s="245">
        <f t="shared" si="5"/>
        <v>0.384582322760394</v>
      </c>
      <c r="L84" s="253">
        <v>20.86</v>
      </c>
      <c r="M84" s="240">
        <v>2881.33</v>
      </c>
      <c r="N84" s="245">
        <f t="shared" si="6"/>
        <v>0.50575869605661705</v>
      </c>
      <c r="O84" s="254">
        <v>21</v>
      </c>
      <c r="P84" s="243">
        <v>2709.37</v>
      </c>
      <c r="Q84" s="264">
        <f t="shared" si="7"/>
        <v>0.49623195443157747</v>
      </c>
      <c r="R84" s="254">
        <v>20.76</v>
      </c>
      <c r="S84" s="243">
        <v>2880.1</v>
      </c>
      <c r="T84" s="272">
        <f t="shared" si="8"/>
        <v>0.48515577625783296</v>
      </c>
      <c r="U84" s="254">
        <v>20.77</v>
      </c>
      <c r="V84" s="243">
        <v>2416.25</v>
      </c>
      <c r="W84" s="261">
        <f t="shared" si="9"/>
        <v>0.53530143779363071</v>
      </c>
      <c r="X84" s="201"/>
      <c r="Y84" s="255"/>
      <c r="Z84" s="201"/>
      <c r="AA84" s="201"/>
      <c r="AB84" s="201"/>
      <c r="AC84" s="201"/>
      <c r="AD84" s="201"/>
      <c r="AE84" s="201"/>
      <c r="AF84" s="201"/>
    </row>
    <row r="85" spans="2:32" x14ac:dyDescent="0.25">
      <c r="B85" s="278">
        <v>1672</v>
      </c>
      <c r="C85" s="93" t="s">
        <v>685</v>
      </c>
      <c r="D85" s="93"/>
      <c r="E85" s="279">
        <v>1</v>
      </c>
      <c r="F85" s="280">
        <v>1</v>
      </c>
      <c r="G85" s="279">
        <v>4</v>
      </c>
      <c r="H85" s="280">
        <v>1</v>
      </c>
      <c r="I85" s="242">
        <v>17.5</v>
      </c>
      <c r="J85" s="281">
        <v>457.72</v>
      </c>
      <c r="K85" s="246">
        <f t="shared" si="5"/>
        <v>7.5491150983093627E-2</v>
      </c>
      <c r="L85" s="242">
        <v>17.600000000000001</v>
      </c>
      <c r="M85" s="281">
        <v>411.93</v>
      </c>
      <c r="N85" s="246">
        <f t="shared" si="6"/>
        <v>7.2305907225691704E-2</v>
      </c>
      <c r="O85" s="262" t="s">
        <v>22</v>
      </c>
      <c r="P85" s="263">
        <v>0</v>
      </c>
      <c r="Q85" s="264">
        <f t="shared" si="7"/>
        <v>0</v>
      </c>
      <c r="R85" s="242">
        <v>17.62</v>
      </c>
      <c r="S85" s="281">
        <v>382.97</v>
      </c>
      <c r="T85" s="282">
        <f t="shared" si="8"/>
        <v>6.4511686272512178E-2</v>
      </c>
      <c r="U85" s="242" t="s">
        <v>22</v>
      </c>
      <c r="V85" s="281">
        <v>0</v>
      </c>
      <c r="W85" s="246">
        <f t="shared" si="9"/>
        <v>0</v>
      </c>
      <c r="X85" s="201"/>
      <c r="Y85" s="255"/>
      <c r="Z85" s="201"/>
      <c r="AA85" s="201"/>
      <c r="AB85" s="201"/>
      <c r="AC85" s="201"/>
      <c r="AD85" s="201"/>
      <c r="AE85" s="201"/>
      <c r="AF85" s="201"/>
    </row>
    <row r="86" spans="2:32" x14ac:dyDescent="0.25">
      <c r="B86" s="286"/>
      <c r="C86" s="287"/>
      <c r="D86" s="287"/>
      <c r="E86" s="288">
        <f>SUBTOTAL(109,Table13[Neu])</f>
        <v>31</v>
      </c>
      <c r="F86" s="289">
        <f>SUBTOTAL(109,Table13[Sul])</f>
        <v>32</v>
      </c>
      <c r="G86" s="288"/>
      <c r="H86" s="289">
        <f>SUBTOTAL(109,Table13[Fuc])</f>
        <v>41</v>
      </c>
      <c r="I86" s="290"/>
      <c r="J86" s="291">
        <f>SUM(J4:J85)</f>
        <v>606322.72</v>
      </c>
      <c r="K86" s="292">
        <f>SUBTOTAL(109,Table13[Percentage5])</f>
        <v>99.999999999999986</v>
      </c>
      <c r="L86" s="290"/>
      <c r="M86" s="291">
        <f>SUM(M4:M85)</f>
        <v>569704.49</v>
      </c>
      <c r="N86" s="292">
        <f>SUBTOTAL(109,Table13[Percentage44])</f>
        <v>99.999999999999986</v>
      </c>
      <c r="O86" s="290"/>
      <c r="P86" s="291">
        <f>SUM(P4:P85)</f>
        <v>545988.62000000023</v>
      </c>
      <c r="Q86" s="292">
        <f>SUBTOTAL(109,Table13[Percentage24])</f>
        <v>99.999999999999957</v>
      </c>
      <c r="R86" s="290"/>
      <c r="S86" s="290">
        <f>SUM(S4:S85)</f>
        <v>593644.38</v>
      </c>
      <c r="T86" s="293">
        <f>SUBTOTAL(109,Table13[Percentage6])</f>
        <v>100</v>
      </c>
      <c r="U86" s="290"/>
      <c r="V86" s="291">
        <f>SUM(V4:V85)</f>
        <v>451381.19</v>
      </c>
      <c r="W86" s="292">
        <f>SUBTOTAL(109,Table13[Percentage34])</f>
        <v>100.00000000000004</v>
      </c>
      <c r="AD86" s="201"/>
      <c r="AE86" s="201"/>
      <c r="AF86" s="201"/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6"/>
  <sheetViews>
    <sheetView zoomScale="80" zoomScaleNormal="80" workbookViewId="0">
      <selection activeCell="D55" sqref="D55"/>
    </sheetView>
  </sheetViews>
  <sheetFormatPr defaultColWidth="8.85546875" defaultRowHeight="15" x14ac:dyDescent="0.25"/>
  <cols>
    <col min="1" max="1" width="8.85546875" style="193"/>
    <col min="2" max="2" width="12.85546875" style="193" customWidth="1"/>
    <col min="3" max="3" width="33.7109375" style="193" customWidth="1"/>
    <col min="4" max="4" width="33.5703125" style="5" customWidth="1"/>
    <col min="5" max="6" width="8.140625" style="193" customWidth="1"/>
    <col min="7" max="7" width="8.28515625" style="193" customWidth="1"/>
    <col min="8" max="8" width="8.28515625" style="14" customWidth="1"/>
    <col min="9" max="12" width="8.28515625" style="193" customWidth="1"/>
    <col min="13" max="13" width="8.28515625" style="7" customWidth="1"/>
    <col min="14" max="14" width="8.28515625" style="193" customWidth="1"/>
    <col min="15" max="15" width="14.85546875" style="193" bestFit="1" customWidth="1"/>
    <col min="16" max="17" width="8.28515625" style="193" customWidth="1"/>
    <col min="18" max="18" width="15" style="193" bestFit="1" customWidth="1"/>
    <col min="19" max="19" width="8.28515625" style="7" customWidth="1"/>
    <col min="20" max="20" width="8.28515625" style="193" customWidth="1"/>
    <col min="21" max="21" width="15" style="193" bestFit="1" customWidth="1"/>
    <col min="22" max="24" width="9.140625" style="193" customWidth="1"/>
    <col min="25" max="16384" width="8.85546875" style="193"/>
  </cols>
  <sheetData>
    <row r="1" spans="2:28" ht="18.75" x14ac:dyDescent="0.3">
      <c r="G1" s="204" t="s">
        <v>686</v>
      </c>
      <c r="H1" s="205"/>
      <c r="I1" s="206"/>
      <c r="J1" s="7" t="s">
        <v>687</v>
      </c>
      <c r="K1" s="207"/>
      <c r="L1" s="202"/>
      <c r="M1" s="204" t="s">
        <v>688</v>
      </c>
      <c r="N1" s="205"/>
      <c r="O1" s="210" t="s">
        <v>542</v>
      </c>
      <c r="P1" s="204" t="s">
        <v>689</v>
      </c>
      <c r="Q1" s="205"/>
      <c r="R1" s="210" t="s">
        <v>544</v>
      </c>
      <c r="S1" s="7" t="s">
        <v>690</v>
      </c>
      <c r="T1" s="207"/>
      <c r="U1" s="210" t="s">
        <v>546</v>
      </c>
    </row>
    <row r="2" spans="2:28" s="9" customFormat="1" ht="21" x14ac:dyDescent="0.35">
      <c r="D2" s="296"/>
      <c r="G2" s="297" t="s">
        <v>547</v>
      </c>
      <c r="H2" s="213"/>
      <c r="I2" s="214"/>
      <c r="J2" s="215" t="s">
        <v>548</v>
      </c>
      <c r="K2" s="216"/>
      <c r="L2" s="211"/>
      <c r="M2" s="297" t="s">
        <v>549</v>
      </c>
      <c r="N2" s="298"/>
      <c r="O2" s="299"/>
      <c r="P2" s="300" t="s">
        <v>550</v>
      </c>
      <c r="Q2" s="213"/>
      <c r="R2" s="301"/>
      <c r="S2" s="302" t="s">
        <v>551</v>
      </c>
      <c r="T2" s="303"/>
      <c r="U2" s="304"/>
    </row>
    <row r="3" spans="2:28" ht="17.25" x14ac:dyDescent="0.25">
      <c r="B3" s="139" t="s">
        <v>0</v>
      </c>
      <c r="C3" s="305" t="s">
        <v>1</v>
      </c>
      <c r="D3" s="306" t="s">
        <v>2</v>
      </c>
      <c r="E3" s="305" t="s">
        <v>691</v>
      </c>
      <c r="F3" s="305" t="s">
        <v>692</v>
      </c>
      <c r="G3" s="2" t="s">
        <v>693</v>
      </c>
      <c r="H3" s="307" t="s">
        <v>694</v>
      </c>
      <c r="I3" s="2" t="s">
        <v>3</v>
      </c>
      <c r="J3" s="2" t="s">
        <v>24</v>
      </c>
      <c r="K3" s="2" t="s">
        <v>25</v>
      </c>
      <c r="L3" s="2" t="s">
        <v>21</v>
      </c>
      <c r="M3" s="44" t="s">
        <v>350</v>
      </c>
      <c r="N3" s="2" t="s">
        <v>351</v>
      </c>
      <c r="O3" s="2" t="s">
        <v>695</v>
      </c>
      <c r="P3" s="2" t="s">
        <v>371</v>
      </c>
      <c r="Q3" s="2" t="s">
        <v>372</v>
      </c>
      <c r="R3" s="2" t="s">
        <v>333</v>
      </c>
      <c r="S3" s="44" t="s">
        <v>559</v>
      </c>
      <c r="T3" s="2" t="s">
        <v>560</v>
      </c>
      <c r="U3" s="2" t="s">
        <v>696</v>
      </c>
    </row>
    <row r="4" spans="2:28" x14ac:dyDescent="0.25">
      <c r="B4" s="308">
        <v>530</v>
      </c>
      <c r="C4" s="145" t="s">
        <v>29</v>
      </c>
      <c r="D4" s="309" t="s">
        <v>30</v>
      </c>
      <c r="E4" s="252">
        <v>0</v>
      </c>
      <c r="F4" s="252" t="s">
        <v>299</v>
      </c>
      <c r="G4" s="29">
        <v>28.26</v>
      </c>
      <c r="H4" s="13">
        <v>4067.53</v>
      </c>
      <c r="I4" s="19">
        <f t="shared" ref="I4:I24" si="0">H4/$H$25*100</f>
        <v>5.8253496437146506</v>
      </c>
      <c r="J4" s="27">
        <v>28.13</v>
      </c>
      <c r="K4" s="13">
        <v>3866.05</v>
      </c>
      <c r="L4" s="23">
        <f t="shared" ref="L4:L24" si="1">K4/$K$25*100</f>
        <v>4.6887798924044448</v>
      </c>
      <c r="M4" s="27">
        <v>28.04</v>
      </c>
      <c r="N4" s="13">
        <v>4201.47</v>
      </c>
      <c r="O4" s="23">
        <f t="shared" ref="O4:O24" si="2">N4/$N$25*100</f>
        <v>11.966410076976908</v>
      </c>
      <c r="P4" s="310">
        <v>27.97</v>
      </c>
      <c r="Q4" s="13">
        <v>3850.7</v>
      </c>
      <c r="R4" s="19">
        <f t="shared" ref="R4:R24" si="3">Q4/$Q$25*100</f>
        <v>6.5000799280090851</v>
      </c>
      <c r="S4" s="27">
        <v>28</v>
      </c>
      <c r="T4" s="13">
        <v>4423.4799999999996</v>
      </c>
      <c r="U4" s="23">
        <f t="shared" ref="U4:U24" si="4">T4/$T$25*100</f>
        <v>15.707649963726828</v>
      </c>
    </row>
    <row r="5" spans="2:28" x14ac:dyDescent="0.25">
      <c r="B5" s="308">
        <v>813</v>
      </c>
      <c r="C5" s="145" t="s">
        <v>51</v>
      </c>
      <c r="D5" s="311" t="s">
        <v>52</v>
      </c>
      <c r="E5" s="252">
        <v>0</v>
      </c>
      <c r="F5" s="252" t="s">
        <v>299</v>
      </c>
      <c r="G5" s="29">
        <v>29.3</v>
      </c>
      <c r="H5" s="13">
        <v>31145.73</v>
      </c>
      <c r="I5" s="19">
        <f t="shared" si="0"/>
        <v>44.605637120988092</v>
      </c>
      <c r="J5" s="27">
        <v>27.94</v>
      </c>
      <c r="K5" s="13">
        <v>27512.29</v>
      </c>
      <c r="L5" s="23">
        <f t="shared" si="1"/>
        <v>33.367150488483041</v>
      </c>
      <c r="M5" s="27">
        <v>28.65</v>
      </c>
      <c r="N5" s="13">
        <v>30406.69</v>
      </c>
      <c r="O5" s="23">
        <f t="shared" si="2"/>
        <v>86.602765609063709</v>
      </c>
      <c r="P5" s="310">
        <v>28.38</v>
      </c>
      <c r="Q5" s="13">
        <v>26015.61</v>
      </c>
      <c r="R5" s="19">
        <f t="shared" si="3"/>
        <v>43.915013991199643</v>
      </c>
      <c r="S5" s="27">
        <v>28.41</v>
      </c>
      <c r="T5" s="13">
        <v>23737.83</v>
      </c>
      <c r="U5" s="23">
        <f t="shared" si="4"/>
        <v>84.292350036273177</v>
      </c>
    </row>
    <row r="6" spans="2:28" ht="18.75" x14ac:dyDescent="0.3">
      <c r="B6" s="308" t="s">
        <v>35</v>
      </c>
      <c r="C6" s="145" t="s">
        <v>36</v>
      </c>
      <c r="D6" s="312" t="s">
        <v>37</v>
      </c>
      <c r="E6" s="252">
        <v>1</v>
      </c>
      <c r="F6" s="252">
        <v>0</v>
      </c>
      <c r="G6" s="29">
        <v>13.64</v>
      </c>
      <c r="H6" s="13">
        <v>2896.05</v>
      </c>
      <c r="I6" s="19">
        <f t="shared" si="0"/>
        <v>4.1476040338190039</v>
      </c>
      <c r="J6" s="34">
        <v>13.17</v>
      </c>
      <c r="K6" s="19">
        <v>4336.07</v>
      </c>
      <c r="L6" s="23">
        <f t="shared" si="1"/>
        <v>5.2588243369998153</v>
      </c>
      <c r="M6" s="29" t="s">
        <v>22</v>
      </c>
      <c r="N6" s="13">
        <v>0</v>
      </c>
      <c r="O6" s="23">
        <f t="shared" si="2"/>
        <v>0</v>
      </c>
      <c r="P6" s="29">
        <v>13.11</v>
      </c>
      <c r="Q6" s="13">
        <v>6651.49</v>
      </c>
      <c r="R6" s="19">
        <f t="shared" si="3"/>
        <v>11.227884966461462</v>
      </c>
      <c r="S6" s="29" t="s">
        <v>22</v>
      </c>
      <c r="T6" s="13">
        <v>0</v>
      </c>
      <c r="U6" s="23">
        <f t="shared" si="4"/>
        <v>0</v>
      </c>
      <c r="Z6" s="313"/>
      <c r="AA6" s="313"/>
      <c r="AB6" s="313"/>
    </row>
    <row r="7" spans="2:28" x14ac:dyDescent="0.25">
      <c r="B7" s="308" t="s">
        <v>38</v>
      </c>
      <c r="C7" s="145" t="s">
        <v>36</v>
      </c>
      <c r="D7" s="312" t="s">
        <v>39</v>
      </c>
      <c r="E7" s="252">
        <v>1</v>
      </c>
      <c r="F7" s="252">
        <v>0</v>
      </c>
      <c r="G7" s="29">
        <v>15.9</v>
      </c>
      <c r="H7" s="13">
        <v>3658.26</v>
      </c>
      <c r="I7" s="19">
        <f t="shared" si="0"/>
        <v>5.2392099351733252</v>
      </c>
      <c r="J7" s="34">
        <v>15.3</v>
      </c>
      <c r="K7" s="19">
        <v>5060.91</v>
      </c>
      <c r="L7" s="23">
        <f t="shared" si="1"/>
        <v>6.1379167484302011</v>
      </c>
      <c r="M7" s="29" t="s">
        <v>22</v>
      </c>
      <c r="N7" s="13">
        <v>0</v>
      </c>
      <c r="O7" s="23">
        <f t="shared" si="2"/>
        <v>0</v>
      </c>
      <c r="P7" s="29" t="s">
        <v>22</v>
      </c>
      <c r="Q7" s="13">
        <v>0</v>
      </c>
      <c r="R7" s="19">
        <f t="shared" si="3"/>
        <v>0</v>
      </c>
      <c r="S7" s="29" t="s">
        <v>22</v>
      </c>
      <c r="T7" s="13">
        <v>0</v>
      </c>
      <c r="U7" s="23">
        <f t="shared" si="4"/>
        <v>0</v>
      </c>
    </row>
    <row r="8" spans="2:28" x14ac:dyDescent="0.25">
      <c r="B8" s="308" t="s">
        <v>130</v>
      </c>
      <c r="C8" s="145" t="s">
        <v>133</v>
      </c>
      <c r="D8" s="314" t="s">
        <v>132</v>
      </c>
      <c r="E8" s="252">
        <v>1</v>
      </c>
      <c r="F8" s="252">
        <v>0</v>
      </c>
      <c r="G8" s="29">
        <v>13.59</v>
      </c>
      <c r="H8" s="13">
        <v>233.96</v>
      </c>
      <c r="I8" s="19">
        <f t="shared" si="0"/>
        <v>0.3350679165595532</v>
      </c>
      <c r="J8" s="34">
        <v>13.1</v>
      </c>
      <c r="K8" s="19">
        <v>634.98</v>
      </c>
      <c r="L8" s="23">
        <f t="shared" si="1"/>
        <v>0.77010940264067318</v>
      </c>
      <c r="M8" s="29" t="s">
        <v>22</v>
      </c>
      <c r="N8" s="13">
        <v>0</v>
      </c>
      <c r="O8" s="23">
        <f t="shared" si="2"/>
        <v>0</v>
      </c>
      <c r="P8" s="29">
        <v>13.02</v>
      </c>
      <c r="Q8" s="13">
        <v>1416.4</v>
      </c>
      <c r="R8" s="19">
        <f t="shared" si="3"/>
        <v>2.3909193679154619</v>
      </c>
      <c r="S8" s="29" t="s">
        <v>22</v>
      </c>
      <c r="T8" s="13">
        <v>0</v>
      </c>
      <c r="U8" s="23">
        <f t="shared" si="4"/>
        <v>0</v>
      </c>
    </row>
    <row r="9" spans="2:28" x14ac:dyDescent="0.25">
      <c r="B9" s="308" t="s">
        <v>131</v>
      </c>
      <c r="C9" s="145" t="s">
        <v>133</v>
      </c>
      <c r="D9" s="312" t="s">
        <v>264</v>
      </c>
      <c r="E9" s="252">
        <v>1</v>
      </c>
      <c r="F9" s="252">
        <v>0</v>
      </c>
      <c r="G9" s="29">
        <v>15.57</v>
      </c>
      <c r="H9" s="13">
        <v>423.84</v>
      </c>
      <c r="I9" s="19">
        <f t="shared" si="0"/>
        <v>0.60700626497948806</v>
      </c>
      <c r="J9" s="34">
        <v>15.03</v>
      </c>
      <c r="K9" s="19">
        <v>482.16</v>
      </c>
      <c r="L9" s="23">
        <f t="shared" si="1"/>
        <v>0.58476794478129535</v>
      </c>
      <c r="M9" s="29" t="s">
        <v>22</v>
      </c>
      <c r="N9" s="13">
        <v>0</v>
      </c>
      <c r="O9" s="23">
        <f t="shared" si="2"/>
        <v>0</v>
      </c>
      <c r="P9" s="29" t="s">
        <v>22</v>
      </c>
      <c r="Q9" s="13">
        <v>0</v>
      </c>
      <c r="R9" s="19">
        <f t="shared" si="3"/>
        <v>0</v>
      </c>
      <c r="S9" s="29" t="s">
        <v>22</v>
      </c>
      <c r="T9" s="13">
        <v>0</v>
      </c>
      <c r="U9" s="23">
        <f t="shared" si="4"/>
        <v>0</v>
      </c>
    </row>
    <row r="10" spans="2:28" x14ac:dyDescent="0.25">
      <c r="B10" s="308">
        <v>821</v>
      </c>
      <c r="C10" s="145" t="s">
        <v>598</v>
      </c>
      <c r="D10" s="312" t="s">
        <v>599</v>
      </c>
      <c r="E10" s="252">
        <v>1</v>
      </c>
      <c r="F10" s="252" t="s">
        <v>299</v>
      </c>
      <c r="G10" s="29">
        <v>29.3</v>
      </c>
      <c r="H10" s="13">
        <v>3147.5</v>
      </c>
      <c r="I10" s="19">
        <f t="shared" si="0"/>
        <v>4.5077204110582736</v>
      </c>
      <c r="J10" s="34">
        <v>27.94</v>
      </c>
      <c r="K10" s="19">
        <v>3978.34</v>
      </c>
      <c r="L10" s="23">
        <f t="shared" si="1"/>
        <v>4.8249662050796802</v>
      </c>
      <c r="M10" s="29" t="s">
        <v>22</v>
      </c>
      <c r="N10" s="13">
        <v>0</v>
      </c>
      <c r="O10" s="23">
        <f t="shared" si="2"/>
        <v>0</v>
      </c>
      <c r="P10" s="29">
        <v>28.38</v>
      </c>
      <c r="Q10" s="13">
        <v>2679.93</v>
      </c>
      <c r="R10" s="19">
        <f t="shared" si="3"/>
        <v>4.5237902722802055</v>
      </c>
      <c r="S10" s="29" t="s">
        <v>22</v>
      </c>
      <c r="T10" s="13">
        <v>0</v>
      </c>
      <c r="U10" s="23">
        <f t="shared" si="4"/>
        <v>0</v>
      </c>
    </row>
    <row r="11" spans="2:28" x14ac:dyDescent="0.25">
      <c r="B11" s="308">
        <v>878</v>
      </c>
      <c r="C11" s="145" t="s">
        <v>54</v>
      </c>
      <c r="D11" s="312" t="s">
        <v>697</v>
      </c>
      <c r="E11" s="252">
        <v>1</v>
      </c>
      <c r="F11" s="252">
        <v>0</v>
      </c>
      <c r="G11" s="29">
        <v>16.47</v>
      </c>
      <c r="H11" s="13">
        <v>5260.77</v>
      </c>
      <c r="I11" s="19">
        <f t="shared" si="0"/>
        <v>7.5342590331637922</v>
      </c>
      <c r="J11" s="34">
        <v>15.91</v>
      </c>
      <c r="K11" s="19">
        <v>9453.2000000000007</v>
      </c>
      <c r="L11" s="23">
        <f t="shared" si="1"/>
        <v>11.464925202436001</v>
      </c>
      <c r="M11" s="29">
        <v>16.13</v>
      </c>
      <c r="N11" s="13">
        <v>502.37</v>
      </c>
      <c r="O11" s="23">
        <f t="shared" si="2"/>
        <v>1.4308243139593735</v>
      </c>
      <c r="P11" s="29">
        <v>15.95</v>
      </c>
      <c r="Q11" s="13">
        <v>7204.92</v>
      </c>
      <c r="R11" s="19">
        <f t="shared" si="3"/>
        <v>12.162088938351785</v>
      </c>
      <c r="S11" s="29" t="s">
        <v>22</v>
      </c>
      <c r="T11" s="13">
        <v>0</v>
      </c>
      <c r="U11" s="23">
        <f t="shared" si="4"/>
        <v>0</v>
      </c>
    </row>
    <row r="12" spans="2:28" x14ac:dyDescent="0.25">
      <c r="B12" s="308">
        <v>966</v>
      </c>
      <c r="C12" s="145" t="s">
        <v>69</v>
      </c>
      <c r="D12" s="315" t="s">
        <v>70</v>
      </c>
      <c r="E12" s="252">
        <v>1</v>
      </c>
      <c r="F12" s="252">
        <v>0</v>
      </c>
      <c r="G12" s="29">
        <v>16.57</v>
      </c>
      <c r="H12" s="13">
        <v>2802.47</v>
      </c>
      <c r="I12" s="19">
        <f t="shared" si="0"/>
        <v>4.0135825958311289</v>
      </c>
      <c r="J12" s="34">
        <v>15.5</v>
      </c>
      <c r="K12" s="19">
        <v>5470.74</v>
      </c>
      <c r="L12" s="23">
        <f t="shared" si="1"/>
        <v>6.634962224640832</v>
      </c>
      <c r="M12" s="29" t="s">
        <v>22</v>
      </c>
      <c r="N12" s="13">
        <v>0</v>
      </c>
      <c r="O12" s="23">
        <f t="shared" si="2"/>
        <v>0</v>
      </c>
      <c r="P12" s="29" t="s">
        <v>22</v>
      </c>
      <c r="Q12" s="13">
        <v>0</v>
      </c>
      <c r="R12" s="19">
        <f t="shared" si="3"/>
        <v>0</v>
      </c>
      <c r="S12" s="29" t="s">
        <v>22</v>
      </c>
      <c r="T12" s="13">
        <v>0</v>
      </c>
      <c r="U12" s="23">
        <f t="shared" si="4"/>
        <v>0</v>
      </c>
    </row>
    <row r="13" spans="2:28" x14ac:dyDescent="0.25">
      <c r="B13" s="308">
        <v>982</v>
      </c>
      <c r="C13" s="145" t="s">
        <v>621</v>
      </c>
      <c r="D13" s="316" t="s">
        <v>698</v>
      </c>
      <c r="E13" s="252">
        <v>1</v>
      </c>
      <c r="F13" s="252">
        <v>0</v>
      </c>
      <c r="G13" s="29">
        <v>16.37</v>
      </c>
      <c r="H13" s="13">
        <v>358.45</v>
      </c>
      <c r="I13" s="19">
        <f t="shared" si="0"/>
        <v>0.51335738883044901</v>
      </c>
      <c r="J13" s="34">
        <v>15.4</v>
      </c>
      <c r="K13" s="19">
        <v>508.21</v>
      </c>
      <c r="L13" s="23">
        <f t="shared" si="1"/>
        <v>0.61636161692654323</v>
      </c>
      <c r="M13" s="29" t="s">
        <v>22</v>
      </c>
      <c r="N13" s="13">
        <v>0</v>
      </c>
      <c r="O13" s="23">
        <f t="shared" si="2"/>
        <v>0</v>
      </c>
      <c r="P13" s="29" t="s">
        <v>22</v>
      </c>
      <c r="Q13" s="13">
        <v>0</v>
      </c>
      <c r="R13" s="19">
        <f t="shared" si="3"/>
        <v>0</v>
      </c>
      <c r="S13" s="29" t="s">
        <v>22</v>
      </c>
      <c r="T13" s="13">
        <v>0</v>
      </c>
      <c r="U13" s="23">
        <f t="shared" si="4"/>
        <v>0</v>
      </c>
    </row>
    <row r="14" spans="2:28" x14ac:dyDescent="0.25">
      <c r="B14" s="308">
        <v>998</v>
      </c>
      <c r="C14" s="145" t="s">
        <v>623</v>
      </c>
      <c r="D14" s="317" t="s">
        <v>624</v>
      </c>
      <c r="E14" s="252">
        <v>1</v>
      </c>
      <c r="F14" s="252">
        <v>0</v>
      </c>
      <c r="G14" s="29">
        <v>16.2</v>
      </c>
      <c r="H14" s="13">
        <v>586.49</v>
      </c>
      <c r="I14" s="19">
        <f t="shared" si="0"/>
        <v>0.83994692418794814</v>
      </c>
      <c r="J14" s="34">
        <v>15.2</v>
      </c>
      <c r="K14" s="19">
        <v>931.91</v>
      </c>
      <c r="L14" s="23">
        <f t="shared" si="1"/>
        <v>1.1302287527400385</v>
      </c>
      <c r="M14" s="29" t="s">
        <v>22</v>
      </c>
      <c r="N14" s="13">
        <v>0</v>
      </c>
      <c r="O14" s="23">
        <f t="shared" si="2"/>
        <v>0</v>
      </c>
      <c r="P14" s="29" t="s">
        <v>22</v>
      </c>
      <c r="Q14" s="13">
        <v>0</v>
      </c>
      <c r="R14" s="19">
        <f t="shared" si="3"/>
        <v>0</v>
      </c>
      <c r="S14" s="29" t="s">
        <v>22</v>
      </c>
      <c r="T14" s="13">
        <v>0</v>
      </c>
      <c r="U14" s="23">
        <f t="shared" si="4"/>
        <v>0</v>
      </c>
    </row>
    <row r="15" spans="2:28" x14ac:dyDescent="0.25">
      <c r="B15" s="308" t="s">
        <v>440</v>
      </c>
      <c r="C15" s="145" t="s">
        <v>75</v>
      </c>
      <c r="D15" s="309" t="s">
        <v>76</v>
      </c>
      <c r="E15" s="252">
        <v>1</v>
      </c>
      <c r="F15" s="252">
        <v>0</v>
      </c>
      <c r="G15" s="29">
        <v>19.84</v>
      </c>
      <c r="H15" s="13">
        <v>2849.31</v>
      </c>
      <c r="I15" s="19">
        <f t="shared" si="0"/>
        <v>4.0806649227744085</v>
      </c>
      <c r="J15" s="34">
        <v>18.91</v>
      </c>
      <c r="K15" s="19">
        <v>4847.4799999999996</v>
      </c>
      <c r="L15" s="23">
        <f t="shared" si="1"/>
        <v>5.8790669424432416</v>
      </c>
      <c r="M15" s="29" t="s">
        <v>22</v>
      </c>
      <c r="N15" s="13">
        <v>0</v>
      </c>
      <c r="O15" s="23">
        <f t="shared" si="2"/>
        <v>0</v>
      </c>
      <c r="P15" s="29">
        <v>19.16</v>
      </c>
      <c r="Q15" s="13">
        <v>4211.01</v>
      </c>
      <c r="R15" s="19">
        <f t="shared" si="3"/>
        <v>7.1082924085609216</v>
      </c>
      <c r="S15" s="29" t="s">
        <v>22</v>
      </c>
      <c r="T15" s="13">
        <v>0</v>
      </c>
      <c r="U15" s="23">
        <f t="shared" si="4"/>
        <v>0</v>
      </c>
    </row>
    <row r="16" spans="2:28" x14ac:dyDescent="0.25">
      <c r="B16" s="308" t="s">
        <v>77</v>
      </c>
      <c r="C16" s="145" t="s">
        <v>75</v>
      </c>
      <c r="D16" s="312" t="s">
        <v>78</v>
      </c>
      <c r="E16" s="252">
        <v>1</v>
      </c>
      <c r="F16" s="252">
        <v>0</v>
      </c>
      <c r="G16" s="29">
        <v>21.61</v>
      </c>
      <c r="H16" s="13">
        <v>1098.95</v>
      </c>
      <c r="I16" s="19">
        <f t="shared" si="0"/>
        <v>1.5738711185806165</v>
      </c>
      <c r="J16" s="34">
        <v>20.67</v>
      </c>
      <c r="K16" s="19">
        <v>1271.44</v>
      </c>
      <c r="L16" s="23">
        <f t="shared" si="1"/>
        <v>1.5420137624704044</v>
      </c>
      <c r="M16" s="29" t="s">
        <v>22</v>
      </c>
      <c r="N16" s="13">
        <v>0</v>
      </c>
      <c r="O16" s="23">
        <f t="shared" si="2"/>
        <v>0</v>
      </c>
      <c r="P16" s="29" t="s">
        <v>22</v>
      </c>
      <c r="Q16" s="13">
        <v>0</v>
      </c>
      <c r="R16" s="19">
        <f t="shared" si="3"/>
        <v>0</v>
      </c>
      <c r="S16" s="29" t="s">
        <v>22</v>
      </c>
      <c r="T16" s="13">
        <v>0</v>
      </c>
      <c r="U16" s="23">
        <f t="shared" si="4"/>
        <v>0</v>
      </c>
    </row>
    <row r="17" spans="1:21" x14ac:dyDescent="0.25">
      <c r="B17" s="308">
        <v>1081</v>
      </c>
      <c r="C17" s="145" t="s">
        <v>699</v>
      </c>
      <c r="D17" s="317" t="s">
        <v>700</v>
      </c>
      <c r="E17" s="252">
        <v>1</v>
      </c>
      <c r="F17" s="252">
        <v>0</v>
      </c>
      <c r="G17" s="29">
        <v>18.32</v>
      </c>
      <c r="H17" s="13">
        <v>410.36</v>
      </c>
      <c r="I17" s="19">
        <f t="shared" si="0"/>
        <v>0.58770076183697317</v>
      </c>
      <c r="J17" s="34">
        <v>17.66</v>
      </c>
      <c r="K17" s="19">
        <v>615.47</v>
      </c>
      <c r="L17" s="23">
        <f t="shared" si="1"/>
        <v>0.74644750077680411</v>
      </c>
      <c r="M17" s="29" t="s">
        <v>22</v>
      </c>
      <c r="N17" s="13">
        <v>0</v>
      </c>
      <c r="O17" s="23">
        <f t="shared" si="2"/>
        <v>0</v>
      </c>
      <c r="P17" s="29">
        <v>18.22</v>
      </c>
      <c r="Q17" s="13">
        <v>472.07</v>
      </c>
      <c r="R17" s="19">
        <f t="shared" si="3"/>
        <v>0.7968662143545977</v>
      </c>
      <c r="S17" s="29" t="s">
        <v>22</v>
      </c>
      <c r="T17" s="13">
        <v>0</v>
      </c>
      <c r="U17" s="23">
        <f t="shared" si="4"/>
        <v>0</v>
      </c>
    </row>
    <row r="18" spans="1:21" x14ac:dyDescent="0.25">
      <c r="B18" s="308" t="s">
        <v>701</v>
      </c>
      <c r="C18" s="145" t="s">
        <v>311</v>
      </c>
      <c r="D18" s="312" t="s">
        <v>702</v>
      </c>
      <c r="E18" s="252">
        <v>1</v>
      </c>
      <c r="F18" s="252" t="s">
        <v>299</v>
      </c>
      <c r="G18" s="29" t="s">
        <v>703</v>
      </c>
      <c r="H18" s="13">
        <v>494.3</v>
      </c>
      <c r="I18" s="19">
        <f t="shared" si="0"/>
        <v>0.70791618719177274</v>
      </c>
      <c r="J18" s="34">
        <v>21.29</v>
      </c>
      <c r="K18" s="19">
        <v>956.76</v>
      </c>
      <c r="L18" s="23">
        <f t="shared" si="1"/>
        <v>1.1603670541914555</v>
      </c>
      <c r="M18" s="29" t="s">
        <v>22</v>
      </c>
      <c r="N18" s="13">
        <v>0</v>
      </c>
      <c r="O18" s="23">
        <f t="shared" si="2"/>
        <v>0</v>
      </c>
      <c r="P18" s="29" t="s">
        <v>704</v>
      </c>
      <c r="Q18" s="13">
        <v>597.79999999999995</v>
      </c>
      <c r="R18" s="19">
        <f t="shared" si="3"/>
        <v>1.0091016648827047</v>
      </c>
      <c r="S18" s="29" t="s">
        <v>22</v>
      </c>
      <c r="T18" s="13">
        <v>0</v>
      </c>
      <c r="U18" s="23">
        <f t="shared" si="4"/>
        <v>0</v>
      </c>
    </row>
    <row r="19" spans="1:21" x14ac:dyDescent="0.25">
      <c r="B19" s="308" t="s">
        <v>705</v>
      </c>
      <c r="C19" s="145" t="s">
        <v>311</v>
      </c>
      <c r="D19" s="317" t="s">
        <v>312</v>
      </c>
      <c r="E19" s="252">
        <v>1</v>
      </c>
      <c r="F19" s="252" t="s">
        <v>299</v>
      </c>
      <c r="G19" s="29">
        <v>24.95</v>
      </c>
      <c r="H19" s="13">
        <v>1757.99</v>
      </c>
      <c r="I19" s="19">
        <f t="shared" si="0"/>
        <v>2.517721177263331</v>
      </c>
      <c r="J19" s="34">
        <v>24.11</v>
      </c>
      <c r="K19" s="19">
        <v>1648.36</v>
      </c>
      <c r="L19" s="23">
        <f t="shared" si="1"/>
        <v>1.9991456974027211</v>
      </c>
      <c r="M19" s="29" t="s">
        <v>22</v>
      </c>
      <c r="N19" s="13">
        <v>0</v>
      </c>
      <c r="O19" s="23">
        <f t="shared" si="2"/>
        <v>0</v>
      </c>
      <c r="P19" s="29" t="s">
        <v>22</v>
      </c>
      <c r="Q19" s="13">
        <v>0</v>
      </c>
      <c r="R19" s="19">
        <f t="shared" si="3"/>
        <v>0</v>
      </c>
      <c r="S19" s="29" t="s">
        <v>22</v>
      </c>
      <c r="T19" s="13">
        <v>0</v>
      </c>
      <c r="U19" s="23">
        <f t="shared" si="4"/>
        <v>0</v>
      </c>
    </row>
    <row r="20" spans="1:21" x14ac:dyDescent="0.25">
      <c r="B20" s="308" t="s">
        <v>706</v>
      </c>
      <c r="C20" s="145" t="s">
        <v>90</v>
      </c>
      <c r="D20" s="317" t="s">
        <v>91</v>
      </c>
      <c r="E20" s="252">
        <v>1</v>
      </c>
      <c r="F20" s="252">
        <v>0</v>
      </c>
      <c r="G20" s="29">
        <v>20.05</v>
      </c>
      <c r="H20" s="13">
        <v>2458.1999999999998</v>
      </c>
      <c r="I20" s="19">
        <f t="shared" si="0"/>
        <v>3.5205332214339786</v>
      </c>
      <c r="J20" s="34">
        <v>19.010000000000002</v>
      </c>
      <c r="K20" s="19">
        <v>3894.62</v>
      </c>
      <c r="L20" s="23">
        <f t="shared" si="1"/>
        <v>4.7234298430067367</v>
      </c>
      <c r="M20" s="29" t="s">
        <v>22</v>
      </c>
      <c r="N20" s="13">
        <v>0</v>
      </c>
      <c r="O20" s="23">
        <f t="shared" si="2"/>
        <v>0</v>
      </c>
      <c r="P20" s="29">
        <v>19.37</v>
      </c>
      <c r="Q20" s="13">
        <v>2714.29</v>
      </c>
      <c r="R20" s="19">
        <f t="shared" si="3"/>
        <v>4.5817908296662369</v>
      </c>
      <c r="S20" s="29" t="s">
        <v>22</v>
      </c>
      <c r="T20" s="13">
        <v>0</v>
      </c>
      <c r="U20" s="23">
        <f t="shared" si="4"/>
        <v>0</v>
      </c>
    </row>
    <row r="21" spans="1:21" x14ac:dyDescent="0.25">
      <c r="B21" s="308" t="s">
        <v>707</v>
      </c>
      <c r="C21" s="145" t="s">
        <v>90</v>
      </c>
      <c r="D21" s="312" t="s">
        <v>708</v>
      </c>
      <c r="E21" s="252">
        <v>1</v>
      </c>
      <c r="F21" s="252">
        <v>0</v>
      </c>
      <c r="G21" s="29">
        <v>22.45</v>
      </c>
      <c r="H21" s="13">
        <v>2491.98</v>
      </c>
      <c r="I21" s="19">
        <f t="shared" si="0"/>
        <v>3.568911552009213</v>
      </c>
      <c r="J21" s="34">
        <v>21.5</v>
      </c>
      <c r="K21" s="19">
        <v>2960.84</v>
      </c>
      <c r="L21" s="23">
        <f t="shared" si="1"/>
        <v>3.5909331376021458</v>
      </c>
      <c r="M21" s="29" t="s">
        <v>22</v>
      </c>
      <c r="N21" s="13">
        <v>0</v>
      </c>
      <c r="O21" s="23">
        <f t="shared" si="2"/>
        <v>0</v>
      </c>
      <c r="P21" s="29" t="s">
        <v>22</v>
      </c>
      <c r="Q21" s="13">
        <v>0</v>
      </c>
      <c r="R21" s="19">
        <f t="shared" si="3"/>
        <v>0</v>
      </c>
      <c r="S21" s="29" t="s">
        <v>22</v>
      </c>
      <c r="T21" s="13">
        <v>0</v>
      </c>
      <c r="U21" s="23">
        <f t="shared" si="4"/>
        <v>0</v>
      </c>
    </row>
    <row r="22" spans="1:21" x14ac:dyDescent="0.25">
      <c r="B22" s="308">
        <v>1331</v>
      </c>
      <c r="C22" s="145" t="s">
        <v>98</v>
      </c>
      <c r="D22" s="318" t="s">
        <v>99</v>
      </c>
      <c r="E22" s="252">
        <v>1</v>
      </c>
      <c r="F22" s="112">
        <v>0</v>
      </c>
      <c r="G22" s="29">
        <v>20.78</v>
      </c>
      <c r="H22" s="13">
        <v>2532.42</v>
      </c>
      <c r="I22" s="19">
        <f t="shared" si="0"/>
        <v>3.6268280614367572</v>
      </c>
      <c r="J22" s="34">
        <v>19.43</v>
      </c>
      <c r="K22" s="19">
        <v>1812.49</v>
      </c>
      <c r="L22" s="23">
        <f t="shared" si="1"/>
        <v>2.198204024051456</v>
      </c>
      <c r="M22" s="29" t="s">
        <v>22</v>
      </c>
      <c r="N22" s="13">
        <v>0</v>
      </c>
      <c r="O22" s="23">
        <f t="shared" si="2"/>
        <v>0</v>
      </c>
      <c r="P22" s="29">
        <v>19.89</v>
      </c>
      <c r="Q22" s="13">
        <v>3144.59</v>
      </c>
      <c r="R22" s="19">
        <f t="shared" si="3"/>
        <v>5.3081482174197134</v>
      </c>
      <c r="S22" s="29" t="s">
        <v>22</v>
      </c>
      <c r="T22" s="13">
        <v>0</v>
      </c>
      <c r="U22" s="23">
        <f t="shared" si="4"/>
        <v>0</v>
      </c>
    </row>
    <row r="23" spans="1:21" x14ac:dyDescent="0.25">
      <c r="B23" s="319" t="s">
        <v>709</v>
      </c>
      <c r="C23" s="145" t="s">
        <v>710</v>
      </c>
      <c r="D23" s="317" t="s">
        <v>711</v>
      </c>
      <c r="E23" s="252">
        <v>1</v>
      </c>
      <c r="F23" s="252" t="s">
        <v>272</v>
      </c>
      <c r="G23" s="29">
        <v>17.399999999999999</v>
      </c>
      <c r="H23" s="13">
        <v>345.23</v>
      </c>
      <c r="I23" s="19">
        <f t="shared" si="0"/>
        <v>0.49442424702451082</v>
      </c>
      <c r="J23" s="34">
        <v>16.84</v>
      </c>
      <c r="K23" s="19">
        <v>698.22</v>
      </c>
      <c r="L23" s="23">
        <f t="shared" si="1"/>
        <v>0.8468074382055667</v>
      </c>
      <c r="M23" s="29" t="s">
        <v>22</v>
      </c>
      <c r="N23" s="13">
        <v>0</v>
      </c>
      <c r="O23" s="23">
        <f t="shared" si="2"/>
        <v>0</v>
      </c>
      <c r="P23" s="29" t="s">
        <v>712</v>
      </c>
      <c r="Q23" s="13">
        <v>282</v>
      </c>
      <c r="R23" s="19">
        <f t="shared" si="3"/>
        <v>0.47602320089816452</v>
      </c>
      <c r="S23" s="29" t="s">
        <v>22</v>
      </c>
      <c r="T23" s="13">
        <v>0</v>
      </c>
      <c r="U23" s="23">
        <f t="shared" si="4"/>
        <v>0</v>
      </c>
    </row>
    <row r="24" spans="1:21" x14ac:dyDescent="0.25">
      <c r="B24" s="319" t="s">
        <v>713</v>
      </c>
      <c r="C24" s="145" t="s">
        <v>710</v>
      </c>
      <c r="D24" s="312" t="s">
        <v>714</v>
      </c>
      <c r="E24" s="252">
        <v>1</v>
      </c>
      <c r="F24" s="252" t="s">
        <v>272</v>
      </c>
      <c r="G24" s="29">
        <v>19.739999999999998</v>
      </c>
      <c r="H24" s="13">
        <v>804.86</v>
      </c>
      <c r="I24" s="19">
        <f t="shared" si="0"/>
        <v>1.1526874821427679</v>
      </c>
      <c r="J24" s="34">
        <v>18.8</v>
      </c>
      <c r="K24" s="19">
        <v>1512.68</v>
      </c>
      <c r="L24" s="23">
        <f t="shared" si="1"/>
        <v>1.8345917842868962</v>
      </c>
      <c r="M24" s="29" t="s">
        <v>22</v>
      </c>
      <c r="N24" s="13">
        <v>0</v>
      </c>
      <c r="O24" s="23">
        <f t="shared" si="2"/>
        <v>0</v>
      </c>
      <c r="P24" s="29" t="s">
        <v>22</v>
      </c>
      <c r="Q24" s="13">
        <v>0</v>
      </c>
      <c r="R24" s="19">
        <f t="shared" si="3"/>
        <v>0</v>
      </c>
      <c r="S24" s="29" t="s">
        <v>22</v>
      </c>
      <c r="T24" s="13">
        <v>0</v>
      </c>
      <c r="U24" s="23">
        <f t="shared" si="4"/>
        <v>0</v>
      </c>
    </row>
    <row r="25" spans="1:21" x14ac:dyDescent="0.25">
      <c r="B25" s="128"/>
      <c r="C25" s="129"/>
      <c r="D25" s="130"/>
      <c r="E25" s="132"/>
      <c r="F25" s="132"/>
      <c r="G25" s="129"/>
      <c r="H25" s="135">
        <f>SUM(H4:H24)</f>
        <v>69824.64999999998</v>
      </c>
      <c r="I25" s="135">
        <f>SUBTOTAL(109,Table17[Percentage])</f>
        <v>100</v>
      </c>
      <c r="J25" s="134"/>
      <c r="K25" s="135">
        <f>SUM(K4:K24)</f>
        <v>82453.22</v>
      </c>
      <c r="L25" s="125">
        <f>SUBTOTAL(109,Table17[Percentage2])</f>
        <v>100.00000000000001</v>
      </c>
      <c r="M25" s="134"/>
      <c r="N25" s="135">
        <f>SUM(N4:N24)</f>
        <v>35110.53</v>
      </c>
      <c r="O25" s="125">
        <f>SUBTOTAL(109,Table17[Percentages])</f>
        <v>100</v>
      </c>
      <c r="P25" s="129"/>
      <c r="Q25" s="135">
        <f>SUM(Q4:Q24)</f>
        <v>59240.810000000012</v>
      </c>
      <c r="R25" s="135">
        <f>SUBTOTAL(109,Table17[Percentage3])</f>
        <v>99.999999999999986</v>
      </c>
      <c r="S25" s="134"/>
      <c r="T25" s="135">
        <f>SUM(T4:T24)</f>
        <v>28161.31</v>
      </c>
      <c r="U25" s="125">
        <f>SUBTOTAL(109,Table17[Percentage4])</f>
        <v>100</v>
      </c>
    </row>
    <row r="28" spans="1:21" s="5" customFormat="1" ht="21" x14ac:dyDescent="0.35">
      <c r="A28" s="193"/>
      <c r="B28" s="4" t="s">
        <v>5</v>
      </c>
      <c r="C28" s="193"/>
      <c r="E28" s="193"/>
      <c r="F28" s="193"/>
      <c r="G28" s="193"/>
      <c r="H28" s="14"/>
      <c r="I28" s="193"/>
      <c r="J28" s="193"/>
      <c r="K28" s="193"/>
      <c r="L28" s="193"/>
      <c r="M28" s="7"/>
      <c r="N28" s="193"/>
      <c r="O28" s="193"/>
      <c r="P28" s="193"/>
      <c r="Q28" s="193"/>
      <c r="R28" s="193"/>
      <c r="S28" s="7"/>
      <c r="T28" s="193"/>
      <c r="U28" s="193"/>
    </row>
    <row r="29" spans="1:21" s="5" customFormat="1" x14ac:dyDescent="0.25">
      <c r="A29" s="193"/>
      <c r="B29" s="5" t="s">
        <v>6</v>
      </c>
      <c r="C29" s="193" t="s">
        <v>7</v>
      </c>
      <c r="E29" s="193"/>
      <c r="F29" s="193"/>
      <c r="G29" s="193"/>
      <c r="H29" s="14"/>
      <c r="I29" s="193"/>
      <c r="J29" s="193"/>
      <c r="K29" s="193"/>
      <c r="L29" s="193"/>
      <c r="M29" s="7"/>
      <c r="N29" s="193"/>
      <c r="O29" s="193"/>
      <c r="P29" s="193"/>
      <c r="Q29" s="193"/>
      <c r="R29" s="193"/>
      <c r="S29" s="7"/>
      <c r="T29" s="193"/>
      <c r="U29" s="193"/>
    </row>
    <row r="30" spans="1:21" s="5" customFormat="1" x14ac:dyDescent="0.25">
      <c r="A30" s="193"/>
      <c r="B30" s="5" t="s">
        <v>8</v>
      </c>
      <c r="C30" s="193" t="s">
        <v>9</v>
      </c>
      <c r="E30" s="193"/>
      <c r="F30" s="193"/>
      <c r="G30" s="193"/>
      <c r="H30" s="14"/>
      <c r="I30" s="193"/>
      <c r="J30" s="193"/>
      <c r="K30" s="193"/>
      <c r="L30" s="193"/>
      <c r="M30" s="7"/>
      <c r="N30" s="193"/>
      <c r="O30" s="193"/>
      <c r="P30" s="193"/>
      <c r="Q30" s="193"/>
      <c r="R30" s="193"/>
      <c r="S30" s="7"/>
      <c r="T30" s="193"/>
      <c r="U30" s="193"/>
    </row>
    <row r="31" spans="1:21" s="5" customFormat="1" x14ac:dyDescent="0.25">
      <c r="A31" s="193"/>
      <c r="B31" s="5" t="s">
        <v>10</v>
      </c>
      <c r="C31" s="193" t="s">
        <v>11</v>
      </c>
      <c r="E31" s="193"/>
      <c r="F31" s="193"/>
      <c r="G31" s="193"/>
      <c r="H31" s="14"/>
      <c r="I31" s="193"/>
      <c r="J31" s="193"/>
      <c r="K31" s="193"/>
      <c r="L31" s="193"/>
      <c r="M31" s="7"/>
      <c r="N31" s="193"/>
      <c r="O31" s="193"/>
      <c r="P31" s="193"/>
      <c r="Q31" s="193"/>
      <c r="R31" s="193"/>
      <c r="S31" s="7"/>
      <c r="T31" s="193"/>
      <c r="U31" s="193"/>
    </row>
    <row r="32" spans="1:21" s="5" customFormat="1" x14ac:dyDescent="0.25">
      <c r="A32" s="193"/>
      <c r="B32" s="5" t="s">
        <v>13</v>
      </c>
      <c r="C32" s="193" t="s">
        <v>715</v>
      </c>
      <c r="E32" s="193"/>
      <c r="F32" s="193"/>
      <c r="G32" s="193"/>
      <c r="H32" s="14"/>
      <c r="I32" s="193"/>
      <c r="J32" s="193"/>
      <c r="K32" s="193"/>
      <c r="L32" s="193"/>
      <c r="M32" s="7"/>
      <c r="N32" s="193"/>
      <c r="O32" s="193"/>
      <c r="P32" s="193"/>
      <c r="Q32" s="193"/>
      <c r="R32" s="193"/>
      <c r="S32" s="7"/>
      <c r="T32" s="193"/>
      <c r="U32" s="193"/>
    </row>
    <row r="33" spans="1:21" s="5" customFormat="1" x14ac:dyDescent="0.25">
      <c r="A33" s="193"/>
      <c r="B33" s="5" t="s">
        <v>14</v>
      </c>
      <c r="C33" s="193" t="s">
        <v>716</v>
      </c>
      <c r="E33" s="193"/>
      <c r="F33" s="193"/>
      <c r="G33" s="193"/>
      <c r="H33" s="14"/>
      <c r="I33" s="193"/>
      <c r="J33" s="193"/>
      <c r="K33" s="193"/>
      <c r="L33" s="193"/>
      <c r="M33" s="7"/>
      <c r="N33" s="193"/>
      <c r="O33" s="193"/>
      <c r="P33" s="193"/>
      <c r="Q33" s="193"/>
      <c r="R33" s="193"/>
      <c r="S33" s="7"/>
      <c r="T33" s="193"/>
      <c r="U33" s="193"/>
    </row>
    <row r="34" spans="1:21" s="5" customFormat="1" x14ac:dyDescent="0.25">
      <c r="A34" s="193"/>
      <c r="B34" s="5" t="s">
        <v>15</v>
      </c>
      <c r="C34" s="193" t="s">
        <v>554</v>
      </c>
      <c r="E34" s="193"/>
      <c r="F34" s="193"/>
      <c r="G34" s="193"/>
      <c r="H34" s="14"/>
      <c r="I34" s="193"/>
      <c r="J34" s="193"/>
      <c r="K34" s="193"/>
      <c r="L34" s="193"/>
      <c r="M34" s="7"/>
      <c r="N34" s="193"/>
      <c r="O34" s="193"/>
      <c r="P34" s="193"/>
      <c r="Q34" s="193"/>
      <c r="R34" s="193"/>
      <c r="S34" s="7"/>
      <c r="T34" s="193"/>
      <c r="U34" s="193"/>
    </row>
    <row r="35" spans="1:21" s="5" customFormat="1" x14ac:dyDescent="0.25">
      <c r="A35" s="193"/>
      <c r="B35" s="5" t="s">
        <v>717</v>
      </c>
      <c r="C35" s="193" t="s">
        <v>16</v>
      </c>
      <c r="E35" s="193"/>
      <c r="F35" s="193"/>
      <c r="G35" s="193"/>
      <c r="H35" s="14"/>
      <c r="I35" s="193"/>
      <c r="J35" s="193"/>
      <c r="K35" s="193"/>
      <c r="L35" s="193"/>
      <c r="M35" s="7"/>
      <c r="N35" s="193"/>
      <c r="O35" s="193"/>
      <c r="P35" s="193"/>
      <c r="Q35" s="193"/>
      <c r="R35" s="193"/>
      <c r="S35" s="7"/>
      <c r="T35" s="193"/>
      <c r="U35" s="193"/>
    </row>
    <row r="36" spans="1:21" s="5" customFormat="1" x14ac:dyDescent="0.25">
      <c r="A36" s="193"/>
      <c r="B36" s="5" t="s">
        <v>718</v>
      </c>
      <c r="C36" s="193" t="s">
        <v>17</v>
      </c>
      <c r="E36" s="193"/>
      <c r="F36" s="193"/>
      <c r="G36" s="193"/>
      <c r="H36" s="14"/>
      <c r="I36" s="193"/>
      <c r="J36" s="193"/>
      <c r="K36" s="193"/>
      <c r="L36" s="193"/>
      <c r="M36" s="7"/>
      <c r="N36" s="193"/>
      <c r="O36" s="193"/>
      <c r="P36" s="193"/>
      <c r="Q36" s="193"/>
      <c r="R36" s="193"/>
      <c r="S36" s="7"/>
      <c r="T36" s="193"/>
      <c r="U36" s="19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13"/>
  <sheetViews>
    <sheetView tabSelected="1" topLeftCell="F1" zoomScale="80" zoomScaleNormal="80" workbookViewId="0">
      <pane ySplit="4" topLeftCell="A5" activePane="bottomLeft" state="frozen"/>
      <selection pane="bottomLeft" activeCell="AM22" sqref="AM22"/>
    </sheetView>
  </sheetViews>
  <sheetFormatPr defaultRowHeight="15" x14ac:dyDescent="0.25"/>
  <cols>
    <col min="1" max="1" width="9.140625" style="193"/>
    <col min="2" max="2" width="9.5703125" style="193" customWidth="1"/>
    <col min="3" max="3" width="30.7109375" style="193" customWidth="1"/>
    <col min="4" max="4" width="60.5703125" style="193" customWidth="1"/>
    <col min="5" max="8" width="6.28515625" style="193" customWidth="1"/>
    <col min="9" max="16" width="8.28515625" style="193" customWidth="1"/>
    <col min="17" max="17" width="15" style="193" bestFit="1" customWidth="1"/>
    <col min="18" max="19" width="9.140625" style="193"/>
    <col min="20" max="20" width="16" style="193" bestFit="1" customWidth="1"/>
    <col min="21" max="22" width="8.28515625" style="193" customWidth="1"/>
    <col min="23" max="23" width="15" style="193" bestFit="1" customWidth="1"/>
    <col min="24" max="29" width="8.28515625" style="193" customWidth="1"/>
    <col min="30" max="31" width="9.140625" style="193"/>
    <col min="32" max="32" width="15" style="193" bestFit="1" customWidth="1"/>
    <col min="33" max="34" width="9.140625" style="193"/>
    <col min="35" max="35" width="14.85546875" style="193" bestFit="1" customWidth="1"/>
    <col min="36" max="37" width="9.140625" style="193"/>
    <col min="38" max="38" width="15" style="193" bestFit="1" customWidth="1"/>
    <col min="39" max="44" width="9.140625" style="193"/>
    <col min="45" max="56" width="8.28515625" style="193" customWidth="1"/>
    <col min="57" max="16384" width="9.140625" style="193"/>
  </cols>
  <sheetData>
    <row r="1" spans="1:39" x14ac:dyDescent="0.25">
      <c r="I1" s="320" t="s">
        <v>719</v>
      </c>
      <c r="J1" s="320"/>
      <c r="K1" s="320"/>
      <c r="L1" s="320"/>
      <c r="M1" s="320"/>
      <c r="N1" s="320"/>
      <c r="O1" s="320"/>
      <c r="P1" s="320"/>
      <c r="Q1" s="320"/>
      <c r="R1" s="320"/>
      <c r="S1" s="320"/>
      <c r="T1" s="320"/>
      <c r="U1" s="320"/>
      <c r="V1" s="320"/>
      <c r="W1" s="320"/>
      <c r="X1" s="320" t="s">
        <v>720</v>
      </c>
      <c r="Y1" s="320"/>
      <c r="Z1" s="320"/>
      <c r="AA1" s="320"/>
      <c r="AB1" s="320"/>
      <c r="AC1" s="320"/>
      <c r="AD1" s="320"/>
      <c r="AE1" s="320"/>
      <c r="AF1" s="320"/>
      <c r="AG1" s="320"/>
      <c r="AH1" s="320"/>
      <c r="AI1" s="320"/>
      <c r="AJ1" s="320"/>
      <c r="AK1" s="320"/>
      <c r="AL1" s="320"/>
    </row>
    <row r="2" spans="1:39" x14ac:dyDescent="0.25">
      <c r="I2" s="321" t="s">
        <v>721</v>
      </c>
      <c r="J2" s="321"/>
      <c r="K2" s="321"/>
      <c r="L2" s="321" t="s">
        <v>722</v>
      </c>
      <c r="M2" s="321"/>
      <c r="N2" s="321"/>
      <c r="O2" s="321" t="s">
        <v>723</v>
      </c>
      <c r="P2" s="321"/>
      <c r="Q2" s="199" t="s">
        <v>542</v>
      </c>
      <c r="R2" s="321" t="s">
        <v>724</v>
      </c>
      <c r="S2" s="321"/>
      <c r="T2" s="199" t="s">
        <v>544</v>
      </c>
      <c r="U2" s="321" t="s">
        <v>725</v>
      </c>
      <c r="V2" s="321"/>
      <c r="W2" s="199" t="s">
        <v>546</v>
      </c>
      <c r="X2" s="322" t="s">
        <v>726</v>
      </c>
      <c r="Y2" s="322"/>
      <c r="Z2" s="322"/>
      <c r="AA2" s="322" t="s">
        <v>727</v>
      </c>
      <c r="AB2" s="322"/>
      <c r="AC2" s="322"/>
      <c r="AD2" s="322" t="s">
        <v>728</v>
      </c>
      <c r="AE2" s="322"/>
      <c r="AF2" s="199" t="s">
        <v>542</v>
      </c>
      <c r="AG2" s="322" t="s">
        <v>729</v>
      </c>
      <c r="AH2" s="322"/>
      <c r="AI2" s="199" t="s">
        <v>544</v>
      </c>
      <c r="AJ2" s="322" t="s">
        <v>730</v>
      </c>
      <c r="AK2" s="322"/>
      <c r="AL2" s="199" t="s">
        <v>546</v>
      </c>
    </row>
    <row r="3" spans="1:39" ht="23.25" x14ac:dyDescent="0.35">
      <c r="I3" s="323" t="s">
        <v>547</v>
      </c>
      <c r="J3" s="321"/>
      <c r="K3" s="321"/>
      <c r="L3" s="323" t="s">
        <v>548</v>
      </c>
      <c r="M3" s="323"/>
      <c r="N3" s="323"/>
      <c r="O3" s="323" t="s">
        <v>549</v>
      </c>
      <c r="P3" s="323"/>
      <c r="Q3" s="323"/>
      <c r="R3" s="324" t="s">
        <v>550</v>
      </c>
      <c r="S3" s="321"/>
      <c r="T3" s="321"/>
      <c r="U3" s="324" t="s">
        <v>551</v>
      </c>
      <c r="V3" s="323"/>
      <c r="W3" s="323"/>
      <c r="X3" s="325" t="s">
        <v>547</v>
      </c>
      <c r="Y3" s="322"/>
      <c r="Z3" s="322"/>
      <c r="AA3" s="325" t="s">
        <v>731</v>
      </c>
      <c r="AB3" s="326"/>
      <c r="AC3" s="326"/>
      <c r="AD3" s="327" t="s">
        <v>549</v>
      </c>
      <c r="AE3" s="326"/>
      <c r="AF3" s="326"/>
      <c r="AG3" s="327" t="s">
        <v>550</v>
      </c>
      <c r="AH3" s="326"/>
      <c r="AI3" s="326"/>
      <c r="AJ3" s="327" t="s">
        <v>551</v>
      </c>
      <c r="AK3" s="326"/>
      <c r="AL3" s="326"/>
    </row>
    <row r="4" spans="1:39" ht="18" thickBot="1" x14ac:dyDescent="0.3">
      <c r="B4" s="2" t="s">
        <v>0</v>
      </c>
      <c r="C4" s="3" t="s">
        <v>1</v>
      </c>
      <c r="D4" s="3" t="s">
        <v>2</v>
      </c>
      <c r="E4" s="11" t="s">
        <v>732</v>
      </c>
      <c r="F4" s="11" t="s">
        <v>733</v>
      </c>
      <c r="G4" s="11" t="s">
        <v>734</v>
      </c>
      <c r="H4" s="11" t="s">
        <v>735</v>
      </c>
      <c r="I4" s="137" t="s">
        <v>346</v>
      </c>
      <c r="J4" s="137" t="s">
        <v>347</v>
      </c>
      <c r="K4" s="137" t="s">
        <v>736</v>
      </c>
      <c r="L4" s="11" t="s">
        <v>348</v>
      </c>
      <c r="M4" s="11" t="s">
        <v>349</v>
      </c>
      <c r="N4" s="11" t="s">
        <v>696</v>
      </c>
      <c r="O4" s="11" t="s">
        <v>561</v>
      </c>
      <c r="P4" s="11" t="s">
        <v>562</v>
      </c>
      <c r="Q4" s="11" t="s">
        <v>568</v>
      </c>
      <c r="R4" s="137" t="s">
        <v>566</v>
      </c>
      <c r="S4" s="137" t="s">
        <v>567</v>
      </c>
      <c r="T4" s="137" t="s">
        <v>571</v>
      </c>
      <c r="U4" s="11" t="s">
        <v>559</v>
      </c>
      <c r="V4" s="11" t="s">
        <v>560</v>
      </c>
      <c r="W4" s="11" t="s">
        <v>460</v>
      </c>
      <c r="X4" s="137" t="s">
        <v>331</v>
      </c>
      <c r="Y4" s="137" t="s">
        <v>332</v>
      </c>
      <c r="Z4" s="137" t="s">
        <v>737</v>
      </c>
      <c r="AA4" s="11" t="s">
        <v>738</v>
      </c>
      <c r="AB4" s="11" t="s">
        <v>739</v>
      </c>
      <c r="AC4" s="11" t="s">
        <v>3</v>
      </c>
      <c r="AD4" s="11" t="s">
        <v>24</v>
      </c>
      <c r="AE4" s="11" t="s">
        <v>25</v>
      </c>
      <c r="AF4" s="11" t="s">
        <v>21</v>
      </c>
      <c r="AG4" s="11" t="s">
        <v>350</v>
      </c>
      <c r="AH4" s="11" t="s">
        <v>351</v>
      </c>
      <c r="AI4" s="11" t="s">
        <v>695</v>
      </c>
      <c r="AJ4" s="11" t="s">
        <v>371</v>
      </c>
      <c r="AK4" s="11" t="s">
        <v>372</v>
      </c>
      <c r="AL4" s="11" t="s">
        <v>333</v>
      </c>
      <c r="AM4" s="395" t="s">
        <v>569</v>
      </c>
    </row>
    <row r="5" spans="1:39" x14ac:dyDescent="0.25">
      <c r="A5" s="328"/>
      <c r="B5" s="143">
        <v>384</v>
      </c>
      <c r="C5" s="237" t="s">
        <v>26</v>
      </c>
      <c r="D5" s="237" t="s">
        <v>112</v>
      </c>
      <c r="E5" s="35">
        <v>0</v>
      </c>
      <c r="F5" s="237">
        <v>0</v>
      </c>
      <c r="G5" s="35">
        <v>0</v>
      </c>
      <c r="H5" s="237">
        <v>0</v>
      </c>
      <c r="I5" s="329">
        <v>10.97</v>
      </c>
      <c r="J5" s="122">
        <v>2072.38</v>
      </c>
      <c r="K5" s="123">
        <f t="shared" ref="K5:K68" si="0">J5/$J$98*100</f>
        <v>3.0433893945637944</v>
      </c>
      <c r="L5" s="329">
        <v>10.98</v>
      </c>
      <c r="M5" s="122">
        <v>1774.84</v>
      </c>
      <c r="N5" s="123">
        <f t="shared" ref="N5:N68" si="1">M5/$M$98*100</f>
        <v>3.6807299609788799</v>
      </c>
      <c r="O5" s="329">
        <v>10.94</v>
      </c>
      <c r="P5" s="122">
        <v>2672.59</v>
      </c>
      <c r="Q5" s="123">
        <f t="shared" ref="Q5:Q68" si="2">P5/$P$98*100</f>
        <v>5.3113097775485727</v>
      </c>
      <c r="R5" s="330">
        <v>10.97</v>
      </c>
      <c r="S5" s="71">
        <v>1691.02</v>
      </c>
      <c r="T5" s="123">
        <f t="shared" ref="T5:T68" si="3">S5/$S$98*100</f>
        <v>3.3450702832297443</v>
      </c>
      <c r="U5" s="329">
        <v>10.98</v>
      </c>
      <c r="V5" s="122">
        <v>867.6</v>
      </c>
      <c r="W5" s="123">
        <f t="shared" ref="W5:W68" si="4">V5/$V$98*100</f>
        <v>2.0501783272331306</v>
      </c>
      <c r="X5" s="140">
        <v>7.28</v>
      </c>
      <c r="Y5" s="13">
        <v>5633.71</v>
      </c>
      <c r="Z5" s="123">
        <f t="shared" ref="Z5:Z68" si="5">Y5/$Y$98*100</f>
        <v>6.3105372017700443</v>
      </c>
      <c r="AA5" s="140">
        <v>6.66</v>
      </c>
      <c r="AB5" s="13">
        <v>6049.87</v>
      </c>
      <c r="AC5" s="123">
        <f t="shared" ref="AC5:AC68" si="6">AB5/$AB$98*100</f>
        <v>8.0014458460427882</v>
      </c>
      <c r="AD5" s="140">
        <v>6.54</v>
      </c>
      <c r="AE5" s="13">
        <v>6696.54</v>
      </c>
      <c r="AF5" s="123">
        <f t="shared" ref="AF5:AF68" si="7">AE5/$AE$98*100</f>
        <v>9.8197352844524133</v>
      </c>
      <c r="AG5" s="140">
        <v>6.84</v>
      </c>
      <c r="AH5" s="13">
        <v>6446.45</v>
      </c>
      <c r="AI5" s="123">
        <f t="shared" ref="AI5:AI68" si="8">AH5/$AH$98*100</f>
        <v>9.0078351236890928</v>
      </c>
      <c r="AJ5" s="140">
        <v>6.71</v>
      </c>
      <c r="AK5" s="13">
        <v>4632.2700000000004</v>
      </c>
      <c r="AL5" s="123">
        <f t="shared" ref="AL5:AL68" si="9">AK5/$AK$98*100</f>
        <v>7.7803875119294013</v>
      </c>
      <c r="AM5" s="394"/>
    </row>
    <row r="6" spans="1:39" x14ac:dyDescent="0.25">
      <c r="A6" s="328"/>
      <c r="B6" s="65">
        <v>505</v>
      </c>
      <c r="C6" s="145" t="s">
        <v>573</v>
      </c>
      <c r="D6" s="146" t="s">
        <v>740</v>
      </c>
      <c r="E6" s="35">
        <v>0</v>
      </c>
      <c r="F6" s="145">
        <v>0</v>
      </c>
      <c r="G6" s="35">
        <v>0</v>
      </c>
      <c r="H6" s="145">
        <v>1</v>
      </c>
      <c r="I6" s="140" t="s">
        <v>22</v>
      </c>
      <c r="J6" s="13">
        <v>0</v>
      </c>
      <c r="K6" s="23">
        <f t="shared" si="0"/>
        <v>0</v>
      </c>
      <c r="L6" s="140" t="s">
        <v>22</v>
      </c>
      <c r="M6" s="13">
        <v>0</v>
      </c>
      <c r="N6" s="23">
        <f t="shared" si="1"/>
        <v>0</v>
      </c>
      <c r="O6" s="140" t="s">
        <v>22</v>
      </c>
      <c r="P6" s="13">
        <v>0</v>
      </c>
      <c r="Q6" s="23">
        <f t="shared" si="2"/>
        <v>0</v>
      </c>
      <c r="R6" s="140" t="s">
        <v>22</v>
      </c>
      <c r="S6" s="13">
        <v>0</v>
      </c>
      <c r="T6" s="23">
        <f t="shared" si="3"/>
        <v>0</v>
      </c>
      <c r="U6" s="140" t="s">
        <v>22</v>
      </c>
      <c r="V6" s="13">
        <v>0</v>
      </c>
      <c r="W6" s="23">
        <f t="shared" si="4"/>
        <v>0</v>
      </c>
      <c r="X6" s="29">
        <v>11.06</v>
      </c>
      <c r="Y6" s="29">
        <v>271.43</v>
      </c>
      <c r="Z6" s="23">
        <f t="shared" si="5"/>
        <v>0.30403927654714979</v>
      </c>
      <c r="AA6" s="29" t="s">
        <v>22</v>
      </c>
      <c r="AB6" s="13">
        <v>0</v>
      </c>
      <c r="AC6" s="23">
        <f t="shared" si="6"/>
        <v>0</v>
      </c>
      <c r="AD6" s="140">
        <v>10.71</v>
      </c>
      <c r="AE6" s="13">
        <v>123.53</v>
      </c>
      <c r="AF6" s="23">
        <f t="shared" si="7"/>
        <v>0.1811430827992376</v>
      </c>
      <c r="AG6" s="29" t="s">
        <v>22</v>
      </c>
      <c r="AH6" s="13">
        <v>0</v>
      </c>
      <c r="AI6" s="23">
        <f t="shared" si="8"/>
        <v>0</v>
      </c>
      <c r="AJ6" s="29" t="s">
        <v>22</v>
      </c>
      <c r="AK6" s="13">
        <v>0</v>
      </c>
      <c r="AL6" s="23">
        <f t="shared" si="9"/>
        <v>0</v>
      </c>
      <c r="AM6" s="394"/>
    </row>
    <row r="7" spans="1:39" x14ac:dyDescent="0.25">
      <c r="A7" s="328"/>
      <c r="B7" s="65">
        <v>530</v>
      </c>
      <c r="C7" s="145" t="s">
        <v>29</v>
      </c>
      <c r="D7" s="145" t="s">
        <v>30</v>
      </c>
      <c r="E7" s="35">
        <v>0</v>
      </c>
      <c r="F7" s="145">
        <v>0</v>
      </c>
      <c r="G7" s="35">
        <v>1</v>
      </c>
      <c r="H7" s="145">
        <v>0</v>
      </c>
      <c r="I7" s="140">
        <v>29.27</v>
      </c>
      <c r="J7" s="13">
        <v>5281.02</v>
      </c>
      <c r="K7" s="23">
        <f t="shared" si="0"/>
        <v>7.7554310794734986</v>
      </c>
      <c r="L7" s="140">
        <v>29.27</v>
      </c>
      <c r="M7" s="13">
        <v>3676.88</v>
      </c>
      <c r="N7" s="23">
        <f t="shared" si="1"/>
        <v>7.6252520671857882</v>
      </c>
      <c r="O7" s="140">
        <v>29.17</v>
      </c>
      <c r="P7" s="13">
        <v>4913.3100000000004</v>
      </c>
      <c r="Q7" s="23">
        <f t="shared" si="2"/>
        <v>9.7643527226874234</v>
      </c>
      <c r="R7" s="140">
        <v>29.01</v>
      </c>
      <c r="S7" s="13">
        <v>3119.36</v>
      </c>
      <c r="T7" s="23">
        <f t="shared" si="3"/>
        <v>6.1705233756522908</v>
      </c>
      <c r="U7" s="140">
        <v>29.11</v>
      </c>
      <c r="V7" s="13">
        <v>2228.3000000000002</v>
      </c>
      <c r="W7" s="23">
        <f t="shared" si="4"/>
        <v>5.2655744197482539</v>
      </c>
      <c r="X7" s="140">
        <v>20.39</v>
      </c>
      <c r="Y7" s="13">
        <v>1409.1</v>
      </c>
      <c r="Z7" s="23">
        <f t="shared" si="5"/>
        <v>1.5783875937906227</v>
      </c>
      <c r="AA7" s="140">
        <v>19.68</v>
      </c>
      <c r="AB7" s="13">
        <v>1394.26</v>
      </c>
      <c r="AC7" s="23">
        <f t="shared" si="6"/>
        <v>1.844022414581407</v>
      </c>
      <c r="AD7" s="140">
        <v>19.68</v>
      </c>
      <c r="AE7" s="13">
        <v>901.57</v>
      </c>
      <c r="AF7" s="23">
        <f t="shared" si="7"/>
        <v>1.3220526929434846</v>
      </c>
      <c r="AG7" s="140">
        <v>19.739999999999998</v>
      </c>
      <c r="AH7" s="13">
        <v>905.27</v>
      </c>
      <c r="AI7" s="23">
        <f t="shared" si="8"/>
        <v>1.2649633367856765</v>
      </c>
      <c r="AJ7" s="140">
        <v>19.71</v>
      </c>
      <c r="AK7" s="13">
        <v>1558.43</v>
      </c>
      <c r="AL7" s="23">
        <f t="shared" si="9"/>
        <v>2.6175480510022378</v>
      </c>
      <c r="AM7" s="394"/>
    </row>
    <row r="8" spans="1:39" x14ac:dyDescent="0.25">
      <c r="A8" s="328"/>
      <c r="B8" s="65">
        <v>587</v>
      </c>
      <c r="C8" s="145" t="s">
        <v>31</v>
      </c>
      <c r="D8" s="331" t="s">
        <v>125</v>
      </c>
      <c r="E8" s="332">
        <v>0</v>
      </c>
      <c r="F8" s="331">
        <v>0</v>
      </c>
      <c r="G8" s="332">
        <v>0</v>
      </c>
      <c r="H8" s="331">
        <v>0</v>
      </c>
      <c r="I8" s="140">
        <v>14.41</v>
      </c>
      <c r="J8" s="13">
        <v>3611.47</v>
      </c>
      <c r="K8" s="23">
        <f t="shared" si="0"/>
        <v>5.3036168544308024</v>
      </c>
      <c r="L8" s="140">
        <v>14.41</v>
      </c>
      <c r="M8" s="13">
        <v>3411.37</v>
      </c>
      <c r="N8" s="23">
        <f t="shared" si="1"/>
        <v>7.0746274407746723</v>
      </c>
      <c r="O8" s="140">
        <v>14.35</v>
      </c>
      <c r="P8" s="13">
        <v>4959.0600000000004</v>
      </c>
      <c r="Q8" s="23">
        <f t="shared" si="2"/>
        <v>9.8552729245600812</v>
      </c>
      <c r="R8" s="140">
        <v>14.26</v>
      </c>
      <c r="S8" s="13">
        <v>3153.39</v>
      </c>
      <c r="T8" s="23">
        <f t="shared" si="3"/>
        <v>6.237839398962663</v>
      </c>
      <c r="U8" s="140">
        <v>14.25</v>
      </c>
      <c r="V8" s="13">
        <v>1877.78</v>
      </c>
      <c r="W8" s="23">
        <f t="shared" si="4"/>
        <v>4.4372796903087002</v>
      </c>
      <c r="X8" s="140">
        <v>9.59</v>
      </c>
      <c r="Y8" s="13">
        <v>6136.6</v>
      </c>
      <c r="Z8" s="23">
        <f t="shared" si="5"/>
        <v>6.8738438067245315</v>
      </c>
      <c r="AA8" s="140">
        <v>9.19</v>
      </c>
      <c r="AB8" s="13">
        <v>5806.6</v>
      </c>
      <c r="AC8" s="23">
        <f t="shared" si="6"/>
        <v>7.6797014563341124</v>
      </c>
      <c r="AD8" s="140">
        <v>9.18</v>
      </c>
      <c r="AE8" s="13">
        <v>7265.9</v>
      </c>
      <c r="AF8" s="23">
        <f t="shared" si="7"/>
        <v>10.654638754237679</v>
      </c>
      <c r="AG8" s="140">
        <v>19.18</v>
      </c>
      <c r="AH8" s="13">
        <v>5648.9</v>
      </c>
      <c r="AI8" s="23">
        <f t="shared" si="8"/>
        <v>7.8933924609990473</v>
      </c>
      <c r="AJ8" s="140">
        <v>9.1999999999999993</v>
      </c>
      <c r="AK8" s="13">
        <v>6209</v>
      </c>
      <c r="AL8" s="23">
        <f t="shared" si="9"/>
        <v>10.42867234888503</v>
      </c>
      <c r="AM8" s="394"/>
    </row>
    <row r="9" spans="1:39" x14ac:dyDescent="0.25">
      <c r="A9" s="328"/>
      <c r="B9" s="65">
        <v>667</v>
      </c>
      <c r="C9" s="145" t="s">
        <v>33</v>
      </c>
      <c r="D9" s="145" t="s">
        <v>34</v>
      </c>
      <c r="E9" s="35">
        <v>0</v>
      </c>
      <c r="F9" s="145">
        <v>0</v>
      </c>
      <c r="G9" s="35">
        <v>0</v>
      </c>
      <c r="H9" s="145">
        <v>1</v>
      </c>
      <c r="I9" s="140">
        <v>14.64</v>
      </c>
      <c r="J9" s="13">
        <v>2583.61</v>
      </c>
      <c r="K9" s="23">
        <f t="shared" si="0"/>
        <v>3.7941551615480589</v>
      </c>
      <c r="L9" s="140">
        <v>14.56</v>
      </c>
      <c r="M9" s="13">
        <v>1347.98</v>
      </c>
      <c r="N9" s="23">
        <f t="shared" si="1"/>
        <v>2.7954916346263943</v>
      </c>
      <c r="O9" s="140">
        <v>14.61</v>
      </c>
      <c r="P9" s="13">
        <v>1561.9</v>
      </c>
      <c r="Q9" s="23">
        <f t="shared" si="2"/>
        <v>3.1040057552984619</v>
      </c>
      <c r="R9" s="140">
        <v>14.74</v>
      </c>
      <c r="S9" s="13">
        <v>1820.82</v>
      </c>
      <c r="T9" s="23">
        <f t="shared" si="3"/>
        <v>3.601832546693938</v>
      </c>
      <c r="U9" s="140" t="s">
        <v>741</v>
      </c>
      <c r="V9" s="13">
        <v>824.2</v>
      </c>
      <c r="W9" s="23">
        <f t="shared" si="4"/>
        <v>1.9476221499602886</v>
      </c>
      <c r="X9" s="140">
        <v>11.13</v>
      </c>
      <c r="Y9" s="13">
        <v>12876.75</v>
      </c>
      <c r="Z9" s="23">
        <f t="shared" si="5"/>
        <v>14.423747390776667</v>
      </c>
      <c r="AA9" s="140">
        <v>10.9</v>
      </c>
      <c r="AB9" s="13">
        <v>12491.25</v>
      </c>
      <c r="AC9" s="23">
        <f t="shared" si="6"/>
        <v>16.520695556165997</v>
      </c>
      <c r="AD9" s="140">
        <v>10.81</v>
      </c>
      <c r="AE9" s="13">
        <v>12395.1</v>
      </c>
      <c r="AF9" s="23">
        <f t="shared" si="7"/>
        <v>18.176043273737797</v>
      </c>
      <c r="AG9" s="140">
        <v>10.82</v>
      </c>
      <c r="AH9" s="13">
        <v>13460.96</v>
      </c>
      <c r="AI9" s="23">
        <f t="shared" si="8"/>
        <v>18.809439038009124</v>
      </c>
      <c r="AJ9" s="140">
        <v>10.77</v>
      </c>
      <c r="AK9" s="13">
        <v>9815.43</v>
      </c>
      <c r="AL9" s="23">
        <f t="shared" si="9"/>
        <v>16.486053057403218</v>
      </c>
      <c r="AM9" s="394"/>
    </row>
    <row r="10" spans="1:39" x14ac:dyDescent="0.25">
      <c r="A10" s="328"/>
      <c r="B10" s="65" t="s">
        <v>35</v>
      </c>
      <c r="C10" s="145" t="s">
        <v>36</v>
      </c>
      <c r="D10" s="145" t="s">
        <v>37</v>
      </c>
      <c r="E10" s="35">
        <v>1</v>
      </c>
      <c r="F10" s="145">
        <v>0</v>
      </c>
      <c r="G10" s="35">
        <v>0</v>
      </c>
      <c r="H10" s="145">
        <v>0</v>
      </c>
      <c r="I10" s="140">
        <v>13.27</v>
      </c>
      <c r="J10" s="13">
        <v>817.71</v>
      </c>
      <c r="K10" s="23">
        <f t="shared" si="0"/>
        <v>1.2008463418044761</v>
      </c>
      <c r="L10" s="140">
        <v>13.16</v>
      </c>
      <c r="M10" s="13">
        <v>376.76</v>
      </c>
      <c r="N10" s="23">
        <f t="shared" si="1"/>
        <v>0.78133906160465316</v>
      </c>
      <c r="O10" s="333" t="s">
        <v>22</v>
      </c>
      <c r="P10" s="334">
        <v>0</v>
      </c>
      <c r="Q10" s="335">
        <f t="shared" si="2"/>
        <v>0</v>
      </c>
      <c r="R10" s="140">
        <v>13.31</v>
      </c>
      <c r="S10" s="13">
        <v>546.80999999999995</v>
      </c>
      <c r="T10" s="23">
        <f t="shared" si="3"/>
        <v>1.0816654336275482</v>
      </c>
      <c r="U10" s="140">
        <v>13.2</v>
      </c>
      <c r="V10" s="13">
        <v>359.7</v>
      </c>
      <c r="W10" s="23">
        <f t="shared" si="4"/>
        <v>0.84998748767376331</v>
      </c>
      <c r="X10" s="140">
        <v>10.11</v>
      </c>
      <c r="Y10" s="13">
        <v>413.92</v>
      </c>
      <c r="Z10" s="23">
        <f t="shared" si="5"/>
        <v>0.46364785524222174</v>
      </c>
      <c r="AA10" s="140" t="s">
        <v>22</v>
      </c>
      <c r="AB10" s="13">
        <v>0</v>
      </c>
      <c r="AC10" s="23">
        <f t="shared" si="6"/>
        <v>0</v>
      </c>
      <c r="AD10" s="140" t="s">
        <v>22</v>
      </c>
      <c r="AE10" s="13">
        <v>0</v>
      </c>
      <c r="AF10" s="23">
        <f t="shared" si="7"/>
        <v>0</v>
      </c>
      <c r="AG10" s="140">
        <v>10.15</v>
      </c>
      <c r="AH10" s="13">
        <v>254.85</v>
      </c>
      <c r="AI10" s="23">
        <f t="shared" si="8"/>
        <v>0.35611022830738859</v>
      </c>
      <c r="AJ10" s="336" t="s">
        <v>22</v>
      </c>
      <c r="AK10" s="337">
        <v>0</v>
      </c>
      <c r="AL10" s="338">
        <f t="shared" si="9"/>
        <v>0</v>
      </c>
      <c r="AM10" s="394"/>
    </row>
    <row r="11" spans="1:39" x14ac:dyDescent="0.25">
      <c r="A11" s="328"/>
      <c r="B11" s="65" t="s">
        <v>38</v>
      </c>
      <c r="C11" s="145" t="s">
        <v>36</v>
      </c>
      <c r="D11" s="339" t="s">
        <v>742</v>
      </c>
      <c r="E11" s="157">
        <v>1</v>
      </c>
      <c r="F11" s="149">
        <v>0</v>
      </c>
      <c r="G11" s="157">
        <v>0</v>
      </c>
      <c r="H11" s="149">
        <v>0</v>
      </c>
      <c r="I11" s="140" t="s">
        <v>743</v>
      </c>
      <c r="J11" s="13">
        <v>202.2</v>
      </c>
      <c r="K11" s="23">
        <f t="shared" si="0"/>
        <v>0.29694039489900459</v>
      </c>
      <c r="L11" s="140">
        <v>15.03</v>
      </c>
      <c r="M11" s="13">
        <v>87.16</v>
      </c>
      <c r="N11" s="23">
        <f t="shared" si="1"/>
        <v>0.18075568693455135</v>
      </c>
      <c r="O11" s="333" t="s">
        <v>22</v>
      </c>
      <c r="P11" s="334">
        <v>0</v>
      </c>
      <c r="Q11" s="335">
        <f t="shared" si="2"/>
        <v>0</v>
      </c>
      <c r="R11" s="333" t="s">
        <v>22</v>
      </c>
      <c r="S11" s="334">
        <v>0</v>
      </c>
      <c r="T11" s="335">
        <f t="shared" si="3"/>
        <v>0</v>
      </c>
      <c r="U11" s="333" t="s">
        <v>22</v>
      </c>
      <c r="V11" s="334">
        <v>0</v>
      </c>
      <c r="W11" s="335">
        <f t="shared" si="4"/>
        <v>0</v>
      </c>
      <c r="X11" s="140">
        <v>11.73</v>
      </c>
      <c r="Y11" s="13">
        <v>375.2</v>
      </c>
      <c r="Z11" s="23">
        <f t="shared" si="5"/>
        <v>0.42027608061190946</v>
      </c>
      <c r="AA11" s="140" t="s">
        <v>22</v>
      </c>
      <c r="AB11" s="13">
        <v>0</v>
      </c>
      <c r="AC11" s="23">
        <f t="shared" si="6"/>
        <v>0</v>
      </c>
      <c r="AD11" s="140" t="s">
        <v>22</v>
      </c>
      <c r="AE11" s="13">
        <v>0</v>
      </c>
      <c r="AF11" s="23">
        <f t="shared" si="7"/>
        <v>0</v>
      </c>
      <c r="AG11" s="336" t="s">
        <v>22</v>
      </c>
      <c r="AH11" s="337">
        <v>0</v>
      </c>
      <c r="AI11" s="338">
        <f t="shared" si="8"/>
        <v>0</v>
      </c>
      <c r="AJ11" s="336" t="s">
        <v>22</v>
      </c>
      <c r="AK11" s="337">
        <v>0</v>
      </c>
      <c r="AL11" s="338">
        <f t="shared" si="9"/>
        <v>0</v>
      </c>
      <c r="AM11" s="394"/>
    </row>
    <row r="12" spans="1:39" x14ac:dyDescent="0.25">
      <c r="A12" s="328"/>
      <c r="B12" s="65">
        <v>733</v>
      </c>
      <c r="C12" s="145" t="s">
        <v>41</v>
      </c>
      <c r="D12" s="146" t="s">
        <v>44</v>
      </c>
      <c r="E12" s="309">
        <v>0</v>
      </c>
      <c r="F12" s="146">
        <v>0</v>
      </c>
      <c r="G12" s="309">
        <v>1</v>
      </c>
      <c r="H12" s="146">
        <v>0</v>
      </c>
      <c r="I12" s="140">
        <v>29.84</v>
      </c>
      <c r="J12" s="13">
        <v>2132.7199999999998</v>
      </c>
      <c r="K12" s="23">
        <f t="shared" si="0"/>
        <v>3.1320015776904304</v>
      </c>
      <c r="L12" s="140">
        <v>29.86</v>
      </c>
      <c r="M12" s="13">
        <v>1386.41</v>
      </c>
      <c r="N12" s="23">
        <f t="shared" si="1"/>
        <v>2.8751892143521269</v>
      </c>
      <c r="O12" s="140">
        <v>29.74</v>
      </c>
      <c r="P12" s="13">
        <v>1903.2</v>
      </c>
      <c r="Q12" s="23">
        <f t="shared" si="2"/>
        <v>3.782280397902575</v>
      </c>
      <c r="R12" s="140">
        <v>29.6</v>
      </c>
      <c r="S12" s="13">
        <v>1638.89</v>
      </c>
      <c r="T12" s="23">
        <f t="shared" si="3"/>
        <v>3.2419499689432389</v>
      </c>
      <c r="U12" s="140">
        <v>29.62</v>
      </c>
      <c r="V12" s="13">
        <v>1283.67</v>
      </c>
      <c r="W12" s="23">
        <f t="shared" si="4"/>
        <v>3.0333706930836248</v>
      </c>
      <c r="X12" s="140">
        <v>20.96</v>
      </c>
      <c r="Y12" s="13">
        <v>532.5</v>
      </c>
      <c r="Z12" s="23">
        <f t="shared" si="5"/>
        <v>0.59647391504755276</v>
      </c>
      <c r="AA12" s="140">
        <v>20.28</v>
      </c>
      <c r="AB12" s="13">
        <v>705.3</v>
      </c>
      <c r="AC12" s="23">
        <f t="shared" si="6"/>
        <v>0.93281669774953468</v>
      </c>
      <c r="AD12" s="140">
        <v>20.309999999999999</v>
      </c>
      <c r="AE12" s="13">
        <v>549.20000000000005</v>
      </c>
      <c r="AF12" s="23">
        <f t="shared" si="7"/>
        <v>0.80534105944581302</v>
      </c>
      <c r="AG12" s="140">
        <v>20.28</v>
      </c>
      <c r="AH12" s="13">
        <v>383.4</v>
      </c>
      <c r="AI12" s="23">
        <f t="shared" si="8"/>
        <v>0.53573734170316956</v>
      </c>
      <c r="AJ12" s="140">
        <v>20.28</v>
      </c>
      <c r="AK12" s="13">
        <v>1465.5</v>
      </c>
      <c r="AL12" s="23">
        <f t="shared" si="9"/>
        <v>2.4614622849558723</v>
      </c>
      <c r="AM12" s="394"/>
    </row>
    <row r="13" spans="1:39" x14ac:dyDescent="0.25">
      <c r="A13" s="328"/>
      <c r="B13" s="65" t="s">
        <v>338</v>
      </c>
      <c r="C13" s="145" t="s">
        <v>45</v>
      </c>
      <c r="D13" s="145" t="s">
        <v>46</v>
      </c>
      <c r="E13" s="35">
        <v>0</v>
      </c>
      <c r="F13" s="145">
        <v>0</v>
      </c>
      <c r="G13" s="35">
        <v>0</v>
      </c>
      <c r="H13" s="145">
        <v>0</v>
      </c>
      <c r="I13" s="140">
        <v>17.920000000000002</v>
      </c>
      <c r="J13" s="13">
        <v>512.76</v>
      </c>
      <c r="K13" s="23">
        <f t="shared" si="0"/>
        <v>0.75301264534329182</v>
      </c>
      <c r="L13" s="140">
        <v>17.829999999999998</v>
      </c>
      <c r="M13" s="13">
        <v>382.73</v>
      </c>
      <c r="N13" s="23">
        <f t="shared" si="1"/>
        <v>0.79371987219436502</v>
      </c>
      <c r="O13" s="140">
        <v>17.73</v>
      </c>
      <c r="P13" s="13">
        <v>1065.68</v>
      </c>
      <c r="Q13" s="23">
        <f t="shared" si="2"/>
        <v>2.1178544422219505</v>
      </c>
      <c r="R13" s="140">
        <v>17.7</v>
      </c>
      <c r="S13" s="13">
        <v>382.04</v>
      </c>
      <c r="T13" s="23">
        <f t="shared" si="3"/>
        <v>0.75572769748736957</v>
      </c>
      <c r="U13" s="140">
        <v>17.68</v>
      </c>
      <c r="V13" s="13">
        <v>300.41000000000003</v>
      </c>
      <c r="W13" s="23">
        <f t="shared" si="4"/>
        <v>0.70988251646392908</v>
      </c>
      <c r="X13" s="140">
        <v>11.73</v>
      </c>
      <c r="Y13" s="13">
        <v>5133.7</v>
      </c>
      <c r="Z13" s="23">
        <f t="shared" si="5"/>
        <v>5.7504565965814489</v>
      </c>
      <c r="AA13" s="140">
        <v>11.24</v>
      </c>
      <c r="AB13" s="13">
        <v>5019.2</v>
      </c>
      <c r="AC13" s="23">
        <f t="shared" si="6"/>
        <v>6.63830082141566</v>
      </c>
      <c r="AD13" s="140">
        <v>11.31</v>
      </c>
      <c r="AE13" s="13">
        <v>5081.6000000000004</v>
      </c>
      <c r="AF13" s="23">
        <f t="shared" si="7"/>
        <v>7.4516043839764095</v>
      </c>
      <c r="AG13" s="140">
        <v>11.28</v>
      </c>
      <c r="AH13" s="13">
        <v>5136.7</v>
      </c>
      <c r="AI13" s="23">
        <f t="shared" si="8"/>
        <v>7.1776786727351896</v>
      </c>
      <c r="AJ13" s="140">
        <v>11.29</v>
      </c>
      <c r="AK13" s="13">
        <v>4801.8</v>
      </c>
      <c r="AL13" s="23">
        <f t="shared" si="9"/>
        <v>8.0651310814746555</v>
      </c>
      <c r="AM13" s="394"/>
    </row>
    <row r="14" spans="1:39" x14ac:dyDescent="0.25">
      <c r="A14" s="328"/>
      <c r="B14" s="65" t="s">
        <v>47</v>
      </c>
      <c r="C14" s="145" t="s">
        <v>45</v>
      </c>
      <c r="D14" s="146" t="s">
        <v>744</v>
      </c>
      <c r="E14" s="35">
        <v>0</v>
      </c>
      <c r="F14" s="145">
        <v>0</v>
      </c>
      <c r="G14" s="35">
        <v>0</v>
      </c>
      <c r="H14" s="145">
        <v>0</v>
      </c>
      <c r="I14" s="42">
        <v>18.61</v>
      </c>
      <c r="J14" s="13">
        <v>213.04</v>
      </c>
      <c r="K14" s="13">
        <f t="shared" si="0"/>
        <v>0.31285945464532117</v>
      </c>
      <c r="L14" s="42">
        <v>18.48</v>
      </c>
      <c r="M14" s="13">
        <v>330.51</v>
      </c>
      <c r="N14" s="23">
        <f t="shared" si="1"/>
        <v>0.68542407169273256</v>
      </c>
      <c r="O14" s="42">
        <v>18.559999999999999</v>
      </c>
      <c r="P14" s="13">
        <v>1569.18</v>
      </c>
      <c r="Q14" s="13">
        <f t="shared" si="2"/>
        <v>3.1184734945254116</v>
      </c>
      <c r="R14" s="34">
        <v>18.510000000000002</v>
      </c>
      <c r="S14" s="29">
        <v>345.07</v>
      </c>
      <c r="T14" s="23">
        <f t="shared" si="3"/>
        <v>0.68259594956540304</v>
      </c>
      <c r="U14" s="42">
        <v>18.38</v>
      </c>
      <c r="V14" s="13">
        <v>352.79</v>
      </c>
      <c r="W14" s="23">
        <f t="shared" si="4"/>
        <v>0.83365884285912428</v>
      </c>
      <c r="X14" s="29"/>
      <c r="Y14" s="29"/>
      <c r="Z14" s="23">
        <f t="shared" si="5"/>
        <v>0</v>
      </c>
      <c r="AA14" s="29"/>
      <c r="AB14" s="13"/>
      <c r="AC14" s="23">
        <f t="shared" si="6"/>
        <v>0</v>
      </c>
      <c r="AD14" s="140"/>
      <c r="AE14" s="13"/>
      <c r="AF14" s="23">
        <f t="shared" si="7"/>
        <v>0</v>
      </c>
      <c r="AG14" s="29"/>
      <c r="AH14" s="13"/>
      <c r="AI14" s="23">
        <f t="shared" si="8"/>
        <v>0</v>
      </c>
      <c r="AJ14" s="29"/>
      <c r="AK14" s="13"/>
      <c r="AL14" s="23">
        <f t="shared" si="9"/>
        <v>0</v>
      </c>
      <c r="AM14" s="394"/>
    </row>
    <row r="15" spans="1:39" x14ac:dyDescent="0.25">
      <c r="A15" s="328"/>
      <c r="B15" s="65" t="s">
        <v>108</v>
      </c>
      <c r="C15" s="145" t="s">
        <v>45</v>
      </c>
      <c r="D15" s="146" t="s">
        <v>745</v>
      </c>
      <c r="E15" s="35">
        <v>0</v>
      </c>
      <c r="F15" s="145">
        <v>0</v>
      </c>
      <c r="G15" s="35">
        <v>0</v>
      </c>
      <c r="H15" s="145">
        <v>0</v>
      </c>
      <c r="I15" s="42">
        <v>19.79</v>
      </c>
      <c r="J15" s="13">
        <v>233.5</v>
      </c>
      <c r="K15" s="13">
        <f t="shared" si="0"/>
        <v>0.34290594564252019</v>
      </c>
      <c r="L15" s="42">
        <v>19.78</v>
      </c>
      <c r="M15" s="13">
        <v>322.64999999999998</v>
      </c>
      <c r="N15" s="23">
        <f t="shared" si="1"/>
        <v>0.66912370800175536</v>
      </c>
      <c r="O15" s="42">
        <v>19.829999999999998</v>
      </c>
      <c r="P15" s="13">
        <v>2359.6</v>
      </c>
      <c r="Q15" s="13">
        <f t="shared" si="2"/>
        <v>4.6892963571305781</v>
      </c>
      <c r="R15" s="34">
        <v>19.78</v>
      </c>
      <c r="S15" s="29">
        <v>423.68</v>
      </c>
      <c r="T15" s="23">
        <f t="shared" si="3"/>
        <v>0.83809734810870262</v>
      </c>
      <c r="U15" s="42">
        <v>19.7</v>
      </c>
      <c r="V15" s="13">
        <v>309.5</v>
      </c>
      <c r="W15" s="23">
        <f t="shared" si="4"/>
        <v>0.73136260059780311</v>
      </c>
      <c r="X15" s="29"/>
      <c r="Y15" s="29"/>
      <c r="Z15" s="23">
        <f t="shared" si="5"/>
        <v>0</v>
      </c>
      <c r="AA15" s="29"/>
      <c r="AB15" s="13"/>
      <c r="AC15" s="23">
        <f t="shared" si="6"/>
        <v>0</v>
      </c>
      <c r="AD15" s="140"/>
      <c r="AE15" s="13"/>
      <c r="AF15" s="23">
        <f t="shared" si="7"/>
        <v>0</v>
      </c>
      <c r="AG15" s="29"/>
      <c r="AH15" s="13"/>
      <c r="AI15" s="23">
        <f t="shared" si="8"/>
        <v>0</v>
      </c>
      <c r="AJ15" s="29"/>
      <c r="AK15" s="13"/>
      <c r="AL15" s="23">
        <f t="shared" si="9"/>
        <v>0</v>
      </c>
      <c r="AM15" s="394"/>
    </row>
    <row r="16" spans="1:39" x14ac:dyDescent="0.25">
      <c r="A16" s="328"/>
      <c r="B16" s="65">
        <v>790</v>
      </c>
      <c r="C16" s="145" t="s">
        <v>49</v>
      </c>
      <c r="D16" s="340" t="s">
        <v>50</v>
      </c>
      <c r="E16" s="341">
        <v>0</v>
      </c>
      <c r="F16" s="340">
        <v>0</v>
      </c>
      <c r="G16" s="341">
        <v>0</v>
      </c>
      <c r="H16" s="340">
        <v>0</v>
      </c>
      <c r="I16" s="140" t="s">
        <v>22</v>
      </c>
      <c r="J16" s="13">
        <v>0</v>
      </c>
      <c r="K16" s="23">
        <f t="shared" si="0"/>
        <v>0</v>
      </c>
      <c r="L16" s="140" t="s">
        <v>22</v>
      </c>
      <c r="M16" s="13">
        <v>0</v>
      </c>
      <c r="N16" s="23">
        <f t="shared" si="1"/>
        <v>0</v>
      </c>
      <c r="O16" s="140" t="s">
        <v>22</v>
      </c>
      <c r="P16" s="13">
        <v>0</v>
      </c>
      <c r="Q16" s="23">
        <f t="shared" si="2"/>
        <v>0</v>
      </c>
      <c r="R16" s="140" t="s">
        <v>22</v>
      </c>
      <c r="S16" s="13">
        <v>0</v>
      </c>
      <c r="T16" s="23">
        <f t="shared" si="3"/>
        <v>0</v>
      </c>
      <c r="U16" s="140" t="s">
        <v>22</v>
      </c>
      <c r="V16" s="13">
        <v>0</v>
      </c>
      <c r="W16" s="23">
        <f t="shared" si="4"/>
        <v>0</v>
      </c>
      <c r="X16" s="140">
        <v>11.32</v>
      </c>
      <c r="Y16" s="13">
        <v>172.1</v>
      </c>
      <c r="Z16" s="23">
        <f t="shared" si="5"/>
        <v>0.19277588878813867</v>
      </c>
      <c r="AA16" s="140">
        <v>10.9</v>
      </c>
      <c r="AB16" s="13">
        <v>76.900000000000006</v>
      </c>
      <c r="AC16" s="23">
        <f t="shared" si="6"/>
        <v>0.10170651362106796</v>
      </c>
      <c r="AD16" s="140">
        <v>10.71</v>
      </c>
      <c r="AE16" s="13">
        <v>315.3</v>
      </c>
      <c r="AF16" s="23">
        <f t="shared" si="7"/>
        <v>0.46235257837448085</v>
      </c>
      <c r="AG16" s="140">
        <v>10.91</v>
      </c>
      <c r="AH16" s="13">
        <v>137.69999999999999</v>
      </c>
      <c r="AI16" s="23">
        <f t="shared" si="8"/>
        <v>0.19241270723142007</v>
      </c>
      <c r="AJ16" s="140">
        <v>10.77</v>
      </c>
      <c r="AK16" s="13">
        <v>366.5</v>
      </c>
      <c r="AL16" s="23">
        <f t="shared" si="9"/>
        <v>0.61557552196269338</v>
      </c>
      <c r="AM16" s="394"/>
    </row>
    <row r="17" spans="1:39" x14ac:dyDescent="0.25">
      <c r="A17" s="328"/>
      <c r="B17" s="65">
        <v>813</v>
      </c>
      <c r="C17" s="145" t="s">
        <v>51</v>
      </c>
      <c r="D17" s="342" t="s">
        <v>52</v>
      </c>
      <c r="E17" s="343">
        <v>0</v>
      </c>
      <c r="F17" s="342">
        <v>0</v>
      </c>
      <c r="G17" s="343">
        <v>1</v>
      </c>
      <c r="H17" s="342">
        <v>1</v>
      </c>
      <c r="I17" s="140">
        <v>27.83</v>
      </c>
      <c r="J17" s="13">
        <v>4200.96</v>
      </c>
      <c r="K17" s="23">
        <f t="shared" si="0"/>
        <v>6.1693111837533259</v>
      </c>
      <c r="L17" s="140">
        <v>27.8</v>
      </c>
      <c r="M17" s="13">
        <v>2399.1</v>
      </c>
      <c r="N17" s="23">
        <f t="shared" si="1"/>
        <v>4.9753438334635396</v>
      </c>
      <c r="O17" s="140">
        <v>27.81</v>
      </c>
      <c r="P17" s="13">
        <v>2135.9</v>
      </c>
      <c r="Q17" s="23">
        <f t="shared" si="2"/>
        <v>4.2447313481925768</v>
      </c>
      <c r="R17" s="140">
        <v>28.51</v>
      </c>
      <c r="S17" s="13">
        <v>2097</v>
      </c>
      <c r="T17" s="23">
        <f t="shared" si="3"/>
        <v>4.1481545954115111</v>
      </c>
      <c r="U17" s="140">
        <v>28.26</v>
      </c>
      <c r="V17" s="13">
        <v>1290.8499999999999</v>
      </c>
      <c r="W17" s="23">
        <f t="shared" si="4"/>
        <v>3.0503373601992698</v>
      </c>
      <c r="X17" s="140">
        <v>24.47</v>
      </c>
      <c r="Y17" s="13">
        <v>1035.3900000000001</v>
      </c>
      <c r="Z17" s="23">
        <f t="shared" si="5"/>
        <v>1.159780520002039</v>
      </c>
      <c r="AA17" s="140">
        <v>24.24</v>
      </c>
      <c r="AB17" s="13">
        <v>1168.76</v>
      </c>
      <c r="AC17" s="23">
        <f t="shared" si="6"/>
        <v>1.5457802972660517</v>
      </c>
      <c r="AD17" s="140">
        <v>23.97</v>
      </c>
      <c r="AE17" s="13">
        <v>1292.44</v>
      </c>
      <c r="AF17" s="23">
        <f t="shared" si="7"/>
        <v>1.8952203184088614</v>
      </c>
      <c r="AG17" s="140">
        <v>23.89</v>
      </c>
      <c r="AH17" s="13">
        <v>1054.7</v>
      </c>
      <c r="AI17" s="23">
        <f t="shared" si="8"/>
        <v>1.4737667561145882</v>
      </c>
      <c r="AJ17" s="140">
        <v>23.87</v>
      </c>
      <c r="AK17" s="13">
        <v>735.54</v>
      </c>
      <c r="AL17" s="23">
        <f t="shared" si="9"/>
        <v>1.2354172426314856</v>
      </c>
      <c r="AM17" s="394"/>
    </row>
    <row r="18" spans="1:39" x14ac:dyDescent="0.25">
      <c r="A18" s="328"/>
      <c r="B18" s="65" t="s">
        <v>746</v>
      </c>
      <c r="C18" s="145" t="s">
        <v>155</v>
      </c>
      <c r="D18" s="146" t="s">
        <v>156</v>
      </c>
      <c r="E18" s="309">
        <v>0</v>
      </c>
      <c r="F18" s="146">
        <v>0</v>
      </c>
      <c r="G18" s="309">
        <v>0</v>
      </c>
      <c r="H18" s="146">
        <v>1</v>
      </c>
      <c r="I18" s="140">
        <v>17.21</v>
      </c>
      <c r="J18" s="13">
        <v>402.3</v>
      </c>
      <c r="K18" s="23">
        <f t="shared" si="0"/>
        <v>0.59079683910914726</v>
      </c>
      <c r="L18" s="140">
        <v>17.22</v>
      </c>
      <c r="M18" s="13">
        <v>510.02</v>
      </c>
      <c r="N18" s="23">
        <f t="shared" si="1"/>
        <v>1.0576986628081675</v>
      </c>
      <c r="O18" s="140">
        <v>17.39</v>
      </c>
      <c r="P18" s="13">
        <v>1040.29</v>
      </c>
      <c r="Q18" s="23">
        <f t="shared" si="2"/>
        <v>2.0673962143411462</v>
      </c>
      <c r="R18" s="140">
        <v>17.63</v>
      </c>
      <c r="S18" s="13">
        <v>554.03</v>
      </c>
      <c r="T18" s="23">
        <f t="shared" si="3"/>
        <v>1.0959475872655411</v>
      </c>
      <c r="U18" s="140">
        <v>17.239999999999998</v>
      </c>
      <c r="V18" s="13">
        <v>223.58</v>
      </c>
      <c r="W18" s="23">
        <f t="shared" si="4"/>
        <v>0.52832972614428697</v>
      </c>
      <c r="X18" s="140">
        <v>13.34</v>
      </c>
      <c r="Y18" s="13">
        <v>2918.5</v>
      </c>
      <c r="Z18" s="23">
        <f t="shared" si="5"/>
        <v>3.2691251099836296</v>
      </c>
      <c r="AA18" s="140">
        <v>12.98</v>
      </c>
      <c r="AB18" s="13">
        <v>2691.3</v>
      </c>
      <c r="AC18" s="23">
        <f t="shared" si="6"/>
        <v>3.5594634604470765</v>
      </c>
      <c r="AD18" s="140">
        <v>12.94</v>
      </c>
      <c r="AE18" s="13">
        <v>3265.2</v>
      </c>
      <c r="AF18" s="23">
        <f t="shared" si="7"/>
        <v>4.7880546746221206</v>
      </c>
      <c r="AG18" s="140">
        <v>12.89</v>
      </c>
      <c r="AH18" s="13">
        <v>2860.2</v>
      </c>
      <c r="AI18" s="23">
        <f t="shared" si="8"/>
        <v>3.9966508730813919</v>
      </c>
      <c r="AJ18" s="140">
        <v>12.94</v>
      </c>
      <c r="AK18" s="13">
        <v>2564.1999999999998</v>
      </c>
      <c r="AL18" s="23">
        <f t="shared" si="9"/>
        <v>4.3068451662121099</v>
      </c>
      <c r="AM18" s="394"/>
    </row>
    <row r="19" spans="1:39" x14ac:dyDescent="0.25">
      <c r="A19" s="328"/>
      <c r="B19" s="65" t="s">
        <v>747</v>
      </c>
      <c r="C19" s="145" t="s">
        <v>155</v>
      </c>
      <c r="D19" s="149" t="s">
        <v>748</v>
      </c>
      <c r="E19" s="193">
        <v>0</v>
      </c>
      <c r="F19" s="344">
        <v>0</v>
      </c>
      <c r="G19" s="193">
        <v>0</v>
      </c>
      <c r="H19" s="344">
        <v>1</v>
      </c>
      <c r="I19" s="140" t="s">
        <v>22</v>
      </c>
      <c r="J19" s="13">
        <v>0</v>
      </c>
      <c r="K19" s="23">
        <f t="shared" si="0"/>
        <v>0</v>
      </c>
      <c r="L19" s="140" t="s">
        <v>22</v>
      </c>
      <c r="M19" s="13">
        <v>0</v>
      </c>
      <c r="N19" s="23">
        <f t="shared" si="1"/>
        <v>0</v>
      </c>
      <c r="O19" s="140" t="s">
        <v>22</v>
      </c>
      <c r="P19" s="13">
        <v>0</v>
      </c>
      <c r="Q19" s="23">
        <f t="shared" si="2"/>
        <v>0</v>
      </c>
      <c r="R19" s="140" t="s">
        <v>22</v>
      </c>
      <c r="S19" s="13">
        <v>0</v>
      </c>
      <c r="T19" s="23">
        <f t="shared" si="3"/>
        <v>0</v>
      </c>
      <c r="U19" s="140" t="s">
        <v>22</v>
      </c>
      <c r="V19" s="13">
        <v>0</v>
      </c>
      <c r="W19" s="23">
        <f t="shared" si="4"/>
        <v>0</v>
      </c>
      <c r="X19" s="140">
        <v>14.7</v>
      </c>
      <c r="Y19" s="13">
        <v>1655.35</v>
      </c>
      <c r="Z19" s="23">
        <f t="shared" si="5"/>
        <v>1.8542217751623784</v>
      </c>
      <c r="AA19" s="140">
        <v>14.44</v>
      </c>
      <c r="AB19" s="13">
        <v>1809.49</v>
      </c>
      <c r="AC19" s="23">
        <f t="shared" si="6"/>
        <v>2.3931979106916286</v>
      </c>
      <c r="AD19" s="140">
        <v>14.34</v>
      </c>
      <c r="AE19" s="13">
        <v>2113.92</v>
      </c>
      <c r="AF19" s="23">
        <f t="shared" si="7"/>
        <v>3.099829884165501</v>
      </c>
      <c r="AG19" s="140">
        <v>14.21</v>
      </c>
      <c r="AH19" s="13">
        <v>1831.89</v>
      </c>
      <c r="AI19" s="23">
        <f t="shared" si="8"/>
        <v>2.5597597258545113</v>
      </c>
      <c r="AJ19" s="140">
        <v>14.3</v>
      </c>
      <c r="AK19" s="13">
        <v>1739.71</v>
      </c>
      <c r="AL19" s="23">
        <f t="shared" si="9"/>
        <v>2.9220269885776733</v>
      </c>
      <c r="AM19" s="394"/>
    </row>
    <row r="20" spans="1:39" x14ac:dyDescent="0.25">
      <c r="A20" s="328"/>
      <c r="B20" s="65" t="s">
        <v>749</v>
      </c>
      <c r="C20" s="145" t="s">
        <v>155</v>
      </c>
      <c r="D20" s="149" t="s">
        <v>750</v>
      </c>
      <c r="E20" s="193">
        <v>0</v>
      </c>
      <c r="F20" s="344">
        <v>0</v>
      </c>
      <c r="G20" s="193">
        <v>0</v>
      </c>
      <c r="H20" s="344">
        <v>1</v>
      </c>
      <c r="I20" s="42">
        <v>19.7</v>
      </c>
      <c r="J20" s="13">
        <v>706.01</v>
      </c>
      <c r="K20" s="13">
        <f t="shared" si="0"/>
        <v>1.0368095361159557</v>
      </c>
      <c r="L20" s="42">
        <v>19.71</v>
      </c>
      <c r="M20" s="13">
        <v>464.93</v>
      </c>
      <c r="N20" s="23">
        <f t="shared" si="1"/>
        <v>0.96418932453511896</v>
      </c>
      <c r="O20" s="42">
        <v>19.739999999999998</v>
      </c>
      <c r="P20" s="13">
        <v>1924.66</v>
      </c>
      <c r="Q20" s="13">
        <f t="shared" si="2"/>
        <v>3.824928431393007</v>
      </c>
      <c r="R20" s="34">
        <v>20.03</v>
      </c>
      <c r="S20" s="29">
        <v>697.32</v>
      </c>
      <c r="T20" s="23">
        <f t="shared" si="3"/>
        <v>1.3793949272638795</v>
      </c>
      <c r="U20" s="42">
        <v>19.82</v>
      </c>
      <c r="V20" s="13">
        <v>615.1</v>
      </c>
      <c r="W20" s="23">
        <f t="shared" si="4"/>
        <v>1.4535093235144061</v>
      </c>
      <c r="X20" s="29"/>
      <c r="Y20" s="29"/>
      <c r="Z20" s="23">
        <f t="shared" si="5"/>
        <v>0</v>
      </c>
      <c r="AA20" s="29"/>
      <c r="AB20" s="13"/>
      <c r="AC20" s="23">
        <f t="shared" si="6"/>
        <v>0</v>
      </c>
      <c r="AD20" s="140"/>
      <c r="AE20" s="13"/>
      <c r="AF20" s="23">
        <f t="shared" si="7"/>
        <v>0</v>
      </c>
      <c r="AG20" s="29"/>
      <c r="AH20" s="13"/>
      <c r="AI20" s="23">
        <f t="shared" si="8"/>
        <v>0</v>
      </c>
      <c r="AJ20" s="29"/>
      <c r="AK20" s="13"/>
      <c r="AL20" s="23">
        <f t="shared" si="9"/>
        <v>0</v>
      </c>
      <c r="AM20" s="394"/>
    </row>
    <row r="21" spans="1:39" x14ac:dyDescent="0.25">
      <c r="A21" s="328"/>
      <c r="B21" s="65">
        <v>870</v>
      </c>
      <c r="C21" s="145" t="s">
        <v>53</v>
      </c>
      <c r="D21" s="345" t="s">
        <v>751</v>
      </c>
      <c r="E21" s="193">
        <v>0</v>
      </c>
      <c r="F21" s="344">
        <v>0</v>
      </c>
      <c r="G21" s="193">
        <v>0</v>
      </c>
      <c r="H21" s="344">
        <v>1</v>
      </c>
      <c r="I21" s="140" t="s">
        <v>22</v>
      </c>
      <c r="J21" s="13">
        <v>0</v>
      </c>
      <c r="K21" s="23">
        <f t="shared" si="0"/>
        <v>0</v>
      </c>
      <c r="L21" s="140" t="s">
        <v>22</v>
      </c>
      <c r="M21" s="13">
        <v>0</v>
      </c>
      <c r="N21" s="23">
        <f t="shared" si="1"/>
        <v>0</v>
      </c>
      <c r="O21" s="140" t="s">
        <v>22</v>
      </c>
      <c r="P21" s="13">
        <v>0</v>
      </c>
      <c r="Q21" s="23">
        <f t="shared" si="2"/>
        <v>0</v>
      </c>
      <c r="R21" s="140" t="s">
        <v>22</v>
      </c>
      <c r="S21" s="13">
        <v>0</v>
      </c>
      <c r="T21" s="23">
        <f t="shared" si="3"/>
        <v>0</v>
      </c>
      <c r="U21" s="140" t="s">
        <v>22</v>
      </c>
      <c r="V21" s="13">
        <v>0</v>
      </c>
      <c r="W21" s="23">
        <f t="shared" si="4"/>
        <v>0</v>
      </c>
      <c r="X21" s="140" t="s">
        <v>22</v>
      </c>
      <c r="Y21" s="13">
        <v>0</v>
      </c>
      <c r="Z21" s="23">
        <f t="shared" si="5"/>
        <v>0</v>
      </c>
      <c r="AA21" s="140" t="s">
        <v>22</v>
      </c>
      <c r="AB21" s="13">
        <v>0</v>
      </c>
      <c r="AC21" s="23">
        <f t="shared" si="6"/>
        <v>0</v>
      </c>
      <c r="AD21" s="140">
        <v>12.56</v>
      </c>
      <c r="AE21" s="13">
        <v>391.23</v>
      </c>
      <c r="AF21" s="23">
        <f t="shared" si="7"/>
        <v>0.57369552565000992</v>
      </c>
      <c r="AG21" s="140" t="s">
        <v>22</v>
      </c>
      <c r="AH21" s="13">
        <v>0</v>
      </c>
      <c r="AI21" s="23">
        <f t="shared" si="8"/>
        <v>0</v>
      </c>
      <c r="AJ21" s="140">
        <v>12.41</v>
      </c>
      <c r="AK21" s="13">
        <v>362.3</v>
      </c>
      <c r="AL21" s="23">
        <f t="shared" si="9"/>
        <v>0.60852117764552194</v>
      </c>
      <c r="AM21" s="394"/>
    </row>
    <row r="22" spans="1:39" x14ac:dyDescent="0.25">
      <c r="A22" s="328"/>
      <c r="B22" s="65" t="s">
        <v>277</v>
      </c>
      <c r="C22" s="145" t="s">
        <v>54</v>
      </c>
      <c r="D22" s="151" t="s">
        <v>609</v>
      </c>
      <c r="E22" s="157">
        <v>1</v>
      </c>
      <c r="F22" s="149">
        <v>1</v>
      </c>
      <c r="G22" s="157">
        <v>0</v>
      </c>
      <c r="H22" s="149">
        <v>0</v>
      </c>
      <c r="I22" s="140" t="s">
        <v>22</v>
      </c>
      <c r="J22" s="13">
        <v>0</v>
      </c>
      <c r="K22" s="23">
        <f t="shared" si="0"/>
        <v>0</v>
      </c>
      <c r="L22" s="140" t="s">
        <v>22</v>
      </c>
      <c r="M22" s="13">
        <v>0</v>
      </c>
      <c r="N22" s="23">
        <f t="shared" si="1"/>
        <v>0</v>
      </c>
      <c r="O22" s="140" t="s">
        <v>22</v>
      </c>
      <c r="P22" s="13">
        <v>0</v>
      </c>
      <c r="Q22" s="23">
        <f t="shared" si="2"/>
        <v>0</v>
      </c>
      <c r="R22" s="140" t="s">
        <v>22</v>
      </c>
      <c r="S22" s="13">
        <v>0</v>
      </c>
      <c r="T22" s="23">
        <f t="shared" si="3"/>
        <v>0</v>
      </c>
      <c r="U22" s="140" t="s">
        <v>22</v>
      </c>
      <c r="V22" s="13">
        <v>0</v>
      </c>
      <c r="W22" s="23">
        <f t="shared" si="4"/>
        <v>0</v>
      </c>
      <c r="X22" s="140">
        <v>9.68</v>
      </c>
      <c r="Y22" s="13">
        <v>269.33</v>
      </c>
      <c r="Z22" s="23">
        <f t="shared" si="5"/>
        <v>0.30168698505118757</v>
      </c>
      <c r="AA22" s="140">
        <v>9.2799999999999994</v>
      </c>
      <c r="AB22" s="13">
        <v>314</v>
      </c>
      <c r="AC22" s="23">
        <f t="shared" si="6"/>
        <v>0.41529057577393158</v>
      </c>
      <c r="AD22" s="140">
        <v>9.27</v>
      </c>
      <c r="AE22" s="13">
        <v>85.43</v>
      </c>
      <c r="AF22" s="23">
        <f t="shared" si="7"/>
        <v>0.12527364659223564</v>
      </c>
      <c r="AG22" s="140">
        <v>9.27</v>
      </c>
      <c r="AH22" s="13">
        <v>205.8</v>
      </c>
      <c r="AI22" s="23">
        <f t="shared" si="8"/>
        <v>0.28757106135240562</v>
      </c>
      <c r="AJ22" s="336" t="s">
        <v>22</v>
      </c>
      <c r="AK22" s="337">
        <v>0</v>
      </c>
      <c r="AL22" s="338">
        <f t="shared" si="9"/>
        <v>0</v>
      </c>
      <c r="AM22" s="394" t="s">
        <v>891</v>
      </c>
    </row>
    <row r="23" spans="1:39" x14ac:dyDescent="0.25">
      <c r="A23" s="328"/>
      <c r="B23" s="65" t="s">
        <v>278</v>
      </c>
      <c r="C23" s="145" t="s">
        <v>54</v>
      </c>
      <c r="D23" s="163" t="s">
        <v>341</v>
      </c>
      <c r="E23" s="346">
        <v>1</v>
      </c>
      <c r="F23" s="347">
        <v>0</v>
      </c>
      <c r="G23" s="346">
        <v>0</v>
      </c>
      <c r="H23" s="347">
        <v>0</v>
      </c>
      <c r="I23" s="140" t="s">
        <v>22</v>
      </c>
      <c r="J23" s="13">
        <v>0</v>
      </c>
      <c r="K23" s="23">
        <f t="shared" si="0"/>
        <v>0</v>
      </c>
      <c r="L23" s="140" t="s">
        <v>22</v>
      </c>
      <c r="M23" s="13">
        <v>0</v>
      </c>
      <c r="N23" s="23">
        <f t="shared" si="1"/>
        <v>0</v>
      </c>
      <c r="O23" s="140" t="s">
        <v>22</v>
      </c>
      <c r="P23" s="13">
        <v>0</v>
      </c>
      <c r="Q23" s="23">
        <f t="shared" si="2"/>
        <v>0</v>
      </c>
      <c r="R23" s="140" t="s">
        <v>22</v>
      </c>
      <c r="S23" s="13">
        <v>0</v>
      </c>
      <c r="T23" s="23">
        <f t="shared" si="3"/>
        <v>0</v>
      </c>
      <c r="U23" s="140" t="s">
        <v>22</v>
      </c>
      <c r="V23" s="13">
        <v>0</v>
      </c>
      <c r="W23" s="23">
        <f t="shared" si="4"/>
        <v>0</v>
      </c>
      <c r="X23" s="140">
        <v>13.91</v>
      </c>
      <c r="Y23" s="13">
        <v>190.26</v>
      </c>
      <c r="Z23" s="23">
        <f t="shared" si="5"/>
        <v>0.21311760953417352</v>
      </c>
      <c r="AA23" s="140" t="s">
        <v>22</v>
      </c>
      <c r="AB23" s="13">
        <v>0</v>
      </c>
      <c r="AC23" s="23">
        <f t="shared" si="6"/>
        <v>0</v>
      </c>
      <c r="AD23" s="140">
        <v>13.65</v>
      </c>
      <c r="AE23" s="13">
        <v>115.9</v>
      </c>
      <c r="AF23" s="23">
        <f t="shared" si="7"/>
        <v>0.16995453166381963</v>
      </c>
      <c r="AG23" s="336" t="s">
        <v>22</v>
      </c>
      <c r="AH23" s="337">
        <v>0</v>
      </c>
      <c r="AI23" s="338">
        <f t="shared" si="8"/>
        <v>0</v>
      </c>
      <c r="AJ23" s="336" t="s">
        <v>22</v>
      </c>
      <c r="AK23" s="337">
        <v>0</v>
      </c>
      <c r="AL23" s="338">
        <f t="shared" si="9"/>
        <v>0</v>
      </c>
      <c r="AM23" s="394"/>
    </row>
    <row r="24" spans="1:39" x14ac:dyDescent="0.25">
      <c r="A24" s="328"/>
      <c r="B24" s="65" t="s">
        <v>55</v>
      </c>
      <c r="C24" s="145" t="s">
        <v>56</v>
      </c>
      <c r="D24" s="163"/>
      <c r="E24" s="346">
        <v>0</v>
      </c>
      <c r="F24" s="347">
        <v>0</v>
      </c>
      <c r="G24" s="346">
        <v>1</v>
      </c>
      <c r="H24" s="347">
        <v>0</v>
      </c>
      <c r="I24" s="42">
        <v>20.49</v>
      </c>
      <c r="J24" s="13">
        <v>697.39</v>
      </c>
      <c r="K24" s="13">
        <f t="shared" si="0"/>
        <v>1.0241506528121507</v>
      </c>
      <c r="L24" s="42">
        <v>20.48</v>
      </c>
      <c r="M24" s="13">
        <v>434.7</v>
      </c>
      <c r="N24" s="23">
        <f t="shared" si="1"/>
        <v>0.90149721329106791</v>
      </c>
      <c r="O24" s="42">
        <v>20.399999999999999</v>
      </c>
      <c r="P24" s="13">
        <v>452.17</v>
      </c>
      <c r="Q24" s="13">
        <f t="shared" si="2"/>
        <v>0.89860956679256399</v>
      </c>
      <c r="R24" s="34">
        <v>20.190000000000001</v>
      </c>
      <c r="S24" s="29">
        <v>563.02</v>
      </c>
      <c r="T24" s="23">
        <f t="shared" si="3"/>
        <v>1.1137310444962274</v>
      </c>
      <c r="U24" s="42">
        <v>20.23</v>
      </c>
      <c r="V24" s="13">
        <v>451.83</v>
      </c>
      <c r="W24" s="23">
        <f t="shared" si="4"/>
        <v>1.0676948750504212</v>
      </c>
      <c r="X24" s="29"/>
      <c r="Y24" s="29"/>
      <c r="Z24" s="23">
        <f t="shared" si="5"/>
        <v>0</v>
      </c>
      <c r="AA24" s="29"/>
      <c r="AB24" s="13"/>
      <c r="AC24" s="23">
        <f t="shared" si="6"/>
        <v>0</v>
      </c>
      <c r="AD24" s="140"/>
      <c r="AE24" s="13"/>
      <c r="AF24" s="23">
        <f t="shared" si="7"/>
        <v>0</v>
      </c>
      <c r="AG24" s="29"/>
      <c r="AH24" s="13"/>
      <c r="AI24" s="23">
        <f t="shared" si="8"/>
        <v>0</v>
      </c>
      <c r="AJ24" s="29"/>
      <c r="AK24" s="13"/>
      <c r="AL24" s="23">
        <f t="shared" si="9"/>
        <v>0</v>
      </c>
      <c r="AM24" s="394"/>
    </row>
    <row r="25" spans="1:39" x14ac:dyDescent="0.25">
      <c r="A25" s="328"/>
      <c r="B25" s="65" t="s">
        <v>438</v>
      </c>
      <c r="C25" s="145" t="s">
        <v>56</v>
      </c>
      <c r="D25" s="348" t="s">
        <v>58</v>
      </c>
      <c r="E25" s="349">
        <v>0</v>
      </c>
      <c r="F25" s="348">
        <v>0</v>
      </c>
      <c r="G25" s="349">
        <v>1</v>
      </c>
      <c r="H25" s="348">
        <v>0</v>
      </c>
      <c r="I25" s="140">
        <v>23.83</v>
      </c>
      <c r="J25" s="13">
        <v>586.55999999999995</v>
      </c>
      <c r="K25" s="23">
        <f t="shared" si="0"/>
        <v>0.86139148383758724</v>
      </c>
      <c r="L25" s="140">
        <v>23.75</v>
      </c>
      <c r="M25" s="13">
        <v>375.66</v>
      </c>
      <c r="N25" s="23">
        <f t="shared" si="1"/>
        <v>0.77905784022296432</v>
      </c>
      <c r="O25" s="140">
        <v>23.7</v>
      </c>
      <c r="P25" s="13">
        <v>505.18</v>
      </c>
      <c r="Q25" s="23">
        <f t="shared" si="2"/>
        <v>1.0039577613558339</v>
      </c>
      <c r="R25" s="140">
        <v>23.55</v>
      </c>
      <c r="S25" s="13">
        <v>384.06</v>
      </c>
      <c r="T25" s="23">
        <f t="shared" si="3"/>
        <v>0.75972353548581073</v>
      </c>
      <c r="U25" s="140">
        <v>23.6</v>
      </c>
      <c r="V25" s="13">
        <v>304.16000000000003</v>
      </c>
      <c r="W25" s="23">
        <f t="shared" si="4"/>
        <v>0.71874393731123687</v>
      </c>
      <c r="X25" s="140">
        <v>16.04</v>
      </c>
      <c r="Y25" s="13">
        <v>268.10000000000002</v>
      </c>
      <c r="Z25" s="23">
        <f t="shared" si="5"/>
        <v>0.30030921431783836</v>
      </c>
      <c r="AA25" s="140">
        <v>15.46</v>
      </c>
      <c r="AB25" s="13">
        <v>137.30000000000001</v>
      </c>
      <c r="AC25" s="23">
        <f t="shared" si="6"/>
        <v>0.18159043329223187</v>
      </c>
      <c r="AD25" s="140">
        <v>15.49</v>
      </c>
      <c r="AE25" s="13">
        <v>209.8</v>
      </c>
      <c r="AF25" s="23">
        <f t="shared" si="7"/>
        <v>0.30764849648895048</v>
      </c>
      <c r="AG25" s="140">
        <v>15.54</v>
      </c>
      <c r="AH25" s="13">
        <v>196.2</v>
      </c>
      <c r="AI25" s="23">
        <f t="shared" si="8"/>
        <v>0.27415666781993187</v>
      </c>
      <c r="AJ25" s="140">
        <v>15.57</v>
      </c>
      <c r="AK25" s="13">
        <v>165.5</v>
      </c>
      <c r="AL25" s="23">
        <f t="shared" si="9"/>
        <v>0.27797475821234857</v>
      </c>
      <c r="AM25" s="394"/>
    </row>
    <row r="26" spans="1:39" x14ac:dyDescent="0.25">
      <c r="A26" s="328"/>
      <c r="B26" s="65" t="s">
        <v>439</v>
      </c>
      <c r="C26" s="145" t="s">
        <v>56</v>
      </c>
      <c r="D26" s="145" t="s">
        <v>59</v>
      </c>
      <c r="E26" s="35">
        <v>0</v>
      </c>
      <c r="F26" s="145">
        <v>0</v>
      </c>
      <c r="G26" s="35">
        <v>1</v>
      </c>
      <c r="H26" s="145">
        <v>0</v>
      </c>
      <c r="I26" s="140">
        <v>30.04</v>
      </c>
      <c r="J26" s="13">
        <v>757.24</v>
      </c>
      <c r="K26" s="23">
        <f t="shared" si="0"/>
        <v>1.1120432474447195</v>
      </c>
      <c r="L26" s="140">
        <v>29.96</v>
      </c>
      <c r="M26" s="13">
        <v>381.34300000000002</v>
      </c>
      <c r="N26" s="23">
        <f t="shared" si="1"/>
        <v>0.79084345941581713</v>
      </c>
      <c r="O26" s="140">
        <v>29.93</v>
      </c>
      <c r="P26" s="13">
        <v>2137.2800000000002</v>
      </c>
      <c r="Q26" s="23">
        <f t="shared" si="2"/>
        <v>4.2474738591998831</v>
      </c>
      <c r="R26" s="140">
        <v>29.79</v>
      </c>
      <c r="S26" s="13">
        <v>653.21</v>
      </c>
      <c r="T26" s="23">
        <f t="shared" si="3"/>
        <v>1.2921392767137596</v>
      </c>
      <c r="U26" s="140">
        <v>29.84</v>
      </c>
      <c r="V26" s="13">
        <v>503.66</v>
      </c>
      <c r="W26" s="23">
        <f t="shared" si="4"/>
        <v>1.1901715263880115</v>
      </c>
      <c r="X26" s="140">
        <v>21.24</v>
      </c>
      <c r="Y26" s="13">
        <v>324.58</v>
      </c>
      <c r="Z26" s="23">
        <f t="shared" si="5"/>
        <v>0.36357465417114498</v>
      </c>
      <c r="AA26" s="140">
        <v>20.55</v>
      </c>
      <c r="AB26" s="13">
        <v>447.07</v>
      </c>
      <c r="AC26" s="23">
        <f t="shared" si="6"/>
        <v>0.59128648952627894</v>
      </c>
      <c r="AD26" s="140">
        <v>20.58</v>
      </c>
      <c r="AE26" s="13">
        <v>316.88</v>
      </c>
      <c r="AF26" s="23">
        <f t="shared" si="7"/>
        <v>0.46466947362925937</v>
      </c>
      <c r="AG26" s="140">
        <v>20.56</v>
      </c>
      <c r="AH26" s="13">
        <v>307.02999999999997</v>
      </c>
      <c r="AI26" s="23">
        <f t="shared" si="8"/>
        <v>0.42902304648702189</v>
      </c>
      <c r="AJ26" s="140">
        <v>20.58</v>
      </c>
      <c r="AK26" s="13">
        <v>360.17</v>
      </c>
      <c r="AL26" s="23">
        <f t="shared" si="9"/>
        <v>0.6049436173132422</v>
      </c>
      <c r="AM26" s="394"/>
    </row>
    <row r="27" spans="1:39" x14ac:dyDescent="0.25">
      <c r="A27" s="328"/>
      <c r="B27" s="69" t="s">
        <v>64</v>
      </c>
      <c r="C27" s="145" t="s">
        <v>65</v>
      </c>
      <c r="D27" s="146" t="s">
        <v>752</v>
      </c>
      <c r="E27" s="350">
        <v>0</v>
      </c>
      <c r="F27" s="351">
        <v>1</v>
      </c>
      <c r="G27" s="350">
        <v>0</v>
      </c>
      <c r="H27" s="351">
        <v>0</v>
      </c>
      <c r="I27" s="140" t="s">
        <v>22</v>
      </c>
      <c r="J27" s="13">
        <v>0</v>
      </c>
      <c r="K27" s="23">
        <f t="shared" si="0"/>
        <v>0</v>
      </c>
      <c r="L27" s="140" t="s">
        <v>22</v>
      </c>
      <c r="M27" s="13">
        <v>0</v>
      </c>
      <c r="N27" s="23">
        <f t="shared" si="1"/>
        <v>0</v>
      </c>
      <c r="O27" s="140" t="s">
        <v>22</v>
      </c>
      <c r="P27" s="13">
        <v>0</v>
      </c>
      <c r="Q27" s="23">
        <f t="shared" si="2"/>
        <v>0</v>
      </c>
      <c r="R27" s="140" t="s">
        <v>22</v>
      </c>
      <c r="S27" s="13">
        <v>0</v>
      </c>
      <c r="T27" s="23">
        <f t="shared" si="3"/>
        <v>0</v>
      </c>
      <c r="U27" s="140" t="s">
        <v>22</v>
      </c>
      <c r="V27" s="13">
        <v>0</v>
      </c>
      <c r="W27" s="23">
        <f t="shared" si="4"/>
        <v>0</v>
      </c>
      <c r="X27" s="140" t="s">
        <v>22</v>
      </c>
      <c r="Y27" s="13">
        <v>0</v>
      </c>
      <c r="Z27" s="23">
        <f t="shared" si="5"/>
        <v>0</v>
      </c>
      <c r="AA27" s="140">
        <v>11.95</v>
      </c>
      <c r="AB27" s="13">
        <v>145.47</v>
      </c>
      <c r="AC27" s="23">
        <f t="shared" si="6"/>
        <v>0.19239592375106315</v>
      </c>
      <c r="AD27" s="140">
        <v>11.91</v>
      </c>
      <c r="AE27" s="13">
        <v>9857.0400000000009</v>
      </c>
      <c r="AF27" s="23">
        <f t="shared" si="7"/>
        <v>14.454258988710411</v>
      </c>
      <c r="AG27" s="140">
        <v>11.88</v>
      </c>
      <c r="AH27" s="13">
        <v>3097.58</v>
      </c>
      <c r="AI27" s="23">
        <f t="shared" si="8"/>
        <v>4.3283496998249982</v>
      </c>
      <c r="AJ27" s="140">
        <v>11.86</v>
      </c>
      <c r="AK27" s="13">
        <v>9766.7800000000007</v>
      </c>
      <c r="AL27" s="23">
        <f t="shared" si="9"/>
        <v>16.404340235729318</v>
      </c>
      <c r="AM27" s="394"/>
    </row>
    <row r="28" spans="1:39" x14ac:dyDescent="0.25">
      <c r="A28" s="328"/>
      <c r="B28" s="65" t="s">
        <v>177</v>
      </c>
      <c r="C28" s="145" t="s">
        <v>71</v>
      </c>
      <c r="D28" s="149" t="s">
        <v>179</v>
      </c>
      <c r="E28" s="157">
        <v>0</v>
      </c>
      <c r="F28" s="149">
        <v>0</v>
      </c>
      <c r="G28" s="157">
        <v>1</v>
      </c>
      <c r="H28" s="149">
        <v>0</v>
      </c>
      <c r="I28" s="140">
        <v>17.21</v>
      </c>
      <c r="J28" s="13">
        <v>925.67</v>
      </c>
      <c r="K28" s="23">
        <f t="shared" si="0"/>
        <v>1.3593907781709278</v>
      </c>
      <c r="L28" s="140">
        <v>17.12</v>
      </c>
      <c r="M28" s="13">
        <v>769.99</v>
      </c>
      <c r="N28" s="23">
        <f t="shared" si="1"/>
        <v>1.5968342288060489</v>
      </c>
      <c r="O28" s="140">
        <v>17.28</v>
      </c>
      <c r="P28" s="13">
        <v>527.09</v>
      </c>
      <c r="Q28" s="23">
        <f t="shared" si="2"/>
        <v>1.0475000919138655</v>
      </c>
      <c r="R28" s="140">
        <v>17.489999999999998</v>
      </c>
      <c r="S28" s="13">
        <v>626.79999999999995</v>
      </c>
      <c r="T28" s="23">
        <f t="shared" si="3"/>
        <v>1.2398966620905747</v>
      </c>
      <c r="U28" s="140">
        <v>17.29</v>
      </c>
      <c r="V28" s="13">
        <v>611.71</v>
      </c>
      <c r="W28" s="23">
        <f t="shared" si="4"/>
        <v>1.4454985990684399</v>
      </c>
      <c r="X28" s="29">
        <v>24.75</v>
      </c>
      <c r="Y28" s="29">
        <v>161.63999999999999</v>
      </c>
      <c r="Z28" s="23">
        <f t="shared" si="5"/>
        <v>0.1810592368606318</v>
      </c>
      <c r="AA28" s="29" t="s">
        <v>22</v>
      </c>
      <c r="AB28" s="13">
        <v>0</v>
      </c>
      <c r="AC28" s="23">
        <f t="shared" si="6"/>
        <v>0</v>
      </c>
      <c r="AD28" s="140">
        <v>21.16</v>
      </c>
      <c r="AE28" s="13">
        <v>365.05</v>
      </c>
      <c r="AF28" s="23">
        <f t="shared" si="7"/>
        <v>0.53530545111197025</v>
      </c>
      <c r="AG28" s="29">
        <v>24.17</v>
      </c>
      <c r="AH28" s="13">
        <v>328.67</v>
      </c>
      <c r="AI28" s="23">
        <f t="shared" si="8"/>
        <v>0.45926132524147312</v>
      </c>
      <c r="AJ28" s="29">
        <v>24.05</v>
      </c>
      <c r="AK28" s="13">
        <v>254.3</v>
      </c>
      <c r="AL28" s="23">
        <f t="shared" si="9"/>
        <v>0.42712375234682926</v>
      </c>
      <c r="AM28" s="394"/>
    </row>
    <row r="29" spans="1:39" x14ac:dyDescent="0.25">
      <c r="A29" s="328"/>
      <c r="B29" s="65" t="s">
        <v>178</v>
      </c>
      <c r="C29" s="145" t="s">
        <v>71</v>
      </c>
      <c r="D29" s="152" t="s">
        <v>269</v>
      </c>
      <c r="E29" s="157">
        <v>0</v>
      </c>
      <c r="F29" s="149">
        <v>0</v>
      </c>
      <c r="G29" s="157">
        <v>1</v>
      </c>
      <c r="H29" s="149">
        <v>1</v>
      </c>
      <c r="I29" s="42">
        <v>28.31</v>
      </c>
      <c r="J29" s="13">
        <v>945.52</v>
      </c>
      <c r="K29" s="13">
        <f t="shared" si="0"/>
        <v>1.3885414549204098</v>
      </c>
      <c r="L29" s="42">
        <v>28.19</v>
      </c>
      <c r="M29" s="13">
        <v>505.5</v>
      </c>
      <c r="N29" s="23">
        <f t="shared" si="1"/>
        <v>1.0483249167670459</v>
      </c>
      <c r="O29" s="42">
        <v>28.2</v>
      </c>
      <c r="P29" s="13">
        <v>1164.28</v>
      </c>
      <c r="Q29" s="13">
        <f t="shared" si="2"/>
        <v>2.3138048663671764</v>
      </c>
      <c r="R29" s="34">
        <v>28.71</v>
      </c>
      <c r="S29" s="29">
        <v>721.23</v>
      </c>
      <c r="T29" s="23">
        <f t="shared" si="3"/>
        <v>1.4266921978295872</v>
      </c>
      <c r="U29" s="42">
        <v>28.46</v>
      </c>
      <c r="V29" s="13">
        <v>468.93</v>
      </c>
      <c r="W29" s="23">
        <f t="shared" si="4"/>
        <v>1.1081029541141447</v>
      </c>
      <c r="X29" s="29"/>
      <c r="Y29" s="29"/>
      <c r="Z29" s="23">
        <f t="shared" si="5"/>
        <v>0</v>
      </c>
      <c r="AA29" s="29"/>
      <c r="AB29" s="13"/>
      <c r="AC29" s="23">
        <f t="shared" si="6"/>
        <v>0</v>
      </c>
      <c r="AD29" s="140"/>
      <c r="AE29" s="13"/>
      <c r="AF29" s="23">
        <f t="shared" si="7"/>
        <v>0</v>
      </c>
      <c r="AG29" s="29"/>
      <c r="AH29" s="13"/>
      <c r="AI29" s="23">
        <f t="shared" si="8"/>
        <v>0</v>
      </c>
      <c r="AJ29" s="29"/>
      <c r="AK29" s="13"/>
      <c r="AL29" s="23">
        <f t="shared" si="9"/>
        <v>0</v>
      </c>
      <c r="AM29" s="394"/>
    </row>
    <row r="30" spans="1:39" x14ac:dyDescent="0.25">
      <c r="A30" s="328"/>
      <c r="B30" s="65" t="s">
        <v>289</v>
      </c>
      <c r="C30" s="145" t="s">
        <v>193</v>
      </c>
      <c r="D30" s="352" t="s">
        <v>753</v>
      </c>
      <c r="E30" s="353">
        <v>0</v>
      </c>
      <c r="F30" s="352">
        <v>0</v>
      </c>
      <c r="G30" s="353">
        <v>0</v>
      </c>
      <c r="H30" s="352">
        <v>1</v>
      </c>
      <c r="I30" s="140" t="s">
        <v>22</v>
      </c>
      <c r="J30" s="13">
        <v>0</v>
      </c>
      <c r="K30" s="23">
        <f t="shared" si="0"/>
        <v>0</v>
      </c>
      <c r="L30" s="140" t="s">
        <v>22</v>
      </c>
      <c r="M30" s="13">
        <v>0</v>
      </c>
      <c r="N30" s="23">
        <f t="shared" si="1"/>
        <v>0</v>
      </c>
      <c r="O30" s="140" t="s">
        <v>22</v>
      </c>
      <c r="P30" s="13">
        <v>0</v>
      </c>
      <c r="Q30" s="23">
        <f t="shared" si="2"/>
        <v>0</v>
      </c>
      <c r="R30" s="140" t="s">
        <v>22</v>
      </c>
      <c r="S30" s="13">
        <v>0</v>
      </c>
      <c r="T30" s="23">
        <f t="shared" si="3"/>
        <v>0</v>
      </c>
      <c r="U30" s="140" t="s">
        <v>22</v>
      </c>
      <c r="V30" s="13">
        <v>0</v>
      </c>
      <c r="W30" s="23">
        <f t="shared" si="4"/>
        <v>0</v>
      </c>
      <c r="X30" s="140">
        <v>13.72</v>
      </c>
      <c r="Y30" s="13">
        <v>630.84</v>
      </c>
      <c r="Z30" s="23">
        <f t="shared" si="5"/>
        <v>0.70662836538703899</v>
      </c>
      <c r="AA30" s="140">
        <v>13.56</v>
      </c>
      <c r="AB30" s="13">
        <v>785.96</v>
      </c>
      <c r="AC30" s="23">
        <f t="shared" si="6"/>
        <v>1.039496117628278</v>
      </c>
      <c r="AD30" s="140" t="s">
        <v>22</v>
      </c>
      <c r="AE30" s="13">
        <v>0</v>
      </c>
      <c r="AF30" s="23">
        <f t="shared" si="7"/>
        <v>0</v>
      </c>
      <c r="AG30" s="140" t="s">
        <v>22</v>
      </c>
      <c r="AH30" s="13">
        <v>0</v>
      </c>
      <c r="AI30" s="23">
        <f t="shared" si="8"/>
        <v>0</v>
      </c>
      <c r="AJ30" s="140" t="s">
        <v>22</v>
      </c>
      <c r="AK30" s="13">
        <v>0</v>
      </c>
      <c r="AL30" s="23">
        <f t="shared" si="9"/>
        <v>0</v>
      </c>
      <c r="AM30" s="394"/>
    </row>
    <row r="31" spans="1:39" x14ac:dyDescent="0.25">
      <c r="A31" s="328"/>
      <c r="B31" s="65" t="s">
        <v>290</v>
      </c>
      <c r="C31" s="145" t="s">
        <v>193</v>
      </c>
      <c r="D31" s="145" t="s">
        <v>754</v>
      </c>
      <c r="E31" s="35">
        <v>0</v>
      </c>
      <c r="F31" s="145">
        <v>1</v>
      </c>
      <c r="G31" s="35">
        <v>0</v>
      </c>
      <c r="H31" s="145">
        <v>1</v>
      </c>
      <c r="I31" s="140" t="s">
        <v>22</v>
      </c>
      <c r="J31" s="13">
        <v>0</v>
      </c>
      <c r="K31" s="23">
        <f t="shared" si="0"/>
        <v>0</v>
      </c>
      <c r="L31" s="140" t="s">
        <v>22</v>
      </c>
      <c r="M31" s="13">
        <v>0</v>
      </c>
      <c r="N31" s="23">
        <f t="shared" si="1"/>
        <v>0</v>
      </c>
      <c r="O31" s="140" t="s">
        <v>22</v>
      </c>
      <c r="P31" s="13">
        <v>0</v>
      </c>
      <c r="Q31" s="23">
        <f t="shared" si="2"/>
        <v>0</v>
      </c>
      <c r="R31" s="140" t="s">
        <v>22</v>
      </c>
      <c r="S31" s="13">
        <v>0</v>
      </c>
      <c r="T31" s="23">
        <f t="shared" si="3"/>
        <v>0</v>
      </c>
      <c r="U31" s="140" t="s">
        <v>22</v>
      </c>
      <c r="V31" s="13">
        <v>0</v>
      </c>
      <c r="W31" s="23">
        <f t="shared" si="4"/>
        <v>0</v>
      </c>
      <c r="X31" s="140" t="s">
        <v>22</v>
      </c>
      <c r="Y31" s="13">
        <v>0</v>
      </c>
      <c r="Z31" s="23">
        <f t="shared" si="5"/>
        <v>0</v>
      </c>
      <c r="AA31" s="140" t="s">
        <v>22</v>
      </c>
      <c r="AB31" s="13">
        <v>0</v>
      </c>
      <c r="AC31" s="23">
        <f t="shared" si="6"/>
        <v>0</v>
      </c>
      <c r="AD31" s="140">
        <v>13.86</v>
      </c>
      <c r="AE31" s="13">
        <v>8424.36</v>
      </c>
      <c r="AF31" s="23">
        <f t="shared" si="7"/>
        <v>12.353392220598925</v>
      </c>
      <c r="AG31" s="140">
        <v>13.85</v>
      </c>
      <c r="AH31" s="13">
        <v>3442.97</v>
      </c>
      <c r="AI31" s="23">
        <f t="shared" si="8"/>
        <v>4.8109744271355295</v>
      </c>
      <c r="AJ31" s="140">
        <v>13.74</v>
      </c>
      <c r="AK31" s="13">
        <v>6115.99</v>
      </c>
      <c r="AL31" s="23">
        <f t="shared" si="9"/>
        <v>10.272452214375479</v>
      </c>
      <c r="AM31" s="394"/>
    </row>
    <row r="32" spans="1:39" x14ac:dyDescent="0.25">
      <c r="A32" s="328"/>
      <c r="B32" s="69" t="s">
        <v>440</v>
      </c>
      <c r="C32" s="145" t="s">
        <v>75</v>
      </c>
      <c r="D32" s="354"/>
      <c r="E32" s="355">
        <v>1</v>
      </c>
      <c r="F32" s="354">
        <v>0</v>
      </c>
      <c r="G32" s="355">
        <v>0</v>
      </c>
      <c r="H32" s="354">
        <v>0</v>
      </c>
      <c r="I32" s="140">
        <v>18.260000000000002</v>
      </c>
      <c r="J32" s="13">
        <v>0</v>
      </c>
      <c r="K32" s="23">
        <f t="shared" si="0"/>
        <v>0</v>
      </c>
      <c r="L32" s="140">
        <v>18.41</v>
      </c>
      <c r="M32" s="13">
        <v>289.32</v>
      </c>
      <c r="N32" s="23">
        <f t="shared" si="1"/>
        <v>0.60000270013658097</v>
      </c>
      <c r="O32" s="140" t="s">
        <v>22</v>
      </c>
      <c r="P32" s="13">
        <v>0</v>
      </c>
      <c r="Q32" s="23">
        <f t="shared" si="2"/>
        <v>0</v>
      </c>
      <c r="R32" s="140">
        <v>18.62</v>
      </c>
      <c r="S32" s="13">
        <v>354.8</v>
      </c>
      <c r="T32" s="23">
        <f t="shared" si="3"/>
        <v>0.70184322863710269</v>
      </c>
      <c r="U32" s="140" t="s">
        <v>22</v>
      </c>
      <c r="V32" s="13">
        <v>0</v>
      </c>
      <c r="W32" s="23">
        <f t="shared" si="4"/>
        <v>0</v>
      </c>
      <c r="X32" s="140">
        <v>19.05</v>
      </c>
      <c r="Y32" s="13">
        <v>953.63</v>
      </c>
      <c r="Z32" s="23">
        <f t="shared" si="5"/>
        <v>1.068197971092578</v>
      </c>
      <c r="AA32" s="140">
        <v>18.93</v>
      </c>
      <c r="AB32" s="13">
        <v>1179.5999999999999</v>
      </c>
      <c r="AC32" s="23">
        <f t="shared" si="6"/>
        <v>1.560117080200413</v>
      </c>
      <c r="AD32" s="336" t="s">
        <v>22</v>
      </c>
      <c r="AE32" s="337">
        <v>0</v>
      </c>
      <c r="AF32" s="338">
        <f t="shared" si="7"/>
        <v>0</v>
      </c>
      <c r="AG32" s="336" t="s">
        <v>22</v>
      </c>
      <c r="AH32" s="337">
        <v>0</v>
      </c>
      <c r="AI32" s="338">
        <f t="shared" si="8"/>
        <v>0</v>
      </c>
      <c r="AJ32" s="336" t="s">
        <v>22</v>
      </c>
      <c r="AK32" s="337">
        <v>0</v>
      </c>
      <c r="AL32" s="338">
        <f t="shared" si="9"/>
        <v>0</v>
      </c>
      <c r="AM32" s="394"/>
    </row>
    <row r="33" spans="1:39" x14ac:dyDescent="0.25">
      <c r="A33" s="328"/>
      <c r="B33" s="69" t="s">
        <v>77</v>
      </c>
      <c r="C33" s="145" t="s">
        <v>75</v>
      </c>
      <c r="D33" s="152" t="s">
        <v>755</v>
      </c>
      <c r="E33" s="355">
        <v>1</v>
      </c>
      <c r="F33" s="354">
        <v>0</v>
      </c>
      <c r="G33" s="355">
        <v>0</v>
      </c>
      <c r="H33" s="354">
        <v>0</v>
      </c>
      <c r="I33" s="42">
        <v>20.079999999999998</v>
      </c>
      <c r="J33" s="13">
        <v>596.6</v>
      </c>
      <c r="K33" s="13">
        <f t="shared" si="0"/>
        <v>0.87613570522624229</v>
      </c>
      <c r="L33" s="42">
        <v>20.170000000000002</v>
      </c>
      <c r="M33" s="13">
        <v>498.49</v>
      </c>
      <c r="N33" s="23">
        <f t="shared" si="1"/>
        <v>1.0337873150528283</v>
      </c>
      <c r="O33" s="42">
        <v>20.2</v>
      </c>
      <c r="P33" s="13">
        <v>201.48</v>
      </c>
      <c r="Q33" s="13">
        <f t="shared" si="2"/>
        <v>0.40040660706673548</v>
      </c>
      <c r="R33" s="356">
        <v>20.38</v>
      </c>
      <c r="S33" s="357">
        <v>671.31</v>
      </c>
      <c r="T33" s="358">
        <f t="shared" si="3"/>
        <v>1.3279435676898912</v>
      </c>
      <c r="U33" s="42">
        <v>20.23</v>
      </c>
      <c r="V33" s="13">
        <v>293.12</v>
      </c>
      <c r="W33" s="23">
        <f t="shared" si="4"/>
        <v>0.69265591433676266</v>
      </c>
      <c r="X33" s="29"/>
      <c r="Y33" s="29"/>
      <c r="Z33" s="23">
        <f t="shared" si="5"/>
        <v>0</v>
      </c>
      <c r="AA33" s="29"/>
      <c r="AB33" s="13"/>
      <c r="AC33" s="23">
        <f t="shared" si="6"/>
        <v>0</v>
      </c>
      <c r="AD33" s="140"/>
      <c r="AE33" s="13"/>
      <c r="AF33" s="23">
        <f t="shared" si="7"/>
        <v>0</v>
      </c>
      <c r="AG33" s="29"/>
      <c r="AH33" s="13"/>
      <c r="AI33" s="23">
        <f t="shared" si="8"/>
        <v>0</v>
      </c>
      <c r="AJ33" s="29"/>
      <c r="AK33" s="13"/>
      <c r="AL33" s="23">
        <f t="shared" si="9"/>
        <v>0</v>
      </c>
      <c r="AM33" s="394"/>
    </row>
    <row r="34" spans="1:39" x14ac:dyDescent="0.25">
      <c r="A34" s="328"/>
      <c r="B34" s="69" t="s">
        <v>756</v>
      </c>
      <c r="C34" s="145" t="s">
        <v>75</v>
      </c>
      <c r="D34" s="152" t="s">
        <v>757</v>
      </c>
      <c r="E34" s="355">
        <v>1</v>
      </c>
      <c r="F34" s="354">
        <v>0</v>
      </c>
      <c r="G34" s="355">
        <v>0</v>
      </c>
      <c r="H34" s="354">
        <v>0</v>
      </c>
      <c r="I34" s="42">
        <v>23.32</v>
      </c>
      <c r="J34" s="13">
        <v>285.86</v>
      </c>
      <c r="K34" s="13">
        <f t="shared" si="0"/>
        <v>0.41979911615148108</v>
      </c>
      <c r="L34" s="42">
        <v>23.22</v>
      </c>
      <c r="M34" s="13">
        <v>245.35</v>
      </c>
      <c r="N34" s="23">
        <f t="shared" si="1"/>
        <v>0.50881605999761559</v>
      </c>
      <c r="O34" s="359" t="s">
        <v>22</v>
      </c>
      <c r="P34" s="334">
        <v>0</v>
      </c>
      <c r="Q34" s="334">
        <f t="shared" si="2"/>
        <v>0</v>
      </c>
      <c r="R34" s="356">
        <v>23.39</v>
      </c>
      <c r="S34" s="357">
        <v>261.56</v>
      </c>
      <c r="T34" s="358">
        <f t="shared" si="3"/>
        <v>0.51740167666944914</v>
      </c>
      <c r="U34" s="359" t="s">
        <v>22</v>
      </c>
      <c r="V34" s="334">
        <v>0</v>
      </c>
      <c r="W34" s="335">
        <f t="shared" si="4"/>
        <v>0</v>
      </c>
      <c r="X34" s="29"/>
      <c r="Y34" s="29"/>
      <c r="Z34" s="23">
        <f t="shared" si="5"/>
        <v>0</v>
      </c>
      <c r="AA34" s="29"/>
      <c r="AB34" s="13"/>
      <c r="AC34" s="23">
        <f t="shared" si="6"/>
        <v>0</v>
      </c>
      <c r="AD34" s="140"/>
      <c r="AE34" s="13"/>
      <c r="AF34" s="23">
        <f t="shared" si="7"/>
        <v>0</v>
      </c>
      <c r="AG34" s="29"/>
      <c r="AH34" s="13"/>
      <c r="AI34" s="23">
        <f t="shared" si="8"/>
        <v>0</v>
      </c>
      <c r="AJ34" s="29"/>
      <c r="AK34" s="13"/>
      <c r="AL34" s="23">
        <f t="shared" si="9"/>
        <v>0</v>
      </c>
      <c r="AM34" s="394"/>
    </row>
    <row r="35" spans="1:39" x14ac:dyDescent="0.25">
      <c r="A35" s="328"/>
      <c r="B35" s="70" t="s">
        <v>758</v>
      </c>
      <c r="C35" s="145" t="s">
        <v>79</v>
      </c>
      <c r="D35" s="152"/>
      <c r="E35" s="355">
        <v>0</v>
      </c>
      <c r="F35" s="354">
        <v>0</v>
      </c>
      <c r="G35" s="355">
        <v>1</v>
      </c>
      <c r="H35" s="354">
        <v>0</v>
      </c>
      <c r="I35" s="42">
        <v>30.52</v>
      </c>
      <c r="J35" s="13">
        <v>415.59</v>
      </c>
      <c r="K35" s="13">
        <f t="shared" si="0"/>
        <v>0.6103138413258028</v>
      </c>
      <c r="L35" s="42">
        <v>30.45</v>
      </c>
      <c r="M35" s="13">
        <v>299.45</v>
      </c>
      <c r="N35" s="23">
        <f t="shared" si="1"/>
        <v>0.6210106752243163</v>
      </c>
      <c r="O35" s="42">
        <v>30.32</v>
      </c>
      <c r="P35" s="13">
        <v>320.08</v>
      </c>
      <c r="Q35" s="13">
        <f t="shared" si="2"/>
        <v>0.63610356754973529</v>
      </c>
      <c r="R35" s="34">
        <v>30.18</v>
      </c>
      <c r="S35" s="29">
        <v>289.06</v>
      </c>
      <c r="T35" s="23">
        <f t="shared" si="3"/>
        <v>0.5718004613016936</v>
      </c>
      <c r="U35" s="42">
        <v>30.2</v>
      </c>
      <c r="V35" s="13">
        <v>368.7</v>
      </c>
      <c r="W35" s="23">
        <f t="shared" si="4"/>
        <v>0.87125489770730202</v>
      </c>
      <c r="X35" s="29"/>
      <c r="Y35" s="29"/>
      <c r="Z35" s="23">
        <f t="shared" si="5"/>
        <v>0</v>
      </c>
      <c r="AA35" s="29"/>
      <c r="AB35" s="13"/>
      <c r="AC35" s="23">
        <f t="shared" si="6"/>
        <v>0</v>
      </c>
      <c r="AD35" s="140"/>
      <c r="AE35" s="13"/>
      <c r="AF35" s="23">
        <f t="shared" si="7"/>
        <v>0</v>
      </c>
      <c r="AG35" s="29"/>
      <c r="AH35" s="13"/>
      <c r="AI35" s="23">
        <f t="shared" si="8"/>
        <v>0</v>
      </c>
      <c r="AJ35" s="29"/>
      <c r="AK35" s="13"/>
      <c r="AL35" s="23">
        <f t="shared" si="9"/>
        <v>0</v>
      </c>
      <c r="AM35" s="394"/>
    </row>
    <row r="36" spans="1:39" x14ac:dyDescent="0.25">
      <c r="A36" s="328"/>
      <c r="B36" s="70" t="s">
        <v>630</v>
      </c>
      <c r="C36" s="145" t="s">
        <v>79</v>
      </c>
      <c r="D36" s="360" t="s">
        <v>631</v>
      </c>
      <c r="E36" s="361">
        <v>0</v>
      </c>
      <c r="F36" s="360">
        <v>0</v>
      </c>
      <c r="G36" s="361">
        <v>1</v>
      </c>
      <c r="H36" s="360">
        <v>0</v>
      </c>
      <c r="I36" s="140">
        <v>32.049999999999997</v>
      </c>
      <c r="J36" s="13">
        <v>1122.79</v>
      </c>
      <c r="K36" s="23">
        <f t="shared" si="0"/>
        <v>1.6488709494987805</v>
      </c>
      <c r="L36" s="140">
        <v>32</v>
      </c>
      <c r="M36" s="13">
        <v>679.01</v>
      </c>
      <c r="N36" s="23">
        <f t="shared" si="1"/>
        <v>1.4081564821641777</v>
      </c>
      <c r="O36" s="140">
        <v>31.9</v>
      </c>
      <c r="P36" s="13">
        <v>665.66</v>
      </c>
      <c r="Q36" s="23">
        <f t="shared" si="2"/>
        <v>1.3228839689301326</v>
      </c>
      <c r="R36" s="140">
        <v>31.68</v>
      </c>
      <c r="S36" s="13">
        <v>693.51</v>
      </c>
      <c r="T36" s="23">
        <f t="shared" si="3"/>
        <v>1.3718582229202847</v>
      </c>
      <c r="U36" s="140">
        <v>31.75</v>
      </c>
      <c r="V36" s="13">
        <v>677.05</v>
      </c>
      <c r="W36" s="23">
        <f t="shared" si="4"/>
        <v>1.5998999959119309</v>
      </c>
      <c r="X36" s="140">
        <v>23.13</v>
      </c>
      <c r="Y36" s="13">
        <v>327.2</v>
      </c>
      <c r="Z36" s="23">
        <f t="shared" si="5"/>
        <v>0.36650941784705965</v>
      </c>
      <c r="AA36" s="140">
        <v>22.57</v>
      </c>
      <c r="AB36" s="13">
        <v>312.8</v>
      </c>
      <c r="AC36" s="23">
        <f t="shared" si="6"/>
        <v>0.41370347803212038</v>
      </c>
      <c r="AD36" s="140">
        <v>22.61</v>
      </c>
      <c r="AE36" s="13">
        <v>368.3</v>
      </c>
      <c r="AF36" s="23">
        <f t="shared" si="7"/>
        <v>0.54007121666768565</v>
      </c>
      <c r="AG36" s="140">
        <v>22.64</v>
      </c>
      <c r="AH36" s="13">
        <v>299.39999999999998</v>
      </c>
      <c r="AI36" s="23">
        <f t="shared" si="8"/>
        <v>0.41836139829402447</v>
      </c>
      <c r="AJ36" s="140">
        <v>22.6</v>
      </c>
      <c r="AK36" s="13">
        <v>902.7</v>
      </c>
      <c r="AL36" s="23">
        <f t="shared" si="9"/>
        <v>1.5161801464549067</v>
      </c>
      <c r="AM36" s="394"/>
    </row>
    <row r="37" spans="1:39" x14ac:dyDescent="0.25">
      <c r="A37" s="328"/>
      <c r="B37" s="65">
        <v>1081</v>
      </c>
      <c r="C37" s="145" t="s">
        <v>699</v>
      </c>
      <c r="D37" s="146" t="s">
        <v>759</v>
      </c>
      <c r="E37" s="353">
        <v>1</v>
      </c>
      <c r="F37" s="352">
        <v>1</v>
      </c>
      <c r="G37" s="353">
        <v>0</v>
      </c>
      <c r="H37" s="352">
        <v>0</v>
      </c>
      <c r="I37" s="140" t="s">
        <v>22</v>
      </c>
      <c r="J37" s="13">
        <v>0</v>
      </c>
      <c r="K37" s="23">
        <f t="shared" si="0"/>
        <v>0</v>
      </c>
      <c r="L37" s="140" t="s">
        <v>22</v>
      </c>
      <c r="M37" s="13">
        <v>0</v>
      </c>
      <c r="N37" s="23">
        <f t="shared" si="1"/>
        <v>0</v>
      </c>
      <c r="O37" s="140" t="s">
        <v>22</v>
      </c>
      <c r="P37" s="13">
        <v>0</v>
      </c>
      <c r="Q37" s="23">
        <f t="shared" si="2"/>
        <v>0</v>
      </c>
      <c r="R37" s="140" t="s">
        <v>22</v>
      </c>
      <c r="S37" s="13">
        <v>0</v>
      </c>
      <c r="T37" s="23">
        <f t="shared" si="3"/>
        <v>0</v>
      </c>
      <c r="U37" s="140" t="s">
        <v>22</v>
      </c>
      <c r="V37" s="13">
        <v>0</v>
      </c>
      <c r="W37" s="23">
        <f t="shared" si="4"/>
        <v>0</v>
      </c>
      <c r="X37" s="140">
        <v>11.63</v>
      </c>
      <c r="Y37" s="13">
        <v>413.56</v>
      </c>
      <c r="Z37" s="23">
        <f t="shared" si="5"/>
        <v>0.46324460527148537</v>
      </c>
      <c r="AA37" s="140">
        <v>11.33</v>
      </c>
      <c r="AB37" s="13">
        <v>399.41</v>
      </c>
      <c r="AC37" s="23">
        <f t="shared" si="6"/>
        <v>0.52825225754734406</v>
      </c>
      <c r="AD37" s="336" t="s">
        <v>22</v>
      </c>
      <c r="AE37" s="337">
        <v>0</v>
      </c>
      <c r="AF37" s="338">
        <f t="shared" si="7"/>
        <v>0</v>
      </c>
      <c r="AG37" s="140">
        <v>11.19</v>
      </c>
      <c r="AH37" s="13">
        <v>353.49</v>
      </c>
      <c r="AI37" s="23">
        <f t="shared" si="8"/>
        <v>0.49394312185355621</v>
      </c>
      <c r="AJ37" s="336" t="s">
        <v>22</v>
      </c>
      <c r="AK37" s="337">
        <v>0</v>
      </c>
      <c r="AL37" s="338">
        <f t="shared" si="9"/>
        <v>0</v>
      </c>
      <c r="AM37" s="394"/>
    </row>
    <row r="38" spans="1:39" x14ac:dyDescent="0.25">
      <c r="A38" s="328"/>
      <c r="B38" s="65" t="s">
        <v>80</v>
      </c>
      <c r="C38" s="145" t="s">
        <v>81</v>
      </c>
      <c r="D38" s="146" t="s">
        <v>760</v>
      </c>
      <c r="E38" s="353">
        <v>0</v>
      </c>
      <c r="F38" s="352">
        <v>1</v>
      </c>
      <c r="G38" s="353">
        <v>1</v>
      </c>
      <c r="H38" s="352">
        <v>0</v>
      </c>
      <c r="I38" s="140" t="s">
        <v>22</v>
      </c>
      <c r="J38" s="13">
        <v>0</v>
      </c>
      <c r="K38" s="23">
        <f t="shared" si="0"/>
        <v>0</v>
      </c>
      <c r="L38" s="140" t="s">
        <v>22</v>
      </c>
      <c r="M38" s="13">
        <v>0</v>
      </c>
      <c r="N38" s="23">
        <f t="shared" si="1"/>
        <v>0</v>
      </c>
      <c r="O38" s="140" t="s">
        <v>22</v>
      </c>
      <c r="P38" s="13">
        <v>0</v>
      </c>
      <c r="Q38" s="23">
        <f t="shared" si="2"/>
        <v>0</v>
      </c>
      <c r="R38" s="140" t="s">
        <v>22</v>
      </c>
      <c r="S38" s="13">
        <v>0</v>
      </c>
      <c r="T38" s="23">
        <f t="shared" si="3"/>
        <v>0</v>
      </c>
      <c r="U38" s="140" t="s">
        <v>22</v>
      </c>
      <c r="V38" s="13">
        <v>0</v>
      </c>
      <c r="W38" s="23">
        <f t="shared" si="4"/>
        <v>0</v>
      </c>
      <c r="X38" s="29" t="s">
        <v>22</v>
      </c>
      <c r="Y38" s="13">
        <v>0</v>
      </c>
      <c r="Z38" s="23">
        <f t="shared" si="5"/>
        <v>0</v>
      </c>
      <c r="AA38" s="29">
        <v>17.28</v>
      </c>
      <c r="AB38" s="13">
        <v>127.89</v>
      </c>
      <c r="AC38" s="23">
        <f t="shared" si="6"/>
        <v>0.16914494183352902</v>
      </c>
      <c r="AD38" s="140">
        <v>17.18</v>
      </c>
      <c r="AE38" s="13">
        <v>150.28</v>
      </c>
      <c r="AF38" s="23">
        <f t="shared" si="7"/>
        <v>0.22036899929627965</v>
      </c>
      <c r="AG38" s="29">
        <v>17.21</v>
      </c>
      <c r="AH38" s="13">
        <v>268.26</v>
      </c>
      <c r="AI38" s="23">
        <f t="shared" si="8"/>
        <v>0.37484845927306282</v>
      </c>
      <c r="AJ38" s="140">
        <v>17.3</v>
      </c>
      <c r="AK38" s="13">
        <v>180.69</v>
      </c>
      <c r="AL38" s="23">
        <f t="shared" si="9"/>
        <v>0.30348797015945173</v>
      </c>
      <c r="AM38" s="394"/>
    </row>
    <row r="39" spans="1:39" x14ac:dyDescent="0.25">
      <c r="A39" s="328"/>
      <c r="B39" s="65" t="s">
        <v>441</v>
      </c>
      <c r="C39" s="145" t="s">
        <v>81</v>
      </c>
      <c r="D39" s="146" t="s">
        <v>761</v>
      </c>
      <c r="E39" s="353">
        <v>0</v>
      </c>
      <c r="F39" s="352">
        <v>1</v>
      </c>
      <c r="G39" s="353">
        <v>1</v>
      </c>
      <c r="H39" s="352">
        <v>0</v>
      </c>
      <c r="I39" s="140" t="s">
        <v>22</v>
      </c>
      <c r="J39" s="13">
        <v>0</v>
      </c>
      <c r="K39" s="23">
        <f t="shared" si="0"/>
        <v>0</v>
      </c>
      <c r="L39" s="140" t="s">
        <v>22</v>
      </c>
      <c r="M39" s="13">
        <v>0</v>
      </c>
      <c r="N39" s="23">
        <f t="shared" si="1"/>
        <v>0</v>
      </c>
      <c r="O39" s="140" t="s">
        <v>22</v>
      </c>
      <c r="P39" s="13">
        <v>0</v>
      </c>
      <c r="Q39" s="23">
        <f t="shared" si="2"/>
        <v>0</v>
      </c>
      <c r="R39" s="140" t="s">
        <v>22</v>
      </c>
      <c r="S39" s="13">
        <v>0</v>
      </c>
      <c r="T39" s="23">
        <f t="shared" si="3"/>
        <v>0</v>
      </c>
      <c r="U39" s="140" t="s">
        <v>22</v>
      </c>
      <c r="V39" s="13">
        <v>0</v>
      </c>
      <c r="W39" s="23">
        <f t="shared" si="4"/>
        <v>0</v>
      </c>
      <c r="X39" s="29" t="s">
        <v>22</v>
      </c>
      <c r="Y39" s="13">
        <v>0</v>
      </c>
      <c r="Z39" s="23">
        <f t="shared" si="5"/>
        <v>0</v>
      </c>
      <c r="AA39" s="29" t="s">
        <v>22</v>
      </c>
      <c r="AB39" s="13">
        <v>0</v>
      </c>
      <c r="AC39" s="23">
        <f t="shared" si="6"/>
        <v>0</v>
      </c>
      <c r="AD39" s="140">
        <v>20.96</v>
      </c>
      <c r="AE39" s="13">
        <v>685.69</v>
      </c>
      <c r="AF39" s="23">
        <f t="shared" si="7"/>
        <v>1.0054885488918419</v>
      </c>
      <c r="AG39" s="29" t="s">
        <v>22</v>
      </c>
      <c r="AH39" s="13">
        <v>0</v>
      </c>
      <c r="AI39" s="23">
        <f t="shared" si="8"/>
        <v>0</v>
      </c>
      <c r="AJ39" s="29">
        <v>20.97</v>
      </c>
      <c r="AK39" s="13">
        <v>570.71</v>
      </c>
      <c r="AL39" s="23">
        <f t="shared" si="9"/>
        <v>0.9585678202983049</v>
      </c>
      <c r="AM39" s="394"/>
    </row>
    <row r="40" spans="1:39" x14ac:dyDescent="0.25">
      <c r="A40" s="328"/>
      <c r="B40" s="65" t="s">
        <v>762</v>
      </c>
      <c r="C40" s="145" t="s">
        <v>297</v>
      </c>
      <c r="D40" s="82" t="s">
        <v>763</v>
      </c>
      <c r="E40" s="353">
        <v>1</v>
      </c>
      <c r="F40" s="352">
        <v>0</v>
      </c>
      <c r="G40" s="353">
        <v>0</v>
      </c>
      <c r="H40" s="352">
        <v>1</v>
      </c>
      <c r="I40" s="42">
        <v>18.61</v>
      </c>
      <c r="J40" s="13">
        <v>123.59</v>
      </c>
      <c r="K40" s="13">
        <f t="shared" si="0"/>
        <v>0.18149784077926798</v>
      </c>
      <c r="L40" s="42">
        <v>18.41</v>
      </c>
      <c r="M40" s="13">
        <v>71</v>
      </c>
      <c r="N40" s="23">
        <f t="shared" si="1"/>
        <v>0.14724247099992135</v>
      </c>
      <c r="O40" s="359" t="s">
        <v>22</v>
      </c>
      <c r="P40" s="334">
        <v>0</v>
      </c>
      <c r="Q40" s="334">
        <f t="shared" si="2"/>
        <v>0</v>
      </c>
      <c r="R40" s="34">
        <v>19</v>
      </c>
      <c r="S40" s="29">
        <v>176.93</v>
      </c>
      <c r="T40" s="23">
        <f t="shared" si="3"/>
        <v>0.34999188963574573</v>
      </c>
      <c r="U40" s="42">
        <v>18.73</v>
      </c>
      <c r="V40" s="13">
        <v>218.77</v>
      </c>
      <c r="W40" s="23">
        <f t="shared" si="4"/>
        <v>0.51696347700414014</v>
      </c>
      <c r="X40" s="29"/>
      <c r="Y40" s="29"/>
      <c r="Z40" s="23">
        <f t="shared" si="5"/>
        <v>0</v>
      </c>
      <c r="AA40" s="29"/>
      <c r="AB40" s="13"/>
      <c r="AC40" s="23">
        <f t="shared" si="6"/>
        <v>0</v>
      </c>
      <c r="AD40" s="140"/>
      <c r="AE40" s="13"/>
      <c r="AF40" s="23">
        <f t="shared" si="7"/>
        <v>0</v>
      </c>
      <c r="AG40" s="29"/>
      <c r="AH40" s="13"/>
      <c r="AI40" s="23">
        <f t="shared" si="8"/>
        <v>0</v>
      </c>
      <c r="AJ40" s="29"/>
      <c r="AK40" s="13"/>
      <c r="AL40" s="23">
        <f t="shared" si="9"/>
        <v>0</v>
      </c>
      <c r="AM40" s="394"/>
    </row>
    <row r="41" spans="1:39" x14ac:dyDescent="0.25">
      <c r="A41" s="328"/>
      <c r="B41" s="65" t="s">
        <v>764</v>
      </c>
      <c r="C41" s="145" t="s">
        <v>297</v>
      </c>
      <c r="D41" s="82" t="s">
        <v>765</v>
      </c>
      <c r="E41" s="353">
        <v>1</v>
      </c>
      <c r="F41" s="352">
        <v>0</v>
      </c>
      <c r="G41" s="353">
        <v>0</v>
      </c>
      <c r="H41" s="352">
        <v>1</v>
      </c>
      <c r="I41" s="42">
        <v>20.29</v>
      </c>
      <c r="J41" s="13">
        <v>4683.5200000000004</v>
      </c>
      <c r="K41" s="13">
        <f t="shared" si="0"/>
        <v>6.877973681094887</v>
      </c>
      <c r="L41" s="42">
        <v>20.27</v>
      </c>
      <c r="M41" s="13">
        <v>2714.75</v>
      </c>
      <c r="N41" s="23">
        <f t="shared" si="1"/>
        <v>5.6299506781272752</v>
      </c>
      <c r="O41" s="359">
        <v>20.3</v>
      </c>
      <c r="P41" s="334">
        <v>202.47</v>
      </c>
      <c r="Q41" s="334">
        <f t="shared" si="2"/>
        <v>0.40237406061545522</v>
      </c>
      <c r="R41" s="356">
        <v>20.68</v>
      </c>
      <c r="S41" s="357">
        <v>2719.63</v>
      </c>
      <c r="T41" s="358">
        <f t="shared" si="3"/>
        <v>5.3798024236142155</v>
      </c>
      <c r="U41" s="42">
        <v>20.420000000000002</v>
      </c>
      <c r="V41" s="13">
        <v>2098.3000000000002</v>
      </c>
      <c r="W41" s="23">
        <f t="shared" si="4"/>
        <v>4.9583784970415845</v>
      </c>
      <c r="X41" s="29"/>
      <c r="Y41" s="29"/>
      <c r="Z41" s="23">
        <f t="shared" si="5"/>
        <v>0</v>
      </c>
      <c r="AA41" s="29"/>
      <c r="AB41" s="13"/>
      <c r="AC41" s="23">
        <f t="shared" si="6"/>
        <v>0</v>
      </c>
      <c r="AD41" s="140"/>
      <c r="AE41" s="13"/>
      <c r="AF41" s="23">
        <f t="shared" si="7"/>
        <v>0</v>
      </c>
      <c r="AG41" s="29"/>
      <c r="AH41" s="13"/>
      <c r="AI41" s="23">
        <f t="shared" si="8"/>
        <v>0</v>
      </c>
      <c r="AJ41" s="29"/>
      <c r="AK41" s="13"/>
      <c r="AL41" s="23">
        <f t="shared" si="9"/>
        <v>0</v>
      </c>
      <c r="AM41" s="394"/>
    </row>
    <row r="42" spans="1:39" x14ac:dyDescent="0.25">
      <c r="A42" s="328"/>
      <c r="B42" s="65">
        <v>1121</v>
      </c>
      <c r="C42" s="145" t="s">
        <v>85</v>
      </c>
      <c r="D42" s="146" t="s">
        <v>86</v>
      </c>
      <c r="E42" s="353">
        <v>0</v>
      </c>
      <c r="F42" s="352">
        <v>0</v>
      </c>
      <c r="G42" s="353">
        <v>1</v>
      </c>
      <c r="H42" s="352">
        <v>1</v>
      </c>
      <c r="I42" s="140">
        <v>28.02</v>
      </c>
      <c r="J42" s="13">
        <v>742.6</v>
      </c>
      <c r="K42" s="23">
        <f t="shared" si="0"/>
        <v>1.0905437054995095</v>
      </c>
      <c r="L42" s="140">
        <v>28.09</v>
      </c>
      <c r="M42" s="13">
        <v>553.61</v>
      </c>
      <c r="N42" s="23">
        <f t="shared" si="1"/>
        <v>1.1480972446516404</v>
      </c>
      <c r="O42" s="140">
        <v>28.2</v>
      </c>
      <c r="P42" s="13">
        <v>525.69000000000005</v>
      </c>
      <c r="Q42" s="23">
        <f t="shared" si="2"/>
        <v>1.0447178343702213</v>
      </c>
      <c r="R42" s="140">
        <v>28.61</v>
      </c>
      <c r="S42" s="13">
        <v>409.44</v>
      </c>
      <c r="T42" s="23">
        <f t="shared" si="3"/>
        <v>0.80992866835731481</v>
      </c>
      <c r="U42" s="140">
        <v>28.46</v>
      </c>
      <c r="V42" s="13">
        <v>401.17</v>
      </c>
      <c r="W42" s="23">
        <f t="shared" si="4"/>
        <v>0.94798298701719119</v>
      </c>
      <c r="X42" s="29" t="s">
        <v>22</v>
      </c>
      <c r="Y42" s="29">
        <v>0</v>
      </c>
      <c r="Z42" s="23">
        <f t="shared" si="5"/>
        <v>0</v>
      </c>
      <c r="AA42" s="29" t="s">
        <v>22</v>
      </c>
      <c r="AB42" s="13">
        <v>0</v>
      </c>
      <c r="AC42" s="23">
        <f t="shared" si="6"/>
        <v>0</v>
      </c>
      <c r="AD42" s="140" t="s">
        <v>22</v>
      </c>
      <c r="AE42" s="13">
        <v>0</v>
      </c>
      <c r="AF42" s="23">
        <f t="shared" si="7"/>
        <v>0</v>
      </c>
      <c r="AG42" s="29" t="s">
        <v>22</v>
      </c>
      <c r="AH42" s="13">
        <v>0</v>
      </c>
      <c r="AI42" s="23">
        <f t="shared" si="8"/>
        <v>0</v>
      </c>
      <c r="AJ42" s="29">
        <v>24.05</v>
      </c>
      <c r="AK42" s="13">
        <v>154.84</v>
      </c>
      <c r="AL42" s="23">
        <f t="shared" si="9"/>
        <v>0.26007016049305165</v>
      </c>
      <c r="AM42" s="394"/>
    </row>
    <row r="43" spans="1:39" x14ac:dyDescent="0.25">
      <c r="A43" s="328"/>
      <c r="B43" s="65">
        <v>1155</v>
      </c>
      <c r="C43" s="145" t="s">
        <v>87</v>
      </c>
      <c r="D43" s="152" t="s">
        <v>766</v>
      </c>
      <c r="E43" s="353">
        <v>0</v>
      </c>
      <c r="F43" s="352">
        <v>1</v>
      </c>
      <c r="G43" s="353">
        <v>0</v>
      </c>
      <c r="H43" s="352">
        <v>0</v>
      </c>
      <c r="I43" s="140" t="s">
        <v>22</v>
      </c>
      <c r="J43" s="13">
        <v>0</v>
      </c>
      <c r="K43" s="23">
        <f t="shared" si="0"/>
        <v>0</v>
      </c>
      <c r="L43" s="140" t="s">
        <v>22</v>
      </c>
      <c r="M43" s="13">
        <v>0</v>
      </c>
      <c r="N43" s="23">
        <f t="shared" si="1"/>
        <v>0</v>
      </c>
      <c r="O43" s="140" t="s">
        <v>22</v>
      </c>
      <c r="P43" s="13">
        <v>0</v>
      </c>
      <c r="Q43" s="23">
        <f t="shared" si="2"/>
        <v>0</v>
      </c>
      <c r="R43" s="140" t="s">
        <v>22</v>
      </c>
      <c r="S43" s="13">
        <v>0</v>
      </c>
      <c r="T43" s="23">
        <f t="shared" si="3"/>
        <v>0</v>
      </c>
      <c r="U43" s="140" t="s">
        <v>22</v>
      </c>
      <c r="V43" s="13">
        <v>0</v>
      </c>
      <c r="W43" s="23">
        <f t="shared" si="4"/>
        <v>0</v>
      </c>
      <c r="X43" s="29" t="s">
        <v>22</v>
      </c>
      <c r="Y43" s="13">
        <v>0</v>
      </c>
      <c r="Z43" s="23">
        <f t="shared" si="5"/>
        <v>0</v>
      </c>
      <c r="AA43" s="29" t="s">
        <v>22</v>
      </c>
      <c r="AB43" s="13">
        <v>0</v>
      </c>
      <c r="AC43" s="23">
        <f t="shared" si="6"/>
        <v>0</v>
      </c>
      <c r="AD43" s="140">
        <v>13.48</v>
      </c>
      <c r="AE43" s="13">
        <v>711.36</v>
      </c>
      <c r="AF43" s="23">
        <f t="shared" si="7"/>
        <v>1.0431307648349848</v>
      </c>
      <c r="AG43" s="29" t="s">
        <v>22</v>
      </c>
      <c r="AH43" s="13">
        <v>0</v>
      </c>
      <c r="AI43" s="23">
        <f t="shared" si="8"/>
        <v>0</v>
      </c>
      <c r="AJ43" s="29">
        <v>13.03</v>
      </c>
      <c r="AK43" s="13">
        <v>499.7</v>
      </c>
      <c r="AL43" s="23">
        <f t="shared" si="9"/>
        <v>0.83929901316441424</v>
      </c>
      <c r="AM43" s="394"/>
    </row>
    <row r="44" spans="1:39" x14ac:dyDescent="0.25">
      <c r="A44" s="328"/>
      <c r="B44" s="65">
        <v>1161</v>
      </c>
      <c r="C44" s="145" t="s">
        <v>635</v>
      </c>
      <c r="D44" s="163" t="s">
        <v>636</v>
      </c>
      <c r="E44" s="160">
        <v>1</v>
      </c>
      <c r="F44" s="163">
        <v>1</v>
      </c>
      <c r="G44" s="160">
        <v>0</v>
      </c>
      <c r="H44" s="163">
        <v>1</v>
      </c>
      <c r="I44" s="140" t="s">
        <v>22</v>
      </c>
      <c r="J44" s="13">
        <v>0</v>
      </c>
      <c r="K44" s="23">
        <f t="shared" si="0"/>
        <v>0</v>
      </c>
      <c r="L44" s="140" t="s">
        <v>22</v>
      </c>
      <c r="M44" s="13">
        <v>0</v>
      </c>
      <c r="N44" s="23">
        <f t="shared" si="1"/>
        <v>0</v>
      </c>
      <c r="O44" s="140" t="s">
        <v>22</v>
      </c>
      <c r="P44" s="13">
        <v>0</v>
      </c>
      <c r="Q44" s="23">
        <f t="shared" si="2"/>
        <v>0</v>
      </c>
      <c r="R44" s="140" t="s">
        <v>22</v>
      </c>
      <c r="S44" s="13">
        <v>0</v>
      </c>
      <c r="T44" s="23">
        <f t="shared" si="3"/>
        <v>0</v>
      </c>
      <c r="U44" s="140" t="s">
        <v>22</v>
      </c>
      <c r="V44" s="13">
        <v>0</v>
      </c>
      <c r="W44" s="23">
        <f t="shared" si="4"/>
        <v>0</v>
      </c>
      <c r="X44" s="140">
        <v>14.2</v>
      </c>
      <c r="Y44" s="13">
        <v>333.84</v>
      </c>
      <c r="Z44" s="23">
        <f t="shared" si="5"/>
        <v>0.37394713952953057</v>
      </c>
      <c r="AA44" s="140">
        <v>14.35</v>
      </c>
      <c r="AB44" s="13">
        <v>409.99</v>
      </c>
      <c r="AC44" s="23">
        <f t="shared" si="6"/>
        <v>0.54224516930431277</v>
      </c>
      <c r="AD44" s="336" t="s">
        <v>22</v>
      </c>
      <c r="AE44" s="337">
        <v>0</v>
      </c>
      <c r="AF44" s="338">
        <f t="shared" si="7"/>
        <v>0</v>
      </c>
      <c r="AG44" s="140" t="s">
        <v>22</v>
      </c>
      <c r="AH44" s="13">
        <v>0</v>
      </c>
      <c r="AI44" s="23">
        <f t="shared" si="8"/>
        <v>0</v>
      </c>
      <c r="AJ44" s="336" t="s">
        <v>22</v>
      </c>
      <c r="AK44" s="337">
        <v>0</v>
      </c>
      <c r="AL44" s="338">
        <f t="shared" si="9"/>
        <v>0</v>
      </c>
      <c r="AM44" s="394"/>
    </row>
    <row r="45" spans="1:39" x14ac:dyDescent="0.25">
      <c r="A45" s="328"/>
      <c r="B45" s="65">
        <v>1178</v>
      </c>
      <c r="C45" s="145" t="s">
        <v>89</v>
      </c>
      <c r="D45" s="163" t="s">
        <v>767</v>
      </c>
      <c r="E45" s="160">
        <v>0</v>
      </c>
      <c r="F45" s="163">
        <v>1</v>
      </c>
      <c r="G45" s="160">
        <v>1</v>
      </c>
      <c r="H45" s="163">
        <v>0</v>
      </c>
      <c r="I45" s="140" t="s">
        <v>22</v>
      </c>
      <c r="J45" s="13">
        <v>0</v>
      </c>
      <c r="K45" s="23">
        <f t="shared" si="0"/>
        <v>0</v>
      </c>
      <c r="L45" s="140" t="s">
        <v>22</v>
      </c>
      <c r="M45" s="13">
        <v>0</v>
      </c>
      <c r="N45" s="23">
        <f t="shared" si="1"/>
        <v>0</v>
      </c>
      <c r="O45" s="140" t="s">
        <v>22</v>
      </c>
      <c r="P45" s="13">
        <v>0</v>
      </c>
      <c r="Q45" s="23">
        <f t="shared" si="2"/>
        <v>0</v>
      </c>
      <c r="R45" s="140" t="s">
        <v>22</v>
      </c>
      <c r="S45" s="13">
        <v>0</v>
      </c>
      <c r="T45" s="23">
        <f t="shared" si="3"/>
        <v>0</v>
      </c>
      <c r="U45" s="140" t="s">
        <v>22</v>
      </c>
      <c r="V45" s="13">
        <v>0</v>
      </c>
      <c r="W45" s="23">
        <f t="shared" si="4"/>
        <v>0</v>
      </c>
      <c r="X45" s="29" t="s">
        <v>22</v>
      </c>
      <c r="Y45" s="13">
        <v>0</v>
      </c>
      <c r="Z45" s="23">
        <f t="shared" si="5"/>
        <v>0</v>
      </c>
      <c r="AA45" s="29" t="s">
        <v>22</v>
      </c>
      <c r="AB45" s="13">
        <v>0</v>
      </c>
      <c r="AC45" s="23">
        <f t="shared" si="6"/>
        <v>0</v>
      </c>
      <c r="AD45" s="140">
        <v>24.24</v>
      </c>
      <c r="AE45" s="13">
        <v>488.62</v>
      </c>
      <c r="AF45" s="23">
        <f t="shared" si="7"/>
        <v>0.71650718948727821</v>
      </c>
      <c r="AG45" s="29">
        <v>24.45</v>
      </c>
      <c r="AH45" s="13">
        <v>157.15</v>
      </c>
      <c r="AI45" s="23">
        <f t="shared" si="8"/>
        <v>0.21959082746127573</v>
      </c>
      <c r="AJ45" s="29">
        <v>24.32</v>
      </c>
      <c r="AK45" s="13">
        <v>352.07</v>
      </c>
      <c r="AL45" s="23">
        <f t="shared" si="9"/>
        <v>0.59133881041584024</v>
      </c>
      <c r="AM45" s="394"/>
    </row>
    <row r="46" spans="1:39" x14ac:dyDescent="0.25">
      <c r="A46" s="328"/>
      <c r="B46" s="65">
        <v>1186</v>
      </c>
      <c r="C46" s="145" t="s">
        <v>311</v>
      </c>
      <c r="D46" s="163" t="s">
        <v>768</v>
      </c>
      <c r="E46" s="160">
        <v>1</v>
      </c>
      <c r="F46" s="163">
        <v>0</v>
      </c>
      <c r="G46" s="160">
        <v>1</v>
      </c>
      <c r="H46" s="163">
        <v>0</v>
      </c>
      <c r="I46" s="42">
        <v>29.07</v>
      </c>
      <c r="J46" s="13">
        <v>593.75</v>
      </c>
      <c r="K46" s="13">
        <f t="shared" si="0"/>
        <v>0.87195034357707213</v>
      </c>
      <c r="L46" s="42">
        <v>29.98</v>
      </c>
      <c r="M46" s="13">
        <v>499.47</v>
      </c>
      <c r="N46" s="23">
        <f t="shared" si="1"/>
        <v>1.0358196759201512</v>
      </c>
      <c r="O46" s="359" t="s">
        <v>22</v>
      </c>
      <c r="P46" s="334">
        <v>0</v>
      </c>
      <c r="Q46" s="334">
        <f t="shared" si="2"/>
        <v>0</v>
      </c>
      <c r="R46" s="356">
        <v>29.5</v>
      </c>
      <c r="S46" s="357">
        <v>324.38</v>
      </c>
      <c r="T46" s="358">
        <f t="shared" si="3"/>
        <v>0.64166828214572535</v>
      </c>
      <c r="U46" s="42">
        <v>29.2</v>
      </c>
      <c r="V46" s="13">
        <v>339.43</v>
      </c>
      <c r="W46" s="23">
        <f t="shared" si="4"/>
        <v>0.80208855418711578</v>
      </c>
      <c r="X46" s="29"/>
      <c r="Y46" s="29"/>
      <c r="Z46" s="23">
        <f t="shared" si="5"/>
        <v>0</v>
      </c>
      <c r="AA46" s="29"/>
      <c r="AB46" s="13"/>
      <c r="AC46" s="23">
        <f t="shared" si="6"/>
        <v>0</v>
      </c>
      <c r="AD46" s="140"/>
      <c r="AE46" s="13"/>
      <c r="AF46" s="23">
        <f t="shared" si="7"/>
        <v>0</v>
      </c>
      <c r="AG46" s="29"/>
      <c r="AH46" s="13"/>
      <c r="AI46" s="23">
        <f t="shared" si="8"/>
        <v>0</v>
      </c>
      <c r="AJ46" s="29"/>
      <c r="AK46" s="13"/>
      <c r="AL46" s="23">
        <f t="shared" si="9"/>
        <v>0</v>
      </c>
      <c r="AM46" s="394"/>
    </row>
    <row r="47" spans="1:39" x14ac:dyDescent="0.25">
      <c r="A47" s="328"/>
      <c r="B47" s="65" t="s">
        <v>314</v>
      </c>
      <c r="C47" s="145" t="s">
        <v>316</v>
      </c>
      <c r="D47" s="163" t="s">
        <v>769</v>
      </c>
      <c r="E47" s="160">
        <v>0</v>
      </c>
      <c r="F47" s="163">
        <v>1</v>
      </c>
      <c r="G47" s="160">
        <v>0</v>
      </c>
      <c r="H47" s="163">
        <v>0</v>
      </c>
      <c r="I47" s="140" t="s">
        <v>22</v>
      </c>
      <c r="J47" s="13">
        <v>0</v>
      </c>
      <c r="K47" s="23">
        <f t="shared" si="0"/>
        <v>0</v>
      </c>
      <c r="L47" s="140" t="s">
        <v>22</v>
      </c>
      <c r="M47" s="13">
        <v>0</v>
      </c>
      <c r="N47" s="23">
        <f t="shared" si="1"/>
        <v>0</v>
      </c>
      <c r="O47" s="140" t="s">
        <v>22</v>
      </c>
      <c r="P47" s="13">
        <v>0</v>
      </c>
      <c r="Q47" s="23">
        <f t="shared" si="2"/>
        <v>0</v>
      </c>
      <c r="R47" s="140" t="s">
        <v>22</v>
      </c>
      <c r="S47" s="13">
        <v>0</v>
      </c>
      <c r="T47" s="23">
        <f t="shared" si="3"/>
        <v>0</v>
      </c>
      <c r="U47" s="140" t="s">
        <v>22</v>
      </c>
      <c r="V47" s="13">
        <v>0</v>
      </c>
      <c r="W47" s="23">
        <f t="shared" si="4"/>
        <v>0</v>
      </c>
      <c r="X47" s="29" t="s">
        <v>22</v>
      </c>
      <c r="Y47" s="13">
        <v>0</v>
      </c>
      <c r="Z47" s="23">
        <f t="shared" si="5"/>
        <v>0</v>
      </c>
      <c r="AA47" s="29" t="s">
        <v>22</v>
      </c>
      <c r="AB47" s="13">
        <v>0</v>
      </c>
      <c r="AC47" s="23">
        <f t="shared" si="6"/>
        <v>0</v>
      </c>
      <c r="AD47" s="140">
        <v>15.22</v>
      </c>
      <c r="AE47" s="13">
        <v>196.98</v>
      </c>
      <c r="AF47" s="23">
        <f t="shared" si="7"/>
        <v>0.2888493843584054</v>
      </c>
      <c r="AG47" s="29" t="s">
        <v>22</v>
      </c>
      <c r="AH47" s="13">
        <v>0</v>
      </c>
      <c r="AI47" s="23">
        <f t="shared" si="8"/>
        <v>0</v>
      </c>
      <c r="AJ47" s="29">
        <v>15.07</v>
      </c>
      <c r="AK47" s="13">
        <v>249.57</v>
      </c>
      <c r="AL47" s="23">
        <f t="shared" si="9"/>
        <v>0.41917921696106242</v>
      </c>
      <c r="AM47" s="394"/>
    </row>
    <row r="48" spans="1:39" x14ac:dyDescent="0.25">
      <c r="A48" s="328"/>
      <c r="B48" s="65" t="s">
        <v>315</v>
      </c>
      <c r="C48" s="145" t="s">
        <v>316</v>
      </c>
      <c r="D48" s="152" t="s">
        <v>770</v>
      </c>
      <c r="E48" s="160">
        <v>0</v>
      </c>
      <c r="F48" s="163">
        <v>1</v>
      </c>
      <c r="G48" s="160">
        <v>0</v>
      </c>
      <c r="H48" s="163">
        <v>0</v>
      </c>
      <c r="I48" s="140" t="s">
        <v>22</v>
      </c>
      <c r="J48" s="13">
        <v>0</v>
      </c>
      <c r="K48" s="23">
        <f t="shared" si="0"/>
        <v>0</v>
      </c>
      <c r="L48" s="140" t="s">
        <v>22</v>
      </c>
      <c r="M48" s="13">
        <v>0</v>
      </c>
      <c r="N48" s="23">
        <f t="shared" si="1"/>
        <v>0</v>
      </c>
      <c r="O48" s="140" t="s">
        <v>22</v>
      </c>
      <c r="P48" s="13">
        <v>0</v>
      </c>
      <c r="Q48" s="23">
        <f t="shared" si="2"/>
        <v>0</v>
      </c>
      <c r="R48" s="140" t="s">
        <v>22</v>
      </c>
      <c r="S48" s="13">
        <v>0</v>
      </c>
      <c r="T48" s="23">
        <f t="shared" si="3"/>
        <v>0</v>
      </c>
      <c r="U48" s="140" t="s">
        <v>22</v>
      </c>
      <c r="V48" s="13">
        <v>0</v>
      </c>
      <c r="W48" s="23">
        <f t="shared" si="4"/>
        <v>0</v>
      </c>
      <c r="X48" s="29" t="s">
        <v>22</v>
      </c>
      <c r="Y48" s="13">
        <v>0</v>
      </c>
      <c r="Z48" s="23">
        <f t="shared" si="5"/>
        <v>0</v>
      </c>
      <c r="AA48" s="29" t="s">
        <v>22</v>
      </c>
      <c r="AB48" s="13">
        <v>0</v>
      </c>
      <c r="AC48" s="23">
        <f t="shared" si="6"/>
        <v>0</v>
      </c>
      <c r="AD48" s="140">
        <v>15.77</v>
      </c>
      <c r="AE48" s="13">
        <v>452.1</v>
      </c>
      <c r="AF48" s="23">
        <f t="shared" si="7"/>
        <v>0.66295464853505481</v>
      </c>
      <c r="AG48" s="29" t="s">
        <v>22</v>
      </c>
      <c r="AH48" s="13">
        <v>0</v>
      </c>
      <c r="AI48" s="23">
        <f t="shared" si="8"/>
        <v>0</v>
      </c>
      <c r="AJ48" s="29">
        <v>15.91</v>
      </c>
      <c r="AK48" s="13">
        <v>420.93</v>
      </c>
      <c r="AL48" s="23">
        <f t="shared" si="9"/>
        <v>0.70699646510165481</v>
      </c>
      <c r="AM48" s="394"/>
    </row>
    <row r="49" spans="1:39" x14ac:dyDescent="0.25">
      <c r="A49" s="328"/>
      <c r="B49" s="65" t="s">
        <v>706</v>
      </c>
      <c r="C49" s="145" t="s">
        <v>90</v>
      </c>
      <c r="D49" s="146" t="s">
        <v>771</v>
      </c>
      <c r="E49" s="160">
        <v>1</v>
      </c>
      <c r="F49" s="163">
        <v>1</v>
      </c>
      <c r="G49" s="160">
        <v>0</v>
      </c>
      <c r="H49" s="163">
        <v>0</v>
      </c>
      <c r="I49" s="140">
        <v>17.559999999999999</v>
      </c>
      <c r="J49" s="13">
        <v>1021.14</v>
      </c>
      <c r="K49" s="23">
        <f t="shared" si="0"/>
        <v>1.4995930506783857</v>
      </c>
      <c r="L49" s="140">
        <v>17.559999999999999</v>
      </c>
      <c r="M49" s="13">
        <v>1079.54</v>
      </c>
      <c r="N49" s="23">
        <f t="shared" si="1"/>
        <v>2.2387906639895085</v>
      </c>
      <c r="O49" s="140">
        <v>17.52</v>
      </c>
      <c r="P49" s="13">
        <v>957.59</v>
      </c>
      <c r="Q49" s="23">
        <f t="shared" si="2"/>
        <v>1.9030442865844512</v>
      </c>
      <c r="R49" s="140">
        <v>17.809999999999999</v>
      </c>
      <c r="S49" s="13">
        <v>1047.58</v>
      </c>
      <c r="T49" s="23">
        <f t="shared" si="3"/>
        <v>2.0722574110926044</v>
      </c>
      <c r="U49" s="140">
        <v>17.59</v>
      </c>
      <c r="V49" s="13">
        <v>748.69</v>
      </c>
      <c r="W49" s="23">
        <f t="shared" si="4"/>
        <v>1.7691885797788989</v>
      </c>
      <c r="X49" s="140">
        <v>13.24</v>
      </c>
      <c r="Y49" s="13">
        <v>15328.59</v>
      </c>
      <c r="Z49" s="23">
        <f t="shared" si="5"/>
        <v>17.170148524805199</v>
      </c>
      <c r="AA49" s="140">
        <v>12.98</v>
      </c>
      <c r="AB49" s="13">
        <v>14395.55</v>
      </c>
      <c r="AC49" s="23">
        <f t="shared" si="6"/>
        <v>19.039287414275226</v>
      </c>
      <c r="AD49" s="336" t="s">
        <v>22</v>
      </c>
      <c r="AE49" s="337">
        <v>0</v>
      </c>
      <c r="AF49" s="338">
        <f t="shared" si="7"/>
        <v>0</v>
      </c>
      <c r="AG49" s="140">
        <v>12.79</v>
      </c>
      <c r="AH49" s="13">
        <v>11170.06</v>
      </c>
      <c r="AI49" s="23">
        <f t="shared" si="8"/>
        <v>15.608289648056617</v>
      </c>
      <c r="AJ49" s="336" t="s">
        <v>22</v>
      </c>
      <c r="AK49" s="337">
        <v>0</v>
      </c>
      <c r="AL49" s="338">
        <f t="shared" si="9"/>
        <v>0</v>
      </c>
      <c r="AM49" s="394"/>
    </row>
    <row r="50" spans="1:39" x14ac:dyDescent="0.25">
      <c r="A50" s="328"/>
      <c r="B50" s="70" t="s">
        <v>707</v>
      </c>
      <c r="C50" s="145" t="s">
        <v>90</v>
      </c>
      <c r="D50" s="163" t="s">
        <v>772</v>
      </c>
      <c r="E50" s="160">
        <v>1</v>
      </c>
      <c r="F50" s="163">
        <v>1</v>
      </c>
      <c r="G50" s="160">
        <v>0</v>
      </c>
      <c r="H50" s="163">
        <v>0</v>
      </c>
      <c r="I50" s="140">
        <v>18.329999999999998</v>
      </c>
      <c r="J50" s="13">
        <v>864.27</v>
      </c>
      <c r="K50" s="23">
        <f t="shared" si="0"/>
        <v>1.2692219342203892</v>
      </c>
      <c r="L50" s="140">
        <v>18.329999999999998</v>
      </c>
      <c r="M50" s="13">
        <v>576.28</v>
      </c>
      <c r="N50" s="23">
        <f t="shared" si="1"/>
        <v>1.1951111434906294</v>
      </c>
      <c r="O50" s="140" t="s">
        <v>773</v>
      </c>
      <c r="P50" s="13">
        <v>690</v>
      </c>
      <c r="Q50" s="23">
        <f t="shared" si="2"/>
        <v>1.3712555036532035</v>
      </c>
      <c r="R50" s="140">
        <v>18.72</v>
      </c>
      <c r="S50" s="13">
        <v>671.45</v>
      </c>
      <c r="T50" s="23">
        <f t="shared" si="3"/>
        <v>1.3282205069571098</v>
      </c>
      <c r="U50" s="140">
        <v>18.55</v>
      </c>
      <c r="V50" s="13">
        <v>466.61</v>
      </c>
      <c r="W50" s="23">
        <f t="shared" si="4"/>
        <v>1.1026206884166103</v>
      </c>
      <c r="X50" s="140">
        <v>14.2</v>
      </c>
      <c r="Y50" s="13">
        <v>1717.69</v>
      </c>
      <c r="Z50" s="23">
        <f t="shared" si="5"/>
        <v>1.9240512284282272</v>
      </c>
      <c r="AA50" s="140">
        <v>13.85</v>
      </c>
      <c r="AB50" s="13">
        <v>1747.39</v>
      </c>
      <c r="AC50" s="23">
        <f t="shared" si="6"/>
        <v>2.3110656025528993</v>
      </c>
      <c r="AD50" s="336" t="s">
        <v>22</v>
      </c>
      <c r="AE50" s="337">
        <v>0</v>
      </c>
      <c r="AF50" s="338">
        <f t="shared" si="7"/>
        <v>0</v>
      </c>
      <c r="AG50" s="140">
        <v>13.85</v>
      </c>
      <c r="AH50" s="13">
        <v>1230.53</v>
      </c>
      <c r="AI50" s="23">
        <f t="shared" si="8"/>
        <v>1.7194597576578021</v>
      </c>
      <c r="AJ50" s="336" t="s">
        <v>22</v>
      </c>
      <c r="AK50" s="337">
        <v>0</v>
      </c>
      <c r="AL50" s="338">
        <f t="shared" si="9"/>
        <v>0</v>
      </c>
      <c r="AM50" s="394"/>
    </row>
    <row r="51" spans="1:39" x14ac:dyDescent="0.25">
      <c r="A51" s="328"/>
      <c r="B51" s="70">
        <v>1266</v>
      </c>
      <c r="C51" s="145" t="s">
        <v>670</v>
      </c>
      <c r="D51" s="163" t="s">
        <v>774</v>
      </c>
      <c r="E51" s="160">
        <v>1</v>
      </c>
      <c r="F51" s="163">
        <v>0</v>
      </c>
      <c r="G51" s="160">
        <v>1</v>
      </c>
      <c r="H51" s="163">
        <v>1</v>
      </c>
      <c r="I51" s="42" t="s">
        <v>775</v>
      </c>
      <c r="J51" s="13">
        <v>543.86</v>
      </c>
      <c r="K51" s="13">
        <f t="shared" si="0"/>
        <v>0.7986844864973921</v>
      </c>
      <c r="L51" s="42">
        <v>27.21</v>
      </c>
      <c r="M51" s="13">
        <v>543.86</v>
      </c>
      <c r="N51" s="23">
        <f t="shared" si="1"/>
        <v>1.1278773278593979</v>
      </c>
      <c r="O51" s="359" t="s">
        <v>22</v>
      </c>
      <c r="P51" s="334">
        <v>0</v>
      </c>
      <c r="Q51" s="334">
        <f t="shared" si="2"/>
        <v>0</v>
      </c>
      <c r="R51" s="34">
        <v>28.51</v>
      </c>
      <c r="S51" s="29">
        <v>438.35</v>
      </c>
      <c r="T51" s="23">
        <f t="shared" si="3"/>
        <v>0.86711662703797632</v>
      </c>
      <c r="U51" s="42">
        <v>28.16</v>
      </c>
      <c r="V51" s="13">
        <v>704.13</v>
      </c>
      <c r="W51" s="23">
        <f t="shared" si="4"/>
        <v>1.6638912696572896</v>
      </c>
      <c r="X51" s="29"/>
      <c r="Y51" s="29"/>
      <c r="Z51" s="23">
        <f t="shared" si="5"/>
        <v>0</v>
      </c>
      <c r="AA51" s="29"/>
      <c r="AB51" s="13"/>
      <c r="AC51" s="23">
        <f t="shared" si="6"/>
        <v>0</v>
      </c>
      <c r="AD51" s="140"/>
      <c r="AE51" s="13"/>
      <c r="AF51" s="23">
        <f t="shared" si="7"/>
        <v>0</v>
      </c>
      <c r="AG51" s="29"/>
      <c r="AH51" s="13"/>
      <c r="AI51" s="23">
        <f t="shared" si="8"/>
        <v>0</v>
      </c>
      <c r="AJ51" s="29"/>
      <c r="AK51" s="13"/>
      <c r="AL51" s="23">
        <f t="shared" si="9"/>
        <v>0</v>
      </c>
      <c r="AM51" s="394"/>
    </row>
    <row r="52" spans="1:39" x14ac:dyDescent="0.25">
      <c r="A52" s="328"/>
      <c r="B52" s="70">
        <v>1274</v>
      </c>
      <c r="C52" s="145" t="s">
        <v>776</v>
      </c>
      <c r="D52" s="344" t="s">
        <v>777</v>
      </c>
      <c r="E52" s="160">
        <v>0</v>
      </c>
      <c r="F52" s="163">
        <v>0</v>
      </c>
      <c r="G52" s="160">
        <v>0</v>
      </c>
      <c r="H52" s="163">
        <v>1</v>
      </c>
      <c r="I52" s="42" t="s">
        <v>22</v>
      </c>
      <c r="J52" s="13">
        <v>0</v>
      </c>
      <c r="K52" s="13">
        <f t="shared" si="0"/>
        <v>0</v>
      </c>
      <c r="L52" s="42" t="s">
        <v>22</v>
      </c>
      <c r="M52" s="13">
        <v>0</v>
      </c>
      <c r="N52" s="23">
        <f t="shared" si="1"/>
        <v>0</v>
      </c>
      <c r="O52" s="334">
        <v>23.79</v>
      </c>
      <c r="P52" s="334">
        <v>483.92</v>
      </c>
      <c r="Q52" s="334">
        <f t="shared" si="2"/>
        <v>0.96170719322878018</v>
      </c>
      <c r="R52" s="13" t="s">
        <v>22</v>
      </c>
      <c r="S52" s="13">
        <v>0</v>
      </c>
      <c r="T52" s="23">
        <f>S52/$S$98*100</f>
        <v>0</v>
      </c>
      <c r="U52" s="42" t="s">
        <v>22</v>
      </c>
      <c r="V52" s="13">
        <v>0</v>
      </c>
      <c r="W52" s="23">
        <f t="shared" si="4"/>
        <v>0</v>
      </c>
      <c r="X52" s="29"/>
      <c r="Y52" s="29"/>
      <c r="Z52" s="23">
        <f t="shared" si="5"/>
        <v>0</v>
      </c>
      <c r="AA52" s="29"/>
      <c r="AB52" s="13"/>
      <c r="AC52" s="23">
        <f t="shared" si="6"/>
        <v>0</v>
      </c>
      <c r="AD52" s="140"/>
      <c r="AE52" s="13"/>
      <c r="AF52" s="23">
        <f t="shared" si="7"/>
        <v>0</v>
      </c>
      <c r="AG52" s="29"/>
      <c r="AH52" s="13"/>
      <c r="AI52" s="23">
        <f t="shared" si="8"/>
        <v>0</v>
      </c>
      <c r="AJ52" s="29"/>
      <c r="AK52" s="13"/>
      <c r="AL52" s="23">
        <f t="shared" si="9"/>
        <v>0</v>
      </c>
      <c r="AM52" s="394"/>
    </row>
    <row r="53" spans="1:39" x14ac:dyDescent="0.25">
      <c r="A53" s="328"/>
      <c r="B53" s="70" t="s">
        <v>778</v>
      </c>
      <c r="C53" s="145" t="s">
        <v>463</v>
      </c>
      <c r="D53" s="163" t="s">
        <v>779</v>
      </c>
      <c r="E53" s="160">
        <v>0</v>
      </c>
      <c r="F53" s="163">
        <v>1</v>
      </c>
      <c r="G53" s="160">
        <v>0</v>
      </c>
      <c r="H53" s="163">
        <v>0</v>
      </c>
      <c r="I53" s="140" t="s">
        <v>22</v>
      </c>
      <c r="J53" s="13">
        <v>0</v>
      </c>
      <c r="K53" s="23">
        <f t="shared" si="0"/>
        <v>0</v>
      </c>
      <c r="L53" s="140" t="s">
        <v>22</v>
      </c>
      <c r="M53" s="13">
        <v>0</v>
      </c>
      <c r="N53" s="23">
        <f t="shared" si="1"/>
        <v>0</v>
      </c>
      <c r="O53" s="140" t="s">
        <v>22</v>
      </c>
      <c r="P53" s="13">
        <v>0</v>
      </c>
      <c r="Q53" s="23">
        <f t="shared" si="2"/>
        <v>0</v>
      </c>
      <c r="R53" s="140" t="s">
        <v>22</v>
      </c>
      <c r="S53" s="13">
        <v>0</v>
      </c>
      <c r="T53" s="23">
        <f t="shared" si="3"/>
        <v>0</v>
      </c>
      <c r="U53" s="140" t="s">
        <v>22</v>
      </c>
      <c r="V53" s="13">
        <v>0</v>
      </c>
      <c r="W53" s="23">
        <f t="shared" si="4"/>
        <v>0</v>
      </c>
      <c r="X53" s="29" t="s">
        <v>22</v>
      </c>
      <c r="Y53" s="13">
        <v>0</v>
      </c>
      <c r="Z53" s="23">
        <f t="shared" si="5"/>
        <v>0</v>
      </c>
      <c r="AA53" s="29" t="s">
        <v>22</v>
      </c>
      <c r="AB53" s="13">
        <v>0</v>
      </c>
      <c r="AC53" s="23">
        <f t="shared" si="6"/>
        <v>0</v>
      </c>
      <c r="AD53" s="140">
        <v>15.59</v>
      </c>
      <c r="AE53" s="13">
        <v>197.02</v>
      </c>
      <c r="AF53" s="23">
        <f t="shared" si="7"/>
        <v>0.28890803993447578</v>
      </c>
      <c r="AG53" s="29" t="s">
        <v>22</v>
      </c>
      <c r="AH53" s="13">
        <v>0</v>
      </c>
      <c r="AI53" s="23">
        <f t="shared" si="8"/>
        <v>0</v>
      </c>
      <c r="AJ53" s="140">
        <v>15.5</v>
      </c>
      <c r="AK53" s="13">
        <v>247.28</v>
      </c>
      <c r="AL53" s="23">
        <f t="shared" si="9"/>
        <v>0.41533291970241426</v>
      </c>
      <c r="AM53" s="394"/>
    </row>
    <row r="54" spans="1:39" x14ac:dyDescent="0.25">
      <c r="A54" s="328"/>
      <c r="B54" s="70" t="s">
        <v>780</v>
      </c>
      <c r="C54" s="145" t="s">
        <v>463</v>
      </c>
      <c r="D54" s="163" t="s">
        <v>781</v>
      </c>
      <c r="E54" s="160">
        <v>0</v>
      </c>
      <c r="F54" s="163">
        <v>1</v>
      </c>
      <c r="G54" s="160">
        <v>0</v>
      </c>
      <c r="H54" s="163">
        <v>0</v>
      </c>
      <c r="I54" s="140" t="s">
        <v>22</v>
      </c>
      <c r="J54" s="13">
        <v>0</v>
      </c>
      <c r="K54" s="23">
        <f t="shared" si="0"/>
        <v>0</v>
      </c>
      <c r="L54" s="140" t="s">
        <v>22</v>
      </c>
      <c r="M54" s="13">
        <v>0</v>
      </c>
      <c r="N54" s="23">
        <f t="shared" si="1"/>
        <v>0</v>
      </c>
      <c r="O54" s="140" t="s">
        <v>22</v>
      </c>
      <c r="P54" s="13">
        <v>0</v>
      </c>
      <c r="Q54" s="23">
        <f t="shared" si="2"/>
        <v>0</v>
      </c>
      <c r="R54" s="140" t="s">
        <v>22</v>
      </c>
      <c r="S54" s="13">
        <v>0</v>
      </c>
      <c r="T54" s="23">
        <f t="shared" si="3"/>
        <v>0</v>
      </c>
      <c r="U54" s="140" t="s">
        <v>22</v>
      </c>
      <c r="V54" s="13">
        <v>0</v>
      </c>
      <c r="W54" s="23">
        <f t="shared" si="4"/>
        <v>0</v>
      </c>
      <c r="X54" s="29" t="s">
        <v>22</v>
      </c>
      <c r="Y54" s="13">
        <v>0</v>
      </c>
      <c r="Z54" s="23">
        <f t="shared" si="5"/>
        <v>0</v>
      </c>
      <c r="AA54" s="29" t="s">
        <v>22</v>
      </c>
      <c r="AB54" s="13">
        <v>0</v>
      </c>
      <c r="AC54" s="23">
        <f t="shared" si="6"/>
        <v>0</v>
      </c>
      <c r="AD54" s="140">
        <v>17.8</v>
      </c>
      <c r="AE54" s="13">
        <v>482.42</v>
      </c>
      <c r="AF54" s="23">
        <f t="shared" si="7"/>
        <v>0.70741557519637499</v>
      </c>
      <c r="AG54" s="29" t="s">
        <v>22</v>
      </c>
      <c r="AH54" s="13">
        <v>0</v>
      </c>
      <c r="AI54" s="23">
        <f t="shared" si="8"/>
        <v>0</v>
      </c>
      <c r="AJ54" s="29">
        <v>17.809999999999999</v>
      </c>
      <c r="AK54" s="13">
        <v>321.02</v>
      </c>
      <c r="AL54" s="23">
        <f t="shared" si="9"/>
        <v>0.53918705064246608</v>
      </c>
      <c r="AM54" s="394"/>
    </row>
    <row r="55" spans="1:39" x14ac:dyDescent="0.25">
      <c r="A55" s="328"/>
      <c r="B55" s="65">
        <v>1323</v>
      </c>
      <c r="C55" s="145" t="s">
        <v>782</v>
      </c>
      <c r="D55" s="360" t="s">
        <v>783</v>
      </c>
      <c r="E55" s="361">
        <v>1</v>
      </c>
      <c r="F55" s="360">
        <v>1</v>
      </c>
      <c r="G55" s="361">
        <v>0</v>
      </c>
      <c r="H55" s="360">
        <v>1</v>
      </c>
      <c r="I55" s="140" t="s">
        <v>784</v>
      </c>
      <c r="J55" s="13">
        <v>500.8</v>
      </c>
      <c r="K55" s="23">
        <f t="shared" si="0"/>
        <v>0.73544881189624889</v>
      </c>
      <c r="L55" s="140" t="s">
        <v>785</v>
      </c>
      <c r="M55" s="13">
        <v>535.79999999999995</v>
      </c>
      <c r="N55" s="23">
        <f t="shared" si="1"/>
        <v>1.1111621966444769</v>
      </c>
      <c r="O55" s="140">
        <v>16.96</v>
      </c>
      <c r="P55" s="13">
        <v>204.28</v>
      </c>
      <c r="Q55" s="23">
        <f t="shared" si="2"/>
        <v>0.40597112215402381</v>
      </c>
      <c r="R55" s="140">
        <v>17.2</v>
      </c>
      <c r="S55" s="13">
        <v>283.05</v>
      </c>
      <c r="T55" s="23">
        <f t="shared" si="3"/>
        <v>0.55991185418751954</v>
      </c>
      <c r="U55" s="140" t="s">
        <v>786</v>
      </c>
      <c r="V55" s="13">
        <v>518.4</v>
      </c>
      <c r="W55" s="23">
        <f t="shared" si="4"/>
        <v>1.2250028179318291</v>
      </c>
      <c r="X55" s="140">
        <v>14.98</v>
      </c>
      <c r="Y55" s="13">
        <v>15328.59</v>
      </c>
      <c r="Z55" s="23">
        <f t="shared" si="5"/>
        <v>17.170148524805199</v>
      </c>
      <c r="AA55" s="140">
        <v>15.01</v>
      </c>
      <c r="AB55" s="13">
        <v>8578.24</v>
      </c>
      <c r="AC55" s="23">
        <f t="shared" si="6"/>
        <v>11.345421110595447</v>
      </c>
      <c r="AD55" s="336" t="s">
        <v>22</v>
      </c>
      <c r="AE55" s="337">
        <v>0</v>
      </c>
      <c r="AF55" s="338">
        <f t="shared" si="7"/>
        <v>0</v>
      </c>
      <c r="AG55" s="140">
        <v>14.59</v>
      </c>
      <c r="AH55" s="13">
        <v>5320.71</v>
      </c>
      <c r="AI55" s="23">
        <f t="shared" si="8"/>
        <v>7.4348018554341992</v>
      </c>
      <c r="AJ55" s="336" t="s">
        <v>22</v>
      </c>
      <c r="AK55" s="337">
        <v>0</v>
      </c>
      <c r="AL55" s="338">
        <f t="shared" si="9"/>
        <v>0</v>
      </c>
      <c r="AM55" s="394"/>
    </row>
    <row r="56" spans="1:39" x14ac:dyDescent="0.25">
      <c r="A56" s="328"/>
      <c r="B56" s="65">
        <v>1331</v>
      </c>
      <c r="C56" s="145" t="s">
        <v>98</v>
      </c>
      <c r="D56" s="360" t="s">
        <v>787</v>
      </c>
      <c r="E56" s="361">
        <v>1</v>
      </c>
      <c r="F56" s="360">
        <v>1</v>
      </c>
      <c r="G56" s="361">
        <v>0</v>
      </c>
      <c r="H56" s="360">
        <v>0</v>
      </c>
      <c r="I56" s="42">
        <v>21.08</v>
      </c>
      <c r="J56" s="13">
        <v>2075.0100000000002</v>
      </c>
      <c r="K56" s="13">
        <f t="shared" si="0"/>
        <v>3.0472516756646075</v>
      </c>
      <c r="L56" s="42">
        <v>20.88</v>
      </c>
      <c r="M56" s="13">
        <v>1674.83</v>
      </c>
      <c r="N56" s="23">
        <f t="shared" si="1"/>
        <v>3.4733254606309618</v>
      </c>
      <c r="O56" s="333" t="s">
        <v>22</v>
      </c>
      <c r="P56" s="334">
        <v>0</v>
      </c>
      <c r="Q56" s="334">
        <f t="shared" si="2"/>
        <v>0</v>
      </c>
      <c r="R56" s="34">
        <v>21.32</v>
      </c>
      <c r="S56" s="29">
        <v>1052.99</v>
      </c>
      <c r="T56" s="23">
        <f t="shared" si="3"/>
        <v>2.0829591356329837</v>
      </c>
      <c r="U56" s="359">
        <v>21.06</v>
      </c>
      <c r="V56" s="334">
        <v>914.14</v>
      </c>
      <c r="W56" s="335">
        <f t="shared" si="4"/>
        <v>2.1601544675621183</v>
      </c>
      <c r="X56" s="29"/>
      <c r="Y56" s="29"/>
      <c r="Z56" s="23">
        <f t="shared" si="5"/>
        <v>0</v>
      </c>
      <c r="AA56" s="29"/>
      <c r="AB56" s="13"/>
      <c r="AC56" s="23">
        <f t="shared" si="6"/>
        <v>0</v>
      </c>
      <c r="AD56" s="140"/>
      <c r="AE56" s="13"/>
      <c r="AF56" s="23">
        <f t="shared" si="7"/>
        <v>0</v>
      </c>
      <c r="AG56" s="29"/>
      <c r="AH56" s="13"/>
      <c r="AI56" s="23">
        <f t="shared" si="8"/>
        <v>0</v>
      </c>
      <c r="AJ56" s="29"/>
      <c r="AK56" s="13"/>
      <c r="AL56" s="23">
        <f t="shared" si="9"/>
        <v>0</v>
      </c>
      <c r="AM56" s="394"/>
    </row>
    <row r="57" spans="1:39" x14ac:dyDescent="0.25">
      <c r="A57" s="328"/>
      <c r="B57" s="65">
        <v>1389</v>
      </c>
      <c r="C57" s="145" t="s">
        <v>710</v>
      </c>
      <c r="D57" s="200" t="s">
        <v>788</v>
      </c>
      <c r="E57" s="361">
        <v>1</v>
      </c>
      <c r="F57" s="360">
        <v>1</v>
      </c>
      <c r="G57" s="361">
        <v>1</v>
      </c>
      <c r="H57" s="360">
        <v>0</v>
      </c>
      <c r="I57" s="140">
        <v>28.02</v>
      </c>
      <c r="J57" s="13">
        <v>1165.01</v>
      </c>
      <c r="K57" s="23">
        <f t="shared" si="0"/>
        <v>1.7108730438243787</v>
      </c>
      <c r="L57" s="140">
        <v>27.99</v>
      </c>
      <c r="M57" s="13">
        <v>1012.35</v>
      </c>
      <c r="N57" s="23">
        <f t="shared" si="1"/>
        <v>2.0994495143207099</v>
      </c>
      <c r="O57" s="140">
        <v>28.1</v>
      </c>
      <c r="P57" s="13">
        <v>1078.01</v>
      </c>
      <c r="Q57" s="23">
        <f t="shared" si="2"/>
        <v>2.1423581818741884</v>
      </c>
      <c r="R57" s="140">
        <v>28.51</v>
      </c>
      <c r="S57" s="13">
        <v>855.18</v>
      </c>
      <c r="T57" s="23">
        <f t="shared" si="3"/>
        <v>1.6916637324291921</v>
      </c>
      <c r="U57" s="140">
        <v>28.36</v>
      </c>
      <c r="V57" s="13">
        <v>800.51</v>
      </c>
      <c r="W57" s="23">
        <f t="shared" si="4"/>
        <v>1.8916416006608963</v>
      </c>
      <c r="X57" s="140">
        <v>24.28</v>
      </c>
      <c r="Y57" s="13">
        <v>729.5</v>
      </c>
      <c r="Z57" s="23">
        <f t="shared" si="5"/>
        <v>0.81714126014495736</v>
      </c>
      <c r="AA57" s="140">
        <v>23.95</v>
      </c>
      <c r="AB57" s="13">
        <v>717.42</v>
      </c>
      <c r="AC57" s="23">
        <f t="shared" si="6"/>
        <v>0.94884638494182794</v>
      </c>
      <c r="AD57" s="336" t="s">
        <v>22</v>
      </c>
      <c r="AE57" s="337">
        <v>0</v>
      </c>
      <c r="AF57" s="338">
        <f t="shared" si="7"/>
        <v>0</v>
      </c>
      <c r="AG57" s="140">
        <v>23.7</v>
      </c>
      <c r="AH57" s="13">
        <v>594.65</v>
      </c>
      <c r="AI57" s="23">
        <f t="shared" si="8"/>
        <v>0.83092386605057333</v>
      </c>
      <c r="AJ57" s="336" t="s">
        <v>22</v>
      </c>
      <c r="AK57" s="337">
        <v>0</v>
      </c>
      <c r="AL57" s="338">
        <f t="shared" si="9"/>
        <v>0</v>
      </c>
      <c r="AM57" s="394"/>
    </row>
    <row r="58" spans="1:39" x14ac:dyDescent="0.25">
      <c r="A58" s="328"/>
      <c r="B58" s="65">
        <v>1397</v>
      </c>
      <c r="C58" s="145" t="s">
        <v>789</v>
      </c>
      <c r="D58" s="146" t="s">
        <v>790</v>
      </c>
      <c r="E58" s="361">
        <v>0</v>
      </c>
      <c r="F58" s="360">
        <v>1</v>
      </c>
      <c r="G58" s="361">
        <v>0</v>
      </c>
      <c r="H58" s="360">
        <v>1</v>
      </c>
      <c r="I58" s="140" t="s">
        <v>22</v>
      </c>
      <c r="J58" s="13">
        <v>0</v>
      </c>
      <c r="K58" s="23">
        <f t="shared" si="0"/>
        <v>0</v>
      </c>
      <c r="L58" s="140" t="s">
        <v>22</v>
      </c>
      <c r="M58" s="13">
        <v>0</v>
      </c>
      <c r="N58" s="23">
        <f t="shared" si="1"/>
        <v>0</v>
      </c>
      <c r="O58" s="140" t="s">
        <v>22</v>
      </c>
      <c r="P58" s="13">
        <v>0</v>
      </c>
      <c r="Q58" s="23">
        <f t="shared" si="2"/>
        <v>0</v>
      </c>
      <c r="R58" s="140" t="s">
        <v>22</v>
      </c>
      <c r="S58" s="13">
        <v>0</v>
      </c>
      <c r="T58" s="23">
        <f t="shared" si="3"/>
        <v>0</v>
      </c>
      <c r="U58" s="140" t="s">
        <v>22</v>
      </c>
      <c r="V58" s="13">
        <v>0</v>
      </c>
      <c r="W58" s="23">
        <f t="shared" si="4"/>
        <v>0</v>
      </c>
      <c r="X58" s="29" t="s">
        <v>22</v>
      </c>
      <c r="Y58" s="29">
        <v>0</v>
      </c>
      <c r="Z58" s="23">
        <f t="shared" si="5"/>
        <v>0</v>
      </c>
      <c r="AA58" s="29" t="s">
        <v>22</v>
      </c>
      <c r="AB58" s="13">
        <v>0</v>
      </c>
      <c r="AC58" s="23">
        <f t="shared" si="6"/>
        <v>0</v>
      </c>
      <c r="AD58" s="140">
        <v>18.86</v>
      </c>
      <c r="AE58" s="13">
        <v>2260.73</v>
      </c>
      <c r="AF58" s="23">
        <f t="shared" si="7"/>
        <v>3.3151105122376783</v>
      </c>
      <c r="AG58" s="29">
        <v>18.75</v>
      </c>
      <c r="AH58" s="13">
        <v>653.23</v>
      </c>
      <c r="AI58" s="23">
        <f t="shared" si="8"/>
        <v>0.91277961325185597</v>
      </c>
      <c r="AJ58" s="29">
        <v>18.79</v>
      </c>
      <c r="AK58" s="13">
        <v>2155.4499999999998</v>
      </c>
      <c r="AL58" s="23">
        <f t="shared" si="9"/>
        <v>3.620306299630252</v>
      </c>
      <c r="AM58" s="394"/>
    </row>
    <row r="59" spans="1:39" x14ac:dyDescent="0.25">
      <c r="A59" s="328"/>
      <c r="B59" s="65">
        <v>1420</v>
      </c>
      <c r="C59" s="145" t="s">
        <v>419</v>
      </c>
      <c r="D59" s="146"/>
      <c r="E59" s="361">
        <v>0</v>
      </c>
      <c r="F59" s="360">
        <v>0</v>
      </c>
      <c r="G59" s="361">
        <v>1</v>
      </c>
      <c r="H59" s="360">
        <v>1</v>
      </c>
      <c r="I59" s="42" t="s">
        <v>22</v>
      </c>
      <c r="J59" s="13">
        <v>0</v>
      </c>
      <c r="K59" s="13">
        <f t="shared" si="0"/>
        <v>0</v>
      </c>
      <c r="L59" s="42" t="s">
        <v>22</v>
      </c>
      <c r="M59" s="13">
        <v>0</v>
      </c>
      <c r="N59" s="23">
        <f t="shared" si="1"/>
        <v>0</v>
      </c>
      <c r="O59" s="13">
        <v>28.99</v>
      </c>
      <c r="P59" s="13">
        <v>246.69</v>
      </c>
      <c r="Q59" s="13">
        <f t="shared" si="2"/>
        <v>0.49025365245827357</v>
      </c>
      <c r="R59" s="13" t="s">
        <v>22</v>
      </c>
      <c r="S59" s="13">
        <v>0</v>
      </c>
      <c r="T59" s="23">
        <f>S59/$S$98*100</f>
        <v>0</v>
      </c>
      <c r="U59" s="42" t="s">
        <v>22</v>
      </c>
      <c r="V59" s="13">
        <v>0</v>
      </c>
      <c r="W59" s="23">
        <f t="shared" si="4"/>
        <v>0</v>
      </c>
      <c r="X59" s="29"/>
      <c r="Y59" s="29"/>
      <c r="Z59" s="23">
        <f t="shared" si="5"/>
        <v>0</v>
      </c>
      <c r="AA59" s="29"/>
      <c r="AB59" s="13"/>
      <c r="AC59" s="23">
        <f t="shared" si="6"/>
        <v>0</v>
      </c>
      <c r="AD59" s="140"/>
      <c r="AE59" s="13"/>
      <c r="AF59" s="23">
        <f t="shared" si="7"/>
        <v>0</v>
      </c>
      <c r="AG59" s="29"/>
      <c r="AH59" s="13"/>
      <c r="AI59" s="23">
        <f t="shared" si="8"/>
        <v>0</v>
      </c>
      <c r="AJ59" s="29"/>
      <c r="AK59" s="13"/>
      <c r="AL59" s="23">
        <f t="shared" si="9"/>
        <v>0</v>
      </c>
      <c r="AM59" s="394"/>
    </row>
    <row r="60" spans="1:39" x14ac:dyDescent="0.25">
      <c r="A60" s="328"/>
      <c r="B60" s="65">
        <v>1469</v>
      </c>
      <c r="C60" s="145" t="s">
        <v>791</v>
      </c>
      <c r="D60" s="152" t="s">
        <v>792</v>
      </c>
      <c r="E60" s="160">
        <v>1</v>
      </c>
      <c r="F60" s="163">
        <v>1</v>
      </c>
      <c r="G60" s="160">
        <v>1</v>
      </c>
      <c r="H60" s="163">
        <v>1</v>
      </c>
      <c r="I60" s="140">
        <v>27.16</v>
      </c>
      <c r="J60" s="13">
        <v>2558.56</v>
      </c>
      <c r="K60" s="23">
        <f t="shared" si="0"/>
        <v>3.7573680354737751</v>
      </c>
      <c r="L60" s="140">
        <v>27.11</v>
      </c>
      <c r="M60" s="13">
        <v>1410.07</v>
      </c>
      <c r="N60" s="23">
        <f t="shared" si="1"/>
        <v>2.9242562124346354</v>
      </c>
      <c r="O60" s="140">
        <v>27.15</v>
      </c>
      <c r="P60" s="13">
        <v>1027.52</v>
      </c>
      <c r="Q60" s="23">
        <f t="shared" si="2"/>
        <v>2.0420180508894776</v>
      </c>
      <c r="R60" s="140" t="s">
        <v>793</v>
      </c>
      <c r="S60" s="13">
        <v>1299</v>
      </c>
      <c r="T60" s="23">
        <f t="shared" si="3"/>
        <v>2.5696007722649279</v>
      </c>
      <c r="U60" s="140">
        <v>27.96</v>
      </c>
      <c r="V60" s="13">
        <v>1102.4000000000001</v>
      </c>
      <c r="W60" s="23">
        <f t="shared" si="4"/>
        <v>2.6050214245525627</v>
      </c>
      <c r="X60" s="140">
        <v>29.05</v>
      </c>
      <c r="Y60" s="13">
        <v>655.36</v>
      </c>
      <c r="Z60" s="23">
        <f t="shared" si="5"/>
        <v>0.73409416894941637</v>
      </c>
      <c r="AA60" s="140">
        <v>30.13</v>
      </c>
      <c r="AB60" s="13">
        <v>318.63</v>
      </c>
      <c r="AC60" s="23">
        <f t="shared" si="6"/>
        <v>0.42141412789441979</v>
      </c>
      <c r="AD60" s="336" t="s">
        <v>22</v>
      </c>
      <c r="AE60" s="337">
        <v>0</v>
      </c>
      <c r="AF60" s="338">
        <f t="shared" si="7"/>
        <v>0</v>
      </c>
      <c r="AG60" s="140" t="s">
        <v>22</v>
      </c>
      <c r="AH60" s="13">
        <v>0</v>
      </c>
      <c r="AI60" s="23">
        <f t="shared" si="8"/>
        <v>0</v>
      </c>
      <c r="AJ60" s="336" t="s">
        <v>22</v>
      </c>
      <c r="AK60" s="337">
        <v>0</v>
      </c>
      <c r="AL60" s="338">
        <f t="shared" si="9"/>
        <v>0</v>
      </c>
      <c r="AM60" s="394"/>
    </row>
    <row r="61" spans="1:39" x14ac:dyDescent="0.25">
      <c r="A61" s="328"/>
      <c r="B61" s="65">
        <v>1477</v>
      </c>
      <c r="C61" s="145" t="s">
        <v>794</v>
      </c>
      <c r="D61" s="151" t="s">
        <v>795</v>
      </c>
      <c r="E61" s="159">
        <v>1</v>
      </c>
      <c r="F61" s="151">
        <v>0</v>
      </c>
      <c r="G61" s="159">
        <v>1</v>
      </c>
      <c r="H61" s="151">
        <v>1</v>
      </c>
      <c r="I61" s="140" t="s">
        <v>796</v>
      </c>
      <c r="J61" s="13">
        <v>1334.5</v>
      </c>
      <c r="K61" s="23">
        <f t="shared" si="0"/>
        <v>1.9597772353744891</v>
      </c>
      <c r="L61" s="140">
        <v>27.21</v>
      </c>
      <c r="M61" s="13">
        <v>1136</v>
      </c>
      <c r="N61" s="23">
        <f t="shared" si="1"/>
        <v>2.3558795359987417</v>
      </c>
      <c r="O61" s="333" t="s">
        <v>22</v>
      </c>
      <c r="P61" s="334">
        <v>0</v>
      </c>
      <c r="Q61" s="335">
        <f t="shared" si="2"/>
        <v>0</v>
      </c>
      <c r="R61" s="140">
        <v>28.51</v>
      </c>
      <c r="S61" s="13">
        <v>377.44</v>
      </c>
      <c r="T61" s="23">
        <f t="shared" si="3"/>
        <v>0.74662826442161223</v>
      </c>
      <c r="U61" s="140">
        <v>28.06</v>
      </c>
      <c r="V61" s="13">
        <v>911.73</v>
      </c>
      <c r="W61" s="23">
        <f t="shared" si="4"/>
        <v>2.1544595277642489</v>
      </c>
      <c r="X61" s="140">
        <v>21.73</v>
      </c>
      <c r="Y61" s="13">
        <v>3416.74</v>
      </c>
      <c r="Z61" s="23">
        <f t="shared" si="5"/>
        <v>3.8272230694827707</v>
      </c>
      <c r="AA61" s="140">
        <v>21.94</v>
      </c>
      <c r="AB61" s="13">
        <v>1324.34</v>
      </c>
      <c r="AC61" s="23">
        <f t="shared" si="6"/>
        <v>1.7515475194918744</v>
      </c>
      <c r="AD61" s="140">
        <v>21.71</v>
      </c>
      <c r="AE61" s="13">
        <v>1451.05</v>
      </c>
      <c r="AF61" s="23">
        <f t="shared" si="7"/>
        <v>2.1278043414217898</v>
      </c>
      <c r="AG61" s="140">
        <v>21.47</v>
      </c>
      <c r="AH61" s="13">
        <v>1108.2</v>
      </c>
      <c r="AI61" s="23">
        <f t="shared" si="8"/>
        <v>1.5485240534049365</v>
      </c>
      <c r="AJ61" s="140">
        <v>21.46</v>
      </c>
      <c r="AK61" s="13">
        <v>1534.05</v>
      </c>
      <c r="AL61" s="23">
        <f t="shared" si="9"/>
        <v>2.5765992618468481</v>
      </c>
      <c r="AM61" s="394"/>
    </row>
    <row r="62" spans="1:39" x14ac:dyDescent="0.25">
      <c r="A62" s="328"/>
      <c r="B62" s="65">
        <v>1485</v>
      </c>
      <c r="C62" s="145" t="s">
        <v>797</v>
      </c>
      <c r="D62" s="151"/>
      <c r="E62" s="159">
        <v>1</v>
      </c>
      <c r="F62" s="151">
        <v>0</v>
      </c>
      <c r="G62" s="159">
        <v>0</v>
      </c>
      <c r="H62" s="151">
        <v>1</v>
      </c>
      <c r="I62" s="42">
        <v>25.61</v>
      </c>
      <c r="J62" s="13">
        <v>1848.9</v>
      </c>
      <c r="K62" s="13">
        <f t="shared" si="0"/>
        <v>2.7151982993509876</v>
      </c>
      <c r="L62" s="42">
        <v>25.53</v>
      </c>
      <c r="M62" s="13">
        <v>1394.58</v>
      </c>
      <c r="N62" s="23">
        <f t="shared" si="1"/>
        <v>2.892132467705216</v>
      </c>
      <c r="O62" s="359">
        <v>25.5</v>
      </c>
      <c r="P62" s="334">
        <v>571.4</v>
      </c>
      <c r="Q62" s="334">
        <f t="shared" si="2"/>
        <v>1.1355585431702035</v>
      </c>
      <c r="R62" s="34">
        <v>25.88</v>
      </c>
      <c r="S62" s="29">
        <v>2307.8000000000002</v>
      </c>
      <c r="T62" s="23">
        <f t="shared" si="3"/>
        <v>4.5651460063379528</v>
      </c>
      <c r="U62" s="42">
        <v>25.71</v>
      </c>
      <c r="V62" s="13">
        <v>1259.31</v>
      </c>
      <c r="W62" s="23">
        <f t="shared" si="4"/>
        <v>2.9758069032595134</v>
      </c>
      <c r="X62" s="29"/>
      <c r="Y62" s="29"/>
      <c r="Z62" s="23">
        <f t="shared" si="5"/>
        <v>0</v>
      </c>
      <c r="AA62" s="29"/>
      <c r="AB62" s="13"/>
      <c r="AC62" s="23">
        <f t="shared" si="6"/>
        <v>0</v>
      </c>
      <c r="AD62" s="140"/>
      <c r="AE62" s="13"/>
      <c r="AF62" s="23">
        <f t="shared" si="7"/>
        <v>0</v>
      </c>
      <c r="AG62" s="29"/>
      <c r="AH62" s="13"/>
      <c r="AI62" s="23">
        <f t="shared" si="8"/>
        <v>0</v>
      </c>
      <c r="AJ62" s="29"/>
      <c r="AK62" s="13"/>
      <c r="AL62" s="23">
        <f t="shared" si="9"/>
        <v>0</v>
      </c>
      <c r="AM62" s="394"/>
    </row>
    <row r="63" spans="1:39" x14ac:dyDescent="0.25">
      <c r="A63" s="328"/>
      <c r="B63" s="65">
        <v>1520</v>
      </c>
      <c r="C63" s="145" t="s">
        <v>798</v>
      </c>
      <c r="D63" s="152" t="s">
        <v>799</v>
      </c>
      <c r="E63" s="159">
        <v>0</v>
      </c>
      <c r="F63" s="151">
        <v>1</v>
      </c>
      <c r="G63" s="159">
        <v>0</v>
      </c>
      <c r="H63" s="151">
        <v>0</v>
      </c>
      <c r="I63" s="140" t="s">
        <v>22</v>
      </c>
      <c r="J63" s="13">
        <v>0</v>
      </c>
      <c r="K63" s="23">
        <f t="shared" si="0"/>
        <v>0</v>
      </c>
      <c r="L63" s="140" t="s">
        <v>22</v>
      </c>
      <c r="M63" s="13">
        <v>0</v>
      </c>
      <c r="N63" s="23">
        <f t="shared" si="1"/>
        <v>0</v>
      </c>
      <c r="O63" s="140" t="s">
        <v>22</v>
      </c>
      <c r="P63" s="13">
        <v>0</v>
      </c>
      <c r="Q63" s="23">
        <f t="shared" si="2"/>
        <v>0</v>
      </c>
      <c r="R63" s="140" t="s">
        <v>22</v>
      </c>
      <c r="S63" s="13">
        <v>0</v>
      </c>
      <c r="T63" s="23">
        <f t="shared" si="3"/>
        <v>0</v>
      </c>
      <c r="U63" s="140" t="s">
        <v>22</v>
      </c>
      <c r="V63" s="13">
        <v>0</v>
      </c>
      <c r="W63" s="23">
        <f t="shared" si="4"/>
        <v>0</v>
      </c>
      <c r="X63" s="29" t="s">
        <v>22</v>
      </c>
      <c r="Y63" s="13">
        <v>0</v>
      </c>
      <c r="Z63" s="23">
        <f t="shared" si="5"/>
        <v>0</v>
      </c>
      <c r="AA63" s="29" t="s">
        <v>22</v>
      </c>
      <c r="AB63" s="13">
        <v>0</v>
      </c>
      <c r="AC63" s="23">
        <f t="shared" si="6"/>
        <v>0</v>
      </c>
      <c r="AD63" s="140">
        <v>15.9</v>
      </c>
      <c r="AE63" s="13">
        <v>168.87</v>
      </c>
      <c r="AF63" s="23">
        <f t="shared" si="7"/>
        <v>0.24762917827497169</v>
      </c>
      <c r="AG63" s="29" t="s">
        <v>22</v>
      </c>
      <c r="AH63" s="13">
        <v>0</v>
      </c>
      <c r="AI63" s="23">
        <f t="shared" si="8"/>
        <v>0</v>
      </c>
      <c r="AJ63" s="29">
        <v>15.83</v>
      </c>
      <c r="AK63" s="13">
        <v>264.97000000000003</v>
      </c>
      <c r="AL63" s="23">
        <f t="shared" si="9"/>
        <v>0.44504514612402424</v>
      </c>
      <c r="AM63" s="394"/>
    </row>
    <row r="64" spans="1:39" x14ac:dyDescent="0.25">
      <c r="A64" s="328"/>
      <c r="B64" s="65">
        <v>1526</v>
      </c>
      <c r="C64" s="145" t="s">
        <v>800</v>
      </c>
      <c r="D64" s="146" t="s">
        <v>801</v>
      </c>
      <c r="E64" s="160">
        <v>1</v>
      </c>
      <c r="F64" s="163">
        <v>1</v>
      </c>
      <c r="G64" s="160">
        <v>0</v>
      </c>
      <c r="H64" s="163">
        <v>1</v>
      </c>
      <c r="I64" s="140" t="s">
        <v>22</v>
      </c>
      <c r="J64" s="13">
        <v>0</v>
      </c>
      <c r="K64" s="23">
        <f t="shared" si="0"/>
        <v>0</v>
      </c>
      <c r="L64" s="140" t="s">
        <v>22</v>
      </c>
      <c r="M64" s="13">
        <v>0</v>
      </c>
      <c r="N64" s="23">
        <f t="shared" si="1"/>
        <v>0</v>
      </c>
      <c r="O64" s="140" t="s">
        <v>22</v>
      </c>
      <c r="P64" s="13">
        <v>0</v>
      </c>
      <c r="Q64" s="23">
        <f t="shared" si="2"/>
        <v>0</v>
      </c>
      <c r="R64" s="140" t="s">
        <v>22</v>
      </c>
      <c r="S64" s="13">
        <v>0</v>
      </c>
      <c r="T64" s="23">
        <f t="shared" si="3"/>
        <v>0</v>
      </c>
      <c r="U64" s="140" t="s">
        <v>22</v>
      </c>
      <c r="V64" s="13">
        <v>0</v>
      </c>
      <c r="W64" s="23">
        <f t="shared" si="4"/>
        <v>0</v>
      </c>
      <c r="X64" s="140">
        <v>17.77</v>
      </c>
      <c r="Y64" s="13">
        <v>457.81</v>
      </c>
      <c r="Z64" s="23">
        <f t="shared" si="5"/>
        <v>0.51281074750783129</v>
      </c>
      <c r="AA64" s="140">
        <v>17.11</v>
      </c>
      <c r="AB64" s="13">
        <v>800.74</v>
      </c>
      <c r="AC64" s="23">
        <f t="shared" si="6"/>
        <v>1.0590438714815857</v>
      </c>
      <c r="AD64" s="336" t="s">
        <v>22</v>
      </c>
      <c r="AE64" s="337">
        <v>0</v>
      </c>
      <c r="AF64" s="338">
        <f t="shared" si="7"/>
        <v>0</v>
      </c>
      <c r="AG64" s="140">
        <v>17.350000000000001</v>
      </c>
      <c r="AH64" s="13">
        <v>801.84</v>
      </c>
      <c r="AI64" s="23">
        <f t="shared" si="8"/>
        <v>1.1204372197998687</v>
      </c>
      <c r="AJ64" s="336" t="s">
        <v>22</v>
      </c>
      <c r="AK64" s="337">
        <v>0</v>
      </c>
      <c r="AL64" s="338">
        <f t="shared" si="9"/>
        <v>0</v>
      </c>
      <c r="AM64" s="394"/>
    </row>
    <row r="65" spans="1:39" x14ac:dyDescent="0.25">
      <c r="A65" s="328"/>
      <c r="B65" s="65" t="s">
        <v>802</v>
      </c>
      <c r="C65" s="145" t="s">
        <v>803</v>
      </c>
      <c r="D65" s="344" t="s">
        <v>804</v>
      </c>
      <c r="E65" s="35">
        <v>1</v>
      </c>
      <c r="F65" s="145">
        <v>1</v>
      </c>
      <c r="G65" s="35">
        <v>0</v>
      </c>
      <c r="H65" s="145">
        <v>0</v>
      </c>
      <c r="I65" s="140">
        <v>18.03</v>
      </c>
      <c r="J65" s="13">
        <v>2223.67</v>
      </c>
      <c r="K65" s="23">
        <f t="shared" si="0"/>
        <v>3.2655660134771001</v>
      </c>
      <c r="L65" s="140">
        <v>17.920000000000002</v>
      </c>
      <c r="M65" s="13">
        <v>1394.5</v>
      </c>
      <c r="N65" s="23">
        <f t="shared" si="1"/>
        <v>2.8919665606956388</v>
      </c>
      <c r="O65" s="333">
        <v>18.05</v>
      </c>
      <c r="P65" s="334">
        <v>1822.54</v>
      </c>
      <c r="Q65" s="335">
        <f t="shared" si="2"/>
        <v>3.6219826168523324</v>
      </c>
      <c r="R65" s="140">
        <v>18.420000000000002</v>
      </c>
      <c r="S65" s="13">
        <v>2105.64</v>
      </c>
      <c r="T65" s="23">
        <f t="shared" si="3"/>
        <v>4.1652457044741507</v>
      </c>
      <c r="U65" s="140">
        <v>18.2</v>
      </c>
      <c r="V65" s="13">
        <v>2240.67</v>
      </c>
      <c r="W65" s="23">
        <f t="shared" si="4"/>
        <v>5.294805293316573</v>
      </c>
      <c r="X65" s="140">
        <v>17.54</v>
      </c>
      <c r="Y65" s="13">
        <v>322.38</v>
      </c>
      <c r="Z65" s="23">
        <f t="shared" si="5"/>
        <v>0.36111034879442266</v>
      </c>
      <c r="AA65" s="140">
        <v>17.66</v>
      </c>
      <c r="AB65" s="13">
        <v>542.66</v>
      </c>
      <c r="AC65" s="23">
        <f t="shared" si="6"/>
        <v>0.71771205047605635</v>
      </c>
      <c r="AD65" s="336" t="s">
        <v>22</v>
      </c>
      <c r="AE65" s="337">
        <v>0</v>
      </c>
      <c r="AF65" s="338">
        <f t="shared" si="7"/>
        <v>0</v>
      </c>
      <c r="AG65" s="140" t="s">
        <v>22</v>
      </c>
      <c r="AH65" s="13">
        <v>0</v>
      </c>
      <c r="AI65" s="23">
        <f t="shared" si="8"/>
        <v>0</v>
      </c>
      <c r="AJ65" s="336" t="s">
        <v>22</v>
      </c>
      <c r="AK65" s="337">
        <v>0</v>
      </c>
      <c r="AL65" s="338">
        <f t="shared" si="9"/>
        <v>0</v>
      </c>
      <c r="AM65" s="394"/>
    </row>
    <row r="66" spans="1:39" x14ac:dyDescent="0.25">
      <c r="A66" s="328"/>
      <c r="B66" s="65" t="s">
        <v>805</v>
      </c>
      <c r="C66" s="145" t="s">
        <v>803</v>
      </c>
      <c r="D66" s="344" t="s">
        <v>806</v>
      </c>
      <c r="E66" s="35">
        <v>1</v>
      </c>
      <c r="F66" s="145">
        <v>1</v>
      </c>
      <c r="G66" s="35">
        <v>0</v>
      </c>
      <c r="H66" s="145">
        <v>0</v>
      </c>
      <c r="I66" s="42">
        <v>18.97</v>
      </c>
      <c r="J66" s="13">
        <v>6763.67</v>
      </c>
      <c r="K66" s="13">
        <f t="shared" si="0"/>
        <v>9.9327736932074711</v>
      </c>
      <c r="L66" s="42">
        <v>18.91</v>
      </c>
      <c r="M66" s="13">
        <v>4234.2</v>
      </c>
      <c r="N66" s="23">
        <f t="shared" si="1"/>
        <v>8.7810432494065775</v>
      </c>
      <c r="O66" s="42">
        <v>19.12</v>
      </c>
      <c r="P66" s="13">
        <v>4647.99</v>
      </c>
      <c r="Q66" s="13">
        <f t="shared" si="2"/>
        <v>9.2370751716305133</v>
      </c>
      <c r="R66" s="34">
        <v>19.399999999999999</v>
      </c>
      <c r="S66" s="29">
        <v>5357.87</v>
      </c>
      <c r="T66" s="23">
        <f t="shared" si="3"/>
        <v>10.598604226093217</v>
      </c>
      <c r="U66" s="42">
        <v>19.149999999999999</v>
      </c>
      <c r="V66" s="13">
        <v>5399.28</v>
      </c>
      <c r="W66" s="23">
        <f t="shared" si="4"/>
        <v>12.758744627320537</v>
      </c>
      <c r="X66" s="29"/>
      <c r="Y66" s="29"/>
      <c r="Z66" s="23">
        <f t="shared" si="5"/>
        <v>0</v>
      </c>
      <c r="AA66" s="29"/>
      <c r="AB66" s="13"/>
      <c r="AC66" s="23">
        <f t="shared" si="6"/>
        <v>0</v>
      </c>
      <c r="AD66" s="140"/>
      <c r="AE66" s="13"/>
      <c r="AF66" s="23">
        <f t="shared" si="7"/>
        <v>0</v>
      </c>
      <c r="AG66" s="29"/>
      <c r="AH66" s="13"/>
      <c r="AI66" s="23">
        <f t="shared" si="8"/>
        <v>0</v>
      </c>
      <c r="AJ66" s="29"/>
      <c r="AK66" s="13"/>
      <c r="AL66" s="23">
        <f t="shared" si="9"/>
        <v>0</v>
      </c>
      <c r="AM66" s="394"/>
    </row>
    <row r="67" spans="1:39" x14ac:dyDescent="0.25">
      <c r="A67" s="328"/>
      <c r="B67" s="65">
        <v>1565</v>
      </c>
      <c r="C67" s="145" t="s">
        <v>807</v>
      </c>
      <c r="D67" s="344" t="s">
        <v>808</v>
      </c>
      <c r="E67" s="35">
        <v>1</v>
      </c>
      <c r="F67" s="145">
        <v>0</v>
      </c>
      <c r="G67" s="35">
        <v>0</v>
      </c>
      <c r="H67" s="145">
        <v>1</v>
      </c>
      <c r="I67" s="42">
        <v>24.24</v>
      </c>
      <c r="J67" s="13">
        <v>735.2</v>
      </c>
      <c r="K67" s="13">
        <f t="shared" si="0"/>
        <v>1.0796764506911387</v>
      </c>
      <c r="L67" s="42">
        <v>23.95</v>
      </c>
      <c r="M67" s="13">
        <v>464.6</v>
      </c>
      <c r="N67" s="23">
        <f t="shared" si="1"/>
        <v>0.96350495812061232</v>
      </c>
      <c r="O67" s="359" t="s">
        <v>22</v>
      </c>
      <c r="P67" s="334">
        <v>0</v>
      </c>
      <c r="Q67" s="334">
        <f t="shared" si="2"/>
        <v>0</v>
      </c>
      <c r="R67" s="34">
        <v>24.44</v>
      </c>
      <c r="S67" s="29">
        <v>846.83</v>
      </c>
      <c r="T67" s="23">
        <f t="shared" si="3"/>
        <v>1.6751462832772199</v>
      </c>
      <c r="U67" s="42">
        <v>24.18</v>
      </c>
      <c r="V67" s="13">
        <v>458.39</v>
      </c>
      <c r="W67" s="23">
        <f t="shared" si="4"/>
        <v>1.0831964539193117</v>
      </c>
      <c r="X67" s="29"/>
      <c r="Y67" s="29"/>
      <c r="Z67" s="23">
        <f t="shared" si="5"/>
        <v>0</v>
      </c>
      <c r="AA67" s="29"/>
      <c r="AB67" s="13"/>
      <c r="AC67" s="23">
        <f t="shared" si="6"/>
        <v>0</v>
      </c>
      <c r="AD67" s="140"/>
      <c r="AE67" s="13"/>
      <c r="AF67" s="23">
        <f t="shared" si="7"/>
        <v>0</v>
      </c>
      <c r="AG67" s="29"/>
      <c r="AH67" s="13"/>
      <c r="AI67" s="23">
        <f t="shared" si="8"/>
        <v>0</v>
      </c>
      <c r="AJ67" s="29"/>
      <c r="AK67" s="13"/>
      <c r="AL67" s="23">
        <f t="shared" si="9"/>
        <v>0</v>
      </c>
      <c r="AM67" s="394"/>
    </row>
    <row r="68" spans="1:39" x14ac:dyDescent="0.25">
      <c r="A68" s="328"/>
      <c r="B68" s="65">
        <v>1608</v>
      </c>
      <c r="C68" s="145" t="s">
        <v>809</v>
      </c>
      <c r="D68" s="152" t="s">
        <v>810</v>
      </c>
      <c r="E68" s="160">
        <v>1</v>
      </c>
      <c r="F68" s="163">
        <v>1</v>
      </c>
      <c r="G68" s="160">
        <v>0</v>
      </c>
      <c r="H68" s="163">
        <v>0</v>
      </c>
      <c r="I68" s="140" t="s">
        <v>22</v>
      </c>
      <c r="J68" s="13">
        <v>0</v>
      </c>
      <c r="K68" s="23">
        <f t="shared" si="0"/>
        <v>0</v>
      </c>
      <c r="L68" s="140" t="s">
        <v>22</v>
      </c>
      <c r="M68" s="13">
        <v>0</v>
      </c>
      <c r="N68" s="23">
        <f t="shared" si="1"/>
        <v>0</v>
      </c>
      <c r="O68" s="140" t="s">
        <v>22</v>
      </c>
      <c r="P68" s="13">
        <v>0</v>
      </c>
      <c r="Q68" s="23">
        <f t="shared" si="2"/>
        <v>0</v>
      </c>
      <c r="R68" s="140" t="s">
        <v>22</v>
      </c>
      <c r="S68" s="13">
        <v>0</v>
      </c>
      <c r="T68" s="23">
        <f t="shared" si="3"/>
        <v>0</v>
      </c>
      <c r="U68" s="140" t="s">
        <v>22</v>
      </c>
      <c r="V68" s="13">
        <v>0</v>
      </c>
      <c r="W68" s="23">
        <f t="shared" si="4"/>
        <v>0</v>
      </c>
      <c r="X68" s="140">
        <v>18.98</v>
      </c>
      <c r="Y68" s="13">
        <v>496.81</v>
      </c>
      <c r="Z68" s="23">
        <f t="shared" si="5"/>
        <v>0.55649616100427179</v>
      </c>
      <c r="AA68" s="140">
        <v>18.82</v>
      </c>
      <c r="AB68" s="13">
        <v>719.22</v>
      </c>
      <c r="AC68" s="23">
        <f t="shared" si="6"/>
        <v>0.95122703155454491</v>
      </c>
      <c r="AD68" s="336" t="s">
        <v>22</v>
      </c>
      <c r="AE68" s="337">
        <v>0</v>
      </c>
      <c r="AF68" s="338">
        <f t="shared" si="7"/>
        <v>0</v>
      </c>
      <c r="AG68" s="140">
        <v>18.57</v>
      </c>
      <c r="AH68" s="13">
        <v>241.33</v>
      </c>
      <c r="AI68" s="23">
        <f t="shared" si="8"/>
        <v>0.33721829074915477</v>
      </c>
      <c r="AJ68" s="336" t="s">
        <v>22</v>
      </c>
      <c r="AK68" s="337">
        <v>0</v>
      </c>
      <c r="AL68" s="338">
        <f t="shared" si="9"/>
        <v>0</v>
      </c>
      <c r="AM68" s="394"/>
    </row>
    <row r="69" spans="1:39" x14ac:dyDescent="0.25">
      <c r="A69" s="328"/>
      <c r="B69" s="65">
        <v>1680</v>
      </c>
      <c r="C69" s="145" t="s">
        <v>811</v>
      </c>
      <c r="D69" s="152"/>
      <c r="E69" s="160">
        <v>1</v>
      </c>
      <c r="F69" s="163">
        <v>1</v>
      </c>
      <c r="G69" s="160">
        <v>1</v>
      </c>
      <c r="H69" s="163">
        <v>0</v>
      </c>
      <c r="I69" s="42" t="s">
        <v>812</v>
      </c>
      <c r="J69" s="13">
        <v>2388.6</v>
      </c>
      <c r="K69" s="13">
        <f t="shared" ref="K69:K97" si="10">J69/$J$98*100</f>
        <v>3.5077736263885386</v>
      </c>
      <c r="L69" s="42">
        <v>27.21</v>
      </c>
      <c r="M69" s="13">
        <v>1446.44</v>
      </c>
      <c r="N69" s="23">
        <f t="shared" ref="N69:N97" si="11">M69/$M$98*100</f>
        <v>2.9996816866637506</v>
      </c>
      <c r="O69" s="42">
        <v>27.25</v>
      </c>
      <c r="P69" s="13">
        <v>1097.3399999999999</v>
      </c>
      <c r="Q69" s="13">
        <f t="shared" ref="Q69:Q97" si="12">P69/$P$98*100</f>
        <v>2.1807732092446468</v>
      </c>
      <c r="R69" s="34">
        <v>28.51</v>
      </c>
      <c r="S69" s="29">
        <v>1097.29</v>
      </c>
      <c r="T69" s="23">
        <f t="shared" ref="T69:T102" si="13">S69/$S$98*100</f>
        <v>2.1705906323314723</v>
      </c>
      <c r="U69" s="42">
        <v>28.06</v>
      </c>
      <c r="V69" s="13">
        <v>1160.07</v>
      </c>
      <c r="W69" s="23">
        <f t="shared" ref="W69:W97" si="14">V69/$V$98*100</f>
        <v>2.7412982619563597</v>
      </c>
      <c r="X69" s="29"/>
      <c r="Y69" s="29"/>
      <c r="Z69" s="23">
        <f t="shared" ref="Z69:Z97" si="15">Y69/$Y$98*100</f>
        <v>0</v>
      </c>
      <c r="AA69" s="29"/>
      <c r="AB69" s="13"/>
      <c r="AC69" s="23">
        <f t="shared" ref="AC69:AC97" si="16">AB69/$AB$98*100</f>
        <v>0</v>
      </c>
      <c r="AD69" s="140"/>
      <c r="AE69" s="13"/>
      <c r="AF69" s="23">
        <f t="shared" ref="AF69:AF97" si="17">AE69/$AE$98*100</f>
        <v>0</v>
      </c>
      <c r="AG69" s="29"/>
      <c r="AH69" s="13"/>
      <c r="AI69" s="23">
        <f t="shared" ref="AI69:AI97" si="18">AH69/$AH$98*100</f>
        <v>0</v>
      </c>
      <c r="AJ69" s="29"/>
      <c r="AK69" s="13"/>
      <c r="AL69" s="23">
        <f t="shared" ref="AL69:AL97" si="19">AK69/$AK$98*100</f>
        <v>0</v>
      </c>
      <c r="AM69" s="394"/>
    </row>
    <row r="70" spans="1:39" x14ac:dyDescent="0.25">
      <c r="A70" s="328"/>
      <c r="B70" s="65" t="s">
        <v>813</v>
      </c>
      <c r="C70" s="145" t="s">
        <v>814</v>
      </c>
      <c r="D70" s="152" t="s">
        <v>815</v>
      </c>
      <c r="E70" s="160">
        <v>1</v>
      </c>
      <c r="F70" s="163">
        <v>1</v>
      </c>
      <c r="G70" s="160">
        <v>0</v>
      </c>
      <c r="H70" s="163">
        <v>1</v>
      </c>
      <c r="I70" s="140">
        <v>22.43</v>
      </c>
      <c r="J70" s="13">
        <v>223.19</v>
      </c>
      <c r="K70" s="23">
        <f t="shared" si="10"/>
        <v>0.32776521630815453</v>
      </c>
      <c r="L70" s="140">
        <v>22.36</v>
      </c>
      <c r="M70" s="13">
        <v>255.16</v>
      </c>
      <c r="N70" s="23">
        <f t="shared" si="11"/>
        <v>0.52916040704704137</v>
      </c>
      <c r="O70" s="140">
        <v>22.4</v>
      </c>
      <c r="P70" s="13">
        <v>1027.4000000000001</v>
      </c>
      <c r="Q70" s="23">
        <f t="shared" si="12"/>
        <v>2.0417795716714515</v>
      </c>
      <c r="R70" s="140">
        <v>22.65</v>
      </c>
      <c r="S70" s="13">
        <v>389.39</v>
      </c>
      <c r="T70" s="23">
        <f t="shared" si="13"/>
        <v>0.77026700901635126</v>
      </c>
      <c r="U70" s="140">
        <v>22.47</v>
      </c>
      <c r="V70" s="13">
        <v>254.02</v>
      </c>
      <c r="W70" s="23">
        <f t="shared" si="14"/>
        <v>0.60026083296883348</v>
      </c>
      <c r="X70" s="140">
        <v>19.8</v>
      </c>
      <c r="Y70" s="13">
        <v>3546.69</v>
      </c>
      <c r="Z70" s="23">
        <f t="shared" si="15"/>
        <v>3.9727851075305263</v>
      </c>
      <c r="AA70" s="140">
        <v>19.98</v>
      </c>
      <c r="AB70" s="13">
        <v>2139.48</v>
      </c>
      <c r="AC70" s="23">
        <f t="shared" si="16"/>
        <v>2.8296365638751948</v>
      </c>
      <c r="AD70" s="336" t="s">
        <v>22</v>
      </c>
      <c r="AE70" s="337">
        <v>0</v>
      </c>
      <c r="AF70" s="338">
        <f t="shared" si="17"/>
        <v>0</v>
      </c>
      <c r="AG70" s="140">
        <v>19.47</v>
      </c>
      <c r="AH70" s="13">
        <v>1609.48</v>
      </c>
      <c r="AI70" s="23">
        <f t="shared" si="18"/>
        <v>2.2489789690256066</v>
      </c>
      <c r="AJ70" s="336" t="s">
        <v>22</v>
      </c>
      <c r="AK70" s="337">
        <v>0</v>
      </c>
      <c r="AL70" s="338">
        <f t="shared" si="19"/>
        <v>0</v>
      </c>
      <c r="AM70" s="394"/>
    </row>
    <row r="71" spans="1:39" x14ac:dyDescent="0.25">
      <c r="A71" s="328"/>
      <c r="B71" s="65" t="s">
        <v>816</v>
      </c>
      <c r="C71" s="145" t="s">
        <v>814</v>
      </c>
      <c r="D71" s="152" t="s">
        <v>817</v>
      </c>
      <c r="E71" s="160">
        <v>1</v>
      </c>
      <c r="F71" s="163">
        <v>1</v>
      </c>
      <c r="G71" s="160">
        <v>0</v>
      </c>
      <c r="H71" s="163">
        <v>1</v>
      </c>
      <c r="I71" s="140">
        <v>25.31</v>
      </c>
      <c r="J71" s="13">
        <v>452.01</v>
      </c>
      <c r="K71" s="23">
        <f t="shared" si="10"/>
        <v>0.66379835755835348</v>
      </c>
      <c r="L71" s="140">
        <v>25.24</v>
      </c>
      <c r="M71" s="13">
        <v>233.24</v>
      </c>
      <c r="N71" s="23">
        <f t="shared" si="11"/>
        <v>0.48370188642284034</v>
      </c>
      <c r="O71" s="140">
        <v>25.33</v>
      </c>
      <c r="P71" s="13">
        <v>347.62</v>
      </c>
      <c r="Q71" s="23">
        <f t="shared" si="12"/>
        <v>0.69083454808685019</v>
      </c>
      <c r="R71" s="140">
        <v>25.66</v>
      </c>
      <c r="S71" s="13">
        <v>547.16999999999996</v>
      </c>
      <c r="T71" s="23">
        <f t="shared" si="13"/>
        <v>1.0823775631718249</v>
      </c>
      <c r="U71" s="140">
        <v>25.48</v>
      </c>
      <c r="V71" s="13">
        <v>546.73</v>
      </c>
      <c r="W71" s="23">
        <f t="shared" si="14"/>
        <v>1.2919478986262904</v>
      </c>
      <c r="X71" s="140">
        <v>20.96</v>
      </c>
      <c r="Y71" s="13">
        <v>943.1</v>
      </c>
      <c r="Z71" s="23">
        <f t="shared" si="15"/>
        <v>1.056402909448539</v>
      </c>
      <c r="AA71" s="140">
        <v>20.09</v>
      </c>
      <c r="AB71" s="13">
        <v>817.67</v>
      </c>
      <c r="AC71" s="23">
        <f t="shared" si="16"/>
        <v>1.0814351754556388</v>
      </c>
      <c r="AD71" s="336" t="s">
        <v>22</v>
      </c>
      <c r="AE71" s="337">
        <v>0</v>
      </c>
      <c r="AF71" s="338">
        <f t="shared" si="17"/>
        <v>0</v>
      </c>
      <c r="AG71" s="140">
        <v>20.56</v>
      </c>
      <c r="AH71" s="13">
        <v>440.18</v>
      </c>
      <c r="AI71" s="23">
        <f t="shared" si="18"/>
        <v>0.61507789011711322</v>
      </c>
      <c r="AJ71" s="336" t="s">
        <v>22</v>
      </c>
      <c r="AK71" s="337">
        <v>0</v>
      </c>
      <c r="AL71" s="338">
        <f t="shared" si="19"/>
        <v>0</v>
      </c>
      <c r="AM71" s="394"/>
    </row>
    <row r="72" spans="1:39" x14ac:dyDescent="0.25">
      <c r="A72" s="328"/>
      <c r="B72" s="65">
        <v>1696</v>
      </c>
      <c r="C72" s="145" t="s">
        <v>818</v>
      </c>
      <c r="D72" s="152"/>
      <c r="E72" s="160">
        <v>1</v>
      </c>
      <c r="F72" s="163">
        <v>0</v>
      </c>
      <c r="G72" s="160">
        <v>0</v>
      </c>
      <c r="H72" s="163">
        <v>0</v>
      </c>
      <c r="I72" s="42">
        <v>25.41</v>
      </c>
      <c r="J72" s="13">
        <v>266.97000000000003</v>
      </c>
      <c r="K72" s="13">
        <f t="shared" si="10"/>
        <v>0.39205824543119322</v>
      </c>
      <c r="L72" s="42">
        <v>25.24</v>
      </c>
      <c r="M72" s="13">
        <v>392.46</v>
      </c>
      <c r="N72" s="23">
        <f t="shared" si="11"/>
        <v>0.81389831223421316</v>
      </c>
      <c r="O72" s="42" t="s">
        <v>22</v>
      </c>
      <c r="P72" s="13">
        <v>0</v>
      </c>
      <c r="Q72" s="13">
        <f t="shared" si="12"/>
        <v>0</v>
      </c>
      <c r="R72" s="34">
        <v>25.78</v>
      </c>
      <c r="S72" s="29">
        <v>180.34</v>
      </c>
      <c r="T72" s="23">
        <f t="shared" si="13"/>
        <v>0.35673733893014398</v>
      </c>
      <c r="U72" s="42">
        <v>25.35</v>
      </c>
      <c r="V72" s="13">
        <v>590.54</v>
      </c>
      <c r="W72" s="23">
        <f t="shared" si="14"/>
        <v>1.3954729245784381</v>
      </c>
      <c r="X72" s="29"/>
      <c r="Y72" s="29"/>
      <c r="Z72" s="23">
        <f t="shared" si="15"/>
        <v>0</v>
      </c>
      <c r="AA72" s="29"/>
      <c r="AB72" s="13"/>
      <c r="AC72" s="23">
        <f t="shared" si="16"/>
        <v>0</v>
      </c>
      <c r="AD72" s="140"/>
      <c r="AE72" s="13"/>
      <c r="AF72" s="23">
        <f t="shared" si="17"/>
        <v>0</v>
      </c>
      <c r="AG72" s="29"/>
      <c r="AH72" s="13"/>
      <c r="AI72" s="23">
        <f t="shared" si="18"/>
        <v>0</v>
      </c>
      <c r="AJ72" s="29"/>
      <c r="AK72" s="13"/>
      <c r="AL72" s="23">
        <f t="shared" si="19"/>
        <v>0</v>
      </c>
      <c r="AM72" s="394"/>
    </row>
    <row r="73" spans="1:39" x14ac:dyDescent="0.25">
      <c r="A73" s="328"/>
      <c r="B73" s="65">
        <v>1711</v>
      </c>
      <c r="C73" s="145" t="s">
        <v>819</v>
      </c>
      <c r="D73" s="152"/>
      <c r="E73" s="160">
        <v>1</v>
      </c>
      <c r="F73" s="163">
        <v>0</v>
      </c>
      <c r="G73" s="160">
        <v>1</v>
      </c>
      <c r="H73" s="163">
        <v>1</v>
      </c>
      <c r="I73" s="42">
        <v>28.11</v>
      </c>
      <c r="J73" s="13">
        <v>745.87</v>
      </c>
      <c r="K73" s="13">
        <f t="shared" si="10"/>
        <v>1.0953458572864518</v>
      </c>
      <c r="L73" s="42">
        <v>27.9</v>
      </c>
      <c r="M73" s="13">
        <v>451.69</v>
      </c>
      <c r="N73" s="23">
        <f t="shared" si="11"/>
        <v>0.9367317144500632</v>
      </c>
      <c r="O73" s="334" t="s">
        <v>22</v>
      </c>
      <c r="P73" s="334">
        <v>0</v>
      </c>
      <c r="Q73" s="334">
        <f t="shared" si="12"/>
        <v>0</v>
      </c>
      <c r="R73" s="13">
        <v>29.4</v>
      </c>
      <c r="S73" s="13">
        <v>462.8</v>
      </c>
      <c r="T73" s="23">
        <f t="shared" si="13"/>
        <v>0.91548209192009911</v>
      </c>
      <c r="U73" s="42">
        <v>29.01</v>
      </c>
      <c r="V73" s="13">
        <v>532.12</v>
      </c>
      <c r="W73" s="23">
        <f t="shared" si="14"/>
        <v>1.2574238030051792</v>
      </c>
      <c r="X73" s="29"/>
      <c r="Y73" s="29"/>
      <c r="Z73" s="23">
        <f t="shared" si="15"/>
        <v>0</v>
      </c>
      <c r="AA73" s="29"/>
      <c r="AB73" s="13"/>
      <c r="AC73" s="23">
        <f t="shared" si="16"/>
        <v>0</v>
      </c>
      <c r="AD73" s="140"/>
      <c r="AE73" s="13"/>
      <c r="AF73" s="23">
        <f t="shared" si="17"/>
        <v>0</v>
      </c>
      <c r="AG73" s="29"/>
      <c r="AH73" s="13"/>
      <c r="AI73" s="23">
        <f t="shared" si="18"/>
        <v>0</v>
      </c>
      <c r="AJ73" s="29"/>
      <c r="AK73" s="13"/>
      <c r="AL73" s="23">
        <f t="shared" si="19"/>
        <v>0</v>
      </c>
      <c r="AM73" s="394"/>
    </row>
    <row r="74" spans="1:39" x14ac:dyDescent="0.25">
      <c r="A74" s="328"/>
      <c r="B74" s="65">
        <v>1737</v>
      </c>
      <c r="C74" s="145" t="s">
        <v>820</v>
      </c>
      <c r="D74" s="151" t="s">
        <v>821</v>
      </c>
      <c r="E74" s="160">
        <v>1</v>
      </c>
      <c r="F74" s="163">
        <v>1</v>
      </c>
      <c r="G74" s="160">
        <v>0</v>
      </c>
      <c r="H74" s="163">
        <v>0</v>
      </c>
      <c r="I74" s="140">
        <v>20.079999999999998</v>
      </c>
      <c r="J74" s="13">
        <v>916.82</v>
      </c>
      <c r="K74" s="23">
        <f t="shared" si="10"/>
        <v>1.3463941288392951</v>
      </c>
      <c r="L74" s="140">
        <v>20.079999999999998</v>
      </c>
      <c r="M74" s="13">
        <v>678.27</v>
      </c>
      <c r="N74" s="23">
        <f t="shared" si="11"/>
        <v>1.4066218423255867</v>
      </c>
      <c r="O74" s="140">
        <v>20.09</v>
      </c>
      <c r="P74" s="13">
        <v>538.69000000000005</v>
      </c>
      <c r="Q74" s="23">
        <f t="shared" si="12"/>
        <v>1.0705530829897745</v>
      </c>
      <c r="R74" s="140">
        <v>20.38</v>
      </c>
      <c r="S74" s="13">
        <v>594.67999999999995</v>
      </c>
      <c r="T74" s="23">
        <f t="shared" si="13"/>
        <v>1.1763588816401134</v>
      </c>
      <c r="U74" s="140">
        <v>20.23</v>
      </c>
      <c r="V74" s="13">
        <v>391.27</v>
      </c>
      <c r="W74" s="23">
        <f t="shared" si="14"/>
        <v>0.92458883598029851</v>
      </c>
      <c r="X74" s="140">
        <v>15.72</v>
      </c>
      <c r="Y74" s="13">
        <v>674.97</v>
      </c>
      <c r="Z74" s="23">
        <f t="shared" si="15"/>
        <v>0.75606009096647275</v>
      </c>
      <c r="AA74" s="140">
        <v>15.73</v>
      </c>
      <c r="AB74" s="13">
        <v>549.09</v>
      </c>
      <c r="AC74" s="23">
        <f t="shared" si="16"/>
        <v>0.72621624920926153</v>
      </c>
      <c r="AD74" s="336" t="s">
        <v>22</v>
      </c>
      <c r="AE74" s="337">
        <v>0</v>
      </c>
      <c r="AF74" s="338">
        <f t="shared" si="17"/>
        <v>0</v>
      </c>
      <c r="AG74" s="140">
        <v>15.45</v>
      </c>
      <c r="AH74" s="13">
        <v>334.39</v>
      </c>
      <c r="AI74" s="23">
        <f t="shared" si="18"/>
        <v>0.46725406805457198</v>
      </c>
      <c r="AJ74" s="336" t="s">
        <v>22</v>
      </c>
      <c r="AK74" s="337">
        <v>0</v>
      </c>
      <c r="AL74" s="338">
        <f t="shared" si="19"/>
        <v>0</v>
      </c>
      <c r="AM74" s="394"/>
    </row>
    <row r="75" spans="1:39" x14ac:dyDescent="0.25">
      <c r="A75" s="328"/>
      <c r="B75" s="65">
        <v>1811</v>
      </c>
      <c r="C75" s="145" t="s">
        <v>822</v>
      </c>
      <c r="D75" s="151" t="s">
        <v>823</v>
      </c>
      <c r="E75" s="160">
        <v>1</v>
      </c>
      <c r="F75" s="163">
        <v>1</v>
      </c>
      <c r="G75" s="160">
        <v>0</v>
      </c>
      <c r="H75" s="163">
        <v>0</v>
      </c>
      <c r="I75" s="140" t="s">
        <v>22</v>
      </c>
      <c r="J75" s="13">
        <v>0</v>
      </c>
      <c r="K75" s="23">
        <f t="shared" si="10"/>
        <v>0</v>
      </c>
      <c r="L75" s="140" t="s">
        <v>22</v>
      </c>
      <c r="M75" s="13">
        <v>0</v>
      </c>
      <c r="N75" s="23">
        <f t="shared" si="11"/>
        <v>0</v>
      </c>
      <c r="O75" s="140" t="s">
        <v>22</v>
      </c>
      <c r="P75" s="13">
        <v>0</v>
      </c>
      <c r="Q75" s="23">
        <f t="shared" si="12"/>
        <v>0</v>
      </c>
      <c r="R75" s="140" t="s">
        <v>22</v>
      </c>
      <c r="S75" s="13">
        <v>0</v>
      </c>
      <c r="T75" s="23">
        <f t="shared" si="13"/>
        <v>0</v>
      </c>
      <c r="U75" s="140" t="s">
        <v>22</v>
      </c>
      <c r="V75" s="13">
        <v>0</v>
      </c>
      <c r="W75" s="23">
        <f t="shared" si="14"/>
        <v>0</v>
      </c>
      <c r="X75" s="29" t="s">
        <v>22</v>
      </c>
      <c r="Y75" s="29">
        <v>0</v>
      </c>
      <c r="Z75" s="23">
        <f t="shared" si="15"/>
        <v>0</v>
      </c>
      <c r="AA75" s="29" t="s">
        <v>22</v>
      </c>
      <c r="AB75" s="13">
        <v>0</v>
      </c>
      <c r="AC75" s="23">
        <f t="shared" si="16"/>
        <v>0</v>
      </c>
      <c r="AD75" s="336" t="s">
        <v>22</v>
      </c>
      <c r="AE75" s="337">
        <v>0</v>
      </c>
      <c r="AF75" s="338">
        <f t="shared" si="17"/>
        <v>0</v>
      </c>
      <c r="AG75" s="29">
        <v>16.32</v>
      </c>
      <c r="AH75" s="13">
        <v>373.2</v>
      </c>
      <c r="AI75" s="23">
        <f t="shared" si="18"/>
        <v>0.52148454857491633</v>
      </c>
      <c r="AJ75" s="362" t="s">
        <v>22</v>
      </c>
      <c r="AK75" s="337">
        <v>0</v>
      </c>
      <c r="AL75" s="338">
        <f t="shared" si="19"/>
        <v>0</v>
      </c>
      <c r="AM75" s="394"/>
    </row>
    <row r="76" spans="1:39" x14ac:dyDescent="0.25">
      <c r="A76" s="328"/>
      <c r="B76" s="65">
        <v>1817</v>
      </c>
      <c r="C76" s="145" t="s">
        <v>824</v>
      </c>
      <c r="D76" s="152" t="s">
        <v>825</v>
      </c>
      <c r="E76" s="160">
        <v>1</v>
      </c>
      <c r="F76" s="163">
        <v>1</v>
      </c>
      <c r="G76" s="160">
        <v>0</v>
      </c>
      <c r="H76" s="163">
        <v>1</v>
      </c>
      <c r="I76" s="42">
        <v>20.18</v>
      </c>
      <c r="J76" s="13">
        <v>340.7</v>
      </c>
      <c r="K76" s="13">
        <f t="shared" si="10"/>
        <v>0.50033428556919324</v>
      </c>
      <c r="L76" s="42">
        <v>20.079999999999998</v>
      </c>
      <c r="M76" s="13">
        <v>148.96</v>
      </c>
      <c r="N76" s="23">
        <f t="shared" si="11"/>
        <v>0.30891885183307449</v>
      </c>
      <c r="O76" s="359" t="s">
        <v>22</v>
      </c>
      <c r="P76" s="334">
        <v>0</v>
      </c>
      <c r="Q76" s="334">
        <f t="shared" si="12"/>
        <v>0</v>
      </c>
      <c r="R76" s="34">
        <v>20.49</v>
      </c>
      <c r="S76" s="29">
        <v>198.84</v>
      </c>
      <c r="T76" s="23">
        <f t="shared" si="13"/>
        <v>0.39333288495547208</v>
      </c>
      <c r="U76" s="42">
        <v>20.350000000000001</v>
      </c>
      <c r="V76" s="13">
        <v>162.03</v>
      </c>
      <c r="W76" s="23">
        <f t="shared" si="14"/>
        <v>0.38288427197047503</v>
      </c>
      <c r="X76" s="29"/>
      <c r="Y76" s="29"/>
      <c r="Z76" s="23">
        <f t="shared" si="15"/>
        <v>0</v>
      </c>
      <c r="AA76" s="29"/>
      <c r="AB76" s="13"/>
      <c r="AC76" s="23">
        <f t="shared" si="16"/>
        <v>0</v>
      </c>
      <c r="AD76" s="140"/>
      <c r="AE76" s="13"/>
      <c r="AF76" s="23">
        <f t="shared" si="17"/>
        <v>0</v>
      </c>
      <c r="AG76" s="29"/>
      <c r="AH76" s="13"/>
      <c r="AI76" s="23">
        <f t="shared" si="18"/>
        <v>0</v>
      </c>
      <c r="AJ76" s="29"/>
      <c r="AK76" s="13"/>
      <c r="AL76" s="23">
        <f t="shared" si="19"/>
        <v>0</v>
      </c>
      <c r="AM76" s="394"/>
    </row>
    <row r="77" spans="1:39" x14ac:dyDescent="0.25">
      <c r="A77" s="328"/>
      <c r="B77" s="65">
        <v>1850</v>
      </c>
      <c r="C77" s="145" t="s">
        <v>826</v>
      </c>
      <c r="D77" s="152"/>
      <c r="E77" s="160">
        <v>1</v>
      </c>
      <c r="F77" s="163">
        <v>0</v>
      </c>
      <c r="G77" s="160">
        <v>0</v>
      </c>
      <c r="H77" s="163">
        <v>1</v>
      </c>
      <c r="I77" s="42">
        <v>29.65</v>
      </c>
      <c r="J77" s="13">
        <v>309.14999999999998</v>
      </c>
      <c r="K77" s="13">
        <f t="shared" si="10"/>
        <v>0.45400159783890837</v>
      </c>
      <c r="L77" s="42" t="s">
        <v>827</v>
      </c>
      <c r="M77" s="13">
        <v>90.8</v>
      </c>
      <c r="N77" s="23">
        <f t="shared" si="11"/>
        <v>0.18830445587032196</v>
      </c>
      <c r="O77" s="42">
        <v>29.54</v>
      </c>
      <c r="P77" s="13">
        <v>210.85</v>
      </c>
      <c r="Q77" s="13">
        <f t="shared" si="12"/>
        <v>0.41902785934098252</v>
      </c>
      <c r="R77" s="34">
        <v>29.99</v>
      </c>
      <c r="S77" s="29">
        <v>204.36</v>
      </c>
      <c r="T77" s="23">
        <f t="shared" si="13"/>
        <v>0.40425220463438077</v>
      </c>
      <c r="U77" s="42">
        <v>29.84</v>
      </c>
      <c r="V77" s="13">
        <v>159.80000000000001</v>
      </c>
      <c r="W77" s="23">
        <f t="shared" si="14"/>
        <v>0.37761468037327606</v>
      </c>
      <c r="X77" s="29"/>
      <c r="Y77" s="29"/>
      <c r="Z77" s="23">
        <f t="shared" si="15"/>
        <v>0</v>
      </c>
      <c r="AA77" s="29"/>
      <c r="AB77" s="13"/>
      <c r="AC77" s="23">
        <f t="shared" si="16"/>
        <v>0</v>
      </c>
      <c r="AD77" s="140"/>
      <c r="AE77" s="13"/>
      <c r="AF77" s="23">
        <f t="shared" si="17"/>
        <v>0</v>
      </c>
      <c r="AG77" s="29"/>
      <c r="AH77" s="13"/>
      <c r="AI77" s="23">
        <f t="shared" si="18"/>
        <v>0</v>
      </c>
      <c r="AJ77" s="29"/>
      <c r="AK77" s="13"/>
      <c r="AL77" s="23">
        <f t="shared" si="19"/>
        <v>0</v>
      </c>
      <c r="AM77" s="394"/>
    </row>
    <row r="78" spans="1:39" x14ac:dyDescent="0.25">
      <c r="A78" s="328"/>
      <c r="B78" s="65">
        <v>1883</v>
      </c>
      <c r="C78" s="145" t="s">
        <v>828</v>
      </c>
      <c r="D78" s="152"/>
      <c r="E78" s="160">
        <v>1</v>
      </c>
      <c r="F78" s="163">
        <v>1</v>
      </c>
      <c r="G78" s="160">
        <v>1</v>
      </c>
      <c r="H78" s="163">
        <v>0</v>
      </c>
      <c r="I78" s="42">
        <v>23.93</v>
      </c>
      <c r="J78" s="13">
        <v>199.05</v>
      </c>
      <c r="K78" s="13">
        <f t="shared" si="10"/>
        <v>0.29231446886571155</v>
      </c>
      <c r="L78" s="42">
        <v>23.85</v>
      </c>
      <c r="M78" s="13">
        <v>124.21</v>
      </c>
      <c r="N78" s="23">
        <f t="shared" si="11"/>
        <v>0.25759137074507371</v>
      </c>
      <c r="O78" s="42" t="s">
        <v>22</v>
      </c>
      <c r="P78" s="13">
        <v>0</v>
      </c>
      <c r="Q78" s="13">
        <f t="shared" si="12"/>
        <v>0</v>
      </c>
      <c r="R78" s="34">
        <v>21.73</v>
      </c>
      <c r="S78" s="29">
        <v>95.3</v>
      </c>
      <c r="T78" s="23">
        <f t="shared" si="13"/>
        <v>0.18851651547101431</v>
      </c>
      <c r="U78" s="42">
        <v>23.93</v>
      </c>
      <c r="V78" s="13">
        <v>105.3</v>
      </c>
      <c r="W78" s="23">
        <f t="shared" si="14"/>
        <v>0.24882869739240279</v>
      </c>
      <c r="X78" s="29"/>
      <c r="Y78" s="29"/>
      <c r="Z78" s="23">
        <f t="shared" si="15"/>
        <v>0</v>
      </c>
      <c r="AA78" s="29"/>
      <c r="AB78" s="13"/>
      <c r="AC78" s="23">
        <f t="shared" si="16"/>
        <v>0</v>
      </c>
      <c r="AD78" s="140"/>
      <c r="AE78" s="13"/>
      <c r="AF78" s="23">
        <f t="shared" si="17"/>
        <v>0</v>
      </c>
      <c r="AG78" s="29"/>
      <c r="AH78" s="13"/>
      <c r="AI78" s="23">
        <f t="shared" si="18"/>
        <v>0</v>
      </c>
      <c r="AJ78" s="29" t="s">
        <v>22</v>
      </c>
      <c r="AK78" s="13">
        <v>0</v>
      </c>
      <c r="AL78" s="23">
        <f t="shared" si="19"/>
        <v>0</v>
      </c>
      <c r="AM78" s="394"/>
    </row>
    <row r="79" spans="1:39" x14ac:dyDescent="0.25">
      <c r="A79" s="328"/>
      <c r="B79" s="65">
        <v>1885</v>
      </c>
      <c r="C79" s="145" t="s">
        <v>407</v>
      </c>
      <c r="D79" s="151" t="s">
        <v>829</v>
      </c>
      <c r="E79" s="160">
        <v>0</v>
      </c>
      <c r="F79" s="163">
        <v>1</v>
      </c>
      <c r="G79" s="160">
        <v>0</v>
      </c>
      <c r="H79" s="163">
        <v>0</v>
      </c>
      <c r="I79" s="140" t="s">
        <v>22</v>
      </c>
      <c r="J79" s="13">
        <v>0</v>
      </c>
      <c r="K79" s="23">
        <f t="shared" si="10"/>
        <v>0</v>
      </c>
      <c r="L79" s="140" t="s">
        <v>22</v>
      </c>
      <c r="M79" s="13">
        <v>0</v>
      </c>
      <c r="N79" s="23">
        <f t="shared" si="11"/>
        <v>0</v>
      </c>
      <c r="O79" s="140" t="s">
        <v>22</v>
      </c>
      <c r="P79" s="13">
        <v>0</v>
      </c>
      <c r="Q79" s="23">
        <f t="shared" si="12"/>
        <v>0</v>
      </c>
      <c r="R79" s="140" t="s">
        <v>22</v>
      </c>
      <c r="S79" s="13">
        <v>0</v>
      </c>
      <c r="T79" s="23">
        <f t="shared" si="13"/>
        <v>0</v>
      </c>
      <c r="U79" s="140" t="s">
        <v>22</v>
      </c>
      <c r="V79" s="13">
        <v>0</v>
      </c>
      <c r="W79" s="23">
        <f t="shared" si="14"/>
        <v>0</v>
      </c>
      <c r="X79" s="29" t="s">
        <v>22</v>
      </c>
      <c r="Y79" s="29">
        <v>0</v>
      </c>
      <c r="Z79" s="23">
        <f t="shared" si="15"/>
        <v>0</v>
      </c>
      <c r="AA79" s="29" t="s">
        <v>22</v>
      </c>
      <c r="AB79" s="13">
        <v>0</v>
      </c>
      <c r="AC79" s="23">
        <f t="shared" si="16"/>
        <v>0</v>
      </c>
      <c r="AD79" s="140" t="s">
        <v>22</v>
      </c>
      <c r="AE79" s="13">
        <v>0</v>
      </c>
      <c r="AF79" s="23">
        <f t="shared" si="17"/>
        <v>0</v>
      </c>
      <c r="AG79" s="29" t="s">
        <v>22</v>
      </c>
      <c r="AH79" s="13">
        <v>0</v>
      </c>
      <c r="AI79" s="23">
        <f t="shared" si="18"/>
        <v>0</v>
      </c>
      <c r="AJ79" s="29">
        <v>20.07</v>
      </c>
      <c r="AK79" s="13">
        <v>200.28</v>
      </c>
      <c r="AL79" s="23">
        <f t="shared" si="19"/>
        <v>0.33639144758168688</v>
      </c>
      <c r="AM79" s="394"/>
    </row>
    <row r="80" spans="1:39" x14ac:dyDescent="0.25">
      <c r="A80" s="328"/>
      <c r="B80" s="65" t="s">
        <v>830</v>
      </c>
      <c r="C80" s="145" t="s">
        <v>831</v>
      </c>
      <c r="D80" s="151"/>
      <c r="E80" s="160">
        <v>1</v>
      </c>
      <c r="F80" s="163">
        <v>1</v>
      </c>
      <c r="G80" s="160">
        <v>0</v>
      </c>
      <c r="H80" s="163">
        <v>0</v>
      </c>
      <c r="I80" s="42" t="s">
        <v>832</v>
      </c>
      <c r="J80" s="13">
        <v>182</v>
      </c>
      <c r="K80" s="13">
        <f t="shared" si="10"/>
        <v>0.26727572636804575</v>
      </c>
      <c r="L80" s="42">
        <v>21.96</v>
      </c>
      <c r="M80" s="13">
        <v>266.63</v>
      </c>
      <c r="N80" s="23">
        <f t="shared" si="11"/>
        <v>0.55294732454519768</v>
      </c>
      <c r="O80" s="42">
        <v>21.35</v>
      </c>
      <c r="P80" s="13">
        <v>578.58000000000004</v>
      </c>
      <c r="Q80" s="13">
        <f t="shared" si="12"/>
        <v>1.1498275497154646</v>
      </c>
      <c r="R80" s="34">
        <v>21.62</v>
      </c>
      <c r="S80" s="29">
        <v>299.7</v>
      </c>
      <c r="T80" s="23">
        <f t="shared" si="13"/>
        <v>0.59284784561031478</v>
      </c>
      <c r="U80" s="42">
        <v>21.5</v>
      </c>
      <c r="V80" s="13">
        <v>207.87</v>
      </c>
      <c r="W80" s="23">
        <f t="shared" si="14"/>
        <v>0.49120628040796555</v>
      </c>
      <c r="X80" s="29"/>
      <c r="Y80" s="29"/>
      <c r="Z80" s="23">
        <f t="shared" si="15"/>
        <v>0</v>
      </c>
      <c r="AA80" s="29"/>
      <c r="AB80" s="13"/>
      <c r="AC80" s="23">
        <f t="shared" si="16"/>
        <v>0</v>
      </c>
      <c r="AD80" s="140"/>
      <c r="AE80" s="13"/>
      <c r="AF80" s="23">
        <f t="shared" si="17"/>
        <v>0</v>
      </c>
      <c r="AG80" s="29"/>
      <c r="AH80" s="13"/>
      <c r="AI80" s="23">
        <f t="shared" si="18"/>
        <v>0</v>
      </c>
      <c r="AJ80" s="29"/>
      <c r="AK80" s="13"/>
      <c r="AL80" s="23">
        <f t="shared" si="19"/>
        <v>0</v>
      </c>
      <c r="AM80" s="394"/>
    </row>
    <row r="81" spans="1:39" x14ac:dyDescent="0.25">
      <c r="A81" s="328"/>
      <c r="B81" s="65" t="s">
        <v>833</v>
      </c>
      <c r="C81" s="145" t="s">
        <v>831</v>
      </c>
      <c r="D81" s="151"/>
      <c r="E81" s="160">
        <v>1</v>
      </c>
      <c r="F81" s="163">
        <v>1</v>
      </c>
      <c r="G81" s="160">
        <v>0</v>
      </c>
      <c r="H81" s="163">
        <v>0</v>
      </c>
      <c r="I81" s="42">
        <v>23.43</v>
      </c>
      <c r="J81" s="13">
        <v>1109.4100000000001</v>
      </c>
      <c r="K81" s="13">
        <f t="shared" si="10"/>
        <v>1.6292217779668878</v>
      </c>
      <c r="L81" s="42">
        <v>23.33</v>
      </c>
      <c r="M81" s="13">
        <v>1388.2</v>
      </c>
      <c r="N81" s="23">
        <f t="shared" si="11"/>
        <v>2.8789013836914208</v>
      </c>
      <c r="O81" s="359">
        <v>23.31</v>
      </c>
      <c r="P81" s="334">
        <v>974.93</v>
      </c>
      <c r="Q81" s="334">
        <f t="shared" si="12"/>
        <v>1.9375045335893009</v>
      </c>
      <c r="R81" s="34">
        <v>23.55</v>
      </c>
      <c r="S81" s="29">
        <v>1220.3599999999999</v>
      </c>
      <c r="T81" s="23">
        <f t="shared" si="13"/>
        <v>2.4140400295929383</v>
      </c>
      <c r="U81" s="42">
        <v>23.43</v>
      </c>
      <c r="V81" s="13">
        <v>1743.73</v>
      </c>
      <c r="W81" s="23">
        <f t="shared" si="14"/>
        <v>4.1205134330869377</v>
      </c>
      <c r="X81" s="29"/>
      <c r="Y81" s="29"/>
      <c r="Z81" s="23">
        <f t="shared" si="15"/>
        <v>0</v>
      </c>
      <c r="AA81" s="29"/>
      <c r="AB81" s="13"/>
      <c r="AC81" s="23">
        <f t="shared" si="16"/>
        <v>0</v>
      </c>
      <c r="AD81" s="140"/>
      <c r="AE81" s="13"/>
      <c r="AF81" s="23">
        <f t="shared" si="17"/>
        <v>0</v>
      </c>
      <c r="AG81" s="29"/>
      <c r="AH81" s="13"/>
      <c r="AI81" s="23">
        <f t="shared" si="18"/>
        <v>0</v>
      </c>
      <c r="AJ81" s="29"/>
      <c r="AK81" s="13"/>
      <c r="AL81" s="23">
        <f t="shared" si="19"/>
        <v>0</v>
      </c>
      <c r="AM81" s="394"/>
    </row>
    <row r="82" spans="1:39" x14ac:dyDescent="0.25">
      <c r="A82" s="328"/>
      <c r="B82" s="65">
        <v>1965</v>
      </c>
      <c r="C82" s="145" t="s">
        <v>834</v>
      </c>
      <c r="D82" s="151" t="s">
        <v>835</v>
      </c>
      <c r="E82" s="160">
        <v>0</v>
      </c>
      <c r="F82" s="163">
        <v>1</v>
      </c>
      <c r="G82" s="160">
        <v>0</v>
      </c>
      <c r="H82" s="163">
        <v>1</v>
      </c>
      <c r="I82" s="140" t="s">
        <v>22</v>
      </c>
      <c r="J82" s="13">
        <v>0</v>
      </c>
      <c r="K82" s="23">
        <f t="shared" si="10"/>
        <v>0</v>
      </c>
      <c r="L82" s="140" t="s">
        <v>22</v>
      </c>
      <c r="M82" s="13">
        <v>0</v>
      </c>
      <c r="N82" s="23">
        <f t="shared" si="11"/>
        <v>0</v>
      </c>
      <c r="O82" s="140" t="s">
        <v>22</v>
      </c>
      <c r="P82" s="13">
        <v>0</v>
      </c>
      <c r="Q82" s="23">
        <f t="shared" si="12"/>
        <v>0</v>
      </c>
      <c r="R82" s="140" t="s">
        <v>22</v>
      </c>
      <c r="S82" s="13">
        <v>0</v>
      </c>
      <c r="T82" s="23">
        <f t="shared" si="13"/>
        <v>0</v>
      </c>
      <c r="U82" s="140" t="s">
        <v>22</v>
      </c>
      <c r="V82" s="13">
        <v>0</v>
      </c>
      <c r="W82" s="23">
        <f t="shared" si="14"/>
        <v>0</v>
      </c>
      <c r="X82" s="29" t="s">
        <v>22</v>
      </c>
      <c r="Y82" s="29">
        <v>0</v>
      </c>
      <c r="Z82" s="23">
        <f t="shared" si="15"/>
        <v>0</v>
      </c>
      <c r="AA82" s="29" t="s">
        <v>22</v>
      </c>
      <c r="AB82" s="13">
        <v>0</v>
      </c>
      <c r="AC82" s="23">
        <f t="shared" si="16"/>
        <v>0</v>
      </c>
      <c r="AD82" s="140">
        <v>21.05</v>
      </c>
      <c r="AE82" s="13">
        <v>523</v>
      </c>
      <c r="AF82" s="23">
        <f t="shared" si="17"/>
        <v>0.76692165711973825</v>
      </c>
      <c r="AG82" s="29" t="s">
        <v>22</v>
      </c>
      <c r="AH82" s="13"/>
      <c r="AI82" s="23">
        <f t="shared" si="18"/>
        <v>0</v>
      </c>
      <c r="AJ82" s="29" t="s">
        <v>22</v>
      </c>
      <c r="AK82" s="13">
        <v>0</v>
      </c>
      <c r="AL82" s="23">
        <f t="shared" si="19"/>
        <v>0</v>
      </c>
      <c r="AM82" s="394"/>
    </row>
    <row r="83" spans="1:39" x14ac:dyDescent="0.25">
      <c r="A83" s="328"/>
      <c r="B83" s="65">
        <v>1979</v>
      </c>
      <c r="C83" s="145" t="s">
        <v>836</v>
      </c>
      <c r="D83" s="151"/>
      <c r="E83" s="160">
        <v>1</v>
      </c>
      <c r="F83" s="163">
        <v>1</v>
      </c>
      <c r="G83" s="160">
        <v>0</v>
      </c>
      <c r="H83" s="163">
        <v>1</v>
      </c>
      <c r="I83" s="42">
        <v>22.53</v>
      </c>
      <c r="J83" s="13">
        <v>877.22400000000005</v>
      </c>
      <c r="K83" s="13">
        <f t="shared" si="10"/>
        <v>1.2882455043268273</v>
      </c>
      <c r="L83" s="42">
        <v>22.44</v>
      </c>
      <c r="M83" s="13">
        <v>670.95</v>
      </c>
      <c r="N83" s="23">
        <f t="shared" si="11"/>
        <v>1.3914413509492569</v>
      </c>
      <c r="O83" s="42">
        <v>21.08</v>
      </c>
      <c r="P83" s="13">
        <v>178.39</v>
      </c>
      <c r="Q83" s="13">
        <f t="shared" si="12"/>
        <v>0.35451923086477533</v>
      </c>
      <c r="R83" s="34">
        <v>22.65</v>
      </c>
      <c r="S83" s="29">
        <v>715.48</v>
      </c>
      <c r="T83" s="23">
        <f t="shared" si="13"/>
        <v>1.4153179064973906</v>
      </c>
      <c r="U83" s="42">
        <v>22.42</v>
      </c>
      <c r="V83" s="13">
        <v>722.93</v>
      </c>
      <c r="W83" s="23">
        <f t="shared" si="14"/>
        <v>1.7083165261717923</v>
      </c>
      <c r="X83" s="29"/>
      <c r="Y83" s="29"/>
      <c r="Z83" s="23">
        <f t="shared" si="15"/>
        <v>0</v>
      </c>
      <c r="AA83" s="29"/>
      <c r="AB83" s="13"/>
      <c r="AC83" s="23">
        <f t="shared" si="16"/>
        <v>0</v>
      </c>
      <c r="AD83" s="140"/>
      <c r="AE83" s="13"/>
      <c r="AF83" s="23">
        <f t="shared" si="17"/>
        <v>0</v>
      </c>
      <c r="AG83" s="29"/>
      <c r="AH83" s="13"/>
      <c r="AI83" s="23">
        <f t="shared" si="18"/>
        <v>0</v>
      </c>
      <c r="AJ83" s="29"/>
      <c r="AK83" s="13"/>
      <c r="AL83" s="23">
        <f t="shared" si="19"/>
        <v>0</v>
      </c>
      <c r="AM83" s="394"/>
    </row>
    <row r="84" spans="1:39" x14ac:dyDescent="0.25">
      <c r="A84" s="328"/>
      <c r="B84" s="65">
        <v>2045</v>
      </c>
      <c r="C84" s="145" t="s">
        <v>837</v>
      </c>
      <c r="D84" s="151" t="s">
        <v>838</v>
      </c>
      <c r="E84" s="160">
        <v>0</v>
      </c>
      <c r="F84" s="163">
        <v>1</v>
      </c>
      <c r="G84" s="160">
        <v>0</v>
      </c>
      <c r="H84" s="163">
        <v>1</v>
      </c>
      <c r="I84" s="140">
        <v>24.14</v>
      </c>
      <c r="J84" s="13">
        <v>311.92</v>
      </c>
      <c r="K84" s="23">
        <f t="shared" si="10"/>
        <v>0.45806947565231226</v>
      </c>
      <c r="L84" s="140">
        <v>22.93</v>
      </c>
      <c r="M84" s="13">
        <v>182.2</v>
      </c>
      <c r="N84" s="23">
        <f t="shared" si="11"/>
        <v>0.37785321431247426</v>
      </c>
      <c r="O84" s="140">
        <v>23.99</v>
      </c>
      <c r="P84" s="13">
        <v>163.41</v>
      </c>
      <c r="Q84" s="23">
        <f t="shared" si="12"/>
        <v>0.32474907514778256</v>
      </c>
      <c r="R84" s="140">
        <v>24.44</v>
      </c>
      <c r="S84" s="13">
        <v>313.64</v>
      </c>
      <c r="T84" s="23">
        <f t="shared" si="13"/>
        <v>0.62042308407480518</v>
      </c>
      <c r="U84" s="140">
        <v>24.14</v>
      </c>
      <c r="V84" s="13">
        <v>296.91000000000003</v>
      </c>
      <c r="W84" s="23">
        <f t="shared" si="14"/>
        <v>0.7016118570064418</v>
      </c>
      <c r="X84" s="29" t="s">
        <v>22</v>
      </c>
      <c r="Y84" s="29">
        <v>0</v>
      </c>
      <c r="Z84" s="23">
        <f t="shared" si="15"/>
        <v>0</v>
      </c>
      <c r="AA84" s="29" t="s">
        <v>22</v>
      </c>
      <c r="AB84" s="13">
        <v>0</v>
      </c>
      <c r="AC84" s="23">
        <f t="shared" si="16"/>
        <v>0</v>
      </c>
      <c r="AD84" s="140">
        <v>23.32</v>
      </c>
      <c r="AE84" s="13">
        <v>292.3</v>
      </c>
      <c r="AF84" s="23">
        <f t="shared" si="17"/>
        <v>0.42862562213403343</v>
      </c>
      <c r="AG84" s="29" t="s">
        <v>22</v>
      </c>
      <c r="AH84" s="13">
        <v>0</v>
      </c>
      <c r="AI84" s="23">
        <f t="shared" si="18"/>
        <v>0</v>
      </c>
      <c r="AJ84" s="140">
        <v>23.2</v>
      </c>
      <c r="AK84" s="13">
        <v>570.1</v>
      </c>
      <c r="AL84" s="23">
        <f t="shared" si="19"/>
        <v>0.95754326076652518</v>
      </c>
      <c r="AM84" s="394"/>
    </row>
    <row r="85" spans="1:39" x14ac:dyDescent="0.25">
      <c r="A85" s="328"/>
      <c r="B85" s="65" t="s">
        <v>839</v>
      </c>
      <c r="C85" s="145" t="s">
        <v>840</v>
      </c>
      <c r="D85" s="152" t="s">
        <v>841</v>
      </c>
      <c r="E85" s="160">
        <v>1</v>
      </c>
      <c r="F85" s="163">
        <v>1</v>
      </c>
      <c r="G85" s="160">
        <v>0</v>
      </c>
      <c r="H85" s="163">
        <v>0</v>
      </c>
      <c r="I85" s="140" t="s">
        <v>22</v>
      </c>
      <c r="J85" s="13">
        <v>0</v>
      </c>
      <c r="K85" s="23">
        <f t="shared" si="10"/>
        <v>0</v>
      </c>
      <c r="L85" s="140" t="s">
        <v>22</v>
      </c>
      <c r="M85" s="13">
        <v>0</v>
      </c>
      <c r="N85" s="23">
        <f t="shared" si="11"/>
        <v>0</v>
      </c>
      <c r="O85" s="140" t="s">
        <v>22</v>
      </c>
      <c r="P85" s="13">
        <v>0</v>
      </c>
      <c r="Q85" s="23">
        <f t="shared" si="12"/>
        <v>0</v>
      </c>
      <c r="R85" s="140" t="s">
        <v>22</v>
      </c>
      <c r="S85" s="13">
        <v>0</v>
      </c>
      <c r="T85" s="23">
        <f t="shared" si="13"/>
        <v>0</v>
      </c>
      <c r="U85" s="140" t="s">
        <v>22</v>
      </c>
      <c r="V85" s="13">
        <v>0</v>
      </c>
      <c r="W85" s="23">
        <f t="shared" si="14"/>
        <v>0</v>
      </c>
      <c r="X85" s="140">
        <v>17.48</v>
      </c>
      <c r="Y85" s="13">
        <v>373.17</v>
      </c>
      <c r="Z85" s="23">
        <f t="shared" si="15"/>
        <v>0.41800219883247941</v>
      </c>
      <c r="AA85" s="140">
        <v>17.47</v>
      </c>
      <c r="AB85" s="13">
        <v>388.78</v>
      </c>
      <c r="AC85" s="23">
        <f t="shared" si="16"/>
        <v>0.51419321671779972</v>
      </c>
      <c r="AD85" s="336" t="s">
        <v>22</v>
      </c>
      <c r="AE85" s="337">
        <v>0</v>
      </c>
      <c r="AF85" s="338">
        <f t="shared" si="17"/>
        <v>0</v>
      </c>
      <c r="AG85" s="140">
        <v>17.16</v>
      </c>
      <c r="AH85" s="13">
        <v>373.21</v>
      </c>
      <c r="AI85" s="23">
        <f t="shared" si="18"/>
        <v>0.52149852190151269</v>
      </c>
      <c r="AJ85" s="336" t="s">
        <v>22</v>
      </c>
      <c r="AK85" s="337">
        <v>0</v>
      </c>
      <c r="AL85" s="338">
        <f t="shared" si="19"/>
        <v>0</v>
      </c>
      <c r="AM85" s="394"/>
    </row>
    <row r="86" spans="1:39" x14ac:dyDescent="0.25">
      <c r="A86" s="328"/>
      <c r="B86" s="65" t="s">
        <v>842</v>
      </c>
      <c r="C86" s="145" t="s">
        <v>840</v>
      </c>
      <c r="D86" s="152" t="s">
        <v>841</v>
      </c>
      <c r="E86" s="160">
        <v>1</v>
      </c>
      <c r="F86" s="163">
        <v>1</v>
      </c>
      <c r="G86" s="160">
        <v>0</v>
      </c>
      <c r="H86" s="163">
        <v>0</v>
      </c>
      <c r="I86" s="140" t="s">
        <v>22</v>
      </c>
      <c r="J86" s="13">
        <v>0</v>
      </c>
      <c r="K86" s="23">
        <f t="shared" si="10"/>
        <v>0</v>
      </c>
      <c r="L86" s="140" t="s">
        <v>22</v>
      </c>
      <c r="M86" s="13">
        <v>0</v>
      </c>
      <c r="N86" s="23">
        <f t="shared" si="11"/>
        <v>0</v>
      </c>
      <c r="O86" s="140" t="s">
        <v>22</v>
      </c>
      <c r="P86" s="13">
        <v>0</v>
      </c>
      <c r="Q86" s="23">
        <f t="shared" si="12"/>
        <v>0</v>
      </c>
      <c r="R86" s="140" t="s">
        <v>22</v>
      </c>
      <c r="S86" s="13">
        <v>0</v>
      </c>
      <c r="T86" s="23">
        <f t="shared" si="13"/>
        <v>0</v>
      </c>
      <c r="U86" s="140" t="s">
        <v>22</v>
      </c>
      <c r="V86" s="13">
        <v>0</v>
      </c>
      <c r="W86" s="23">
        <f t="shared" si="14"/>
        <v>0</v>
      </c>
      <c r="X86" s="140">
        <v>18.25</v>
      </c>
      <c r="Y86" s="13">
        <v>612.38</v>
      </c>
      <c r="Z86" s="23">
        <f t="shared" si="15"/>
        <v>0.68595060299872368</v>
      </c>
      <c r="AA86" s="140">
        <v>18.309999999999999</v>
      </c>
      <c r="AB86" s="13">
        <v>584.38</v>
      </c>
      <c r="AC86" s="23">
        <f t="shared" si="16"/>
        <v>0.77289014863302585</v>
      </c>
      <c r="AD86" s="336" t="s">
        <v>22</v>
      </c>
      <c r="AE86" s="337">
        <v>0</v>
      </c>
      <c r="AF86" s="338">
        <f t="shared" si="17"/>
        <v>0</v>
      </c>
      <c r="AG86" s="140">
        <v>17.920000000000002</v>
      </c>
      <c r="AH86" s="13">
        <v>162.74</v>
      </c>
      <c r="AI86" s="23">
        <f t="shared" si="18"/>
        <v>0.22740191702862242</v>
      </c>
      <c r="AJ86" s="336" t="s">
        <v>22</v>
      </c>
      <c r="AK86" s="337">
        <v>0</v>
      </c>
      <c r="AL86" s="338">
        <f t="shared" si="19"/>
        <v>0</v>
      </c>
      <c r="AM86" s="394"/>
    </row>
    <row r="87" spans="1:39" x14ac:dyDescent="0.25">
      <c r="A87" s="328"/>
      <c r="B87" s="65">
        <v>2125</v>
      </c>
      <c r="C87" s="145" t="s">
        <v>843</v>
      </c>
      <c r="D87" s="152"/>
      <c r="E87" s="160">
        <v>1</v>
      </c>
      <c r="F87" s="163">
        <v>1</v>
      </c>
      <c r="G87" s="160">
        <v>1</v>
      </c>
      <c r="H87" s="163">
        <v>1</v>
      </c>
      <c r="I87" s="42" t="s">
        <v>844</v>
      </c>
      <c r="J87" s="13">
        <v>569.6</v>
      </c>
      <c r="K87" s="13">
        <f t="shared" si="10"/>
        <v>0.8364849106551584</v>
      </c>
      <c r="L87" s="42">
        <v>27.31</v>
      </c>
      <c r="M87" s="13">
        <v>369.09</v>
      </c>
      <c r="N87" s="23">
        <f t="shared" si="11"/>
        <v>0.76543272706142218</v>
      </c>
      <c r="O87" s="359" t="s">
        <v>22</v>
      </c>
      <c r="P87" s="334">
        <v>0</v>
      </c>
      <c r="Q87" s="334">
        <f t="shared" si="12"/>
        <v>0</v>
      </c>
      <c r="R87" s="34">
        <v>28.61</v>
      </c>
      <c r="S87" s="29">
        <v>336.71</v>
      </c>
      <c r="T87" s="23">
        <f t="shared" si="13"/>
        <v>0.66605871903720071</v>
      </c>
      <c r="U87" s="42">
        <v>28.16</v>
      </c>
      <c r="V87" s="13">
        <v>329.35</v>
      </c>
      <c r="W87" s="23">
        <f t="shared" si="14"/>
        <v>0.77826905494955234</v>
      </c>
      <c r="X87" s="29"/>
      <c r="Y87" s="29"/>
      <c r="Z87" s="23">
        <f>Y87/$Y$98*100</f>
        <v>0</v>
      </c>
      <c r="AA87" s="29"/>
      <c r="AB87" s="13"/>
      <c r="AC87" s="23">
        <f>AB87/$AB$98*100</f>
        <v>0</v>
      </c>
      <c r="AD87" s="140"/>
      <c r="AE87" s="13"/>
      <c r="AF87" s="23">
        <f>AE87/$AE$98*100</f>
        <v>0</v>
      </c>
      <c r="AG87" s="29"/>
      <c r="AH87" s="13"/>
      <c r="AI87" s="23">
        <f>AH87/$AH$98*100</f>
        <v>0</v>
      </c>
      <c r="AJ87" s="29"/>
      <c r="AK87" s="13"/>
      <c r="AL87" s="23">
        <f>AK87/$AK$98*100</f>
        <v>0</v>
      </c>
      <c r="AM87" s="394"/>
    </row>
    <row r="88" spans="1:39" x14ac:dyDescent="0.25">
      <c r="A88" s="328"/>
      <c r="B88" s="65">
        <v>2182</v>
      </c>
      <c r="C88" s="145" t="s">
        <v>845</v>
      </c>
      <c r="D88" s="82" t="s">
        <v>846</v>
      </c>
      <c r="E88" s="349">
        <v>1</v>
      </c>
      <c r="F88" s="348">
        <v>1</v>
      </c>
      <c r="G88" s="349">
        <v>0</v>
      </c>
      <c r="H88" s="348">
        <v>1</v>
      </c>
      <c r="I88" s="140" t="s">
        <v>847</v>
      </c>
      <c r="J88" s="13">
        <v>383.7</v>
      </c>
      <c r="K88" s="23">
        <f t="shared" si="10"/>
        <v>0.5634818472935117</v>
      </c>
      <c r="L88" s="140">
        <v>22.12</v>
      </c>
      <c r="M88" s="13">
        <v>105.71</v>
      </c>
      <c r="N88" s="23">
        <f t="shared" si="11"/>
        <v>0.21922537478030546</v>
      </c>
      <c r="O88" s="333" t="s">
        <v>22</v>
      </c>
      <c r="P88" s="334">
        <v>0</v>
      </c>
      <c r="Q88" s="335">
        <f t="shared" si="12"/>
        <v>0</v>
      </c>
      <c r="R88" s="140">
        <v>22.44</v>
      </c>
      <c r="S88" s="13">
        <v>210.02</v>
      </c>
      <c r="T88" s="23">
        <f t="shared" si="13"/>
        <v>0.41544846358050824</v>
      </c>
      <c r="U88" s="140">
        <v>22.24</v>
      </c>
      <c r="V88" s="13">
        <v>192.68</v>
      </c>
      <c r="W88" s="23">
        <f t="shared" si="14"/>
        <v>0.45531161836247075</v>
      </c>
      <c r="X88" s="140">
        <v>20.49</v>
      </c>
      <c r="Y88" s="13">
        <v>492.78</v>
      </c>
      <c r="Z88" s="23">
        <f t="shared" si="15"/>
        <v>0.55198200160963962</v>
      </c>
      <c r="AA88" s="140">
        <v>21.3</v>
      </c>
      <c r="AB88" s="13">
        <v>114.22</v>
      </c>
      <c r="AC88" s="23">
        <f t="shared" si="16"/>
        <v>0.15106525339139637</v>
      </c>
      <c r="AD88" s="336" t="s">
        <v>22</v>
      </c>
      <c r="AE88" s="337">
        <v>0</v>
      </c>
      <c r="AF88" s="338">
        <f t="shared" si="17"/>
        <v>0</v>
      </c>
      <c r="AG88" s="140" t="s">
        <v>22</v>
      </c>
      <c r="AH88" s="13">
        <v>0</v>
      </c>
      <c r="AI88" s="23">
        <f t="shared" si="18"/>
        <v>0</v>
      </c>
      <c r="AJ88" s="336" t="s">
        <v>22</v>
      </c>
      <c r="AK88" s="337">
        <v>0</v>
      </c>
      <c r="AL88" s="338">
        <f t="shared" si="19"/>
        <v>0</v>
      </c>
      <c r="AM88" s="394"/>
    </row>
    <row r="89" spans="1:39" x14ac:dyDescent="0.25">
      <c r="A89" s="328"/>
      <c r="B89" s="65">
        <v>2256</v>
      </c>
      <c r="C89" s="145" t="s">
        <v>848</v>
      </c>
      <c r="D89" s="151" t="s">
        <v>849</v>
      </c>
      <c r="E89" s="349">
        <v>1</v>
      </c>
      <c r="F89" s="348">
        <v>1</v>
      </c>
      <c r="G89" s="349">
        <v>0</v>
      </c>
      <c r="H89" s="348">
        <v>1</v>
      </c>
      <c r="I89" s="140" t="s">
        <v>22</v>
      </c>
      <c r="J89" s="13">
        <v>0</v>
      </c>
      <c r="K89" s="23">
        <f t="shared" si="10"/>
        <v>0</v>
      </c>
      <c r="L89" s="140" t="s">
        <v>22</v>
      </c>
      <c r="M89" s="13">
        <v>0</v>
      </c>
      <c r="N89" s="23">
        <f t="shared" si="11"/>
        <v>0</v>
      </c>
      <c r="O89" s="140" t="s">
        <v>22</v>
      </c>
      <c r="P89" s="13">
        <v>0</v>
      </c>
      <c r="Q89" s="23">
        <f t="shared" si="12"/>
        <v>0</v>
      </c>
      <c r="R89" s="140" t="s">
        <v>22</v>
      </c>
      <c r="S89" s="13">
        <v>0</v>
      </c>
      <c r="T89" s="23">
        <f t="shared" si="13"/>
        <v>0</v>
      </c>
      <c r="U89" s="140" t="s">
        <v>22</v>
      </c>
      <c r="V89" s="13">
        <v>0</v>
      </c>
      <c r="W89" s="23">
        <f t="shared" si="14"/>
        <v>0</v>
      </c>
      <c r="X89" s="29" t="s">
        <v>22</v>
      </c>
      <c r="Y89" s="29">
        <v>0</v>
      </c>
      <c r="Z89" s="23">
        <f t="shared" si="15"/>
        <v>0</v>
      </c>
      <c r="AA89" s="29" t="s">
        <v>22</v>
      </c>
      <c r="AB89" s="13">
        <v>0</v>
      </c>
      <c r="AC89" s="23">
        <f t="shared" si="16"/>
        <v>0</v>
      </c>
      <c r="AD89" s="336" t="s">
        <v>22</v>
      </c>
      <c r="AE89" s="337">
        <v>0</v>
      </c>
      <c r="AF89" s="338">
        <f t="shared" si="17"/>
        <v>0</v>
      </c>
      <c r="AG89" s="29">
        <v>21.56</v>
      </c>
      <c r="AH89" s="13">
        <v>373.6</v>
      </c>
      <c r="AI89" s="23">
        <f t="shared" si="18"/>
        <v>0.52204348163876935</v>
      </c>
      <c r="AJ89" s="362" t="s">
        <v>22</v>
      </c>
      <c r="AK89" s="337">
        <v>0</v>
      </c>
      <c r="AL89" s="338">
        <f t="shared" si="19"/>
        <v>0</v>
      </c>
      <c r="AM89" s="394"/>
    </row>
    <row r="90" spans="1:39" x14ac:dyDescent="0.25">
      <c r="A90" s="328"/>
      <c r="B90" s="65">
        <v>2278</v>
      </c>
      <c r="C90" s="145" t="s">
        <v>850</v>
      </c>
      <c r="D90" s="151"/>
      <c r="E90" s="349">
        <v>1</v>
      </c>
      <c r="F90" s="348">
        <v>0</v>
      </c>
      <c r="G90" s="349">
        <v>0</v>
      </c>
      <c r="H90" s="348">
        <v>0</v>
      </c>
      <c r="I90" s="42">
        <v>23.63</v>
      </c>
      <c r="J90" s="13">
        <v>197.42</v>
      </c>
      <c r="K90" s="13">
        <f t="shared" si="10"/>
        <v>0.28992073571197574</v>
      </c>
      <c r="L90" s="42">
        <v>22.93</v>
      </c>
      <c r="M90" s="13">
        <v>154.62</v>
      </c>
      <c r="N90" s="23">
        <f t="shared" si="11"/>
        <v>0.32065677276067384</v>
      </c>
      <c r="O90" s="42" t="s">
        <v>22</v>
      </c>
      <c r="P90" s="13">
        <v>0</v>
      </c>
      <c r="Q90" s="13">
        <f t="shared" si="12"/>
        <v>0</v>
      </c>
      <c r="R90" s="34" t="s">
        <v>851</v>
      </c>
      <c r="S90" s="29">
        <v>251</v>
      </c>
      <c r="T90" s="23">
        <f t="shared" si="13"/>
        <v>0.4965125433706673</v>
      </c>
      <c r="U90" s="42">
        <v>23.27</v>
      </c>
      <c r="V90" s="13">
        <v>375.68</v>
      </c>
      <c r="W90" s="23">
        <f t="shared" si="14"/>
        <v>0.88774895571109103</v>
      </c>
      <c r="X90" s="29"/>
      <c r="Y90" s="29"/>
      <c r="Z90" s="23">
        <f>Y90/$Y$98*100</f>
        <v>0</v>
      </c>
      <c r="AA90" s="29"/>
      <c r="AB90" s="13"/>
      <c r="AC90" s="23">
        <f>AB90/$AB$98*100</f>
        <v>0</v>
      </c>
      <c r="AD90" s="140"/>
      <c r="AE90" s="13"/>
      <c r="AF90" s="23">
        <f>AE90/$AE$98*100</f>
        <v>0</v>
      </c>
      <c r="AG90" s="29"/>
      <c r="AH90" s="13"/>
      <c r="AI90" s="23">
        <f>AH90/$AH$98*100</f>
        <v>0</v>
      </c>
      <c r="AJ90" s="29"/>
      <c r="AK90" s="13"/>
      <c r="AL90" s="23">
        <f>AK90/$AK$98*100</f>
        <v>0</v>
      </c>
      <c r="AM90" s="394"/>
    </row>
    <row r="91" spans="1:39" x14ac:dyDescent="0.25">
      <c r="A91" s="328"/>
      <c r="B91" s="65">
        <v>2336</v>
      </c>
      <c r="C91" s="145" t="s">
        <v>852</v>
      </c>
      <c r="D91" s="75" t="s">
        <v>853</v>
      </c>
      <c r="E91" s="349">
        <v>1</v>
      </c>
      <c r="F91" s="348">
        <v>1</v>
      </c>
      <c r="G91" s="349">
        <v>0</v>
      </c>
      <c r="H91" s="348">
        <v>1</v>
      </c>
      <c r="I91" s="140" t="s">
        <v>22</v>
      </c>
      <c r="J91" s="13">
        <v>0</v>
      </c>
      <c r="K91" s="23">
        <f t="shared" si="10"/>
        <v>0</v>
      </c>
      <c r="L91" s="140" t="s">
        <v>22</v>
      </c>
      <c r="M91" s="13">
        <v>0</v>
      </c>
      <c r="N91" s="23">
        <f t="shared" si="11"/>
        <v>0</v>
      </c>
      <c r="O91" s="140" t="s">
        <v>22</v>
      </c>
      <c r="P91" s="13">
        <v>0</v>
      </c>
      <c r="Q91" s="23">
        <f t="shared" si="12"/>
        <v>0</v>
      </c>
      <c r="R91" s="140" t="s">
        <v>22</v>
      </c>
      <c r="S91" s="13">
        <v>0</v>
      </c>
      <c r="T91" s="23">
        <f t="shared" si="13"/>
        <v>0</v>
      </c>
      <c r="U91" s="140" t="s">
        <v>22</v>
      </c>
      <c r="V91" s="13">
        <v>0</v>
      </c>
      <c r="W91" s="23">
        <f t="shared" si="14"/>
        <v>0</v>
      </c>
      <c r="X91" s="29">
        <v>25.24</v>
      </c>
      <c r="Y91" s="29">
        <v>369.18</v>
      </c>
      <c r="Z91" s="23">
        <f t="shared" si="15"/>
        <v>0.41353284499015125</v>
      </c>
      <c r="AA91" s="29">
        <v>25.44</v>
      </c>
      <c r="AB91" s="13">
        <v>287.88</v>
      </c>
      <c r="AC91" s="23">
        <f t="shared" si="16"/>
        <v>0.38074474826050769</v>
      </c>
      <c r="AD91" s="336" t="s">
        <v>22</v>
      </c>
      <c r="AE91" s="337">
        <v>0</v>
      </c>
      <c r="AF91" s="338">
        <f t="shared" si="17"/>
        <v>0</v>
      </c>
      <c r="AG91" s="29" t="s">
        <v>22</v>
      </c>
      <c r="AH91" s="13">
        <v>0</v>
      </c>
      <c r="AI91" s="23">
        <f t="shared" si="18"/>
        <v>0</v>
      </c>
      <c r="AJ91" s="362" t="s">
        <v>22</v>
      </c>
      <c r="AK91" s="337">
        <v>0</v>
      </c>
      <c r="AL91" s="338">
        <f t="shared" si="19"/>
        <v>0</v>
      </c>
      <c r="AM91" s="394"/>
    </row>
    <row r="92" spans="1:39" x14ac:dyDescent="0.25">
      <c r="A92" s="328"/>
      <c r="B92" s="65">
        <v>2393</v>
      </c>
      <c r="C92" s="145" t="s">
        <v>854</v>
      </c>
      <c r="D92" s="75"/>
      <c r="E92" s="349">
        <v>1</v>
      </c>
      <c r="F92" s="348">
        <v>1</v>
      </c>
      <c r="G92" s="349">
        <v>0</v>
      </c>
      <c r="H92" s="348">
        <v>0</v>
      </c>
      <c r="I92" s="42" t="s">
        <v>421</v>
      </c>
      <c r="J92" s="13">
        <v>417.9</v>
      </c>
      <c r="K92" s="13">
        <f t="shared" si="10"/>
        <v>0.61370618708355107</v>
      </c>
      <c r="L92" s="42">
        <v>22.93</v>
      </c>
      <c r="M92" s="13">
        <v>108.18</v>
      </c>
      <c r="N92" s="23">
        <f t="shared" si="11"/>
        <v>0.22434775370100699</v>
      </c>
      <c r="O92" s="42">
        <v>21.25</v>
      </c>
      <c r="P92" s="13">
        <v>291.04000000000002</v>
      </c>
      <c r="Q92" s="13">
        <f t="shared" si="12"/>
        <v>0.57839159678728758</v>
      </c>
      <c r="R92" s="34">
        <v>21.52</v>
      </c>
      <c r="S92" s="29">
        <v>324.85000000000002</v>
      </c>
      <c r="T92" s="23">
        <f t="shared" si="13"/>
        <v>0.64259800682853097</v>
      </c>
      <c r="U92" s="42">
        <v>21.23</v>
      </c>
      <c r="V92" s="13">
        <v>401.24</v>
      </c>
      <c r="W92" s="23">
        <f t="shared" si="14"/>
        <v>0.94814840020634084</v>
      </c>
      <c r="X92" s="29"/>
      <c r="Y92" s="29"/>
      <c r="Z92" s="23">
        <f>Y92/$Y$98*100</f>
        <v>0</v>
      </c>
      <c r="AA92" s="29"/>
      <c r="AB92" s="13"/>
      <c r="AC92" s="23">
        <f>AB92/$AB$98*100</f>
        <v>0</v>
      </c>
      <c r="AD92" s="140"/>
      <c r="AE92" s="13"/>
      <c r="AF92" s="23">
        <f>AE92/$AE$98*100</f>
        <v>0</v>
      </c>
      <c r="AG92" s="29"/>
      <c r="AH92" s="13"/>
      <c r="AI92" s="23">
        <f>AH92/$AH$98*100</f>
        <v>0</v>
      </c>
      <c r="AJ92" s="29"/>
      <c r="AK92" s="13"/>
      <c r="AL92" s="23">
        <f>AK92/$AK$98*100</f>
        <v>0</v>
      </c>
      <c r="AM92" s="394"/>
    </row>
    <row r="93" spans="1:39" x14ac:dyDescent="0.25">
      <c r="A93" s="328"/>
      <c r="B93" s="65">
        <v>2473</v>
      </c>
      <c r="C93" s="145" t="s">
        <v>855</v>
      </c>
      <c r="D93" s="75"/>
      <c r="E93" s="349">
        <v>1</v>
      </c>
      <c r="F93" s="348">
        <v>1</v>
      </c>
      <c r="G93" s="349">
        <v>0</v>
      </c>
      <c r="H93" s="348">
        <v>1</v>
      </c>
      <c r="I93" s="42" t="s">
        <v>856</v>
      </c>
      <c r="J93" s="13">
        <v>304.3</v>
      </c>
      <c r="K93" s="13">
        <f t="shared" si="10"/>
        <v>0.44687914029558412</v>
      </c>
      <c r="L93" s="42">
        <v>20.67</v>
      </c>
      <c r="M93" s="13">
        <v>335.26</v>
      </c>
      <c r="N93" s="23">
        <f t="shared" si="11"/>
        <v>0.69527480038638922</v>
      </c>
      <c r="O93" s="42">
        <v>20.77</v>
      </c>
      <c r="P93" s="13">
        <v>247.96</v>
      </c>
      <c r="Q93" s="13">
        <f t="shared" si="12"/>
        <v>0.49277755751572228</v>
      </c>
      <c r="R93" s="34">
        <v>21.13</v>
      </c>
      <c r="S93" s="29">
        <v>261.22000000000003</v>
      </c>
      <c r="T93" s="23">
        <f t="shared" si="13"/>
        <v>0.51672910987763243</v>
      </c>
      <c r="U93" s="42">
        <v>20.88</v>
      </c>
      <c r="V93" s="13">
        <v>248.81</v>
      </c>
      <c r="W93" s="23">
        <f t="shared" si="14"/>
        <v>0.58794936560497379</v>
      </c>
      <c r="X93" s="29"/>
      <c r="Y93" s="29"/>
      <c r="Z93" s="23">
        <f>Y93/$Y$98*100</f>
        <v>0</v>
      </c>
      <c r="AA93" s="29"/>
      <c r="AB93" s="13"/>
      <c r="AC93" s="23">
        <f>AB93/$AB$98*100</f>
        <v>0</v>
      </c>
      <c r="AD93" s="140"/>
      <c r="AE93" s="13"/>
      <c r="AF93" s="23">
        <f>AE93/$AE$98*100</f>
        <v>0</v>
      </c>
      <c r="AG93" s="29"/>
      <c r="AH93" s="13"/>
      <c r="AI93" s="23">
        <f>AH93/$AH$98*100</f>
        <v>0</v>
      </c>
      <c r="AJ93" s="29"/>
      <c r="AK93" s="13"/>
      <c r="AL93" s="23">
        <f>AK93/$AK$98*100</f>
        <v>0</v>
      </c>
      <c r="AM93" s="394"/>
    </row>
    <row r="94" spans="1:39" x14ac:dyDescent="0.25">
      <c r="A94" s="328"/>
      <c r="B94" s="65">
        <v>2547</v>
      </c>
      <c r="C94" s="145" t="s">
        <v>857</v>
      </c>
      <c r="D94" s="151" t="s">
        <v>858</v>
      </c>
      <c r="E94" s="363">
        <v>1</v>
      </c>
      <c r="F94" s="364">
        <v>1</v>
      </c>
      <c r="G94" s="363">
        <v>0</v>
      </c>
      <c r="H94" s="364">
        <v>1</v>
      </c>
      <c r="I94" s="140" t="s">
        <v>22</v>
      </c>
      <c r="J94" s="13">
        <v>0</v>
      </c>
      <c r="K94" s="23">
        <f t="shared" si="10"/>
        <v>0</v>
      </c>
      <c r="L94" s="140" t="s">
        <v>22</v>
      </c>
      <c r="M94" s="13">
        <v>0</v>
      </c>
      <c r="N94" s="23">
        <f t="shared" si="11"/>
        <v>0</v>
      </c>
      <c r="O94" s="140" t="s">
        <v>22</v>
      </c>
      <c r="P94" s="13">
        <v>0</v>
      </c>
      <c r="Q94" s="23">
        <f t="shared" si="12"/>
        <v>0</v>
      </c>
      <c r="R94" s="140" t="s">
        <v>22</v>
      </c>
      <c r="S94" s="13">
        <v>0</v>
      </c>
      <c r="T94" s="23">
        <f t="shared" si="13"/>
        <v>0</v>
      </c>
      <c r="U94" s="140" t="s">
        <v>22</v>
      </c>
      <c r="V94" s="13">
        <v>0</v>
      </c>
      <c r="W94" s="23">
        <f t="shared" si="14"/>
        <v>0</v>
      </c>
      <c r="X94" s="140">
        <v>23.21</v>
      </c>
      <c r="Y94" s="13">
        <v>1247.9000000000001</v>
      </c>
      <c r="Z94" s="23">
        <f t="shared" si="15"/>
        <v>1.3978212180053355</v>
      </c>
      <c r="AA94" s="140">
        <v>24.14</v>
      </c>
      <c r="AB94" s="13">
        <v>111.6</v>
      </c>
      <c r="AC94" s="23">
        <f t="shared" si="16"/>
        <v>0.1476000899884419</v>
      </c>
      <c r="AD94" s="336" t="s">
        <v>22</v>
      </c>
      <c r="AE94" s="337">
        <v>0</v>
      </c>
      <c r="AF94" s="338">
        <f t="shared" si="17"/>
        <v>0</v>
      </c>
      <c r="AG94" s="140" t="s">
        <v>22</v>
      </c>
      <c r="AH94" s="13">
        <v>0</v>
      </c>
      <c r="AI94" s="23">
        <f t="shared" si="18"/>
        <v>0</v>
      </c>
      <c r="AJ94" s="336" t="s">
        <v>22</v>
      </c>
      <c r="AK94" s="337">
        <v>0</v>
      </c>
      <c r="AL94" s="338">
        <f t="shared" si="19"/>
        <v>0</v>
      </c>
      <c r="AM94" s="394"/>
    </row>
    <row r="95" spans="1:39" x14ac:dyDescent="0.25">
      <c r="A95" s="328"/>
      <c r="B95" s="65">
        <v>2555</v>
      </c>
      <c r="C95" s="145" t="s">
        <v>859</v>
      </c>
      <c r="D95" s="151"/>
      <c r="E95" s="363">
        <v>1</v>
      </c>
      <c r="F95" s="364">
        <v>1</v>
      </c>
      <c r="G95" s="363">
        <v>0</v>
      </c>
      <c r="H95" s="364">
        <v>0</v>
      </c>
      <c r="I95" s="42">
        <v>26.4</v>
      </c>
      <c r="J95" s="13">
        <v>605.79</v>
      </c>
      <c r="K95" s="13">
        <f t="shared" si="10"/>
        <v>0.88963166085988132</v>
      </c>
      <c r="L95" s="42">
        <v>26.31</v>
      </c>
      <c r="M95" s="13">
        <v>445.09</v>
      </c>
      <c r="N95" s="23">
        <f t="shared" si="11"/>
        <v>0.92304438615992968</v>
      </c>
      <c r="O95" s="359">
        <v>26.49</v>
      </c>
      <c r="P95" s="334">
        <v>125.95</v>
      </c>
      <c r="Q95" s="334">
        <f t="shared" si="12"/>
        <v>0.25030381258713186</v>
      </c>
      <c r="R95" s="34">
        <v>26.85</v>
      </c>
      <c r="S95" s="29">
        <v>828.98</v>
      </c>
      <c r="T95" s="23">
        <f t="shared" si="13"/>
        <v>1.6398365267068358</v>
      </c>
      <c r="U95" s="42">
        <v>26.69</v>
      </c>
      <c r="V95" s="13">
        <v>969.48</v>
      </c>
      <c r="W95" s="23">
        <f t="shared" si="14"/>
        <v>2.2909254088127886</v>
      </c>
      <c r="X95" s="29"/>
      <c r="Y95" s="29"/>
      <c r="Z95" s="23">
        <f>Y95/$Y$98*100</f>
        <v>0</v>
      </c>
      <c r="AA95" s="29"/>
      <c r="AB95" s="13"/>
      <c r="AC95" s="23">
        <f>AB95/$AB$98*100</f>
        <v>0</v>
      </c>
      <c r="AD95" s="140"/>
      <c r="AE95" s="13"/>
      <c r="AF95" s="23">
        <f>AE95/$AE$98*100</f>
        <v>0</v>
      </c>
      <c r="AG95" s="29"/>
      <c r="AH95" s="13"/>
      <c r="AI95" s="23">
        <f>AH95/$AH$98*100</f>
        <v>0</v>
      </c>
      <c r="AJ95" s="29"/>
      <c r="AK95" s="13"/>
      <c r="AL95" s="23">
        <f>AK95/$AK$98*100</f>
        <v>0</v>
      </c>
      <c r="AM95" s="394"/>
    </row>
    <row r="96" spans="1:39" x14ac:dyDescent="0.25">
      <c r="A96" s="328"/>
      <c r="B96" s="65">
        <v>2596</v>
      </c>
      <c r="C96" s="145" t="s">
        <v>860</v>
      </c>
      <c r="D96" s="152" t="s">
        <v>861</v>
      </c>
      <c r="E96" s="363">
        <v>1</v>
      </c>
      <c r="F96" s="364">
        <v>1</v>
      </c>
      <c r="G96" s="363">
        <v>0</v>
      </c>
      <c r="H96" s="364">
        <v>0</v>
      </c>
      <c r="I96" s="42" t="s">
        <v>832</v>
      </c>
      <c r="J96" s="13">
        <v>211.9</v>
      </c>
      <c r="K96" s="13">
        <f t="shared" si="10"/>
        <v>0.31118530998565325</v>
      </c>
      <c r="L96" s="42">
        <v>21.28</v>
      </c>
      <c r="M96" s="13">
        <v>127.03</v>
      </c>
      <c r="N96" s="23">
        <f t="shared" si="11"/>
        <v>0.26343959283267621</v>
      </c>
      <c r="O96" s="42" t="s">
        <v>22</v>
      </c>
      <c r="P96" s="13">
        <v>0</v>
      </c>
      <c r="Q96" s="13">
        <f t="shared" si="12"/>
        <v>0</v>
      </c>
      <c r="R96" s="34">
        <v>21.82</v>
      </c>
      <c r="S96" s="29">
        <v>58.92</v>
      </c>
      <c r="T96" s="23">
        <f t="shared" si="13"/>
        <v>0.11655186874661243</v>
      </c>
      <c r="U96" s="42">
        <v>21.5</v>
      </c>
      <c r="V96" s="13">
        <v>133.13999999999999</v>
      </c>
      <c r="W96" s="23">
        <f t="shared" si="14"/>
        <v>0.31461588576281579</v>
      </c>
      <c r="X96" s="29"/>
      <c r="Y96" s="29"/>
      <c r="Z96" s="23">
        <f t="shared" si="15"/>
        <v>0</v>
      </c>
      <c r="AA96" s="29"/>
      <c r="AB96" s="13"/>
      <c r="AC96" s="23">
        <f t="shared" si="16"/>
        <v>0</v>
      </c>
      <c r="AD96" s="140"/>
      <c r="AE96" s="13"/>
      <c r="AF96" s="23">
        <f t="shared" si="17"/>
        <v>0</v>
      </c>
      <c r="AG96" s="29"/>
      <c r="AH96" s="13"/>
      <c r="AI96" s="23">
        <f t="shared" si="18"/>
        <v>0</v>
      </c>
      <c r="AJ96" s="29"/>
      <c r="AK96" s="13"/>
      <c r="AL96" s="23">
        <f t="shared" si="19"/>
        <v>0</v>
      </c>
      <c r="AM96" s="394"/>
    </row>
    <row r="97" spans="1:39" x14ac:dyDescent="0.25">
      <c r="A97" s="328"/>
      <c r="B97" s="65">
        <v>2912</v>
      </c>
      <c r="C97" s="145" t="s">
        <v>862</v>
      </c>
      <c r="D97" s="145"/>
      <c r="E97" s="365">
        <v>1</v>
      </c>
      <c r="F97" s="366">
        <v>1</v>
      </c>
      <c r="G97" s="365">
        <v>0</v>
      </c>
      <c r="H97" s="366">
        <v>1</v>
      </c>
      <c r="I97" s="140" t="s">
        <v>22</v>
      </c>
      <c r="J97" s="13">
        <v>0</v>
      </c>
      <c r="K97" s="23">
        <f t="shared" si="10"/>
        <v>0</v>
      </c>
      <c r="L97" s="140" t="s">
        <v>22</v>
      </c>
      <c r="M97" s="13">
        <v>0</v>
      </c>
      <c r="N97" s="23">
        <f t="shared" si="11"/>
        <v>0</v>
      </c>
      <c r="O97" s="140" t="s">
        <v>22</v>
      </c>
      <c r="P97" s="13">
        <v>0</v>
      </c>
      <c r="Q97" s="23">
        <f t="shared" si="12"/>
        <v>0</v>
      </c>
      <c r="R97" s="140" t="s">
        <v>22</v>
      </c>
      <c r="S97" s="13">
        <v>0</v>
      </c>
      <c r="T97" s="23">
        <f t="shared" si="13"/>
        <v>0</v>
      </c>
      <c r="U97" s="140" t="s">
        <v>22</v>
      </c>
      <c r="V97" s="13">
        <v>0</v>
      </c>
      <c r="W97" s="23">
        <f t="shared" si="14"/>
        <v>0</v>
      </c>
      <c r="X97" s="29">
        <v>25.53</v>
      </c>
      <c r="Y97" s="29">
        <v>123.78</v>
      </c>
      <c r="Z97" s="23">
        <f t="shared" si="15"/>
        <v>0.1386507816048565</v>
      </c>
      <c r="AA97" s="29" t="s">
        <v>22</v>
      </c>
      <c r="AB97" s="13">
        <v>0</v>
      </c>
      <c r="AC97" s="23">
        <f t="shared" si="16"/>
        <v>0</v>
      </c>
      <c r="AD97" s="336" t="s">
        <v>22</v>
      </c>
      <c r="AE97" s="337">
        <v>0</v>
      </c>
      <c r="AF97" s="338">
        <f t="shared" si="17"/>
        <v>0</v>
      </c>
      <c r="AG97" s="29" t="s">
        <v>22</v>
      </c>
      <c r="AH97" s="13">
        <v>0</v>
      </c>
      <c r="AI97" s="23">
        <f t="shared" si="18"/>
        <v>0</v>
      </c>
      <c r="AJ97" s="362" t="s">
        <v>22</v>
      </c>
      <c r="AK97" s="337">
        <v>0</v>
      </c>
      <c r="AL97" s="338">
        <f t="shared" si="19"/>
        <v>0</v>
      </c>
      <c r="AM97" s="394"/>
    </row>
    <row r="98" spans="1:39" x14ac:dyDescent="0.25">
      <c r="A98" s="328"/>
      <c r="B98" s="128"/>
      <c r="C98" s="130"/>
      <c r="D98" s="130"/>
      <c r="E98" s="367">
        <f>SUBTOTAL(109,Table156[Sialylation '[4']])</f>
        <v>52</v>
      </c>
      <c r="F98" s="367">
        <f>SUBTOTAL(109,Table156[Sda '[5']])</f>
        <v>50</v>
      </c>
      <c r="G98" s="367">
        <f>SUBTOTAL(109,Table156[Fucosylation '[6']])</f>
        <v>24</v>
      </c>
      <c r="H98" s="367">
        <f>SUBTOTAL(109,Table156[Sulfation '[7']])</f>
        <v>39</v>
      </c>
      <c r="I98" s="368"/>
      <c r="J98" s="125">
        <f>SUM(J5:J97)</f>
        <v>68094.473999999987</v>
      </c>
      <c r="K98" s="125">
        <f>SUBTOTAL(109,Table156[Percentage10])</f>
        <v>99.999999999999972</v>
      </c>
      <c r="L98" s="125"/>
      <c r="M98" s="125">
        <f>SUM(M5:M97)</f>
        <v>48219.782999999989</v>
      </c>
      <c r="N98" s="125">
        <f>SUBTOTAL(109,Table156[Percentage4])</f>
        <v>100</v>
      </c>
      <c r="O98" s="368"/>
      <c r="P98" s="125">
        <f>SUM(P5:P97)</f>
        <v>50318.85</v>
      </c>
      <c r="Q98" s="125">
        <f>SUBTOTAL(109,Table156[Percentage6])</f>
        <v>100.00000000000003</v>
      </c>
      <c r="R98" s="369"/>
      <c r="S98" s="369">
        <f>SUM(S5:S97)</f>
        <v>50552.600000000006</v>
      </c>
      <c r="T98" s="125">
        <f>SUBTOTAL(109,Table156[Percentage34])</f>
        <v>99.999999999999943</v>
      </c>
      <c r="U98" s="125"/>
      <c r="V98" s="125">
        <f>SUM(V5:V97)</f>
        <v>42318.270000000011</v>
      </c>
      <c r="W98" s="125">
        <f>SUBTOTAL(109,Table156[Percentage5])</f>
        <v>99.999999999999929</v>
      </c>
      <c r="X98" s="129"/>
      <c r="Y98" s="135">
        <f>SUM(Y5:Y97)</f>
        <v>89274.64999999998</v>
      </c>
      <c r="Z98" s="125">
        <f>SUBTOTAL(109,Table156[Percentage7])</f>
        <v>100.00000000000004</v>
      </c>
      <c r="AA98" s="129"/>
      <c r="AB98" s="135">
        <f>SUM(AB5:AB97)</f>
        <v>75609.710000000021</v>
      </c>
      <c r="AC98" s="125">
        <f>SUBTOTAL(109,Table156[Percentage])</f>
        <v>99.999999999999986</v>
      </c>
      <c r="AD98" s="370"/>
      <c r="AE98" s="135">
        <f>SUM(AE5:AE97)</f>
        <v>68194.710000000021</v>
      </c>
      <c r="AF98" s="125">
        <f>SUBTOTAL(109,Table156[Percentage2])</f>
        <v>99.999999999999957</v>
      </c>
      <c r="AG98" s="129"/>
      <c r="AH98" s="135">
        <f>SUM(AH5:AH97)</f>
        <v>71564.92</v>
      </c>
      <c r="AI98" s="125">
        <f>SUBTOTAL(109,Table156[Percentages])</f>
        <v>99.999999999999986</v>
      </c>
      <c r="AJ98" s="129"/>
      <c r="AK98" s="135">
        <f>SUM(AK5:AK97)</f>
        <v>59537.779999999992</v>
      </c>
      <c r="AL98" s="125">
        <f>SUBTOTAL(109,Table156[Percentage3])</f>
        <v>100.00000000000003</v>
      </c>
    </row>
    <row r="99" spans="1:39" x14ac:dyDescent="0.25">
      <c r="B99" s="62"/>
      <c r="C99" s="62"/>
    </row>
    <row r="101" spans="1:39" ht="21" x14ac:dyDescent="0.35">
      <c r="B101" s="4" t="s">
        <v>5</v>
      </c>
    </row>
    <row r="102" spans="1:39" x14ac:dyDescent="0.25">
      <c r="B102" s="5" t="s">
        <v>6</v>
      </c>
      <c r="C102" s="193" t="s">
        <v>7</v>
      </c>
    </row>
    <row r="103" spans="1:39" x14ac:dyDescent="0.25">
      <c r="B103" s="5" t="s">
        <v>8</v>
      </c>
      <c r="C103" s="193" t="s">
        <v>9</v>
      </c>
    </row>
    <row r="104" spans="1:39" x14ac:dyDescent="0.25">
      <c r="B104" s="5" t="s">
        <v>10</v>
      </c>
      <c r="C104" s="193" t="s">
        <v>11</v>
      </c>
    </row>
    <row r="105" spans="1:39" x14ac:dyDescent="0.25">
      <c r="C105" s="193" t="s">
        <v>863</v>
      </c>
    </row>
    <row r="106" spans="1:39" x14ac:dyDescent="0.25">
      <c r="C106" s="193" t="s">
        <v>864</v>
      </c>
    </row>
    <row r="107" spans="1:39" x14ac:dyDescent="0.25">
      <c r="B107" s="5" t="s">
        <v>13</v>
      </c>
      <c r="C107" s="193" t="s">
        <v>865</v>
      </c>
    </row>
    <row r="108" spans="1:39" x14ac:dyDescent="0.25">
      <c r="B108" s="5" t="s">
        <v>14</v>
      </c>
      <c r="C108" s="15" t="s">
        <v>866</v>
      </c>
    </row>
    <row r="109" spans="1:39" x14ac:dyDescent="0.25">
      <c r="B109" s="5" t="s">
        <v>15</v>
      </c>
      <c r="C109" s="193" t="s">
        <v>867</v>
      </c>
    </row>
    <row r="110" spans="1:39" x14ac:dyDescent="0.25">
      <c r="B110" s="5" t="s">
        <v>717</v>
      </c>
      <c r="C110" s="193" t="s">
        <v>868</v>
      </c>
    </row>
    <row r="111" spans="1:39" x14ac:dyDescent="0.25">
      <c r="B111" s="5" t="s">
        <v>718</v>
      </c>
      <c r="C111" s="193" t="s">
        <v>869</v>
      </c>
    </row>
    <row r="112" spans="1:39" x14ac:dyDescent="0.25">
      <c r="B112" s="5" t="s">
        <v>870</v>
      </c>
      <c r="C112" s="193" t="s">
        <v>871</v>
      </c>
    </row>
    <row r="113" spans="2:3" x14ac:dyDescent="0.25">
      <c r="B113" s="5" t="s">
        <v>872</v>
      </c>
      <c r="C113" s="193" t="s">
        <v>17</v>
      </c>
    </row>
  </sheetData>
  <mergeCells count="2">
    <mergeCell ref="I1:W1"/>
    <mergeCell ref="X1:AL1"/>
  </mergeCell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38"/>
  <sheetViews>
    <sheetView topLeftCell="D1" zoomScale="80" zoomScaleNormal="80" workbookViewId="0">
      <selection activeCell="S35" sqref="S35"/>
    </sheetView>
  </sheetViews>
  <sheetFormatPr defaultRowHeight="15" x14ac:dyDescent="0.25"/>
  <cols>
    <col min="1" max="1" width="9.140625" style="193"/>
    <col min="2" max="2" width="12.85546875" style="193" customWidth="1"/>
    <col min="3" max="3" width="33.7109375" style="193" customWidth="1"/>
    <col min="4" max="4" width="105.5703125" style="193" customWidth="1"/>
    <col min="5" max="6" width="7.140625" style="193" hidden="1" customWidth="1"/>
    <col min="7" max="7" width="7.140625" style="193" customWidth="1"/>
    <col min="8" max="9" width="9.28515625" style="7" customWidth="1"/>
    <col min="10" max="13" width="9.28515625" style="193" customWidth="1"/>
    <col min="14" max="15" width="8.85546875" style="193" customWidth="1"/>
    <col min="16" max="16" width="11.85546875" style="14" customWidth="1"/>
    <col min="17" max="18" width="9.140625" style="14"/>
    <col min="19" max="19" width="15" style="14" bestFit="1" customWidth="1"/>
    <col min="20" max="20" width="9.140625" style="14"/>
    <col min="21" max="21" width="9.5703125" style="14" bestFit="1" customWidth="1"/>
    <col min="22" max="16384" width="9.140625" style="193"/>
  </cols>
  <sheetData>
    <row r="1" spans="2:22" x14ac:dyDescent="0.25">
      <c r="H1" s="7" t="s">
        <v>873</v>
      </c>
      <c r="K1" s="193" t="s">
        <v>874</v>
      </c>
      <c r="N1" s="193" t="s">
        <v>875</v>
      </c>
      <c r="P1" s="371" t="s">
        <v>542</v>
      </c>
      <c r="Q1" s="372" t="s">
        <v>876</v>
      </c>
      <c r="S1" s="371" t="s">
        <v>544</v>
      </c>
      <c r="T1" s="14" t="s">
        <v>877</v>
      </c>
      <c r="V1" s="373" t="s">
        <v>546</v>
      </c>
    </row>
    <row r="2" spans="2:22" ht="23.25" x14ac:dyDescent="0.35">
      <c r="H2" s="136" t="s">
        <v>878</v>
      </c>
      <c r="I2" s="136"/>
      <c r="J2" s="1"/>
      <c r="K2" s="1" t="s">
        <v>548</v>
      </c>
      <c r="L2" s="15"/>
      <c r="M2" s="15"/>
      <c r="N2" s="1" t="s">
        <v>549</v>
      </c>
      <c r="O2" s="15"/>
      <c r="P2" s="374"/>
      <c r="Q2" s="10" t="s">
        <v>550</v>
      </c>
      <c r="R2" s="374"/>
      <c r="S2" s="374"/>
      <c r="T2" s="10" t="s">
        <v>551</v>
      </c>
      <c r="U2" s="374"/>
    </row>
    <row r="3" spans="2:22" ht="18" thickBot="1" x14ac:dyDescent="0.3">
      <c r="B3" s="2" t="s">
        <v>0</v>
      </c>
      <c r="C3" s="3" t="s">
        <v>1</v>
      </c>
      <c r="D3" s="3" t="s">
        <v>2</v>
      </c>
      <c r="E3" s="3" t="s">
        <v>458</v>
      </c>
      <c r="F3" s="3" t="s">
        <v>459</v>
      </c>
      <c r="G3" s="3" t="s">
        <v>555</v>
      </c>
      <c r="H3" s="6" t="s">
        <v>19</v>
      </c>
      <c r="I3" s="6" t="s">
        <v>20</v>
      </c>
      <c r="J3" s="2" t="s">
        <v>3</v>
      </c>
      <c r="K3" s="137" t="s">
        <v>331</v>
      </c>
      <c r="L3" s="137" t="s">
        <v>332</v>
      </c>
      <c r="M3" s="137" t="s">
        <v>21</v>
      </c>
      <c r="N3" s="137" t="s">
        <v>346</v>
      </c>
      <c r="O3" s="137" t="s">
        <v>347</v>
      </c>
      <c r="P3" s="138" t="s">
        <v>460</v>
      </c>
      <c r="Q3" s="138" t="s">
        <v>348</v>
      </c>
      <c r="R3" s="138" t="s">
        <v>349</v>
      </c>
      <c r="S3" s="138" t="s">
        <v>461</v>
      </c>
      <c r="T3" s="197" t="s">
        <v>24</v>
      </c>
      <c r="U3" s="197" t="s">
        <v>25</v>
      </c>
      <c r="V3" s="139" t="s">
        <v>462</v>
      </c>
    </row>
    <row r="4" spans="2:22" x14ac:dyDescent="0.25">
      <c r="B4" s="143">
        <v>1317</v>
      </c>
      <c r="C4" s="71" t="s">
        <v>463</v>
      </c>
      <c r="D4" s="144" t="s">
        <v>464</v>
      </c>
      <c r="E4" s="375">
        <v>0</v>
      </c>
      <c r="F4" s="153">
        <v>0</v>
      </c>
      <c r="G4" s="144">
        <v>0</v>
      </c>
      <c r="H4" s="140">
        <v>15.55</v>
      </c>
      <c r="I4" s="140">
        <v>155.77000000000001</v>
      </c>
      <c r="J4" s="19">
        <f t="shared" ref="J4:J27" si="0">I4/$I$28*100</f>
        <v>0.22813462124849107</v>
      </c>
      <c r="K4" s="121">
        <v>15.66</v>
      </c>
      <c r="L4" s="164">
        <v>178.86</v>
      </c>
      <c r="M4" s="123">
        <f t="shared" ref="M4:M27" si="1">L4/$L$28*100</f>
        <v>0.29415740825712977</v>
      </c>
      <c r="N4" s="140" t="s">
        <v>22</v>
      </c>
      <c r="O4" s="140">
        <v>0</v>
      </c>
      <c r="P4" s="122">
        <f t="shared" ref="P4:P27" si="2">O4/$O$28*100</f>
        <v>0</v>
      </c>
      <c r="Q4" s="329">
        <v>15.76</v>
      </c>
      <c r="R4" s="122">
        <v>142.72</v>
      </c>
      <c r="S4" s="123">
        <f t="shared" ref="S4:S27" si="3">R4/$R$28*100</f>
        <v>0.22172907664878369</v>
      </c>
      <c r="T4" s="376" t="s">
        <v>22</v>
      </c>
      <c r="U4" s="377">
        <v>0</v>
      </c>
      <c r="V4" s="168">
        <f t="shared" ref="V4:V27" si="4">U4/$U$28*100</f>
        <v>0</v>
      </c>
    </row>
    <row r="5" spans="2:22" x14ac:dyDescent="0.25">
      <c r="B5" s="65">
        <v>1463</v>
      </c>
      <c r="C5" s="35" t="s">
        <v>18</v>
      </c>
      <c r="D5" s="145" t="s">
        <v>465</v>
      </c>
      <c r="E5" s="378">
        <v>1</v>
      </c>
      <c r="F5" s="35">
        <v>0</v>
      </c>
      <c r="G5" s="145">
        <v>0</v>
      </c>
      <c r="H5" s="140">
        <v>17.91</v>
      </c>
      <c r="I5" s="140">
        <v>8904</v>
      </c>
      <c r="J5" s="19">
        <f t="shared" si="0"/>
        <v>13.040448530503721</v>
      </c>
      <c r="K5" s="27">
        <v>18.04</v>
      </c>
      <c r="L5" s="97">
        <v>8421.7999999999993</v>
      </c>
      <c r="M5" s="23">
        <f t="shared" si="1"/>
        <v>13.850692501732611</v>
      </c>
      <c r="N5" s="140">
        <v>18.03</v>
      </c>
      <c r="O5" s="140">
        <v>8872.44</v>
      </c>
      <c r="P5" s="19">
        <f t="shared" si="2"/>
        <v>14.876824592626281</v>
      </c>
      <c r="Q5" s="42">
        <v>18.07</v>
      </c>
      <c r="R5" s="19">
        <v>5141.07</v>
      </c>
      <c r="S5" s="23">
        <f t="shared" si="3"/>
        <v>7.9871405835675615</v>
      </c>
      <c r="T5" s="42">
        <v>18.170000000000002</v>
      </c>
      <c r="U5" s="19">
        <v>8831.9</v>
      </c>
      <c r="V5" s="23">
        <f t="shared" si="4"/>
        <v>15.683887943460647</v>
      </c>
    </row>
    <row r="6" spans="2:22" x14ac:dyDescent="0.25">
      <c r="B6" s="65">
        <v>1479</v>
      </c>
      <c r="C6" s="35" t="s">
        <v>466</v>
      </c>
      <c r="D6" s="146" t="s">
        <v>467</v>
      </c>
      <c r="E6" s="379">
        <v>0</v>
      </c>
      <c r="F6" s="154">
        <v>0</v>
      </c>
      <c r="G6" s="146">
        <v>0</v>
      </c>
      <c r="H6" s="140">
        <v>16.420000000000002</v>
      </c>
      <c r="I6" s="140">
        <v>442.17</v>
      </c>
      <c r="J6" s="19">
        <f t="shared" si="0"/>
        <v>0.64758480758454973</v>
      </c>
      <c r="K6" s="27">
        <v>16.52</v>
      </c>
      <c r="L6" s="97">
        <v>580.42999999999995</v>
      </c>
      <c r="M6" s="23">
        <f t="shared" si="1"/>
        <v>0.95458897727097058</v>
      </c>
      <c r="N6" s="140">
        <v>16.559999999999999</v>
      </c>
      <c r="O6" s="140">
        <v>478.33</v>
      </c>
      <c r="P6" s="19">
        <f t="shared" si="2"/>
        <v>0.80203771537377855</v>
      </c>
      <c r="Q6" s="42">
        <v>16.63</v>
      </c>
      <c r="R6" s="19">
        <v>582.6</v>
      </c>
      <c r="S6" s="23">
        <f t="shared" si="3"/>
        <v>0.90512443985132707</v>
      </c>
      <c r="T6" s="42">
        <v>16.68</v>
      </c>
      <c r="U6" s="19">
        <v>482.86</v>
      </c>
      <c r="V6" s="23">
        <f t="shared" si="4"/>
        <v>0.85747371826893526</v>
      </c>
    </row>
    <row r="7" spans="2:22" x14ac:dyDescent="0.25">
      <c r="B7" s="65">
        <v>1520</v>
      </c>
      <c r="C7" s="35" t="s">
        <v>798</v>
      </c>
      <c r="D7" s="146" t="s">
        <v>879</v>
      </c>
      <c r="E7" s="379">
        <v>0</v>
      </c>
      <c r="F7" s="154">
        <v>0</v>
      </c>
      <c r="G7" s="146">
        <v>0</v>
      </c>
      <c r="H7" s="140">
        <v>12.7</v>
      </c>
      <c r="I7" s="140">
        <v>65.16</v>
      </c>
      <c r="J7" s="19">
        <f t="shared" si="0"/>
        <v>9.543077563427925E-2</v>
      </c>
      <c r="K7" s="27" t="s">
        <v>22</v>
      </c>
      <c r="L7" s="97">
        <v>0</v>
      </c>
      <c r="M7" s="23">
        <f t="shared" si="1"/>
        <v>0</v>
      </c>
      <c r="N7" s="140" t="s">
        <v>22</v>
      </c>
      <c r="O7" s="140">
        <v>0</v>
      </c>
      <c r="P7" s="19">
        <f t="shared" si="2"/>
        <v>0</v>
      </c>
      <c r="Q7" s="42">
        <v>12.94</v>
      </c>
      <c r="R7" s="19">
        <v>96</v>
      </c>
      <c r="S7" s="23">
        <f t="shared" si="3"/>
        <v>0.14914511882205184</v>
      </c>
      <c r="T7" s="42">
        <v>12.86</v>
      </c>
      <c r="U7" s="19">
        <v>82.14</v>
      </c>
      <c r="V7" s="23">
        <f t="shared" si="4"/>
        <v>0.14586607136356364</v>
      </c>
    </row>
    <row r="8" spans="2:22" x14ac:dyDescent="0.25">
      <c r="B8" s="65">
        <v>1625</v>
      </c>
      <c r="C8" s="35" t="s">
        <v>468</v>
      </c>
      <c r="D8" s="147" t="s">
        <v>469</v>
      </c>
      <c r="E8" s="380">
        <v>1</v>
      </c>
      <c r="F8" s="155">
        <v>0</v>
      </c>
      <c r="G8" s="147">
        <v>0</v>
      </c>
      <c r="H8" s="140">
        <v>18.57</v>
      </c>
      <c r="I8" s="140">
        <v>16148.83</v>
      </c>
      <c r="J8" s="19">
        <f t="shared" si="0"/>
        <v>23.65094187363594</v>
      </c>
      <c r="K8" s="27">
        <v>18.77</v>
      </c>
      <c r="L8" s="97">
        <v>13745.62</v>
      </c>
      <c r="M8" s="23">
        <f t="shared" si="1"/>
        <v>22.606373443404717</v>
      </c>
      <c r="N8" s="140">
        <v>18.78</v>
      </c>
      <c r="O8" s="140">
        <v>14919.19</v>
      </c>
      <c r="P8" s="19">
        <f t="shared" si="2"/>
        <v>25.01568595494183</v>
      </c>
      <c r="Q8" s="42">
        <v>18.8</v>
      </c>
      <c r="R8" s="19">
        <v>18221.849999999999</v>
      </c>
      <c r="S8" s="23">
        <f t="shared" si="3"/>
        <v>28.309374827162546</v>
      </c>
      <c r="T8" s="42">
        <v>18.82</v>
      </c>
      <c r="U8" s="19">
        <v>10005.5</v>
      </c>
      <c r="V8" s="23">
        <f t="shared" si="4"/>
        <v>17.767993389677816</v>
      </c>
    </row>
    <row r="9" spans="2:22" x14ac:dyDescent="0.25">
      <c r="B9" s="65">
        <v>1641</v>
      </c>
      <c r="C9" s="35" t="s">
        <v>470</v>
      </c>
      <c r="D9" s="148" t="s">
        <v>471</v>
      </c>
      <c r="E9" s="381">
        <v>0</v>
      </c>
      <c r="F9" s="156">
        <v>0</v>
      </c>
      <c r="G9" s="162">
        <v>0</v>
      </c>
      <c r="H9" s="140">
        <v>17.329999999999998</v>
      </c>
      <c r="I9" s="140">
        <v>330.54</v>
      </c>
      <c r="J9" s="19">
        <f t="shared" si="0"/>
        <v>0.48409589592011459</v>
      </c>
      <c r="K9" s="27">
        <v>17.48</v>
      </c>
      <c r="L9" s="97">
        <v>630.14</v>
      </c>
      <c r="M9" s="23">
        <f t="shared" si="1"/>
        <v>1.0363432250874858</v>
      </c>
      <c r="N9" s="140">
        <v>17.55</v>
      </c>
      <c r="O9" s="140">
        <v>1033.8399999999999</v>
      </c>
      <c r="P9" s="19">
        <f t="shared" si="2"/>
        <v>1.7334866549495687</v>
      </c>
      <c r="Q9" s="42">
        <v>17.5</v>
      </c>
      <c r="R9" s="19">
        <v>362.21</v>
      </c>
      <c r="S9" s="23">
        <f t="shared" si="3"/>
        <v>0.562727640505577</v>
      </c>
      <c r="T9" s="42">
        <v>17.600000000000001</v>
      </c>
      <c r="U9" s="19">
        <v>1285.8599999999999</v>
      </c>
      <c r="V9" s="23">
        <f t="shared" si="4"/>
        <v>2.2834592953926456</v>
      </c>
    </row>
    <row r="10" spans="2:22" x14ac:dyDescent="0.25">
      <c r="B10" s="65">
        <v>1666</v>
      </c>
      <c r="C10" s="35" t="s">
        <v>472</v>
      </c>
      <c r="D10" s="149" t="s">
        <v>473</v>
      </c>
      <c r="E10" s="382">
        <v>1</v>
      </c>
      <c r="F10" s="157">
        <v>0</v>
      </c>
      <c r="G10" s="149">
        <v>0</v>
      </c>
      <c r="H10" s="140">
        <v>14.98</v>
      </c>
      <c r="I10" s="140">
        <v>1920.54</v>
      </c>
      <c r="J10" s="19">
        <f t="shared" si="0"/>
        <v>2.8127474192243507</v>
      </c>
      <c r="K10" s="27">
        <v>15.13</v>
      </c>
      <c r="L10" s="97">
        <v>1515.35</v>
      </c>
      <c r="M10" s="23">
        <f t="shared" si="1"/>
        <v>2.4921806362654673</v>
      </c>
      <c r="N10" s="140">
        <v>15.16</v>
      </c>
      <c r="O10" s="140">
        <v>1883.1</v>
      </c>
      <c r="P10" s="19">
        <f t="shared" si="2"/>
        <v>3.1574796099353217</v>
      </c>
      <c r="Q10" s="42">
        <v>15.12</v>
      </c>
      <c r="R10" s="19">
        <v>1621.82</v>
      </c>
      <c r="S10" s="23">
        <f t="shared" si="3"/>
        <v>2.5196514229997926</v>
      </c>
      <c r="T10" s="42">
        <v>15.19</v>
      </c>
      <c r="U10" s="19">
        <v>1731.76</v>
      </c>
      <c r="V10" s="23">
        <f t="shared" si="4"/>
        <v>3.0752986090158871</v>
      </c>
    </row>
    <row r="11" spans="2:22" x14ac:dyDescent="0.25">
      <c r="B11" s="65">
        <v>1682</v>
      </c>
      <c r="C11" s="35" t="s">
        <v>474</v>
      </c>
      <c r="D11" s="146" t="s">
        <v>475</v>
      </c>
      <c r="E11" s="379">
        <v>0</v>
      </c>
      <c r="F11" s="154">
        <v>0</v>
      </c>
      <c r="G11" s="146">
        <v>0</v>
      </c>
      <c r="H11" s="140">
        <v>13.63</v>
      </c>
      <c r="I11" s="140">
        <v>212.3</v>
      </c>
      <c r="J11" s="19">
        <f t="shared" si="0"/>
        <v>0.31092623798584229</v>
      </c>
      <c r="K11" s="27">
        <v>13.73</v>
      </c>
      <c r="L11" s="97">
        <v>322.52</v>
      </c>
      <c r="M11" s="23">
        <f t="shared" si="1"/>
        <v>0.53042405966168771</v>
      </c>
      <c r="N11" s="140">
        <v>13.71</v>
      </c>
      <c r="O11" s="140">
        <v>171.97</v>
      </c>
      <c r="P11" s="19">
        <f t="shared" si="2"/>
        <v>0.28834993814485543</v>
      </c>
      <c r="Q11" s="42">
        <v>13.86</v>
      </c>
      <c r="R11" s="19">
        <v>183.27</v>
      </c>
      <c r="S11" s="23">
        <f t="shared" si="3"/>
        <v>0.28472735340122335</v>
      </c>
      <c r="T11" s="42">
        <v>13.75</v>
      </c>
      <c r="U11" s="19">
        <v>660.07</v>
      </c>
      <c r="V11" s="23">
        <f t="shared" si="4"/>
        <v>1.1721672476862364</v>
      </c>
    </row>
    <row r="12" spans="2:22" x14ac:dyDescent="0.25">
      <c r="B12" s="65">
        <v>1787</v>
      </c>
      <c r="C12" s="35" t="s">
        <v>476</v>
      </c>
      <c r="D12" s="146" t="s">
        <v>477</v>
      </c>
      <c r="E12" s="379">
        <v>1</v>
      </c>
      <c r="F12" s="154">
        <v>0</v>
      </c>
      <c r="G12" s="146">
        <v>0</v>
      </c>
      <c r="H12" s="140">
        <v>19.329999999999998</v>
      </c>
      <c r="I12" s="140">
        <v>6963.96</v>
      </c>
      <c r="J12" s="19">
        <f t="shared" si="0"/>
        <v>10.199142177502999</v>
      </c>
      <c r="K12" s="27">
        <v>19.440000000000001</v>
      </c>
      <c r="L12" s="97">
        <v>8784.27</v>
      </c>
      <c r="M12" s="23">
        <f t="shared" si="1"/>
        <v>14.446819281174422</v>
      </c>
      <c r="N12" s="140">
        <v>19.53</v>
      </c>
      <c r="O12" s="140">
        <v>16231.5</v>
      </c>
      <c r="P12" s="19">
        <f t="shared" si="2"/>
        <v>27.216095952772118</v>
      </c>
      <c r="Q12" s="42">
        <v>19.55</v>
      </c>
      <c r="R12" s="19">
        <v>8499.98</v>
      </c>
      <c r="S12" s="23">
        <f t="shared" si="3"/>
        <v>13.205526323802749</v>
      </c>
      <c r="T12" s="42">
        <v>19.579999999999998</v>
      </c>
      <c r="U12" s="19">
        <v>17376.98</v>
      </c>
      <c r="V12" s="23">
        <f t="shared" si="4"/>
        <v>30.858434438315292</v>
      </c>
    </row>
    <row r="13" spans="2:22" x14ac:dyDescent="0.25">
      <c r="B13" s="65">
        <v>1828</v>
      </c>
      <c r="C13" s="35" t="s">
        <v>478</v>
      </c>
      <c r="D13" s="150" t="s">
        <v>479</v>
      </c>
      <c r="E13" s="383">
        <v>1</v>
      </c>
      <c r="F13" s="158">
        <v>0</v>
      </c>
      <c r="G13" s="150">
        <v>0</v>
      </c>
      <c r="H13" s="140">
        <v>15.74</v>
      </c>
      <c r="I13" s="140">
        <v>3808.71</v>
      </c>
      <c r="J13" s="19">
        <f t="shared" si="0"/>
        <v>5.5780870083799217</v>
      </c>
      <c r="K13" s="27">
        <v>15.85</v>
      </c>
      <c r="L13" s="97">
        <v>3800.52</v>
      </c>
      <c r="M13" s="23">
        <f t="shared" si="1"/>
        <v>6.2504255464015808</v>
      </c>
      <c r="N13" s="140">
        <v>15.89</v>
      </c>
      <c r="O13" s="140">
        <v>4284.97</v>
      </c>
      <c r="P13" s="19">
        <f t="shared" si="2"/>
        <v>7.1848045266765208</v>
      </c>
      <c r="Q13" s="42">
        <v>15.95</v>
      </c>
      <c r="R13" s="19">
        <v>3578.1</v>
      </c>
      <c r="S13" s="23">
        <f t="shared" si="3"/>
        <v>5.5589182255956624</v>
      </c>
      <c r="T13" s="42">
        <v>15.92</v>
      </c>
      <c r="U13" s="19">
        <v>4302.22</v>
      </c>
      <c r="V13" s="23">
        <f t="shared" si="4"/>
        <v>7.639979663279167</v>
      </c>
    </row>
    <row r="14" spans="2:22" x14ac:dyDescent="0.25">
      <c r="B14" s="65">
        <v>1844</v>
      </c>
      <c r="C14" s="35" t="s">
        <v>880</v>
      </c>
      <c r="D14" s="146" t="s">
        <v>881</v>
      </c>
      <c r="E14" s="379">
        <v>0</v>
      </c>
      <c r="F14" s="154">
        <v>0</v>
      </c>
      <c r="G14" s="146">
        <v>0</v>
      </c>
      <c r="H14" s="140">
        <v>14.18</v>
      </c>
      <c r="I14" s="140">
        <v>108.59</v>
      </c>
      <c r="J14" s="19">
        <f t="shared" si="0"/>
        <v>0.15903664711673396</v>
      </c>
      <c r="K14" s="27">
        <v>14.37</v>
      </c>
      <c r="L14" s="97">
        <v>332.11</v>
      </c>
      <c r="M14" s="23">
        <f t="shared" si="1"/>
        <v>0.5461960016564652</v>
      </c>
      <c r="N14" s="140">
        <v>14.29</v>
      </c>
      <c r="O14" s="140">
        <v>1352.59</v>
      </c>
      <c r="P14" s="19">
        <f t="shared" si="2"/>
        <v>2.2679493099688899</v>
      </c>
      <c r="Q14" s="42">
        <v>14.29</v>
      </c>
      <c r="R14" s="19">
        <v>238.65</v>
      </c>
      <c r="S14" s="23">
        <f t="shared" si="3"/>
        <v>0.37076544382169446</v>
      </c>
      <c r="T14" s="42">
        <v>14.33</v>
      </c>
      <c r="U14" s="19">
        <v>1335.7</v>
      </c>
      <c r="V14" s="23">
        <f t="shared" si="4"/>
        <v>2.371966295596688</v>
      </c>
    </row>
    <row r="15" spans="2:22" x14ac:dyDescent="0.25">
      <c r="B15" s="65">
        <v>1883</v>
      </c>
      <c r="C15" s="35" t="s">
        <v>882</v>
      </c>
      <c r="D15" s="148" t="s">
        <v>883</v>
      </c>
      <c r="E15" s="381">
        <v>0</v>
      </c>
      <c r="F15" s="156">
        <v>0</v>
      </c>
      <c r="G15" s="162">
        <v>0</v>
      </c>
      <c r="H15" s="140" t="s">
        <v>22</v>
      </c>
      <c r="I15" s="140">
        <v>0</v>
      </c>
      <c r="J15" s="19">
        <f>I15/$I$28*100</f>
        <v>0</v>
      </c>
      <c r="K15" s="27">
        <v>15.23</v>
      </c>
      <c r="L15" s="97">
        <v>97.47</v>
      </c>
      <c r="M15" s="23">
        <f>L15/$L$28*100</f>
        <v>0.16030147927329996</v>
      </c>
      <c r="N15" s="140" t="s">
        <v>22</v>
      </c>
      <c r="O15" s="140">
        <v>0</v>
      </c>
      <c r="P15" s="19">
        <f t="shared" si="2"/>
        <v>0</v>
      </c>
      <c r="Q15" s="42">
        <v>15.29</v>
      </c>
      <c r="R15" s="19">
        <v>103.91</v>
      </c>
      <c r="S15" s="23">
        <f t="shared" si="3"/>
        <v>0.16143405517499379</v>
      </c>
      <c r="T15" s="42" t="s">
        <v>22</v>
      </c>
      <c r="U15" s="19">
        <v>0</v>
      </c>
      <c r="V15" s="23">
        <f t="shared" si="4"/>
        <v>0</v>
      </c>
    </row>
    <row r="16" spans="2:22" x14ac:dyDescent="0.25">
      <c r="B16" s="65">
        <v>1916</v>
      </c>
      <c r="C16" s="35" t="s">
        <v>480</v>
      </c>
      <c r="D16" s="146" t="s">
        <v>481</v>
      </c>
      <c r="E16" s="379">
        <v>1</v>
      </c>
      <c r="F16" s="154">
        <v>1</v>
      </c>
      <c r="G16" s="146">
        <v>1</v>
      </c>
      <c r="H16" s="140">
        <v>19.329999999999998</v>
      </c>
      <c r="I16" s="140">
        <v>1173.21</v>
      </c>
      <c r="J16" s="19">
        <f t="shared" si="0"/>
        <v>1.7182372664501653</v>
      </c>
      <c r="K16" s="27">
        <v>19.82</v>
      </c>
      <c r="L16" s="97">
        <v>700.39</v>
      </c>
      <c r="M16" s="23">
        <f t="shared" si="1"/>
        <v>1.1518780452264961</v>
      </c>
      <c r="N16" s="140" t="s">
        <v>22</v>
      </c>
      <c r="O16" s="140">
        <v>0</v>
      </c>
      <c r="P16" s="19">
        <f t="shared" si="2"/>
        <v>0</v>
      </c>
      <c r="Q16" s="42">
        <v>20.03</v>
      </c>
      <c r="R16" s="19">
        <v>864</v>
      </c>
      <c r="S16" s="23">
        <f t="shared" si="3"/>
        <v>1.3423060693984663</v>
      </c>
      <c r="T16" s="42" t="s">
        <v>22</v>
      </c>
      <c r="U16" s="19">
        <v>0</v>
      </c>
      <c r="V16" s="23">
        <f t="shared" si="4"/>
        <v>0</v>
      </c>
    </row>
    <row r="17" spans="2:22" x14ac:dyDescent="0.25">
      <c r="B17" s="65">
        <v>1932</v>
      </c>
      <c r="C17" s="35" t="s">
        <v>884</v>
      </c>
      <c r="D17" s="146" t="s">
        <v>885</v>
      </c>
      <c r="E17" s="379">
        <v>0</v>
      </c>
      <c r="F17" s="154">
        <v>1</v>
      </c>
      <c r="G17" s="146">
        <v>1</v>
      </c>
      <c r="H17" s="140">
        <v>18</v>
      </c>
      <c r="I17" s="140">
        <v>501.9</v>
      </c>
      <c r="J17" s="19">
        <f t="shared" si="0"/>
        <v>0.73506301858263889</v>
      </c>
      <c r="K17" s="27">
        <v>18.59</v>
      </c>
      <c r="L17" s="97">
        <v>728.56</v>
      </c>
      <c r="M17" s="23">
        <f t="shared" si="1"/>
        <v>1.1982070969462955</v>
      </c>
      <c r="N17" s="140" t="s">
        <v>22</v>
      </c>
      <c r="O17" s="140">
        <v>0</v>
      </c>
      <c r="P17" s="19">
        <f t="shared" si="2"/>
        <v>0</v>
      </c>
      <c r="Q17" s="42" t="s">
        <v>22</v>
      </c>
      <c r="R17" s="19">
        <v>0</v>
      </c>
      <c r="S17" s="23">
        <f t="shared" si="3"/>
        <v>0</v>
      </c>
      <c r="T17" s="42" t="s">
        <v>22</v>
      </c>
      <c r="U17" s="19">
        <v>0</v>
      </c>
      <c r="V17" s="23">
        <f t="shared" si="4"/>
        <v>0</v>
      </c>
    </row>
    <row r="18" spans="2:22" x14ac:dyDescent="0.25">
      <c r="B18" s="65">
        <v>1990</v>
      </c>
      <c r="C18" s="35" t="s">
        <v>482</v>
      </c>
      <c r="D18" s="146" t="s">
        <v>483</v>
      </c>
      <c r="E18" s="384">
        <v>1</v>
      </c>
      <c r="F18" s="159">
        <v>0</v>
      </c>
      <c r="G18" s="151">
        <v>0</v>
      </c>
      <c r="H18" s="140">
        <v>16.03</v>
      </c>
      <c r="I18" s="140">
        <v>965.44</v>
      </c>
      <c r="J18" s="19">
        <f t="shared" si="0"/>
        <v>1.4139454884646803</v>
      </c>
      <c r="K18" s="27">
        <v>16.23</v>
      </c>
      <c r="L18" s="97">
        <v>5471.92</v>
      </c>
      <c r="M18" s="23">
        <f t="shared" si="1"/>
        <v>8.9992497226342021</v>
      </c>
      <c r="N18" s="140">
        <v>16.37</v>
      </c>
      <c r="O18" s="140">
        <v>9056.2199999999993</v>
      </c>
      <c r="P18" s="19">
        <f t="shared" si="2"/>
        <v>15.184976896122595</v>
      </c>
      <c r="Q18" s="42">
        <v>16.25</v>
      </c>
      <c r="R18" s="19">
        <v>2772.92</v>
      </c>
      <c r="S18" s="23">
        <f t="shared" si="3"/>
        <v>4.3079946133754579</v>
      </c>
      <c r="T18" s="42">
        <v>16.3</v>
      </c>
      <c r="U18" s="19">
        <v>10216.94</v>
      </c>
      <c r="V18" s="23">
        <f t="shared" si="4"/>
        <v>18.14347332794312</v>
      </c>
    </row>
    <row r="19" spans="2:22" x14ac:dyDescent="0.25">
      <c r="B19" s="65">
        <v>2078</v>
      </c>
      <c r="C19" s="35" t="s">
        <v>484</v>
      </c>
      <c r="D19" s="151" t="s">
        <v>485</v>
      </c>
      <c r="E19" s="385">
        <v>1</v>
      </c>
      <c r="F19" s="160">
        <v>1</v>
      </c>
      <c r="G19" s="163">
        <v>1</v>
      </c>
      <c r="H19" s="140">
        <v>19.91</v>
      </c>
      <c r="I19" s="140">
        <v>7099.62</v>
      </c>
      <c r="J19" s="19">
        <f t="shared" si="0"/>
        <v>10.397824482944163</v>
      </c>
      <c r="K19" s="27">
        <v>20.399999999999999</v>
      </c>
      <c r="L19" s="97">
        <v>6901.96</v>
      </c>
      <c r="M19" s="23">
        <f t="shared" si="1"/>
        <v>11.351127504720894</v>
      </c>
      <c r="N19" s="140">
        <v>20.73</v>
      </c>
      <c r="O19" s="140">
        <v>528.01</v>
      </c>
      <c r="P19" s="19">
        <f t="shared" si="2"/>
        <v>0.88533843600549589</v>
      </c>
      <c r="Q19" s="42">
        <v>20.52</v>
      </c>
      <c r="R19" s="19">
        <v>7623.58</v>
      </c>
      <c r="S19" s="23">
        <f t="shared" si="3"/>
        <v>11.843955676556437</v>
      </c>
      <c r="T19" s="42" t="s">
        <v>22</v>
      </c>
      <c r="U19" s="19">
        <v>0</v>
      </c>
      <c r="V19" s="23">
        <f t="shared" si="4"/>
        <v>0</v>
      </c>
    </row>
    <row r="20" spans="2:22" x14ac:dyDescent="0.25">
      <c r="B20" s="65">
        <v>2119</v>
      </c>
      <c r="C20" s="35" t="s">
        <v>486</v>
      </c>
      <c r="D20" s="146" t="s">
        <v>487</v>
      </c>
      <c r="E20" s="379">
        <v>1</v>
      </c>
      <c r="F20" s="154">
        <v>1</v>
      </c>
      <c r="G20" s="146">
        <v>1</v>
      </c>
      <c r="H20" s="140">
        <v>16.32</v>
      </c>
      <c r="I20" s="140">
        <v>973.66</v>
      </c>
      <c r="J20" s="19">
        <f t="shared" si="0"/>
        <v>1.4259841774719511</v>
      </c>
      <c r="K20" s="27" t="s">
        <v>886</v>
      </c>
      <c r="L20" s="97">
        <v>477.9</v>
      </c>
      <c r="M20" s="23">
        <f t="shared" si="1"/>
        <v>0.78596570170011337</v>
      </c>
      <c r="N20" s="140" t="s">
        <v>22</v>
      </c>
      <c r="O20" s="140">
        <v>0</v>
      </c>
      <c r="P20" s="19">
        <f t="shared" si="2"/>
        <v>0</v>
      </c>
      <c r="Q20" s="42">
        <v>17.010000000000002</v>
      </c>
      <c r="R20" s="19">
        <v>594.48</v>
      </c>
      <c r="S20" s="23">
        <f t="shared" si="3"/>
        <v>0.92358114830555593</v>
      </c>
      <c r="T20" s="42" t="s">
        <v>22</v>
      </c>
      <c r="U20" s="19">
        <v>0</v>
      </c>
      <c r="V20" s="23">
        <f t="shared" si="4"/>
        <v>0</v>
      </c>
    </row>
    <row r="21" spans="2:22" x14ac:dyDescent="0.25">
      <c r="B21" s="65">
        <v>2135</v>
      </c>
      <c r="C21" s="35" t="s">
        <v>488</v>
      </c>
      <c r="D21" s="146" t="s">
        <v>489</v>
      </c>
      <c r="E21" s="379">
        <v>0</v>
      </c>
      <c r="F21" s="154">
        <v>1</v>
      </c>
      <c r="G21" s="146">
        <v>1</v>
      </c>
      <c r="H21" s="140">
        <v>15.27</v>
      </c>
      <c r="I21" s="140">
        <v>488.05</v>
      </c>
      <c r="J21" s="19">
        <f t="shared" si="0"/>
        <v>0.714778852797882</v>
      </c>
      <c r="K21" s="27">
        <v>15.66</v>
      </c>
      <c r="L21" s="97">
        <v>337.21</v>
      </c>
      <c r="M21" s="23">
        <f t="shared" si="1"/>
        <v>0.5545835829049911</v>
      </c>
      <c r="N21" s="140">
        <v>15.7</v>
      </c>
      <c r="O21" s="140">
        <v>74.2</v>
      </c>
      <c r="P21" s="19">
        <f t="shared" si="2"/>
        <v>0.12441452236057612</v>
      </c>
      <c r="Q21" s="42">
        <v>15.86</v>
      </c>
      <c r="R21" s="19">
        <v>480.41</v>
      </c>
      <c r="S21" s="23">
        <f t="shared" si="3"/>
        <v>0.74636256805522838</v>
      </c>
      <c r="T21" s="42" t="s">
        <v>22</v>
      </c>
      <c r="U21" s="19">
        <v>0</v>
      </c>
      <c r="V21" s="23">
        <f t="shared" si="4"/>
        <v>0</v>
      </c>
    </row>
    <row r="22" spans="2:22" x14ac:dyDescent="0.25">
      <c r="B22" s="65">
        <v>2156</v>
      </c>
      <c r="C22" s="35" t="s">
        <v>887</v>
      </c>
      <c r="D22" s="146" t="s">
        <v>888</v>
      </c>
      <c r="E22" s="386">
        <v>1</v>
      </c>
      <c r="F22" s="154">
        <v>0</v>
      </c>
      <c r="G22" s="146">
        <v>0</v>
      </c>
      <c r="H22" s="140" t="s">
        <v>22</v>
      </c>
      <c r="I22" s="140">
        <v>0</v>
      </c>
      <c r="J22" s="19">
        <f>I22/$I$28*100</f>
        <v>0</v>
      </c>
      <c r="K22" s="27" t="s">
        <v>22</v>
      </c>
      <c r="L22" s="97">
        <v>0</v>
      </c>
      <c r="M22" s="23">
        <f>L22/$L$28*100</f>
        <v>0</v>
      </c>
      <c r="N22" s="140">
        <v>18.59</v>
      </c>
      <c r="O22" s="140">
        <v>408.89</v>
      </c>
      <c r="P22" s="19">
        <f>O22/$O$28*100</f>
        <v>0.68560450199482437</v>
      </c>
      <c r="Q22" s="42" t="s">
        <v>22</v>
      </c>
      <c r="R22" s="19">
        <v>0</v>
      </c>
      <c r="S22" s="23">
        <f t="shared" si="3"/>
        <v>0</v>
      </c>
      <c r="T22" s="42" t="s">
        <v>22</v>
      </c>
      <c r="U22" s="19">
        <v>0</v>
      </c>
      <c r="V22" s="23">
        <f t="shared" si="4"/>
        <v>0</v>
      </c>
    </row>
    <row r="23" spans="2:22" x14ac:dyDescent="0.25">
      <c r="B23" s="69" t="s">
        <v>490</v>
      </c>
      <c r="C23" s="35" t="s">
        <v>4</v>
      </c>
      <c r="D23" s="152" t="s">
        <v>491</v>
      </c>
      <c r="E23" s="387">
        <v>0</v>
      </c>
      <c r="F23" s="161">
        <v>1</v>
      </c>
      <c r="G23" s="152">
        <v>1</v>
      </c>
      <c r="H23" s="140">
        <v>18.48</v>
      </c>
      <c r="I23" s="140">
        <v>737.7</v>
      </c>
      <c r="J23" s="19">
        <f t="shared" si="0"/>
        <v>1.0804064331707768</v>
      </c>
      <c r="K23" s="27" t="s">
        <v>889</v>
      </c>
      <c r="L23" s="97">
        <v>156.19999999999999</v>
      </c>
      <c r="M23" s="23">
        <f t="shared" si="1"/>
        <v>0.25689023353328672</v>
      </c>
      <c r="N23" s="140" t="s">
        <v>22</v>
      </c>
      <c r="O23" s="140">
        <v>0</v>
      </c>
      <c r="P23" s="19">
        <f t="shared" si="2"/>
        <v>0</v>
      </c>
      <c r="Q23" s="42">
        <v>19.649999999999999</v>
      </c>
      <c r="R23" s="19">
        <v>373.66</v>
      </c>
      <c r="S23" s="23">
        <f t="shared" si="3"/>
        <v>0.58051630311508218</v>
      </c>
      <c r="T23" s="42" t="s">
        <v>22</v>
      </c>
      <c r="U23" s="19">
        <v>0</v>
      </c>
      <c r="V23" s="23">
        <f t="shared" si="4"/>
        <v>0</v>
      </c>
    </row>
    <row r="24" spans="2:22" x14ac:dyDescent="0.25">
      <c r="B24" s="65">
        <v>2281</v>
      </c>
      <c r="C24" s="35" t="s">
        <v>492</v>
      </c>
      <c r="D24" s="152" t="s">
        <v>493</v>
      </c>
      <c r="E24" s="387">
        <v>1</v>
      </c>
      <c r="F24" s="161">
        <v>1</v>
      </c>
      <c r="G24" s="152">
        <v>1</v>
      </c>
      <c r="H24" s="140">
        <v>16.96</v>
      </c>
      <c r="I24" s="140">
        <v>4976.58</v>
      </c>
      <c r="J24" s="19">
        <f t="shared" si="0"/>
        <v>7.2885035206574802</v>
      </c>
      <c r="K24" s="27">
        <v>17.48</v>
      </c>
      <c r="L24" s="97">
        <v>4102.55</v>
      </c>
      <c r="M24" s="23">
        <f t="shared" si="1"/>
        <v>6.7471512649294851</v>
      </c>
      <c r="N24" s="140">
        <v>17.93</v>
      </c>
      <c r="O24" s="140">
        <v>344.09</v>
      </c>
      <c r="P24" s="19">
        <f t="shared" si="2"/>
        <v>0.57695138812736702</v>
      </c>
      <c r="Q24" s="42">
        <v>17.600000000000001</v>
      </c>
      <c r="R24" s="19">
        <v>5830.05</v>
      </c>
      <c r="S24" s="23">
        <f t="shared" si="3"/>
        <v>9.0575364582135762</v>
      </c>
      <c r="T24" s="42" t="s">
        <v>22</v>
      </c>
      <c r="U24" s="19">
        <v>0</v>
      </c>
      <c r="V24" s="23">
        <f t="shared" si="4"/>
        <v>0</v>
      </c>
    </row>
    <row r="25" spans="2:22" x14ac:dyDescent="0.25">
      <c r="B25" s="65">
        <v>2369</v>
      </c>
      <c r="C25" s="35" t="s">
        <v>494</v>
      </c>
      <c r="D25" s="152" t="s">
        <v>495</v>
      </c>
      <c r="E25" s="387">
        <v>1</v>
      </c>
      <c r="F25" s="161">
        <v>1</v>
      </c>
      <c r="G25" s="152">
        <v>1</v>
      </c>
      <c r="H25" s="140">
        <v>20.11</v>
      </c>
      <c r="I25" s="140">
        <v>5341.73</v>
      </c>
      <c r="J25" s="19">
        <f t="shared" si="0"/>
        <v>7.8232878626288898</v>
      </c>
      <c r="K25" s="27">
        <v>20.98</v>
      </c>
      <c r="L25" s="97">
        <v>1967.8</v>
      </c>
      <c r="M25" s="23">
        <f t="shared" si="1"/>
        <v>3.2362906629116619</v>
      </c>
      <c r="N25" s="140" t="s">
        <v>22</v>
      </c>
      <c r="O25" s="140">
        <v>0</v>
      </c>
      <c r="P25" s="19">
        <f t="shared" si="2"/>
        <v>0</v>
      </c>
      <c r="Q25" s="42">
        <v>21.2</v>
      </c>
      <c r="R25" s="19">
        <v>3565.17</v>
      </c>
      <c r="S25" s="23">
        <f t="shared" si="3"/>
        <v>5.5388302424043179</v>
      </c>
      <c r="T25" s="42" t="s">
        <v>22</v>
      </c>
      <c r="U25" s="19">
        <v>0</v>
      </c>
      <c r="V25" s="23">
        <f t="shared" si="4"/>
        <v>0</v>
      </c>
    </row>
    <row r="26" spans="2:22" x14ac:dyDescent="0.25">
      <c r="B26" s="65">
        <v>2426</v>
      </c>
      <c r="C26" s="35" t="s">
        <v>496</v>
      </c>
      <c r="D26" s="146" t="s">
        <v>497</v>
      </c>
      <c r="E26" s="379">
        <v>0</v>
      </c>
      <c r="F26" s="154">
        <v>1</v>
      </c>
      <c r="G26" s="146">
        <v>1</v>
      </c>
      <c r="H26" s="140">
        <v>16.03</v>
      </c>
      <c r="I26" s="140">
        <v>443.26</v>
      </c>
      <c r="J26" s="19">
        <f t="shared" si="0"/>
        <v>0.64918117875461356</v>
      </c>
      <c r="K26" s="27" t="s">
        <v>890</v>
      </c>
      <c r="L26" s="97">
        <v>165</v>
      </c>
      <c r="M26" s="23">
        <f t="shared" si="1"/>
        <v>0.27136292274642965</v>
      </c>
      <c r="N26" s="140" t="s">
        <v>22</v>
      </c>
      <c r="O26" s="140">
        <v>0</v>
      </c>
      <c r="P26" s="19">
        <f t="shared" si="2"/>
        <v>0</v>
      </c>
      <c r="Q26" s="42">
        <v>17.11</v>
      </c>
      <c r="R26" s="19">
        <v>243.76</v>
      </c>
      <c r="S26" s="23">
        <f t="shared" si="3"/>
        <v>0.37870431420899325</v>
      </c>
      <c r="T26" s="42" t="s">
        <v>22</v>
      </c>
      <c r="U26" s="19">
        <v>0</v>
      </c>
      <c r="V26" s="23">
        <f t="shared" si="4"/>
        <v>0</v>
      </c>
    </row>
    <row r="27" spans="2:22" x14ac:dyDescent="0.25">
      <c r="B27" s="65">
        <v>2572</v>
      </c>
      <c r="C27" s="35" t="s">
        <v>498</v>
      </c>
      <c r="D27" s="146" t="s">
        <v>499</v>
      </c>
      <c r="E27" s="379">
        <v>1</v>
      </c>
      <c r="F27" s="154">
        <v>1</v>
      </c>
      <c r="G27" s="146">
        <v>1</v>
      </c>
      <c r="H27" s="140">
        <v>17.52</v>
      </c>
      <c r="I27" s="140">
        <v>6518.14</v>
      </c>
      <c r="J27" s="19">
        <f t="shared" si="0"/>
        <v>9.5462117233397947</v>
      </c>
      <c r="K27" s="27">
        <v>18.399999999999999</v>
      </c>
      <c r="L27" s="97">
        <v>1385.6</v>
      </c>
      <c r="M27" s="23">
        <f t="shared" si="1"/>
        <v>2.2787907015603204</v>
      </c>
      <c r="N27" s="140" t="s">
        <v>22</v>
      </c>
      <c r="O27" s="140">
        <v>0</v>
      </c>
      <c r="P27" s="19">
        <f t="shared" si="2"/>
        <v>0</v>
      </c>
      <c r="Q27" s="42">
        <v>18.7</v>
      </c>
      <c r="R27" s="19">
        <v>3246.63</v>
      </c>
      <c r="S27" s="23">
        <f t="shared" si="3"/>
        <v>5.0439480950128974</v>
      </c>
      <c r="T27" s="42" t="s">
        <v>22</v>
      </c>
      <c r="U27" s="19">
        <v>0</v>
      </c>
      <c r="V27" s="23">
        <f t="shared" si="4"/>
        <v>0</v>
      </c>
    </row>
    <row r="28" spans="2:22" ht="15.75" thickBot="1" x14ac:dyDescent="0.3">
      <c r="B28" s="128"/>
      <c r="C28" s="129"/>
      <c r="D28" s="130"/>
      <c r="E28" s="388"/>
      <c r="F28" s="129"/>
      <c r="G28" s="130"/>
      <c r="H28" s="370"/>
      <c r="I28" s="370">
        <f>SUM(I4:I27)</f>
        <v>68279.860000000015</v>
      </c>
      <c r="J28" s="135">
        <f>SUBTOTAL(109,Table1[Percentage])</f>
        <v>99.999999999999972</v>
      </c>
      <c r="K28" s="134"/>
      <c r="L28" s="370">
        <f>SUM(L4:L27)</f>
        <v>60804.179999999993</v>
      </c>
      <c r="M28" s="125">
        <f>SUBTOTAL(109,Table1[Percentage2])</f>
        <v>100</v>
      </c>
      <c r="N28" s="389"/>
      <c r="O28" s="390">
        <f>SUM(O4:O27)</f>
        <v>59639.339999999989</v>
      </c>
      <c r="P28" s="165">
        <f>SUBTOTAL(109,Table1[Percentage5])</f>
        <v>100.00000000000003</v>
      </c>
      <c r="Q28" s="391"/>
      <c r="R28" s="126">
        <f>SUM(R4:R27)</f>
        <v>64366.840000000011</v>
      </c>
      <c r="S28" s="127">
        <f>SUBTOTAL(109,Table1[Percentage8])</f>
        <v>99.999999999999972</v>
      </c>
      <c r="T28" s="392"/>
      <c r="U28" s="393">
        <f>SUM(U4:U27)</f>
        <v>56311.93</v>
      </c>
      <c r="V28" s="198">
        <f>SUBTOTAL(109,Table1[Percentage11])</f>
        <v>100</v>
      </c>
    </row>
    <row r="31" spans="2:22" ht="21" x14ac:dyDescent="0.35">
      <c r="B31" s="4" t="s">
        <v>5</v>
      </c>
    </row>
    <row r="32" spans="2:22" x14ac:dyDescent="0.25">
      <c r="B32" s="5" t="s">
        <v>6</v>
      </c>
      <c r="C32" s="193" t="s">
        <v>7</v>
      </c>
    </row>
    <row r="33" spans="2:3" x14ac:dyDescent="0.25">
      <c r="B33" s="5" t="s">
        <v>8</v>
      </c>
      <c r="C33" s="193" t="s">
        <v>9</v>
      </c>
    </row>
    <row r="34" spans="2:3" x14ac:dyDescent="0.25">
      <c r="B34" s="5" t="s">
        <v>10</v>
      </c>
      <c r="C34" s="193" t="s">
        <v>11</v>
      </c>
    </row>
    <row r="35" spans="2:3" x14ac:dyDescent="0.25">
      <c r="C35" s="193" t="s">
        <v>12</v>
      </c>
    </row>
    <row r="36" spans="2:3" x14ac:dyDescent="0.25">
      <c r="B36" s="5" t="s">
        <v>13</v>
      </c>
      <c r="C36" s="193" t="s">
        <v>500</v>
      </c>
    </row>
    <row r="37" spans="2:3" x14ac:dyDescent="0.25">
      <c r="B37" s="5" t="s">
        <v>14</v>
      </c>
      <c r="C37" s="193" t="s">
        <v>16</v>
      </c>
    </row>
    <row r="38" spans="2:3" x14ac:dyDescent="0.25">
      <c r="B38" s="5" t="s">
        <v>15</v>
      </c>
      <c r="C38" s="193" t="s">
        <v>17</v>
      </c>
    </row>
  </sheetData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PGM_PCM_Fetuin_Fucosidases</vt:lpstr>
      <vt:lpstr>Human N-glycan_Fucosidases</vt:lpstr>
      <vt:lpstr>PCM_SIalidases</vt:lpstr>
      <vt:lpstr>PGM_Sialidases</vt:lpstr>
      <vt:lpstr>Mouse Muc2_Sialidases</vt:lpstr>
      <vt:lpstr>Human IgG_Sialidases</vt:lpstr>
    </vt:vector>
  </TitlesOfParts>
  <Company>Gothenburg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 Chunsheng</dc:creator>
  <cp:lastModifiedBy>Michael Pichler</cp:lastModifiedBy>
  <dcterms:created xsi:type="dcterms:W3CDTF">2017-09-07T10:53:18Z</dcterms:created>
  <dcterms:modified xsi:type="dcterms:W3CDTF">2023-02-28T17:19:47Z</dcterms:modified>
</cp:coreProperties>
</file>