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cherberts\Dropbox\2020 - ctDNA_mCRPC_prognosis (1)\Nature Communications 6th (editorial requests) submission\"/>
    </mc:Choice>
  </mc:AlternateContent>
  <xr:revisionPtr revIDLastSave="0" documentId="13_ncr:1_{0669B096-DEF6-417A-9C1C-9D92340DBD2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upplementary Data Legend" sheetId="1" r:id="rId1"/>
    <sheet name="S1- Clinical variables " sheetId="4" r:id="rId2"/>
    <sheet name="S2 - ctDNA fraction" sheetId="5" r:id="rId3"/>
    <sheet name="S3- Missing data" sheetId="6" r:id="rId4"/>
    <sheet name="S4 - Univariable HRs" sheetId="7" r:id="rId5"/>
    <sheet name="S5- Multivariable HRs" sheetId="8" r:id="rId6"/>
    <sheet name="S6 - Model perfomance" sheetId="9" r:id="rId7"/>
    <sheet name="patients characteristics" sheetId="25" state="hidden" r:id="rId8"/>
    <sheet name="All GUBB sample key (tmp)" sheetId="27" state="hidden" r:id="rId9"/>
    <sheet name="GUBB 1L sequencing status" sheetId="28" state="hidden" r:id="rId10"/>
    <sheet name="GUBB 2L and 3L sequencing statu" sheetId="29" state="hidden" r:id="rId11"/>
    <sheet name="CoxPH" sheetId="30" state="hidden" r:id="rId12"/>
  </sheets>
  <definedNames>
    <definedName name="CONTAINS">_xludf.LAMBDA(mobile, range, NOT(ISERROR(MATCH(mobile,range,0))))</definedName>
    <definedName name="Z_B43191E6_1FA3_4412_A619_ADA7D38BC33F_.wvu.FilterData" localSheetId="10" hidden="1">'GUBB 2L and 3L sequencing statu'!$A$1:$Y$281</definedName>
  </definedNames>
  <calcPr calcId="191029"/>
  <customWorkbookViews>
    <customWorkbookView name="Filter 1" guid="{B43191E6-1FA3-4412-A619-ADA7D38BC33F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89" i="25" l="1"/>
  <c r="M481" i="25"/>
  <c r="I481" i="25"/>
  <c r="M480" i="25"/>
  <c r="I480" i="25"/>
  <c r="M479" i="25"/>
  <c r="I479" i="25"/>
  <c r="K410" i="25"/>
  <c r="K408" i="25"/>
  <c r="K407" i="25"/>
  <c r="K406" i="25"/>
  <c r="K405" i="25"/>
  <c r="K404" i="25"/>
  <c r="K403" i="25"/>
  <c r="K402" i="25"/>
  <c r="K400" i="25"/>
  <c r="K399" i="25"/>
  <c r="K398" i="25"/>
  <c r="K397" i="25"/>
  <c r="K396" i="25"/>
  <c r="K395" i="25"/>
  <c r="K394" i="25"/>
  <c r="K393" i="25"/>
  <c r="K392" i="25"/>
  <c r="K391" i="25"/>
  <c r="K390" i="25"/>
  <c r="K389" i="25"/>
  <c r="K387" i="25"/>
  <c r="K386" i="25"/>
  <c r="K385" i="25"/>
  <c r="K384" i="25"/>
  <c r="K383" i="25"/>
  <c r="K381" i="25"/>
  <c r="K380" i="25"/>
  <c r="K378" i="25"/>
  <c r="K376" i="25"/>
  <c r="K374" i="25"/>
  <c r="K373" i="25"/>
  <c r="K372" i="25"/>
  <c r="K371" i="25"/>
  <c r="K370" i="25"/>
  <c r="K369" i="25"/>
  <c r="K368" i="25"/>
  <c r="K367" i="25"/>
  <c r="K365" i="25"/>
  <c r="K364" i="25"/>
  <c r="K363" i="25"/>
  <c r="K362" i="25"/>
  <c r="K361" i="25"/>
  <c r="K360" i="25"/>
  <c r="K358" i="25"/>
  <c r="K357" i="25"/>
  <c r="K356" i="25"/>
  <c r="K354" i="25"/>
  <c r="K353" i="25"/>
  <c r="K352" i="25"/>
  <c r="K351" i="25"/>
  <c r="K350" i="25"/>
  <c r="K348" i="25"/>
  <c r="K346" i="25"/>
  <c r="K344" i="25"/>
  <c r="K343" i="25"/>
  <c r="K341" i="25"/>
  <c r="K339" i="25"/>
  <c r="K338" i="25"/>
  <c r="K337" i="25"/>
  <c r="K336" i="25"/>
  <c r="K335" i="25"/>
  <c r="K334" i="25"/>
  <c r="K333" i="25"/>
  <c r="K331" i="25"/>
  <c r="K330" i="25"/>
  <c r="K328" i="25"/>
  <c r="K327" i="25"/>
  <c r="K326" i="25"/>
  <c r="K324" i="25"/>
  <c r="K323" i="25"/>
  <c r="K322" i="25"/>
  <c r="K321" i="25"/>
  <c r="K320" i="25"/>
  <c r="K319" i="25"/>
  <c r="K318" i="25"/>
  <c r="K316" i="25"/>
  <c r="K315" i="25"/>
  <c r="K314" i="25"/>
  <c r="K313" i="25"/>
  <c r="K312" i="25"/>
  <c r="K311" i="25"/>
  <c r="K309" i="25"/>
  <c r="K308" i="25"/>
  <c r="K307" i="25"/>
  <c r="K306" i="25"/>
  <c r="K305" i="25"/>
  <c r="K304" i="25"/>
  <c r="K303" i="25"/>
  <c r="K302" i="25"/>
  <c r="K301" i="25"/>
  <c r="K300" i="25"/>
  <c r="K299" i="25"/>
  <c r="K298" i="25"/>
  <c r="K297" i="25"/>
  <c r="K296" i="25"/>
  <c r="K295" i="25"/>
  <c r="K294" i="25"/>
  <c r="K293" i="25"/>
  <c r="K292" i="25"/>
  <c r="K291" i="25"/>
  <c r="K290" i="25"/>
  <c r="K289" i="25"/>
  <c r="K288" i="25"/>
  <c r="K287" i="25"/>
  <c r="K286" i="25"/>
  <c r="K285" i="25"/>
  <c r="K284" i="25"/>
  <c r="K283" i="25"/>
  <c r="K282" i="25"/>
  <c r="K281" i="25"/>
  <c r="K280" i="25"/>
  <c r="K279" i="25"/>
  <c r="K278" i="25"/>
  <c r="K277" i="25"/>
  <c r="K276" i="25"/>
  <c r="K275" i="25"/>
  <c r="K274" i="25"/>
  <c r="K272" i="25"/>
  <c r="K271" i="25"/>
  <c r="K269" i="25"/>
  <c r="K268" i="25"/>
  <c r="K265" i="25"/>
  <c r="K264" i="25"/>
  <c r="K263" i="25"/>
  <c r="K262" i="25"/>
  <c r="K261" i="25"/>
  <c r="K260" i="25"/>
  <c r="K259" i="25"/>
  <c r="K257" i="25"/>
  <c r="K256" i="25"/>
  <c r="K255" i="25"/>
  <c r="K254" i="25"/>
  <c r="K253" i="25"/>
  <c r="K252" i="25"/>
  <c r="K249" i="25"/>
  <c r="K248" i="25"/>
  <c r="K247" i="25"/>
  <c r="K246" i="25"/>
  <c r="K245" i="25"/>
  <c r="K244" i="25"/>
  <c r="K243" i="25"/>
  <c r="K242" i="25"/>
  <c r="K241" i="25"/>
  <c r="K240" i="25"/>
  <c r="K239" i="25"/>
  <c r="K238" i="25"/>
  <c r="K237" i="25"/>
  <c r="K236" i="25"/>
  <c r="K235" i="25"/>
  <c r="K233" i="25"/>
  <c r="K232" i="25"/>
  <c r="K231" i="25"/>
  <c r="K230" i="25"/>
  <c r="K229" i="25"/>
  <c r="K228" i="25"/>
  <c r="K225" i="25"/>
  <c r="K224" i="25"/>
  <c r="K223" i="25"/>
  <c r="K222" i="25"/>
  <c r="K221" i="25"/>
  <c r="K220" i="25"/>
  <c r="K218" i="25"/>
  <c r="K217" i="25"/>
  <c r="K216" i="25"/>
  <c r="K215" i="25"/>
  <c r="K214" i="25"/>
  <c r="K213" i="25"/>
  <c r="K212" i="25"/>
  <c r="K211" i="25"/>
  <c r="K210" i="25"/>
  <c r="AG209" i="25"/>
  <c r="AF209" i="25"/>
  <c r="P209" i="25"/>
  <c r="O209" i="25"/>
  <c r="AG208" i="25"/>
  <c r="AF208" i="25"/>
  <c r="P208" i="25"/>
  <c r="O208" i="25"/>
  <c r="AG207" i="25"/>
  <c r="AF207" i="25"/>
  <c r="P207" i="25"/>
  <c r="O207" i="25"/>
  <c r="AG206" i="25"/>
  <c r="AF206" i="25"/>
  <c r="P206" i="25"/>
  <c r="O206" i="25"/>
  <c r="P205" i="25"/>
  <c r="O205" i="25"/>
  <c r="P204" i="25"/>
  <c r="O204" i="25"/>
  <c r="P203" i="25"/>
  <c r="P202" i="25"/>
  <c r="P201" i="25"/>
  <c r="O201" i="25"/>
  <c r="AG200" i="25"/>
  <c r="AF200" i="25"/>
  <c r="P200" i="25"/>
  <c r="O200" i="25"/>
  <c r="AG199" i="25"/>
  <c r="AF199" i="25"/>
  <c r="P199" i="25"/>
  <c r="O199" i="25"/>
  <c r="AG198" i="25"/>
  <c r="AF198" i="25"/>
  <c r="P198" i="25"/>
  <c r="O198" i="25"/>
  <c r="AG196" i="25"/>
  <c r="AF196" i="25"/>
  <c r="P196" i="25"/>
  <c r="AG195" i="25"/>
  <c r="AF195" i="25"/>
  <c r="P195" i="25"/>
  <c r="O195" i="25"/>
  <c r="AG194" i="25"/>
  <c r="AF194" i="25"/>
  <c r="P194" i="25"/>
  <c r="O194" i="25"/>
  <c r="P193" i="25"/>
  <c r="O193" i="25"/>
  <c r="AG192" i="25"/>
  <c r="AF192" i="25"/>
  <c r="P192" i="25"/>
  <c r="O192" i="25"/>
  <c r="AG191" i="25"/>
  <c r="AF191" i="25"/>
  <c r="P191" i="25"/>
  <c r="O191" i="25"/>
  <c r="AG190" i="25"/>
  <c r="AF190" i="25"/>
  <c r="P190" i="25"/>
  <c r="O190" i="25"/>
  <c r="P189" i="25"/>
  <c r="O189" i="25"/>
  <c r="P188" i="25"/>
  <c r="O188" i="25"/>
  <c r="AG187" i="25"/>
  <c r="AF187" i="25"/>
  <c r="P187" i="25"/>
  <c r="O187" i="25"/>
  <c r="AG186" i="25"/>
  <c r="AF186" i="25"/>
  <c r="P186" i="25"/>
  <c r="O186" i="25"/>
  <c r="AG185" i="25"/>
  <c r="AF185" i="25"/>
  <c r="P185" i="25"/>
  <c r="O185" i="25"/>
  <c r="AG184" i="25"/>
  <c r="AF184" i="25"/>
  <c r="P184" i="25"/>
  <c r="AG183" i="25"/>
  <c r="AF183" i="25"/>
  <c r="P183" i="25"/>
  <c r="O183" i="25"/>
  <c r="AG182" i="25"/>
  <c r="AF182" i="25"/>
  <c r="P182" i="25"/>
  <c r="O182" i="25"/>
  <c r="AG181" i="25"/>
  <c r="AF181" i="25"/>
  <c r="P181" i="25"/>
  <c r="O181" i="25"/>
  <c r="AG180" i="25"/>
  <c r="AF180" i="25"/>
  <c r="P180" i="25"/>
  <c r="O180" i="25"/>
  <c r="AG179" i="25"/>
  <c r="AF179" i="25"/>
  <c r="P179" i="25"/>
  <c r="O179" i="25"/>
  <c r="AG178" i="25"/>
  <c r="AF178" i="25"/>
  <c r="P178" i="25"/>
  <c r="O178" i="25"/>
  <c r="AG177" i="25"/>
  <c r="AF177" i="25"/>
  <c r="P177" i="25"/>
  <c r="O177" i="25"/>
  <c r="AG176" i="25"/>
  <c r="AF176" i="25"/>
  <c r="AG175" i="25"/>
  <c r="AF175" i="25"/>
  <c r="AG174" i="25"/>
  <c r="AF174" i="25"/>
  <c r="P174" i="25"/>
  <c r="O174" i="25"/>
  <c r="AG173" i="25"/>
  <c r="AF173" i="25"/>
  <c r="P173" i="25"/>
  <c r="O173" i="25"/>
  <c r="AG172" i="25"/>
  <c r="AF172" i="25"/>
  <c r="P172" i="25"/>
  <c r="O172" i="25"/>
  <c r="AG171" i="25"/>
  <c r="AF171" i="25"/>
  <c r="AG170" i="25"/>
  <c r="AF170" i="25"/>
  <c r="AG169" i="25"/>
  <c r="AF169" i="25"/>
  <c r="P169" i="25"/>
  <c r="O169" i="25"/>
  <c r="AG168" i="25"/>
  <c r="AF168" i="25"/>
  <c r="P168" i="25"/>
  <c r="AG167" i="25"/>
  <c r="AF167" i="25"/>
  <c r="P167" i="25"/>
  <c r="O167" i="25"/>
  <c r="AG166" i="25"/>
  <c r="AF166" i="25"/>
  <c r="P166" i="25"/>
  <c r="P165" i="25"/>
  <c r="O165" i="25"/>
  <c r="AG164" i="25"/>
  <c r="AF164" i="25"/>
  <c r="P164" i="25"/>
  <c r="O164" i="25"/>
  <c r="AG163" i="25"/>
  <c r="AF163" i="25"/>
  <c r="P163" i="25"/>
  <c r="O163" i="25"/>
  <c r="AG162" i="25"/>
  <c r="AF162" i="25"/>
  <c r="P162" i="25"/>
  <c r="O162" i="25"/>
  <c r="AG161" i="25"/>
  <c r="AF161" i="25"/>
  <c r="O161" i="25"/>
  <c r="P160" i="25"/>
  <c r="O160" i="25"/>
  <c r="AG159" i="25"/>
  <c r="AF159" i="25"/>
  <c r="P159" i="25"/>
  <c r="O159" i="25"/>
  <c r="P158" i="25"/>
  <c r="O158" i="25"/>
  <c r="AG157" i="25"/>
  <c r="AF157" i="25"/>
  <c r="AG156" i="25"/>
  <c r="AF156" i="25"/>
  <c r="AG155" i="25"/>
  <c r="AF155" i="25"/>
  <c r="P155" i="25"/>
  <c r="AG154" i="25"/>
  <c r="AF154" i="25"/>
  <c r="P154" i="25"/>
  <c r="O154" i="25"/>
  <c r="AG153" i="25"/>
  <c r="AF153" i="25"/>
  <c r="P153" i="25"/>
  <c r="O153" i="25"/>
  <c r="AG152" i="25"/>
  <c r="AF152" i="25"/>
  <c r="P152" i="25"/>
  <c r="AG151" i="25"/>
  <c r="AF151" i="25"/>
  <c r="P151" i="25"/>
  <c r="O151" i="25"/>
  <c r="AG150" i="25"/>
  <c r="AF150" i="25"/>
  <c r="P150" i="25"/>
  <c r="O150" i="25"/>
  <c r="AG149" i="25"/>
  <c r="AF149" i="25"/>
  <c r="P149" i="25"/>
  <c r="O149" i="25"/>
  <c r="AG148" i="25"/>
  <c r="AF148" i="25"/>
  <c r="AG147" i="25"/>
  <c r="AF147" i="25"/>
  <c r="P147" i="25"/>
  <c r="O147" i="25"/>
  <c r="AG146" i="25"/>
  <c r="AF146" i="25"/>
  <c r="P146" i="25"/>
  <c r="AG145" i="25"/>
  <c r="AF145" i="25"/>
  <c r="P145" i="25"/>
  <c r="O145" i="25"/>
  <c r="AG144" i="25"/>
  <c r="AF144" i="25"/>
  <c r="P144" i="25"/>
  <c r="O144" i="25"/>
  <c r="AG143" i="25"/>
  <c r="AF143" i="25"/>
  <c r="P143" i="25"/>
  <c r="O143" i="25"/>
  <c r="AG142" i="25"/>
  <c r="AF142" i="25"/>
  <c r="AG141" i="25"/>
  <c r="AF141" i="25"/>
  <c r="P141" i="25"/>
  <c r="O141" i="25"/>
  <c r="AG140" i="25"/>
  <c r="AF140" i="25"/>
  <c r="P140" i="25"/>
  <c r="O140" i="25"/>
  <c r="P139" i="25"/>
  <c r="AG138" i="25"/>
  <c r="AF138" i="25"/>
  <c r="AG137" i="25"/>
  <c r="AF137" i="25"/>
  <c r="P137" i="25"/>
  <c r="P136" i="25"/>
  <c r="O136" i="25"/>
  <c r="AG135" i="25"/>
  <c r="AF135" i="25"/>
  <c r="P135" i="25"/>
  <c r="O135" i="25"/>
  <c r="AG134" i="25"/>
  <c r="AF134" i="25"/>
  <c r="P134" i="25"/>
  <c r="O134" i="25"/>
  <c r="AG133" i="25"/>
  <c r="AF133" i="25"/>
  <c r="P133" i="25"/>
  <c r="O133" i="25"/>
  <c r="AG132" i="25"/>
  <c r="AF132" i="25"/>
  <c r="P132" i="25"/>
  <c r="O132" i="25"/>
  <c r="AG131" i="25"/>
  <c r="AF131" i="25"/>
  <c r="P131" i="25"/>
  <c r="O131" i="25"/>
  <c r="AG130" i="25"/>
  <c r="AF130" i="25"/>
  <c r="P130" i="25"/>
  <c r="O130" i="25"/>
  <c r="AG129" i="25"/>
  <c r="AF129" i="25"/>
  <c r="P129" i="25"/>
  <c r="O129" i="25"/>
  <c r="AG128" i="25"/>
  <c r="AF128" i="25"/>
  <c r="AG127" i="25"/>
  <c r="AF127" i="25"/>
  <c r="P127" i="25"/>
  <c r="O127" i="25"/>
  <c r="AG126" i="25"/>
  <c r="AF126" i="25"/>
  <c r="P126" i="25"/>
  <c r="O126" i="25"/>
  <c r="AG125" i="25"/>
  <c r="AF125" i="25"/>
  <c r="P125" i="25"/>
  <c r="O125" i="25"/>
  <c r="AG124" i="25"/>
  <c r="AF124" i="25"/>
  <c r="P124" i="25"/>
  <c r="O124" i="25"/>
  <c r="AG123" i="25"/>
  <c r="AF123" i="25"/>
  <c r="P123" i="25"/>
  <c r="O123" i="25"/>
  <c r="P122" i="25"/>
  <c r="O122" i="25"/>
  <c r="AG121" i="25"/>
  <c r="AF121" i="25"/>
  <c r="P121" i="25"/>
  <c r="AG120" i="25"/>
  <c r="AF120" i="25"/>
  <c r="AG119" i="25"/>
  <c r="AF119" i="25"/>
  <c r="P119" i="25"/>
  <c r="O119" i="25"/>
  <c r="AG118" i="25"/>
  <c r="AF118" i="25"/>
  <c r="P118" i="25"/>
  <c r="O118" i="25"/>
  <c r="P117" i="25"/>
  <c r="AG116" i="25"/>
  <c r="AF116" i="25"/>
  <c r="P116" i="25"/>
  <c r="O116" i="25"/>
  <c r="AG115" i="25"/>
  <c r="AF115" i="25"/>
  <c r="AG114" i="25"/>
  <c r="AF114" i="25"/>
  <c r="P114" i="25"/>
  <c r="O114" i="25"/>
  <c r="AG113" i="25"/>
  <c r="AF113" i="25"/>
  <c r="P113" i="25"/>
  <c r="O113" i="25"/>
  <c r="AG112" i="25"/>
  <c r="AF112" i="25"/>
  <c r="P112" i="25"/>
  <c r="O112" i="25"/>
  <c r="AG111" i="25"/>
  <c r="AF111" i="25"/>
  <c r="P111" i="25"/>
  <c r="O111" i="25"/>
  <c r="AG110" i="25"/>
  <c r="AF110" i="25"/>
  <c r="AG109" i="25"/>
  <c r="AF109" i="25"/>
  <c r="P109" i="25"/>
  <c r="O109" i="25"/>
  <c r="P108" i="25"/>
  <c r="O108" i="25"/>
  <c r="AG107" i="25"/>
  <c r="AF107" i="25"/>
  <c r="P107" i="25"/>
  <c r="P106" i="25"/>
  <c r="O106" i="25"/>
  <c r="AG105" i="25"/>
  <c r="AF105" i="25"/>
  <c r="P105" i="25"/>
  <c r="O105" i="25"/>
  <c r="AG104" i="25"/>
  <c r="AF104" i="25"/>
  <c r="AG103" i="25"/>
  <c r="AF103" i="25"/>
  <c r="P103" i="25"/>
  <c r="AG102" i="25"/>
  <c r="AF102" i="25"/>
  <c r="P102" i="25"/>
  <c r="O102" i="25"/>
  <c r="AG101" i="25"/>
  <c r="AF101" i="25"/>
  <c r="P101" i="25"/>
  <c r="O101" i="25"/>
  <c r="AG100" i="25"/>
  <c r="AF100" i="25"/>
  <c r="P100" i="25"/>
  <c r="O100" i="25"/>
  <c r="AG99" i="25"/>
  <c r="AF99" i="25"/>
  <c r="P99" i="25"/>
  <c r="O99" i="25"/>
  <c r="AG98" i="25"/>
  <c r="AF98" i="25"/>
  <c r="P98" i="25"/>
  <c r="O98" i="25"/>
  <c r="P97" i="25"/>
  <c r="O97" i="25"/>
  <c r="AG96" i="25"/>
  <c r="AF96" i="25"/>
  <c r="P96" i="25"/>
  <c r="O96" i="25"/>
  <c r="AG95" i="25"/>
  <c r="AF95" i="25"/>
  <c r="P95" i="25"/>
  <c r="O95" i="25"/>
  <c r="AG94" i="25"/>
  <c r="AF94" i="25"/>
  <c r="AG93" i="25"/>
  <c r="AF93" i="25"/>
  <c r="P93" i="25"/>
  <c r="O93" i="25"/>
  <c r="AG92" i="25"/>
  <c r="AF92" i="25"/>
  <c r="P92" i="25"/>
  <c r="O92" i="25"/>
  <c r="AG91" i="25"/>
  <c r="AF91" i="25"/>
  <c r="AG90" i="25"/>
  <c r="AF90" i="25"/>
  <c r="P90" i="25"/>
  <c r="O90" i="25"/>
  <c r="AG89" i="25"/>
  <c r="AF89" i="25"/>
  <c r="P89" i="25"/>
  <c r="O89" i="25"/>
  <c r="P88" i="25"/>
  <c r="O88" i="25"/>
  <c r="AG87" i="25"/>
  <c r="AF87" i="25"/>
  <c r="P87" i="25"/>
  <c r="O87" i="25"/>
  <c r="AG86" i="25"/>
  <c r="AF86" i="25"/>
  <c r="P86" i="25"/>
  <c r="AG85" i="25"/>
  <c r="AF85" i="25"/>
  <c r="AG84" i="25"/>
  <c r="AF84" i="25"/>
  <c r="P84" i="25"/>
  <c r="O84" i="25"/>
  <c r="AG83" i="25"/>
  <c r="AF83" i="25"/>
  <c r="P83" i="25"/>
  <c r="AG82" i="25"/>
  <c r="AF82" i="25"/>
  <c r="P82" i="25"/>
  <c r="O82" i="25"/>
  <c r="P81" i="25"/>
  <c r="O81" i="25"/>
  <c r="AG80" i="25"/>
  <c r="AF80" i="25"/>
  <c r="P80" i="25"/>
  <c r="O80" i="25"/>
  <c r="AG79" i="25"/>
  <c r="AF79" i="25"/>
  <c r="P79" i="25"/>
  <c r="O79" i="25"/>
  <c r="AG78" i="25"/>
  <c r="AF78" i="25"/>
  <c r="P78" i="25"/>
  <c r="O78" i="25"/>
  <c r="AG77" i="25"/>
  <c r="AF77" i="25"/>
  <c r="P77" i="25"/>
  <c r="P76" i="25"/>
  <c r="O76" i="25"/>
  <c r="AG75" i="25"/>
  <c r="AF75" i="25"/>
  <c r="P75" i="25"/>
  <c r="O75" i="25"/>
  <c r="AG74" i="25"/>
  <c r="AF74" i="25"/>
  <c r="P74" i="25"/>
  <c r="P73" i="25"/>
  <c r="O73" i="25"/>
  <c r="AG72" i="25"/>
  <c r="AF72" i="25"/>
  <c r="P72" i="25"/>
  <c r="O72" i="25"/>
  <c r="AG71" i="25"/>
  <c r="AF71" i="25"/>
  <c r="P71" i="25"/>
  <c r="O71" i="25"/>
  <c r="AG70" i="25"/>
  <c r="AF70" i="25"/>
  <c r="P70" i="25"/>
  <c r="P69" i="25"/>
  <c r="O69" i="25"/>
  <c r="AG68" i="25"/>
  <c r="AF68" i="25"/>
  <c r="P68" i="25"/>
  <c r="O68" i="25"/>
  <c r="AG67" i="25"/>
  <c r="AF67" i="25"/>
  <c r="P67" i="25"/>
  <c r="O67" i="25"/>
  <c r="AG66" i="25"/>
  <c r="AF66" i="25"/>
  <c r="P66" i="25"/>
  <c r="O66" i="25"/>
  <c r="AG65" i="25"/>
  <c r="AF65" i="25"/>
  <c r="P65" i="25"/>
  <c r="O65" i="25"/>
  <c r="AG64" i="25"/>
  <c r="AF64" i="25"/>
  <c r="P64" i="25"/>
  <c r="O64" i="25"/>
  <c r="AF63" i="25"/>
  <c r="P63" i="25"/>
  <c r="O63" i="25"/>
  <c r="AG62" i="25"/>
  <c r="AF62" i="25"/>
  <c r="P62" i="25"/>
  <c r="O62" i="25"/>
  <c r="AG61" i="25"/>
  <c r="AF61" i="25"/>
  <c r="P61" i="25"/>
  <c r="O61" i="25"/>
  <c r="AG60" i="25"/>
  <c r="AF60" i="25"/>
  <c r="P60" i="25"/>
  <c r="O60" i="25"/>
  <c r="AG59" i="25"/>
  <c r="AF59" i="25"/>
  <c r="P59" i="25"/>
  <c r="P58" i="25"/>
  <c r="O58" i="25"/>
  <c r="AG57" i="25"/>
  <c r="AF57" i="25"/>
  <c r="AG56" i="25"/>
  <c r="AF56" i="25"/>
  <c r="P56" i="25"/>
  <c r="O56" i="25"/>
  <c r="AG55" i="25"/>
  <c r="AF55" i="25"/>
  <c r="P55" i="25"/>
  <c r="O55" i="25"/>
  <c r="AG54" i="25"/>
  <c r="AF54" i="25"/>
  <c r="P54" i="25"/>
  <c r="P53" i="25"/>
  <c r="P52" i="25"/>
  <c r="O52" i="25"/>
  <c r="AG51" i="25"/>
  <c r="AF51" i="25"/>
  <c r="P51" i="25"/>
  <c r="O51" i="25"/>
  <c r="AG50" i="25"/>
  <c r="AF50" i="25"/>
  <c r="P50" i="25"/>
  <c r="O50" i="25"/>
  <c r="AG49" i="25"/>
  <c r="AF49" i="25"/>
  <c r="P49" i="25"/>
  <c r="O49" i="25"/>
  <c r="AG48" i="25"/>
  <c r="AF48" i="25"/>
  <c r="P48" i="25"/>
  <c r="AG47" i="25"/>
  <c r="AF47" i="25"/>
  <c r="P47" i="25"/>
  <c r="O47" i="25"/>
  <c r="AG46" i="25"/>
  <c r="AF46" i="25"/>
  <c r="P46" i="25"/>
  <c r="O46" i="25"/>
  <c r="AG45" i="25"/>
  <c r="AF45" i="25"/>
  <c r="P45" i="25"/>
  <c r="O45" i="25"/>
  <c r="AG44" i="25"/>
  <c r="AF44" i="25"/>
  <c r="P44" i="25"/>
  <c r="O44" i="25"/>
  <c r="AG43" i="25"/>
  <c r="AF43" i="25"/>
  <c r="P43" i="25"/>
  <c r="AG42" i="25"/>
  <c r="AF42" i="25"/>
  <c r="P42" i="25"/>
  <c r="O42" i="25"/>
  <c r="P41" i="25"/>
  <c r="O41" i="25"/>
  <c r="AG40" i="25"/>
  <c r="AF40" i="25"/>
  <c r="P40" i="25"/>
  <c r="O40" i="25"/>
  <c r="AG39" i="25"/>
  <c r="AF39" i="25"/>
  <c r="P39" i="25"/>
  <c r="O39" i="25"/>
  <c r="P38" i="25"/>
  <c r="O38" i="25"/>
  <c r="AG37" i="25"/>
  <c r="AF37" i="25"/>
  <c r="P37" i="25"/>
  <c r="O37" i="25"/>
  <c r="AG36" i="25"/>
  <c r="AF36" i="25"/>
  <c r="P36" i="25"/>
  <c r="AG35" i="25"/>
  <c r="AF35" i="25"/>
  <c r="P35" i="25"/>
  <c r="AG34" i="25"/>
  <c r="AF34" i="25"/>
  <c r="P34" i="25"/>
  <c r="O34" i="25"/>
  <c r="AG33" i="25"/>
  <c r="AF33" i="25"/>
  <c r="P33" i="25"/>
  <c r="O33" i="25"/>
  <c r="AG32" i="25"/>
  <c r="AF32" i="25"/>
  <c r="P32" i="25"/>
  <c r="O32" i="25"/>
  <c r="AG31" i="25"/>
  <c r="AF31" i="25"/>
  <c r="P31" i="25"/>
  <c r="O31" i="25"/>
  <c r="AG30" i="25"/>
  <c r="AF30" i="25"/>
  <c r="P30" i="25"/>
  <c r="O30" i="25"/>
  <c r="P29" i="25"/>
  <c r="O29" i="25"/>
  <c r="P28" i="25"/>
  <c r="O28" i="25"/>
  <c r="AG27" i="25"/>
  <c r="AF27" i="25"/>
  <c r="P27" i="25"/>
  <c r="O27" i="25"/>
  <c r="AG26" i="25"/>
  <c r="AF26" i="25"/>
  <c r="P26" i="25"/>
  <c r="P25" i="25"/>
  <c r="AG24" i="25"/>
  <c r="AF24" i="25"/>
  <c r="P24" i="25"/>
  <c r="O24" i="25"/>
  <c r="AG23" i="25"/>
  <c r="AF23" i="25"/>
  <c r="P23" i="25"/>
  <c r="O23" i="25"/>
  <c r="AG22" i="25"/>
  <c r="AF22" i="25"/>
  <c r="P22" i="25"/>
  <c r="O22" i="25"/>
  <c r="P21" i="25"/>
  <c r="O21" i="25"/>
  <c r="AG20" i="25"/>
  <c r="AF20" i="25"/>
  <c r="AG19" i="25"/>
  <c r="AF19" i="25"/>
  <c r="P19" i="25"/>
  <c r="O19" i="25"/>
  <c r="P18" i="25"/>
  <c r="O18" i="25"/>
  <c r="AG17" i="25"/>
  <c r="AF17" i="25"/>
  <c r="P17" i="25"/>
  <c r="O17" i="25"/>
  <c r="AG16" i="25"/>
  <c r="AF16" i="25"/>
  <c r="P16" i="25"/>
  <c r="O16" i="25"/>
  <c r="AG15" i="25"/>
  <c r="AF15" i="25"/>
  <c r="P15" i="25"/>
  <c r="O15" i="25"/>
  <c r="AG14" i="25"/>
  <c r="AF14" i="25"/>
  <c r="P14" i="25"/>
  <c r="O14" i="25"/>
  <c r="AG13" i="25"/>
  <c r="AF13" i="25"/>
  <c r="P13" i="25"/>
  <c r="O13" i="25"/>
  <c r="AG12" i="25"/>
  <c r="AF12" i="25"/>
  <c r="P12" i="25"/>
  <c r="O12" i="25"/>
  <c r="AG11" i="25"/>
  <c r="AF11" i="25"/>
  <c r="P11" i="25"/>
  <c r="O11" i="25"/>
  <c r="AG10" i="25"/>
  <c r="AF10" i="25"/>
  <c r="P10" i="25"/>
  <c r="O10" i="25"/>
  <c r="AG9" i="25"/>
  <c r="AF9" i="25"/>
  <c r="P9" i="25"/>
  <c r="O9" i="25"/>
  <c r="AG8" i="25"/>
  <c r="AF8" i="25"/>
  <c r="P8" i="25"/>
  <c r="O8" i="25"/>
  <c r="AG7" i="25"/>
  <c r="AF7" i="25"/>
  <c r="P7" i="25"/>
  <c r="AG6" i="25"/>
  <c r="AF6" i="25"/>
  <c r="P6" i="25"/>
  <c r="O6" i="25"/>
  <c r="AG5" i="25"/>
  <c r="AF5" i="25"/>
  <c r="P5" i="25"/>
  <c r="O5" i="25"/>
  <c r="AG4" i="25"/>
  <c r="AF4" i="25"/>
  <c r="P4" i="25"/>
  <c r="O4" i="25"/>
  <c r="AG3" i="25"/>
  <c r="AF3" i="25"/>
  <c r="P3" i="25"/>
  <c r="O3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F419" authorId="0" shapeId="0" xr:uid="{00000000-0006-0000-1800-000001000000}">
      <text>
        <r>
          <rPr>
            <sz val="10"/>
            <color rgb="FF000000"/>
            <rFont val="Arial"/>
            <family val="2"/>
            <scheme val="minor"/>
          </rPr>
          <t>Was randomized but never started receiving 1st-line treatment.</t>
        </r>
      </text>
    </comment>
    <comment ref="AF476" authorId="0" shapeId="0" xr:uid="{00000000-0006-0000-1800-000002000000}">
      <text>
        <r>
          <rPr>
            <sz val="10"/>
            <color rgb="FF000000"/>
            <rFont val="Arial"/>
            <family val="2"/>
            <scheme val="minor"/>
          </rPr>
          <t>No on-treatment PSA measurements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4" authorId="0" shapeId="0" xr:uid="{00000000-0006-0000-1B00-000001000000}">
      <text>
        <r>
          <rPr>
            <sz val="10"/>
            <color rgb="FF000000"/>
            <rFont val="Arial"/>
            <family val="2"/>
            <scheme val="minor"/>
          </rPr>
          <t xml:space="preserve">excluded from cohort
</t>
        </r>
      </text>
    </comment>
    <comment ref="G156" authorId="0" shapeId="0" xr:uid="{00000000-0006-0000-1B00-000002000000}">
      <text>
        <r>
          <rPr>
            <sz val="10"/>
            <color rgb="FF000000"/>
            <rFont val="Arial"/>
            <family val="2"/>
            <scheme val="minor"/>
          </rPr>
          <t xml:space="preserve">Sequenced with new CRPC2020
</t>
        </r>
      </text>
    </comment>
    <comment ref="A183" authorId="0" shapeId="0" xr:uid="{00000000-0006-0000-1B00-000003000000}">
      <text>
        <r>
          <rPr>
            <sz val="10"/>
            <color rgb="FF000000"/>
            <rFont val="Arial"/>
            <family val="2"/>
            <scheme val="minor"/>
          </rPr>
          <t>this sample was not in Grainne's list of samples with the rapid crpc panel but it was in the run</t>
        </r>
      </text>
    </comment>
    <comment ref="H197" authorId="0" shapeId="0" xr:uid="{00000000-0006-0000-1B00-000008000000}">
      <text>
        <r>
          <rPr>
            <sz val="10"/>
            <color rgb="FF000000"/>
            <rFont val="Arial"/>
            <family val="2"/>
            <scheme val="minor"/>
          </rPr>
          <t>ATR variant read mates map to other regions of the genome
	-N Fonseca
chr7:152,138,798-152,138,838; chr7:152,148,419-152,148,459
	-N Fonseca
chr8:26,370,172-26,370,212
	-N Fonseca
this sample could be poor quality
	-N Fonseca</t>
        </r>
      </text>
    </comment>
    <comment ref="H200" authorId="0" shapeId="0" xr:uid="{00000000-0006-0000-1B00-000007000000}">
      <text>
        <r>
          <rPr>
            <sz val="10"/>
            <color rgb="FF000000"/>
            <rFont val="Arial"/>
            <family val="2"/>
            <scheme val="minor"/>
          </rPr>
          <t>Weird SNP deviation pattern
	-N Fonseca
FOXA1 fs mutation occurs on Chr17 which has CN gain
	-N Fonseca</t>
        </r>
      </text>
    </comment>
    <comment ref="H201" authorId="0" shapeId="0" xr:uid="{00000000-0006-0000-1B00-000006000000}">
      <text>
        <r>
          <rPr>
            <sz val="10"/>
            <color rgb="FF000000"/>
            <rFont val="Arial"/>
            <family val="2"/>
            <scheme val="minor"/>
          </rPr>
          <t>Fishy ZFHX3 insertion next to a low complexity region
	-N Fonseca</t>
        </r>
      </text>
    </comment>
    <comment ref="H203" authorId="0" shapeId="0" xr:uid="{00000000-0006-0000-1B00-000005000000}">
      <text>
        <r>
          <rPr>
            <sz val="10"/>
            <color rgb="FF000000"/>
            <rFont val="Arial"/>
            <family val="2"/>
            <scheme val="minor"/>
          </rPr>
          <t>RB1 (5.9% AF) insertion next to G and Cs at end of read
	-N Fonseca</t>
        </r>
      </text>
    </comment>
    <comment ref="H207" authorId="0" shapeId="0" xr:uid="{00000000-0006-0000-1B00-000004000000}">
      <text>
        <r>
          <rPr>
            <sz val="10"/>
            <color rgb="FF000000"/>
            <rFont val="Arial"/>
            <family val="2"/>
            <scheme val="minor"/>
          </rPr>
          <t>blacklisted
	-N Fonseca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59" authorId="0" shapeId="0" xr:uid="{00000000-0006-0000-1D00-000001000000}">
      <text>
        <r>
          <rPr>
            <sz val="10"/>
            <color rgb="FF000000"/>
            <rFont val="Arial"/>
            <family val="2"/>
            <scheme val="minor"/>
          </rPr>
          <t>Continuous
	-Cameron Herberts</t>
        </r>
      </text>
    </comment>
  </commentList>
</comments>
</file>

<file path=xl/sharedStrings.xml><?xml version="1.0" encoding="utf-8"?>
<sst xmlns="http://schemas.openxmlformats.org/spreadsheetml/2006/main" count="8118" uniqueCount="2646">
  <si>
    <t>Notes</t>
  </si>
  <si>
    <t>Lactate dehydrogenase (ULN)</t>
  </si>
  <si>
    <t>Albumin (ULN)</t>
  </si>
  <si>
    <t>Alkaline Phosphatase (ULN)</t>
  </si>
  <si>
    <t>Age at mCRPC diagnosis (years)</t>
  </si>
  <si>
    <t>List of clinical variables collected for all 491 mCRPC patients, grouped according to prostate cancer clinical setting.</t>
  </si>
  <si>
    <t>Per patient/sample ctDNA fraction estimates</t>
  </si>
  <si>
    <t>Baseline characteristics</t>
  </si>
  <si>
    <t>Date of Birth</t>
  </si>
  <si>
    <t>Co-morbidities (diabetes, cardiovascular disease, hypertension, malignancy)</t>
  </si>
  <si>
    <t>Diagnosis of prostate cancer</t>
  </si>
  <si>
    <t>Date of diagnosis</t>
  </si>
  <si>
    <t>Stage at diagnosis (I, II, III, IV)</t>
  </si>
  <si>
    <t>Histological sub-type (adenocarcinoma, other)</t>
  </si>
  <si>
    <t xml:space="preserve">Gleason grade </t>
  </si>
  <si>
    <t>initial PSA (ng/ml)</t>
  </si>
  <si>
    <t>Treatment for localized disease (Surgery/RT/ADT)</t>
  </si>
  <si>
    <t>Metastatic castration sensitive prostate cancer</t>
  </si>
  <si>
    <t>Date of andogen deprivation therapy (ADT)</t>
  </si>
  <si>
    <t>Systemic treatment intensification for mCSPC</t>
  </si>
  <si>
    <t>Radiation to the prostate</t>
  </si>
  <si>
    <t>Metastatic castration resistant prostate cancer (1-3L)</t>
  </si>
  <si>
    <t>Date of diagnosis of mCRPC</t>
  </si>
  <si>
    <t>Disease involvement (lymph node, bone, visceral)</t>
  </si>
  <si>
    <t>Number of bone metastases</t>
  </si>
  <si>
    <t>ECOG performance status</t>
  </si>
  <si>
    <t>Serum albumin (g/l)</t>
  </si>
  <si>
    <t>Serum alkaline phosphatase (u/l)</t>
  </si>
  <si>
    <t>laboratory upper limit of normal of alkaline phosphatase (u/l)</t>
  </si>
  <si>
    <t>Serum Lactate dehydrogenase (u/l)</t>
  </si>
  <si>
    <t>laboratory upper limit of normal of lactate dehydrogenase (u/l)</t>
  </si>
  <si>
    <t>Hemoglobin (g/l)</t>
  </si>
  <si>
    <t>Lymphocyte count</t>
  </si>
  <si>
    <t>Neutrophil count</t>
  </si>
  <si>
    <t>Evidence of neuroendocrine differentiation</t>
  </si>
  <si>
    <t>PSA at initiation of treatment (ng/ml)</t>
  </si>
  <si>
    <t>Date of initiation of treatment</t>
  </si>
  <si>
    <t>Treatment protocol</t>
  </si>
  <si>
    <t>PSA nadir</t>
  </si>
  <si>
    <t>Date of discontinuation of treatment</t>
  </si>
  <si>
    <t>Was progression criteria met</t>
  </si>
  <si>
    <t>Date of progression</t>
  </si>
  <si>
    <t>Type of progression</t>
  </si>
  <si>
    <t>PSA at progression (ng/ml)</t>
  </si>
  <si>
    <t>Confirmation of PSA progression</t>
  </si>
  <si>
    <t>Survival</t>
  </si>
  <si>
    <t>Survival status</t>
  </si>
  <si>
    <t>Date of death/last clinic visit</t>
  </si>
  <si>
    <t>Collection timepoint</t>
  </si>
  <si>
    <t>P0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</si>
  <si>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</si>
  <si>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</si>
  <si>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</si>
  <si>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</si>
  <si>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</si>
  <si>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</si>
  <si>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</si>
  <si>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</si>
  <si>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</si>
  <si>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</si>
  <si>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</si>
  <si>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</si>
  <si>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</si>
  <si>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</si>
  <si>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</si>
  <si>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</si>
  <si>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</si>
  <si>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</si>
  <si>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</si>
  <si>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</si>
  <si>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</si>
  <si>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</si>
  <si>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</si>
  <si>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</si>
  <si>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</si>
  <si>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</si>
  <si>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</si>
  <si>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</si>
  <si>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</si>
  <si>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</si>
  <si>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</si>
  <si>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</si>
  <si>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</si>
  <si>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</si>
  <si>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</si>
  <si>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</si>
  <si>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</si>
  <si>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</si>
  <si>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</si>
  <si>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</si>
  <si>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</si>
  <si>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</si>
  <si>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</si>
  <si>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P44</t>
  </si>
  <si>
    <t>P45</t>
  </si>
  <si>
    <t>P46</t>
  </si>
  <si>
    <t>P47</t>
  </si>
  <si>
    <t>P48</t>
  </si>
  <si>
    <t>P49</t>
  </si>
  <si>
    <t>P50</t>
  </si>
  <si>
    <t>P51</t>
  </si>
  <si>
    <t>P52</t>
  </si>
  <si>
    <t>P53</t>
  </si>
  <si>
    <t>P54</t>
  </si>
  <si>
    <t>P55</t>
  </si>
  <si>
    <t>P56</t>
  </si>
  <si>
    <t>P57</t>
  </si>
  <si>
    <t>P58</t>
  </si>
  <si>
    <t>P59</t>
  </si>
  <si>
    <t>P60</t>
  </si>
  <si>
    <t>P61</t>
  </si>
  <si>
    <t>P62</t>
  </si>
  <si>
    <t>P63</t>
  </si>
  <si>
    <t>P64</t>
  </si>
  <si>
    <t>P65</t>
  </si>
  <si>
    <t>P66</t>
  </si>
  <si>
    <t>P67</t>
  </si>
  <si>
    <t>P68</t>
  </si>
  <si>
    <t>P69</t>
  </si>
  <si>
    <t>P70</t>
  </si>
  <si>
    <t>P71</t>
  </si>
  <si>
    <t>P72</t>
  </si>
  <si>
    <t>P73</t>
  </si>
  <si>
    <t>P74</t>
  </si>
  <si>
    <t>P75</t>
  </si>
  <si>
    <t>P76</t>
  </si>
  <si>
    <t>P77</t>
  </si>
  <si>
    <t>P78</t>
  </si>
  <si>
    <t>P79</t>
  </si>
  <si>
    <t>P80</t>
  </si>
  <si>
    <t>P81</t>
  </si>
  <si>
    <t>P82</t>
  </si>
  <si>
    <t>P83</t>
  </si>
  <si>
    <t>P84</t>
  </si>
  <si>
    <t>P85</t>
  </si>
  <si>
    <t>P86</t>
  </si>
  <si>
    <t>P87</t>
  </si>
  <si>
    <t>P88</t>
  </si>
  <si>
    <t>P89</t>
  </si>
  <si>
    <t>P90</t>
  </si>
  <si>
    <t>P91</t>
  </si>
  <si>
    <t>P92</t>
  </si>
  <si>
    <t>P93</t>
  </si>
  <si>
    <t>P94</t>
  </si>
  <si>
    <t>P95</t>
  </si>
  <si>
    <t>P96</t>
  </si>
  <si>
    <t>P97</t>
  </si>
  <si>
    <t>P98</t>
  </si>
  <si>
    <t>P99</t>
  </si>
  <si>
    <t>P100</t>
  </si>
  <si>
    <t>P101</t>
  </si>
  <si>
    <t>P102</t>
  </si>
  <si>
    <t>P103</t>
  </si>
  <si>
    <t>P104</t>
  </si>
  <si>
    <t>P105</t>
  </si>
  <si>
    <t>P106</t>
  </si>
  <si>
    <t>P107</t>
  </si>
  <si>
    <t>P108</t>
  </si>
  <si>
    <t>P109</t>
  </si>
  <si>
    <t>P110</t>
  </si>
  <si>
    <t>P111</t>
  </si>
  <si>
    <t>P112</t>
  </si>
  <si>
    <t>P113</t>
  </si>
  <si>
    <t>P114</t>
  </si>
  <si>
    <t>P115</t>
  </si>
  <si>
    <t>P116</t>
  </si>
  <si>
    <t>P117</t>
  </si>
  <si>
    <t>P118</t>
  </si>
  <si>
    <t>P119</t>
  </si>
  <si>
    <t>P120</t>
  </si>
  <si>
    <t>P121</t>
  </si>
  <si>
    <t>P122</t>
  </si>
  <si>
    <t>P123</t>
  </si>
  <si>
    <t>P124</t>
  </si>
  <si>
    <t>P125</t>
  </si>
  <si>
    <t>P126</t>
  </si>
  <si>
    <t>P127</t>
  </si>
  <si>
    <t>P128</t>
  </si>
  <si>
    <t>P129</t>
  </si>
  <si>
    <t>P130</t>
  </si>
  <si>
    <t>P131</t>
  </si>
  <si>
    <t>P132</t>
  </si>
  <si>
    <t>P133</t>
  </si>
  <si>
    <t>P134</t>
  </si>
  <si>
    <t>P135</t>
  </si>
  <si>
    <t>P136</t>
  </si>
  <si>
    <t>P137</t>
  </si>
  <si>
    <t>P138</t>
  </si>
  <si>
    <t>P139</t>
  </si>
  <si>
    <t>P140</t>
  </si>
  <si>
    <t>P141</t>
  </si>
  <si>
    <t>P142</t>
  </si>
  <si>
    <t>P143</t>
  </si>
  <si>
    <t>P144</t>
  </si>
  <si>
    <t>P145</t>
  </si>
  <si>
    <t>P146</t>
  </si>
  <si>
    <t>P147</t>
  </si>
  <si>
    <t>P148</t>
  </si>
  <si>
    <t>P149</t>
  </si>
  <si>
    <t>P150</t>
  </si>
  <si>
    <t>P151</t>
  </si>
  <si>
    <t>P152</t>
  </si>
  <si>
    <t>P153</t>
  </si>
  <si>
    <t>P154</t>
  </si>
  <si>
    <t>P155</t>
  </si>
  <si>
    <t>P156</t>
  </si>
  <si>
    <t>P157</t>
  </si>
  <si>
    <t>P158</t>
  </si>
  <si>
    <t>P159</t>
  </si>
  <si>
    <t>P160</t>
  </si>
  <si>
    <t>P161</t>
  </si>
  <si>
    <t>P162</t>
  </si>
  <si>
    <t>P163</t>
  </si>
  <si>
    <t>P164</t>
  </si>
  <si>
    <t>P165</t>
  </si>
  <si>
    <t>P166</t>
  </si>
  <si>
    <t>P167</t>
  </si>
  <si>
    <t>P168</t>
  </si>
  <si>
    <t>P169</t>
  </si>
  <si>
    <t>P170</t>
  </si>
  <si>
    <t>P171</t>
  </si>
  <si>
    <t>P172</t>
  </si>
  <si>
    <t>P173</t>
  </si>
  <si>
    <t>P174</t>
  </si>
  <si>
    <t>P175</t>
  </si>
  <si>
    <t>P176</t>
  </si>
  <si>
    <t>P177</t>
  </si>
  <si>
    <t>P178</t>
  </si>
  <si>
    <t>P179</t>
  </si>
  <si>
    <t>P180</t>
  </si>
  <si>
    <t>P181</t>
  </si>
  <si>
    <t>P182</t>
  </si>
  <si>
    <t>P183</t>
  </si>
  <si>
    <t>P184</t>
  </si>
  <si>
    <t>P185</t>
  </si>
  <si>
    <t>P186</t>
  </si>
  <si>
    <t>P187</t>
  </si>
  <si>
    <t>P188</t>
  </si>
  <si>
    <t>P189</t>
  </si>
  <si>
    <t>P190</t>
  </si>
  <si>
    <t>P191</t>
  </si>
  <si>
    <t>P192</t>
  </si>
  <si>
    <t>P193</t>
  </si>
  <si>
    <t>P194</t>
  </si>
  <si>
    <t>P195</t>
  </si>
  <si>
    <t>P196</t>
  </si>
  <si>
    <t>P197</t>
  </si>
  <si>
    <t>P198</t>
  </si>
  <si>
    <t>P199</t>
  </si>
  <si>
    <t>P200</t>
  </si>
  <si>
    <t>P201</t>
  </si>
  <si>
    <t>P202</t>
  </si>
  <si>
    <t>P203</t>
  </si>
  <si>
    <t>P204</t>
  </si>
  <si>
    <t>P205</t>
  </si>
  <si>
    <t>P206</t>
  </si>
  <si>
    <t>P207</t>
  </si>
  <si>
    <t>P208</t>
  </si>
  <si>
    <t>P209</t>
  </si>
  <si>
    <t>P210</t>
  </si>
  <si>
    <t>P211</t>
  </si>
  <si>
    <t>P212</t>
  </si>
  <si>
    <t>P213</t>
  </si>
  <si>
    <t>P214</t>
  </si>
  <si>
    <t>P215</t>
  </si>
  <si>
    <t>P216</t>
  </si>
  <si>
    <t>P217</t>
  </si>
  <si>
    <t>P218</t>
  </si>
  <si>
    <t>P219</t>
  </si>
  <si>
    <t>P220</t>
  </si>
  <si>
    <t>P221</t>
  </si>
  <si>
    <t>P222</t>
  </si>
  <si>
    <t>P223</t>
  </si>
  <si>
    <t>P224</t>
  </si>
  <si>
    <t>P225</t>
  </si>
  <si>
    <t>P226</t>
  </si>
  <si>
    <t>P227</t>
  </si>
  <si>
    <t>P228</t>
  </si>
  <si>
    <t>P229</t>
  </si>
  <si>
    <t>P230</t>
  </si>
  <si>
    <t>P231</t>
  </si>
  <si>
    <t>P232</t>
  </si>
  <si>
    <t>P233</t>
  </si>
  <si>
    <t>P234</t>
  </si>
  <si>
    <t>P235</t>
  </si>
  <si>
    <t>P236</t>
  </si>
  <si>
    <t>P237</t>
  </si>
  <si>
    <t>P238</t>
  </si>
  <si>
    <t>P239</t>
  </si>
  <si>
    <t>P240</t>
  </si>
  <si>
    <t>P241</t>
  </si>
  <si>
    <t>P242</t>
  </si>
  <si>
    <t>P243</t>
  </si>
  <si>
    <t>P244</t>
  </si>
  <si>
    <t>P245</t>
  </si>
  <si>
    <t>P246</t>
  </si>
  <si>
    <t>P247</t>
  </si>
  <si>
    <t>P248</t>
  </si>
  <si>
    <t>P249</t>
  </si>
  <si>
    <t>P250</t>
  </si>
  <si>
    <t>P251</t>
  </si>
  <si>
    <t>P252</t>
  </si>
  <si>
    <t>P253</t>
  </si>
  <si>
    <t>P254</t>
  </si>
  <si>
    <t>P255</t>
  </si>
  <si>
    <t>P256</t>
  </si>
  <si>
    <t>P257</t>
  </si>
  <si>
    <t>P258</t>
  </si>
  <si>
    <t>P259</t>
  </si>
  <si>
    <t>P260</t>
  </si>
  <si>
    <t>P261</t>
  </si>
  <si>
    <t>P262</t>
  </si>
  <si>
    <t>P263</t>
  </si>
  <si>
    <t>P264</t>
  </si>
  <si>
    <t>P265</t>
  </si>
  <si>
    <t>P266</t>
  </si>
  <si>
    <t>P267</t>
  </si>
  <si>
    <t>P268</t>
  </si>
  <si>
    <t>P269</t>
  </si>
  <si>
    <t>P270</t>
  </si>
  <si>
    <t>P271</t>
  </si>
  <si>
    <t>P272</t>
  </si>
  <si>
    <t>P273</t>
  </si>
  <si>
    <t>P274</t>
  </si>
  <si>
    <t>P275</t>
  </si>
  <si>
    <t>P276</t>
  </si>
  <si>
    <t>P277</t>
  </si>
  <si>
    <t>P278</t>
  </si>
  <si>
    <t>P279</t>
  </si>
  <si>
    <t>P280</t>
  </si>
  <si>
    <t>P281</t>
  </si>
  <si>
    <t>P282</t>
  </si>
  <si>
    <t>P283</t>
  </si>
  <si>
    <t>P284</t>
  </si>
  <si>
    <t>P285</t>
  </si>
  <si>
    <t>P286</t>
  </si>
  <si>
    <t>P287</t>
  </si>
  <si>
    <t>P288</t>
  </si>
  <si>
    <t>P289</t>
  </si>
  <si>
    <t>P290</t>
  </si>
  <si>
    <t>P291</t>
  </si>
  <si>
    <t>P292</t>
  </si>
  <si>
    <t>P293</t>
  </si>
  <si>
    <t>P294</t>
  </si>
  <si>
    <t>P295</t>
  </si>
  <si>
    <t>P296</t>
  </si>
  <si>
    <t>P297</t>
  </si>
  <si>
    <t>P298</t>
  </si>
  <si>
    <t>P299</t>
  </si>
  <si>
    <t>P300</t>
  </si>
  <si>
    <t>P301</t>
  </si>
  <si>
    <t>P302</t>
  </si>
  <si>
    <t>P303</t>
  </si>
  <si>
    <t>P304</t>
  </si>
  <si>
    <t>P305</t>
  </si>
  <si>
    <t>P306</t>
  </si>
  <si>
    <t>P307</t>
  </si>
  <si>
    <t>P308</t>
  </si>
  <si>
    <t>P309</t>
  </si>
  <si>
    <t>P310</t>
  </si>
  <si>
    <t>P311</t>
  </si>
  <si>
    <t>P312</t>
  </si>
  <si>
    <t>P313</t>
  </si>
  <si>
    <t>P314</t>
  </si>
  <si>
    <t>P315</t>
  </si>
  <si>
    <t>P316</t>
  </si>
  <si>
    <t>P317</t>
  </si>
  <si>
    <t>P318</t>
  </si>
  <si>
    <t>P319</t>
  </si>
  <si>
    <t>P320</t>
  </si>
  <si>
    <t>P321</t>
  </si>
  <si>
    <t>P322</t>
  </si>
  <si>
    <t>P323</t>
  </si>
  <si>
    <t>P324</t>
  </si>
  <si>
    <t>P325</t>
  </si>
  <si>
    <t>P326</t>
  </si>
  <si>
    <t>P327</t>
  </si>
  <si>
    <t>P328</t>
  </si>
  <si>
    <t>P329</t>
  </si>
  <si>
    <t>P330</t>
  </si>
  <si>
    <t>P331</t>
  </si>
  <si>
    <t>P332</t>
  </si>
  <si>
    <t>P333</t>
  </si>
  <si>
    <t>P334</t>
  </si>
  <si>
    <t>P335</t>
  </si>
  <si>
    <t>P336</t>
  </si>
  <si>
    <t>P337</t>
  </si>
  <si>
    <t>P338</t>
  </si>
  <si>
    <t>P339</t>
  </si>
  <si>
    <t>P340</t>
  </si>
  <si>
    <t>P341</t>
  </si>
  <si>
    <t>P342</t>
  </si>
  <si>
    <t>P343</t>
  </si>
  <si>
    <t>P344</t>
  </si>
  <si>
    <t>P345</t>
  </si>
  <si>
    <t>P346</t>
  </si>
  <si>
    <t>P347</t>
  </si>
  <si>
    <t>P348</t>
  </si>
  <si>
    <t>P349</t>
  </si>
  <si>
    <t>P350</t>
  </si>
  <si>
    <t>P351</t>
  </si>
  <si>
    <t>P352</t>
  </si>
  <si>
    <t>P353</t>
  </si>
  <si>
    <t>P354</t>
  </si>
  <si>
    <t>P355</t>
  </si>
  <si>
    <t>P356</t>
  </si>
  <si>
    <t>P357</t>
  </si>
  <si>
    <t>P358</t>
  </si>
  <si>
    <t>P359</t>
  </si>
  <si>
    <t>P360</t>
  </si>
  <si>
    <t>P361</t>
  </si>
  <si>
    <t>P362</t>
  </si>
  <si>
    <t>P363</t>
  </si>
  <si>
    <t>P364</t>
  </si>
  <si>
    <t>P365</t>
  </si>
  <si>
    <t>P366</t>
  </si>
  <si>
    <t>P367</t>
  </si>
  <si>
    <t>P368</t>
  </si>
  <si>
    <t>P369</t>
  </si>
  <si>
    <t>P370</t>
  </si>
  <si>
    <t>P371</t>
  </si>
  <si>
    <t>P372</t>
  </si>
  <si>
    <t>P373</t>
  </si>
  <si>
    <t>P374</t>
  </si>
  <si>
    <t>P375</t>
  </si>
  <si>
    <t>P376</t>
  </si>
  <si>
    <t>P377</t>
  </si>
  <si>
    <t>P378</t>
  </si>
  <si>
    <t>P379</t>
  </si>
  <si>
    <t>P380</t>
  </si>
  <si>
    <t>P381</t>
  </si>
  <si>
    <t>P382</t>
  </si>
  <si>
    <t>P383</t>
  </si>
  <si>
    <t>P384</t>
  </si>
  <si>
    <t>P385</t>
  </si>
  <si>
    <t>P386</t>
  </si>
  <si>
    <t>P387</t>
  </si>
  <si>
    <t>P388</t>
  </si>
  <si>
    <t>P389</t>
  </si>
  <si>
    <t>P390</t>
  </si>
  <si>
    <t>P391</t>
  </si>
  <si>
    <t>P392</t>
  </si>
  <si>
    <t>P393</t>
  </si>
  <si>
    <t>P394</t>
  </si>
  <si>
    <t>P395</t>
  </si>
  <si>
    <t>P396</t>
  </si>
  <si>
    <t>P397</t>
  </si>
  <si>
    <t>P398</t>
  </si>
  <si>
    <t>P399</t>
  </si>
  <si>
    <t>P400</t>
  </si>
  <si>
    <t>P401</t>
  </si>
  <si>
    <t>P402</t>
  </si>
  <si>
    <t>P403</t>
  </si>
  <si>
    <t>P404</t>
  </si>
  <si>
    <t>P405</t>
  </si>
  <si>
    <t>P406</t>
  </si>
  <si>
    <t>P407</t>
  </si>
  <si>
    <t>P408</t>
  </si>
  <si>
    <t>P409</t>
  </si>
  <si>
    <t>P410</t>
  </si>
  <si>
    <t>P411</t>
  </si>
  <si>
    <t>P412</t>
  </si>
  <si>
    <t>P413</t>
  </si>
  <si>
    <t>P414</t>
  </si>
  <si>
    <t>P415</t>
  </si>
  <si>
    <t>P416</t>
  </si>
  <si>
    <t>P417</t>
  </si>
  <si>
    <t>P418</t>
  </si>
  <si>
    <t>P419</t>
  </si>
  <si>
    <t>P420</t>
  </si>
  <si>
    <t>P421</t>
  </si>
  <si>
    <t>P422</t>
  </si>
  <si>
    <t>P423</t>
  </si>
  <si>
    <t>P424</t>
  </si>
  <si>
    <t>P425</t>
  </si>
  <si>
    <t>P426</t>
  </si>
  <si>
    <t>P427</t>
  </si>
  <si>
    <t>P428</t>
  </si>
  <si>
    <t>P429</t>
  </si>
  <si>
    <t>P430</t>
  </si>
  <si>
    <t>P431</t>
  </si>
  <si>
    <t>P432</t>
  </si>
  <si>
    <t>P433</t>
  </si>
  <si>
    <t>P434</t>
  </si>
  <si>
    <t>P435</t>
  </si>
  <si>
    <t>P436</t>
  </si>
  <si>
    <t>P437</t>
  </si>
  <si>
    <t>P438</t>
  </si>
  <si>
    <t>P439</t>
  </si>
  <si>
    <t>P440</t>
  </si>
  <si>
    <t>P441</t>
  </si>
  <si>
    <t>P442</t>
  </si>
  <si>
    <t>P443</t>
  </si>
  <si>
    <t>P444</t>
  </si>
  <si>
    <t>P445</t>
  </si>
  <si>
    <t>P446</t>
  </si>
  <si>
    <t>P447</t>
  </si>
  <si>
    <t>P448</t>
  </si>
  <si>
    <t>P449</t>
  </si>
  <si>
    <t>P450</t>
  </si>
  <si>
    <t>P451</t>
  </si>
  <si>
    <t>P452</t>
  </si>
  <si>
    <t>P453</t>
  </si>
  <si>
    <t>P454</t>
  </si>
  <si>
    <t>P455</t>
  </si>
  <si>
    <t>P456</t>
  </si>
  <si>
    <t>P457</t>
  </si>
  <si>
    <t>P458</t>
  </si>
  <si>
    <t>P459</t>
  </si>
  <si>
    <t>P460</t>
  </si>
  <si>
    <t>P461</t>
  </si>
  <si>
    <t>P462</t>
  </si>
  <si>
    <t>P463</t>
  </si>
  <si>
    <t>P464</t>
  </si>
  <si>
    <t>P465</t>
  </si>
  <si>
    <t>P466</t>
  </si>
  <si>
    <t>P467</t>
  </si>
  <si>
    <t>P468</t>
  </si>
  <si>
    <t>P469</t>
  </si>
  <si>
    <t>P470</t>
  </si>
  <si>
    <t>P471</t>
  </si>
  <si>
    <t>P472</t>
  </si>
  <si>
    <t>P473</t>
  </si>
  <si>
    <t>P474</t>
  </si>
  <si>
    <t>P475</t>
  </si>
  <si>
    <t>P476</t>
  </si>
  <si>
    <t>P477</t>
  </si>
  <si>
    <t>P478</t>
  </si>
  <si>
    <t>P479</t>
  </si>
  <si>
    <t>P480</t>
  </si>
  <si>
    <t>P481</t>
  </si>
  <si>
    <t>P482</t>
  </si>
  <si>
    <t>P483</t>
  </si>
  <si>
    <t>P484</t>
  </si>
  <si>
    <t>P485</t>
  </si>
  <si>
    <t>P486</t>
  </si>
  <si>
    <t>P487</t>
  </si>
  <si>
    <t>P488</t>
  </si>
  <si>
    <t>P489</t>
  </si>
  <si>
    <t>P490</t>
  </si>
  <si>
    <t>Event rate</t>
  </si>
  <si>
    <t xml:space="preserve">Outcome </t>
  </si>
  <si>
    <t>Censored, n</t>
  </si>
  <si>
    <t xml:space="preserve">Event, n </t>
  </si>
  <si>
    <t>1L Overall Survival</t>
  </si>
  <si>
    <t>2L Overall Survival</t>
  </si>
  <si>
    <t>3L Overall Survival</t>
  </si>
  <si>
    <t>1L Progression Free Survival</t>
  </si>
  <si>
    <t>2L Progression Free Survival</t>
  </si>
  <si>
    <t>3L Progression Free Survival</t>
  </si>
  <si>
    <t>Missing data</t>
  </si>
  <si>
    <t>Variable</t>
  </si>
  <si>
    <t xml:space="preserve">1L </t>
  </si>
  <si>
    <t>2L</t>
  </si>
  <si>
    <t xml:space="preserve">3L </t>
  </si>
  <si>
    <t>Age at diagnosis</t>
  </si>
  <si>
    <t>Gleason Grade Group</t>
  </si>
  <si>
    <t>Age at initiating line of treatment</t>
  </si>
  <si>
    <t xml:space="preserve">De novo metastatic </t>
  </si>
  <si>
    <t xml:space="preserve">Treatment intensification for mCSPC </t>
  </si>
  <si>
    <t>Docetaxel for mCSPC</t>
  </si>
  <si>
    <t>ARPI for mCSPC</t>
  </si>
  <si>
    <t>ECOG 0-1</t>
  </si>
  <si>
    <t>PSA (ng/ml)</t>
  </si>
  <si>
    <t>ALK Phos &gt; ULN</t>
  </si>
  <si>
    <t xml:space="preserve">LDH &gt;ULN  </t>
  </si>
  <si>
    <t>Hemoglobin</t>
  </si>
  <si>
    <t>Albumin (g/L)</t>
  </si>
  <si>
    <t>Neutrophil to lymphocyte ratio</t>
  </si>
  <si>
    <t>LN metastases</t>
  </si>
  <si>
    <t>Bone metastases</t>
  </si>
  <si>
    <t xml:space="preserve">Visceral metastases </t>
  </si>
  <si>
    <t>Treatment for mCRPC</t>
  </si>
  <si>
    <t>ADT to mCRPC in 12 months</t>
  </si>
  <si>
    <t xml:space="preserve">cfDNA concentration </t>
  </si>
  <si>
    <t>ctDNA fraction</t>
  </si>
  <si>
    <t>Follow-up</t>
  </si>
  <si>
    <t xml:space="preserve">Overall Survival </t>
  </si>
  <si>
    <t>Hazard ratio</t>
  </si>
  <si>
    <t>Lower 95% CI</t>
  </si>
  <si>
    <t>Upper 95% CI</t>
  </si>
  <si>
    <t>p-value</t>
  </si>
  <si>
    <t>Timepoint</t>
  </si>
  <si>
    <t>Reference group</t>
  </si>
  <si>
    <t>ctDNA 2-30%</t>
  </si>
  <si>
    <t>1L</t>
  </si>
  <si>
    <t>ctDNA&lt;2%</t>
  </si>
  <si>
    <t>ctDNA &gt;30%</t>
  </si>
  <si>
    <t>ctDNA%&gt;median</t>
  </si>
  <si>
    <t>ctDNA%&lt;=median</t>
  </si>
  <si>
    <t>PSA&gt;median</t>
  </si>
  <si>
    <t>PSA&lt;=median</t>
  </si>
  <si>
    <t>LDN&gt;ULN</t>
  </si>
  <si>
    <t>LDH&lt;=ULN</t>
  </si>
  <si>
    <t>ALP&gt;ULN</t>
  </si>
  <si>
    <t>ALP&lt;=ULN</t>
  </si>
  <si>
    <t>Hb&gt;median</t>
  </si>
  <si>
    <t>Hb&lt;=median</t>
  </si>
  <si>
    <t>ECOG&gt;=2</t>
  </si>
  <si>
    <t>ECOG&lt;2</t>
  </si>
  <si>
    <t>cfDNA conc.&gt;median</t>
  </si>
  <si>
    <t>cfDNA conc.&lt;=median</t>
  </si>
  <si>
    <t>ctDNA conc. &gt;median</t>
  </si>
  <si>
    <t>ctDNA conc.&lt;=median</t>
  </si>
  <si>
    <t>visceral mets.</t>
  </si>
  <si>
    <t>No visceral mets.</t>
  </si>
  <si>
    <t>ADT to mCRPC&lt;12mo.</t>
  </si>
  <si>
    <t>ADT to mCRPC&gt;=12mo.</t>
  </si>
  <si>
    <t>PSA Progression Free Survival</t>
  </si>
  <si>
    <t>ctDNA&gt;median</t>
  </si>
  <si>
    <t>ECOG&gt;2</t>
  </si>
  <si>
    <t>ctDNA stratified into predefined bins of &lt;2%, 2-30% and &gt;30%</t>
  </si>
  <si>
    <t>Outcome</t>
  </si>
  <si>
    <t>Reference</t>
  </si>
  <si>
    <t>OS</t>
  </si>
  <si>
    <t>LDH&gt;ULN</t>
  </si>
  <si>
    <t>ADT to 1L mCRPC&lt;12mo.</t>
  </si>
  <si>
    <t>ctDNA&gt;30%</t>
  </si>
  <si>
    <t>Lower 95%</t>
  </si>
  <si>
    <t>Upper 95%</t>
  </si>
  <si>
    <t>PSA-PFS</t>
  </si>
  <si>
    <t>ctDNA stratfified by median</t>
  </si>
  <si>
    <t>ctDNA&lt;=median</t>
  </si>
  <si>
    <t>Clinical variables for XGB and KNN models</t>
  </si>
  <si>
    <t>Gleason score</t>
  </si>
  <si>
    <t>Metastatic disease at initial diagnosis</t>
  </si>
  <si>
    <t>Time from ADT to 1L mCRPC (months)</t>
  </si>
  <si>
    <t>Lymph node metastases</t>
  </si>
  <si>
    <t>Visceral metastases</t>
  </si>
  <si>
    <t>Liver metastases</t>
  </si>
  <si>
    <t>Lung metastases</t>
  </si>
  <si>
    <t>PSA at initiation of mCRPC treatment</t>
  </si>
  <si>
    <t>ECOG PS (0/1/2/3)</t>
  </si>
  <si>
    <t>cfDNA concentration (ng/ml)</t>
  </si>
  <si>
    <t>Model perfomance metrics</t>
  </si>
  <si>
    <t>Cohort</t>
  </si>
  <si>
    <t>Model</t>
  </si>
  <si>
    <t>Confusion matrix</t>
  </si>
  <si>
    <t>Vancouver</t>
  </si>
  <si>
    <t xml:space="preserve">XGB, 17 feature classification model </t>
  </si>
  <si>
    <t>AUC</t>
  </si>
  <si>
    <t>Sensitivity</t>
  </si>
  <si>
    <t>Predicted ctDNA%</t>
  </si>
  <si>
    <t>Specificity</t>
  </si>
  <si>
    <t>&lt;2%</t>
  </si>
  <si>
    <t>&gt;=2%</t>
  </si>
  <si>
    <t>PPV</t>
  </si>
  <si>
    <t xml:space="preserve">Measured ctDNA% </t>
  </si>
  <si>
    <t>NPV</t>
  </si>
  <si>
    <t>False positive rate</t>
  </si>
  <si>
    <t>F1 score</t>
  </si>
  <si>
    <t xml:space="preserve">XGB, 16 feature classification model </t>
  </si>
  <si>
    <t xml:space="preserve">XGB, 8 feature classification model </t>
  </si>
  <si>
    <t xml:space="preserve">XGB, 7 feature classification model </t>
  </si>
  <si>
    <t xml:space="preserve">KNN, 8 feature classification model </t>
  </si>
  <si>
    <t>ProBio</t>
  </si>
  <si>
    <t>Model type</t>
  </si>
  <si>
    <t>Feature</t>
  </si>
  <si>
    <t>XGB, single input variable</t>
  </si>
  <si>
    <t>cfDNA concentration</t>
  </si>
  <si>
    <t>ALP</t>
  </si>
  <si>
    <t>PSA</t>
  </si>
  <si>
    <t>LDH</t>
  </si>
  <si>
    <t>Lymph node mets</t>
  </si>
  <si>
    <t>Liver mets</t>
  </si>
  <si>
    <t>Lung mets</t>
  </si>
  <si>
    <t>GUBB_ID</t>
  </si>
  <si>
    <t>PSA prog (n-0/ y-1)</t>
  </si>
  <si>
    <t>Survival status (Alive-0/ Dead-1)</t>
  </si>
  <si>
    <t>N/A</t>
  </si>
  <si>
    <t>docetaxel</t>
  </si>
  <si>
    <t>abiraterone</t>
  </si>
  <si>
    <t>enzalutamide</t>
  </si>
  <si>
    <t>LN</t>
  </si>
  <si>
    <t>NA</t>
  </si>
  <si>
    <t>cabazitaxel</t>
  </si>
  <si>
    <t>other</t>
  </si>
  <si>
    <t>0</t>
  </si>
  <si>
    <t>1</t>
  </si>
  <si>
    <t>2</t>
  </si>
  <si>
    <t>ukn</t>
  </si>
  <si>
    <t>16-001</t>
  </si>
  <si>
    <t>16-011</t>
  </si>
  <si>
    <t>16-016</t>
  </si>
  <si>
    <t>16-017</t>
  </si>
  <si>
    <t>16-026</t>
  </si>
  <si>
    <t>16-028</t>
  </si>
  <si>
    <t>16-029</t>
  </si>
  <si>
    <t>17-001</t>
  </si>
  <si>
    <t>17-002</t>
  </si>
  <si>
    <t>17-005</t>
  </si>
  <si>
    <t>17-006</t>
  </si>
  <si>
    <t>17-007</t>
  </si>
  <si>
    <t>17-010</t>
  </si>
  <si>
    <t>17-019</t>
  </si>
  <si>
    <t>17-023</t>
  </si>
  <si>
    <t>17-024</t>
  </si>
  <si>
    <t>17-026</t>
  </si>
  <si>
    <t>17-028</t>
  </si>
  <si>
    <t>17-030</t>
  </si>
  <si>
    <t>17-031</t>
  </si>
  <si>
    <t>UKN</t>
  </si>
  <si>
    <t>17-037</t>
  </si>
  <si>
    <t>17-038</t>
  </si>
  <si>
    <t>17-039</t>
  </si>
  <si>
    <t>17-054</t>
  </si>
  <si>
    <t>17-061</t>
  </si>
  <si>
    <t>17-065</t>
  </si>
  <si>
    <t>17-069</t>
  </si>
  <si>
    <t>17-072</t>
  </si>
  <si>
    <t>17-077</t>
  </si>
  <si>
    <t>17-080</t>
  </si>
  <si>
    <t>17-093</t>
  </si>
  <si>
    <t>17-105</t>
  </si>
  <si>
    <t>17-117</t>
  </si>
  <si>
    <t>17-124</t>
  </si>
  <si>
    <t>17-125</t>
  </si>
  <si>
    <t>17-148</t>
  </si>
  <si>
    <t>17-157</t>
  </si>
  <si>
    <t>17-163</t>
  </si>
  <si>
    <t>17-165</t>
  </si>
  <si>
    <t>17-171</t>
  </si>
  <si>
    <t>17-174</t>
  </si>
  <si>
    <t>17-190</t>
  </si>
  <si>
    <t>17-192</t>
  </si>
  <si>
    <t>17-193</t>
  </si>
  <si>
    <t>17-195</t>
  </si>
  <si>
    <t>17-202</t>
  </si>
  <si>
    <t>17-205</t>
  </si>
  <si>
    <t>17-213</t>
  </si>
  <si>
    <t>17-222</t>
  </si>
  <si>
    <t>17-244</t>
  </si>
  <si>
    <t>17-251</t>
  </si>
  <si>
    <t>17-252</t>
  </si>
  <si>
    <t>17-310</t>
  </si>
  <si>
    <t>17-311</t>
  </si>
  <si>
    <t>17-313</t>
  </si>
  <si>
    <t>17-332</t>
  </si>
  <si>
    <t>18-001</t>
  </si>
  <si>
    <t>18-002</t>
  </si>
  <si>
    <t>18-027</t>
  </si>
  <si>
    <t>18-028</t>
  </si>
  <si>
    <t>18-041</t>
  </si>
  <si>
    <t>18-054</t>
  </si>
  <si>
    <t>18-064</t>
  </si>
  <si>
    <t>18-072</t>
  </si>
  <si>
    <t>18-073</t>
  </si>
  <si>
    <t>18-075</t>
  </si>
  <si>
    <t>18-089</t>
  </si>
  <si>
    <t>18-106</t>
  </si>
  <si>
    <t>18-120</t>
  </si>
  <si>
    <t>18-124</t>
  </si>
  <si>
    <t>18-131</t>
  </si>
  <si>
    <t>18-152</t>
  </si>
  <si>
    <t>18-159</t>
  </si>
  <si>
    <t>18-165</t>
  </si>
  <si>
    <t>18-167</t>
  </si>
  <si>
    <t>18-212</t>
  </si>
  <si>
    <t>18-229</t>
  </si>
  <si>
    <t>18-232</t>
  </si>
  <si>
    <t>18-265</t>
  </si>
  <si>
    <t>18-272</t>
  </si>
  <si>
    <t>18-280</t>
  </si>
  <si>
    <t>18-282</t>
  </si>
  <si>
    <t>18-284</t>
  </si>
  <si>
    <t>18-296</t>
  </si>
  <si>
    <t>18-325</t>
  </si>
  <si>
    <t>18-329</t>
  </si>
  <si>
    <t>18-335</t>
  </si>
  <si>
    <t>18-336</t>
  </si>
  <si>
    <t>18-346</t>
  </si>
  <si>
    <t>18-347</t>
  </si>
  <si>
    <t>18-356</t>
  </si>
  <si>
    <t>18-379</t>
  </si>
  <si>
    <t>18-386</t>
  </si>
  <si>
    <t>18-390</t>
  </si>
  <si>
    <t>18-436</t>
  </si>
  <si>
    <t>18-444</t>
  </si>
  <si>
    <t>18-487</t>
  </si>
  <si>
    <t>18-489</t>
  </si>
  <si>
    <t>18-523</t>
  </si>
  <si>
    <t>19-016</t>
  </si>
  <si>
    <t>19-021</t>
  </si>
  <si>
    <t>19-022</t>
  </si>
  <si>
    <t>19-025</t>
  </si>
  <si>
    <t>19-113</t>
  </si>
  <si>
    <t>19-120</t>
  </si>
  <si>
    <t>19-122</t>
  </si>
  <si>
    <t>19-151</t>
  </si>
  <si>
    <t>19-154</t>
  </si>
  <si>
    <t>19-155</t>
  </si>
  <si>
    <t>19-158</t>
  </si>
  <si>
    <t>19-171</t>
  </si>
  <si>
    <t>19-180</t>
  </si>
  <si>
    <t>19-181</t>
  </si>
  <si>
    <t>19-184</t>
  </si>
  <si>
    <t>19-186</t>
  </si>
  <si>
    <t>19-187</t>
  </si>
  <si>
    <t>19-206</t>
  </si>
  <si>
    <t>19-209</t>
  </si>
  <si>
    <t>19-250</t>
  </si>
  <si>
    <t>19-275</t>
  </si>
  <si>
    <t>19-284</t>
  </si>
  <si>
    <t>19-285</t>
  </si>
  <si>
    <t>19-297</t>
  </si>
  <si>
    <t>19-298</t>
  </si>
  <si>
    <t>19-306</t>
  </si>
  <si>
    <t>19-320</t>
  </si>
  <si>
    <t>19-332</t>
  </si>
  <si>
    <t>19-342</t>
  </si>
  <si>
    <t>19-353</t>
  </si>
  <si>
    <t>19-365</t>
  </si>
  <si>
    <t>19-371</t>
  </si>
  <si>
    <t>19-372</t>
  </si>
  <si>
    <t>19-387</t>
  </si>
  <si>
    <t>19-388</t>
  </si>
  <si>
    <t>19-396</t>
  </si>
  <si>
    <t>19-404</t>
  </si>
  <si>
    <t>19-457</t>
  </si>
  <si>
    <t>19-628</t>
  </si>
  <si>
    <t>20-002</t>
  </si>
  <si>
    <t>20-005</t>
  </si>
  <si>
    <t>20-056</t>
  </si>
  <si>
    <t>20-086</t>
  </si>
  <si>
    <t>20-112</t>
  </si>
  <si>
    <t>20-120</t>
  </si>
  <si>
    <t>20-123</t>
  </si>
  <si>
    <t>20-126</t>
  </si>
  <si>
    <t>20-130</t>
  </si>
  <si>
    <t>20-138</t>
  </si>
  <si>
    <t>20-139</t>
  </si>
  <si>
    <t>20-149</t>
  </si>
  <si>
    <t>20-179</t>
  </si>
  <si>
    <t>20-224</t>
  </si>
  <si>
    <t>20-264</t>
  </si>
  <si>
    <t>20-272</t>
  </si>
  <si>
    <t>20-309</t>
  </si>
  <si>
    <t>20-317</t>
  </si>
  <si>
    <t>20-352</t>
  </si>
  <si>
    <t>20-372</t>
  </si>
  <si>
    <t>16-002</t>
  </si>
  <si>
    <t>17-025</t>
  </si>
  <si>
    <t>17-033</t>
  </si>
  <si>
    <t>17-041</t>
  </si>
  <si>
    <t>17-044</t>
  </si>
  <si>
    <t>17-075</t>
  </si>
  <si>
    <t>17-111</t>
  </si>
  <si>
    <t>17-119</t>
  </si>
  <si>
    <t>17-196</t>
  </si>
  <si>
    <t>18-024</t>
  </si>
  <si>
    <t>18-093</t>
  </si>
  <si>
    <t>18-126</t>
  </si>
  <si>
    <t>18-194</t>
  </si>
  <si>
    <t>18-388</t>
  </si>
  <si>
    <t>18-481</t>
  </si>
  <si>
    <t>19-048</t>
  </si>
  <si>
    <t>19-098</t>
  </si>
  <si>
    <t>19-443</t>
  </si>
  <si>
    <t>20-235</t>
  </si>
  <si>
    <t>17-020</t>
  </si>
  <si>
    <t>17-046</t>
  </si>
  <si>
    <t>17-082</t>
  </si>
  <si>
    <t>17-123</t>
  </si>
  <si>
    <t>17-269</t>
  </si>
  <si>
    <t>17-312</t>
  </si>
  <si>
    <t>18-127</t>
  </si>
  <si>
    <t>18-292</t>
  </si>
  <si>
    <t>19-099</t>
  </si>
  <si>
    <t>19-397</t>
  </si>
  <si>
    <t>16-013</t>
  </si>
  <si>
    <t>17-021</t>
  </si>
  <si>
    <t>17-150</t>
  </si>
  <si>
    <t>17-211</t>
  </si>
  <si>
    <t>18-134</t>
  </si>
  <si>
    <t>17-067</t>
  </si>
  <si>
    <t>17-184</t>
  </si>
  <si>
    <t>17-022</t>
  </si>
  <si>
    <t>17-029</t>
  </si>
  <si>
    <t>17-092</t>
  </si>
  <si>
    <t>17-295</t>
  </si>
  <si>
    <t>17-064</t>
  </si>
  <si>
    <t>17-131</t>
  </si>
  <si>
    <t>17-199</t>
  </si>
  <si>
    <t>18-214</t>
  </si>
  <si>
    <t>18-246</t>
  </si>
  <si>
    <t>002</t>
  </si>
  <si>
    <t>90</t>
  </si>
  <si>
    <t>0.56</t>
  </si>
  <si>
    <t>0.64</t>
  </si>
  <si>
    <t>130</t>
  </si>
  <si>
    <t>11.0</t>
  </si>
  <si>
    <t>-99.8</t>
  </si>
  <si>
    <t>95</t>
  </si>
  <si>
    <t>131</t>
  </si>
  <si>
    <t>2.5</t>
  </si>
  <si>
    <t>006</t>
  </si>
  <si>
    <t>91</t>
  </si>
  <si>
    <t>0.84</t>
  </si>
  <si>
    <t>1.07</t>
  </si>
  <si>
    <t>145</t>
  </si>
  <si>
    <t>11.2</t>
  </si>
  <si>
    <t>-98.9</t>
  </si>
  <si>
    <t>008</t>
  </si>
  <si>
    <t>74</t>
  </si>
  <si>
    <t>0.88</t>
  </si>
  <si>
    <t>165</t>
  </si>
  <si>
    <t>473.7</t>
  </si>
  <si>
    <t>-98.8</t>
  </si>
  <si>
    <t>011</t>
  </si>
  <si>
    <t>72</t>
  </si>
  <si>
    <t>1.04</t>
  </si>
  <si>
    <t>1.12</t>
  </si>
  <si>
    <t>148</t>
  </si>
  <si>
    <t>4.8</t>
  </si>
  <si>
    <t>-97.1</t>
  </si>
  <si>
    <t>012</t>
  </si>
  <si>
    <t>83</t>
  </si>
  <si>
    <t>0.50</t>
  </si>
  <si>
    <t>0.99</t>
  </si>
  <si>
    <t>120</t>
  </si>
  <si>
    <t>21.8</t>
  </si>
  <si>
    <t>-50.0</t>
  </si>
  <si>
    <t>016</t>
  </si>
  <si>
    <t>66</t>
  </si>
  <si>
    <t>0.41</t>
  </si>
  <si>
    <t>0.79</t>
  </si>
  <si>
    <t>129</t>
  </si>
  <si>
    <t>6.2</t>
  </si>
  <si>
    <t>022</t>
  </si>
  <si>
    <t>68</t>
  </si>
  <si>
    <t>0.72</t>
  </si>
  <si>
    <t>0.59</t>
  </si>
  <si>
    <t>146</t>
  </si>
  <si>
    <t>29.1</t>
  </si>
  <si>
    <t>-99.9</t>
  </si>
  <si>
    <t>024</t>
  </si>
  <si>
    <t>75</t>
  </si>
  <si>
    <t>1.27</t>
  </si>
  <si>
    <t>112</t>
  </si>
  <si>
    <t>8.5</t>
  </si>
  <si>
    <t>-95.1</t>
  </si>
  <si>
    <t>025</t>
  </si>
  <si>
    <t>0.68</t>
  </si>
  <si>
    <t>0.77</t>
  </si>
  <si>
    <t>136</t>
  </si>
  <si>
    <t>47.0</t>
  </si>
  <si>
    <t>-96.6</t>
  </si>
  <si>
    <t>038</t>
  </si>
  <si>
    <t>0.73</t>
  </si>
  <si>
    <t>141</t>
  </si>
  <si>
    <t>3.0</t>
  </si>
  <si>
    <t>-86.0</t>
  </si>
  <si>
    <t>124</t>
  </si>
  <si>
    <t>040</t>
  </si>
  <si>
    <t>59</t>
  </si>
  <si>
    <t>0.94</t>
  </si>
  <si>
    <t>0.71</t>
  </si>
  <si>
    <t>143</t>
  </si>
  <si>
    <t>78.0</t>
  </si>
  <si>
    <t>-100.0</t>
  </si>
  <si>
    <t>64</t>
  </si>
  <si>
    <t>135</t>
  </si>
  <si>
    <t>047</t>
  </si>
  <si>
    <t>82</t>
  </si>
  <si>
    <t>0.47</t>
  </si>
  <si>
    <t>0.75</t>
  </si>
  <si>
    <t>139</t>
  </si>
  <si>
    <t>6.0</t>
  </si>
  <si>
    <t>-99.0</t>
  </si>
  <si>
    <t>048</t>
  </si>
  <si>
    <t>81</t>
  </si>
  <si>
    <t>47.83</t>
  </si>
  <si>
    <t>2.43</t>
  </si>
  <si>
    <t>122</t>
  </si>
  <si>
    <t>1060.0</t>
  </si>
  <si>
    <t>050</t>
  </si>
  <si>
    <t>89</t>
  </si>
  <si>
    <t>2.46</t>
  </si>
  <si>
    <t>0.60</t>
  </si>
  <si>
    <t>100</t>
  </si>
  <si>
    <t>178.0</t>
  </si>
  <si>
    <t>25.3</t>
  </si>
  <si>
    <t>053</t>
  </si>
  <si>
    <t>87</t>
  </si>
  <si>
    <t>0.76</t>
  </si>
  <si>
    <t>133</t>
  </si>
  <si>
    <t>6.7</t>
  </si>
  <si>
    <t>-97.5</t>
  </si>
  <si>
    <t>057</t>
  </si>
  <si>
    <t>34.3</t>
  </si>
  <si>
    <t>-39.9</t>
  </si>
  <si>
    <t>0.61</t>
  </si>
  <si>
    <t>058</t>
  </si>
  <si>
    <t>84</t>
  </si>
  <si>
    <t>0.65</t>
  </si>
  <si>
    <t>116</t>
  </si>
  <si>
    <t>87.0</t>
  </si>
  <si>
    <t>82.8</t>
  </si>
  <si>
    <t>059</t>
  </si>
  <si>
    <t>73</t>
  </si>
  <si>
    <t>3.38</t>
  </si>
  <si>
    <t>1.69</t>
  </si>
  <si>
    <t>320.0</t>
  </si>
  <si>
    <t>-65</t>
  </si>
  <si>
    <t>061</t>
  </si>
  <si>
    <t>93</t>
  </si>
  <si>
    <t>0.62</t>
  </si>
  <si>
    <t>0.93</t>
  </si>
  <si>
    <t>312.9</t>
  </si>
  <si>
    <t>-82.3</t>
  </si>
  <si>
    <t>063</t>
  </si>
  <si>
    <t>0.67</t>
  </si>
  <si>
    <t>137</t>
  </si>
  <si>
    <t>2.4</t>
  </si>
  <si>
    <t>-94.2</t>
  </si>
  <si>
    <t>072</t>
  </si>
  <si>
    <t>78</t>
  </si>
  <si>
    <t>2.78</t>
  </si>
  <si>
    <t>0.82</t>
  </si>
  <si>
    <t>-95.0</t>
  </si>
  <si>
    <t>077</t>
  </si>
  <si>
    <t>4.34</t>
  </si>
  <si>
    <t>0.96</t>
  </si>
  <si>
    <t>132</t>
  </si>
  <si>
    <t>309.9</t>
  </si>
  <si>
    <t>-99.7</t>
  </si>
  <si>
    <t>67</t>
  </si>
  <si>
    <t>085</t>
  </si>
  <si>
    <t>0.89</t>
  </si>
  <si>
    <t>55.1</t>
  </si>
  <si>
    <t>-67.2</t>
  </si>
  <si>
    <t>088</t>
  </si>
  <si>
    <t>79</t>
  </si>
  <si>
    <t>0.46</t>
  </si>
  <si>
    <t>0.63</t>
  </si>
  <si>
    <t>104</t>
  </si>
  <si>
    <t>35.0</t>
  </si>
  <si>
    <t>-99.5</t>
  </si>
  <si>
    <t>109</t>
  </si>
  <si>
    <t>2.8</t>
  </si>
  <si>
    <t>098</t>
  </si>
  <si>
    <t>76</t>
  </si>
  <si>
    <t>1.01</t>
  </si>
  <si>
    <t>138</t>
  </si>
  <si>
    <t>47.1</t>
  </si>
  <si>
    <t>33.3</t>
  </si>
  <si>
    <t>102</t>
  </si>
  <si>
    <t>0.80</t>
  </si>
  <si>
    <t>144</t>
  </si>
  <si>
    <t>106.6</t>
  </si>
  <si>
    <t>105</t>
  </si>
  <si>
    <t>85</t>
  </si>
  <si>
    <t>0.69</t>
  </si>
  <si>
    <t>111</t>
  </si>
  <si>
    <t>11.3</t>
  </si>
  <si>
    <t>2.6</t>
  </si>
  <si>
    <t>57</t>
  </si>
  <si>
    <t>3.37</t>
  </si>
  <si>
    <t>1.35</t>
  </si>
  <si>
    <t>97</t>
  </si>
  <si>
    <t>68.0</t>
  </si>
  <si>
    <t>150.0</t>
  </si>
  <si>
    <t>115</t>
  </si>
  <si>
    <t>1.06</t>
  </si>
  <si>
    <t>0.95</t>
  </si>
  <si>
    <t>69.3</t>
  </si>
  <si>
    <t>-34.3</t>
  </si>
  <si>
    <t>117</t>
  </si>
  <si>
    <t>88</t>
  </si>
  <si>
    <t>1.17</t>
  </si>
  <si>
    <t>0.58</t>
  </si>
  <si>
    <t>113</t>
  </si>
  <si>
    <t>446.0</t>
  </si>
  <si>
    <t>-58.5</t>
  </si>
  <si>
    <t>123</t>
  </si>
  <si>
    <t>0.30</t>
  </si>
  <si>
    <t>121</t>
  </si>
  <si>
    <t>69.1</t>
  </si>
  <si>
    <t>-98.7</t>
  </si>
  <si>
    <t>126</t>
  </si>
  <si>
    <t>3.29</t>
  </si>
  <si>
    <t>280.0</t>
  </si>
  <si>
    <t>-46.4</t>
  </si>
  <si>
    <t>0.52</t>
  </si>
  <si>
    <t>9.8</t>
  </si>
  <si>
    <t>-99.4</t>
  </si>
  <si>
    <t>1.16</t>
  </si>
  <si>
    <t>2.24</t>
  </si>
  <si>
    <t>132.5</t>
  </si>
  <si>
    <t>-22.6</t>
  </si>
  <si>
    <t>15.8</t>
  </si>
  <si>
    <t>140</t>
  </si>
  <si>
    <t>0.66</t>
  </si>
  <si>
    <t>0.48</t>
  </si>
  <si>
    <t>6.1</t>
  </si>
  <si>
    <t>-99.2</t>
  </si>
  <si>
    <t>62</t>
  </si>
  <si>
    <t>2.07</t>
  </si>
  <si>
    <t>1.33</t>
  </si>
  <si>
    <t>102.9</t>
  </si>
  <si>
    <t>44.8</t>
  </si>
  <si>
    <t>157</t>
  </si>
  <si>
    <t>77</t>
  </si>
  <si>
    <t>0.74</t>
  </si>
  <si>
    <t>11.9</t>
  </si>
  <si>
    <t>159</t>
  </si>
  <si>
    <t>1.02</t>
  </si>
  <si>
    <t>13.3</t>
  </si>
  <si>
    <t>-92.5</t>
  </si>
  <si>
    <t>71</t>
  </si>
  <si>
    <t>161</t>
  </si>
  <si>
    <t>7.6</t>
  </si>
  <si>
    <t>162</t>
  </si>
  <si>
    <t>1.05</t>
  </si>
  <si>
    <t>28.9</t>
  </si>
  <si>
    <t>-75.9</t>
  </si>
  <si>
    <t>166</t>
  </si>
  <si>
    <t>1.15</t>
  </si>
  <si>
    <t>105.6</t>
  </si>
  <si>
    <t>-67.7</t>
  </si>
  <si>
    <t>168</t>
  </si>
  <si>
    <t>4.10</t>
  </si>
  <si>
    <t>1.67</t>
  </si>
  <si>
    <t>99</t>
  </si>
  <si>
    <t>245.0</t>
  </si>
  <si>
    <t>-82.6</t>
  </si>
  <si>
    <t>177</t>
  </si>
  <si>
    <t>3.84</t>
  </si>
  <si>
    <t>12.91</t>
  </si>
  <si>
    <t>110.0</t>
  </si>
  <si>
    <t>178</t>
  </si>
  <si>
    <t>94</t>
  </si>
  <si>
    <t>43.0</t>
  </si>
  <si>
    <t>181</t>
  </si>
  <si>
    <t>69</t>
  </si>
  <si>
    <t>0.70</t>
  </si>
  <si>
    <t>149</t>
  </si>
  <si>
    <t>7.0</t>
  </si>
  <si>
    <t>-99.6</t>
  </si>
  <si>
    <t>2.2</t>
  </si>
  <si>
    <t>188</t>
  </si>
  <si>
    <t>0.57</t>
  </si>
  <si>
    <t>4.7</t>
  </si>
  <si>
    <t>189</t>
  </si>
  <si>
    <t>1.75</t>
  </si>
  <si>
    <t>481.8</t>
  </si>
  <si>
    <t>0.81</t>
  </si>
  <si>
    <t>192</t>
  </si>
  <si>
    <t>21.1</t>
  </si>
  <si>
    <t>-53.8</t>
  </si>
  <si>
    <t>193</t>
  </si>
  <si>
    <t>2.42</t>
  </si>
  <si>
    <t>4.03</t>
  </si>
  <si>
    <t>46.0</t>
  </si>
  <si>
    <t>104.0</t>
  </si>
  <si>
    <t>194</t>
  </si>
  <si>
    <t>0.91</t>
  </si>
  <si>
    <t>2817.0</t>
  </si>
  <si>
    <t>27.1</t>
  </si>
  <si>
    <t>195</t>
  </si>
  <si>
    <t>1.37</t>
  </si>
  <si>
    <t>0.78</t>
  </si>
  <si>
    <t>125</t>
  </si>
  <si>
    <t>3.1</t>
  </si>
  <si>
    <t>-57.4</t>
  </si>
  <si>
    <t>0.97</t>
  </si>
  <si>
    <t>4.9</t>
  </si>
  <si>
    <t>52</t>
  </si>
  <si>
    <t>198</t>
  </si>
  <si>
    <t>70</t>
  </si>
  <si>
    <t>5.04</t>
  </si>
  <si>
    <t>1.29</t>
  </si>
  <si>
    <t>52.0</t>
  </si>
  <si>
    <t>42.3</t>
  </si>
  <si>
    <t>1.18</t>
  </si>
  <si>
    <t>199</t>
  </si>
  <si>
    <t>200</t>
  </si>
  <si>
    <t>0.49</t>
  </si>
  <si>
    <t>118</t>
  </si>
  <si>
    <t>166.2</t>
  </si>
  <si>
    <t>202</t>
  </si>
  <si>
    <t>5.7</t>
  </si>
  <si>
    <t>-98.6</t>
  </si>
  <si>
    <t>001</t>
  </si>
  <si>
    <t>0.31</t>
  </si>
  <si>
    <t>9.5</t>
  </si>
  <si>
    <t>-68.4</t>
  </si>
  <si>
    <t>0.37</t>
  </si>
  <si>
    <t>1.00</t>
  </si>
  <si>
    <t>9.6</t>
  </si>
  <si>
    <t>4.2</t>
  </si>
  <si>
    <t>003</t>
  </si>
  <si>
    <t>1.72</t>
  </si>
  <si>
    <t>96.0</t>
  </si>
  <si>
    <t>-31.3</t>
  </si>
  <si>
    <t>004</t>
  </si>
  <si>
    <t>35.5</t>
  </si>
  <si>
    <t>-15.5</t>
  </si>
  <si>
    <t>0.85</t>
  </si>
  <si>
    <t>119</t>
  </si>
  <si>
    <t>005</t>
  </si>
  <si>
    <t>1.62</t>
  </si>
  <si>
    <t>685.8</t>
  </si>
  <si>
    <t>-37.7</t>
  </si>
  <si>
    <t>142</t>
  </si>
  <si>
    <t>007</t>
  </si>
  <si>
    <t>29.0</t>
  </si>
  <si>
    <t>-31.0</t>
  </si>
  <si>
    <t>36.0</t>
  </si>
  <si>
    <t>009</t>
  </si>
  <si>
    <t>104.5</t>
  </si>
  <si>
    <t>-79.3</t>
  </si>
  <si>
    <t>0.86</t>
  </si>
  <si>
    <t>36.3</t>
  </si>
  <si>
    <t>013</t>
  </si>
  <si>
    <t>23.0</t>
  </si>
  <si>
    <t>-43.5</t>
  </si>
  <si>
    <t>0.45</t>
  </si>
  <si>
    <t>017</t>
  </si>
  <si>
    <t>80</t>
  </si>
  <si>
    <t>199.7</t>
  </si>
  <si>
    <t>55.0</t>
  </si>
  <si>
    <t>018</t>
  </si>
  <si>
    <t>5.02</t>
  </si>
  <si>
    <t>1.08</t>
  </si>
  <si>
    <t>-77.3</t>
  </si>
  <si>
    <t>1.43</t>
  </si>
  <si>
    <t>160.0</t>
  </si>
  <si>
    <t>019</t>
  </si>
  <si>
    <t>115.0</t>
  </si>
  <si>
    <t>5.0</t>
  </si>
  <si>
    <t>021</t>
  </si>
  <si>
    <t>15.6</t>
  </si>
  <si>
    <t>-78.8</t>
  </si>
  <si>
    <t>86</t>
  </si>
  <si>
    <t>023</t>
  </si>
  <si>
    <t>0.33</t>
  </si>
  <si>
    <t>25.9</t>
  </si>
  <si>
    <t>0.92</t>
  </si>
  <si>
    <t>128</t>
  </si>
  <si>
    <t>6.6</t>
  </si>
  <si>
    <t>026</t>
  </si>
  <si>
    <t>-98.4</t>
  </si>
  <si>
    <t>3.8</t>
  </si>
  <si>
    <t>027</t>
  </si>
  <si>
    <t>1.32</t>
  </si>
  <si>
    <t>181.7</t>
  </si>
  <si>
    <t>-97.6</t>
  </si>
  <si>
    <t>028</t>
  </si>
  <si>
    <t>5.23</t>
  </si>
  <si>
    <t>70.4</t>
  </si>
  <si>
    <t>-97.0</t>
  </si>
  <si>
    <t>12.0</t>
  </si>
  <si>
    <t>031</t>
  </si>
  <si>
    <t>110</t>
  </si>
  <si>
    <t>56.4</t>
  </si>
  <si>
    <t>-78.7</t>
  </si>
  <si>
    <t>0.44</t>
  </si>
  <si>
    <t>16.0</t>
  </si>
  <si>
    <t>032</t>
  </si>
  <si>
    <t>7.7</t>
  </si>
  <si>
    <t>-48.1</t>
  </si>
  <si>
    <t>0.42</t>
  </si>
  <si>
    <t>7.8</t>
  </si>
  <si>
    <t>033</t>
  </si>
  <si>
    <t>1.36</t>
  </si>
  <si>
    <t>0.83</t>
  </si>
  <si>
    <t>86.4</t>
  </si>
  <si>
    <t>-83.4</t>
  </si>
  <si>
    <t>41.3</t>
  </si>
  <si>
    <t>035</t>
  </si>
  <si>
    <t>1.58</t>
  </si>
  <si>
    <t>1.10</t>
  </si>
  <si>
    <t>273.1</t>
  </si>
  <si>
    <t>-90.6</t>
  </si>
  <si>
    <t>107</t>
  </si>
  <si>
    <t>037</t>
  </si>
  <si>
    <t>4.30</t>
  </si>
  <si>
    <t>1.50</t>
  </si>
  <si>
    <t>-41.3</t>
  </si>
  <si>
    <t>039</t>
  </si>
  <si>
    <t>92</t>
  </si>
  <si>
    <t>664.8</t>
  </si>
  <si>
    <t>-67.3</t>
  </si>
  <si>
    <t>0.90</t>
  </si>
  <si>
    <t>041</t>
  </si>
  <si>
    <t>0.87</t>
  </si>
  <si>
    <t>100.0</t>
  </si>
  <si>
    <t>-94.9</t>
  </si>
  <si>
    <t>8.9</t>
  </si>
  <si>
    <t>042</t>
  </si>
  <si>
    <t>18.9</t>
  </si>
  <si>
    <t>4.6</t>
  </si>
  <si>
    <t>043</t>
  </si>
  <si>
    <t>-99.3</t>
  </si>
  <si>
    <t>049</t>
  </si>
  <si>
    <t>72.3</t>
  </si>
  <si>
    <t>051</t>
  </si>
  <si>
    <t>365.1</t>
  </si>
  <si>
    <t>45.3</t>
  </si>
  <si>
    <t>054</t>
  </si>
  <si>
    <t>22.1</t>
  </si>
  <si>
    <t>0.54</t>
  </si>
  <si>
    <t>5.6</t>
  </si>
  <si>
    <t>055</t>
  </si>
  <si>
    <t>1.21</t>
  </si>
  <si>
    <t>45.2</t>
  </si>
  <si>
    <t>-35.0</t>
  </si>
  <si>
    <t>106</t>
  </si>
  <si>
    <t>062</t>
  </si>
  <si>
    <t>67.3</t>
  </si>
  <si>
    <t>064</t>
  </si>
  <si>
    <t>41.0</t>
  </si>
  <si>
    <t>-66.3</t>
  </si>
  <si>
    <t>065</t>
  </si>
  <si>
    <t>0.40</t>
  </si>
  <si>
    <t>175.0</t>
  </si>
  <si>
    <t>-95.8</t>
  </si>
  <si>
    <t>17.4</t>
  </si>
  <si>
    <t>067</t>
  </si>
  <si>
    <t>115.6</t>
  </si>
  <si>
    <t>-83.7</t>
  </si>
  <si>
    <t>0.55</t>
  </si>
  <si>
    <t>10.8</t>
  </si>
  <si>
    <t>069</t>
  </si>
  <si>
    <t>4.0</t>
  </si>
  <si>
    <t>070</t>
  </si>
  <si>
    <t>2.27</t>
  </si>
  <si>
    <t>1.03</t>
  </si>
  <si>
    <t>134</t>
  </si>
  <si>
    <t>36.1</t>
  </si>
  <si>
    <t>16.6</t>
  </si>
  <si>
    <t>073</t>
  </si>
  <si>
    <t>214.5</t>
  </si>
  <si>
    <t>-69.9</t>
  </si>
  <si>
    <t>074</t>
  </si>
  <si>
    <t>38.8</t>
  </si>
  <si>
    <t>-96.7</t>
  </si>
  <si>
    <t>075</t>
  </si>
  <si>
    <t>3.4</t>
  </si>
  <si>
    <t>-76.8</t>
  </si>
  <si>
    <t>1.28</t>
  </si>
  <si>
    <t>076</t>
  </si>
  <si>
    <t>2.50</t>
  </si>
  <si>
    <t>124.7</t>
  </si>
  <si>
    <t>-95.4</t>
  </si>
  <si>
    <t>0.53</t>
  </si>
  <si>
    <t>11.7</t>
  </si>
  <si>
    <t>078</t>
  </si>
  <si>
    <t>-94.8</t>
  </si>
  <si>
    <t>10.0</t>
  </si>
  <si>
    <t>-91.0</t>
  </si>
  <si>
    <t>079</t>
  </si>
  <si>
    <t>-96.5</t>
  </si>
  <si>
    <t>23.8</t>
  </si>
  <si>
    <t>081</t>
  </si>
  <si>
    <t>2.34</t>
  </si>
  <si>
    <t>114</t>
  </si>
  <si>
    <t>169.5</t>
  </si>
  <si>
    <t>-80.7</t>
  </si>
  <si>
    <t>13.5</t>
  </si>
  <si>
    <t>083</t>
  </si>
  <si>
    <t>1.56</t>
  </si>
  <si>
    <t>-73.9</t>
  </si>
  <si>
    <t>084</t>
  </si>
  <si>
    <t>28.0</t>
  </si>
  <si>
    <t>-87.5</t>
  </si>
  <si>
    <t>086</t>
  </si>
  <si>
    <t>-85.9</t>
  </si>
  <si>
    <t>1.90</t>
  </si>
  <si>
    <t>089</t>
  </si>
  <si>
    <t>127</t>
  </si>
  <si>
    <t>14.0</t>
  </si>
  <si>
    <t>222.9</t>
  </si>
  <si>
    <t>090</t>
  </si>
  <si>
    <t>1.80</t>
  </si>
  <si>
    <t>0.43</t>
  </si>
  <si>
    <t>na</t>
  </si>
  <si>
    <t>091</t>
  </si>
  <si>
    <t>20.6</t>
  </si>
  <si>
    <t>-88.7</t>
  </si>
  <si>
    <t>092</t>
  </si>
  <si>
    <t>2.84</t>
  </si>
  <si>
    <t>1.11</t>
  </si>
  <si>
    <t>494.0</t>
  </si>
  <si>
    <t>-87.1</t>
  </si>
  <si>
    <t>190.0</t>
  </si>
  <si>
    <t>27.9</t>
  </si>
  <si>
    <t>093</t>
  </si>
  <si>
    <t>13.05</t>
  </si>
  <si>
    <t>9.2</t>
  </si>
  <si>
    <t>6.5</t>
  </si>
  <si>
    <t>094</t>
  </si>
  <si>
    <t>1.19</t>
  </si>
  <si>
    <t>2.11</t>
  </si>
  <si>
    <t>103</t>
  </si>
  <si>
    <t>53.0</t>
  </si>
  <si>
    <t>-69.8</t>
  </si>
  <si>
    <t>095</t>
  </si>
  <si>
    <t>61</t>
  </si>
  <si>
    <t>1.44</t>
  </si>
  <si>
    <t>120.0</t>
  </si>
  <si>
    <t>-93.6</t>
  </si>
  <si>
    <t>150</t>
  </si>
  <si>
    <t>096</t>
  </si>
  <si>
    <t>1.31</t>
  </si>
  <si>
    <t>124.6</t>
  </si>
  <si>
    <t>-50.1</t>
  </si>
  <si>
    <t>097</t>
  </si>
  <si>
    <t>147</t>
  </si>
  <si>
    <t>24.1</t>
  </si>
  <si>
    <t>153</t>
  </si>
  <si>
    <t>8.8</t>
  </si>
  <si>
    <t>099</t>
  </si>
  <si>
    <t>91.4</t>
  </si>
  <si>
    <t>-85.6</t>
  </si>
  <si>
    <t>101</t>
  </si>
  <si>
    <t>48.2</t>
  </si>
  <si>
    <t>-86.3</t>
  </si>
  <si>
    <t>9.1</t>
  </si>
  <si>
    <t>43.5</t>
  </si>
  <si>
    <t>-4.1</t>
  </si>
  <si>
    <t>0.51</t>
  </si>
  <si>
    <t>20.1</t>
  </si>
  <si>
    <t>108</t>
  </si>
  <si>
    <t>33.6</t>
  </si>
  <si>
    <t>-90.5</t>
  </si>
  <si>
    <t>2.56</t>
  </si>
  <si>
    <t>8.4</t>
  </si>
  <si>
    <t>-10.7</t>
  </si>
  <si>
    <t>36.2</t>
  </si>
  <si>
    <t>65.7</t>
  </si>
  <si>
    <t>-86.5</t>
  </si>
  <si>
    <t>152</t>
  </si>
  <si>
    <t>1.46</t>
  </si>
  <si>
    <t>74.5</t>
  </si>
  <si>
    <t>-26.6</t>
  </si>
  <si>
    <t>1.09</t>
  </si>
  <si>
    <t>91.5</t>
  </si>
  <si>
    <t>1.30</t>
  </si>
  <si>
    <t>14.7</t>
  </si>
  <si>
    <t>69.8</t>
  </si>
  <si>
    <t>-94.1</t>
  </si>
  <si>
    <t>65</t>
  </si>
  <si>
    <t>106.2</t>
  </si>
  <si>
    <t>44.4</t>
  </si>
  <si>
    <t>-84.7</t>
  </si>
  <si>
    <t>12.50</t>
  </si>
  <si>
    <t>1.77</t>
  </si>
  <si>
    <t>38.9</t>
  </si>
  <si>
    <t>8.1</t>
  </si>
  <si>
    <t>191.6</t>
  </si>
  <si>
    <t>172.8</t>
  </si>
  <si>
    <t>137.6</t>
  </si>
  <si>
    <t>597.6</t>
  </si>
  <si>
    <t>37.0</t>
  </si>
  <si>
    <t>79.5</t>
  </si>
  <si>
    <t>-22.0</t>
  </si>
  <si>
    <t>34.0</t>
  </si>
  <si>
    <t>-88.5</t>
  </si>
  <si>
    <t>-56.8</t>
  </si>
  <si>
    <t>-56.6</t>
  </si>
  <si>
    <t>51</t>
  </si>
  <si>
    <t>-9.1</t>
  </si>
  <si>
    <t>5.5</t>
  </si>
  <si>
    <t>48.1</t>
  </si>
  <si>
    <t>-93.8</t>
  </si>
  <si>
    <t>0.38</t>
  </si>
  <si>
    <t>151</t>
  </si>
  <si>
    <t>2.64</t>
  </si>
  <si>
    <t>38.0</t>
  </si>
  <si>
    <t>-65.8</t>
  </si>
  <si>
    <t>1.85</t>
  </si>
  <si>
    <t>0.29</t>
  </si>
  <si>
    <t>24.5</t>
  </si>
  <si>
    <t>57.6</t>
  </si>
  <si>
    <t>23.1</t>
  </si>
  <si>
    <t>155</t>
  </si>
  <si>
    <t>146.0</t>
  </si>
  <si>
    <t>-58.8</t>
  </si>
  <si>
    <t>156</t>
  </si>
  <si>
    <t>145.5</t>
  </si>
  <si>
    <t>-19.0</t>
  </si>
  <si>
    <t>158</t>
  </si>
  <si>
    <t>160</t>
  </si>
  <si>
    <t>4.47</t>
  </si>
  <si>
    <t>163</t>
  </si>
  <si>
    <t>14.8</t>
  </si>
  <si>
    <t>-85.1</t>
  </si>
  <si>
    <t>164</t>
  </si>
  <si>
    <t>162.2</t>
  </si>
  <si>
    <t>167</t>
  </si>
  <si>
    <t>90.9</t>
  </si>
  <si>
    <t>170</t>
  </si>
  <si>
    <t>13.0</t>
  </si>
  <si>
    <t>-37.6</t>
  </si>
  <si>
    <t>171</t>
  </si>
  <si>
    <t>15.5</t>
  </si>
  <si>
    <t>172</t>
  </si>
  <si>
    <t>-97.4</t>
  </si>
  <si>
    <t>173</t>
  </si>
  <si>
    <t>35.4</t>
  </si>
  <si>
    <t>-77.1</t>
  </si>
  <si>
    <t>10.9</t>
  </si>
  <si>
    <t>174</t>
  </si>
  <si>
    <t>63</t>
  </si>
  <si>
    <t>3.5</t>
  </si>
  <si>
    <t>175</t>
  </si>
  <si>
    <t>14.6</t>
  </si>
  <si>
    <t>-40.2</t>
  </si>
  <si>
    <t>27.6</t>
  </si>
  <si>
    <t>182</t>
  </si>
  <si>
    <t>3.2</t>
  </si>
  <si>
    <t>-80.3</t>
  </si>
  <si>
    <t>183</t>
  </si>
  <si>
    <t>1.7</t>
  </si>
  <si>
    <t>184</t>
  </si>
  <si>
    <t>56</t>
  </si>
  <si>
    <t>514.0</t>
  </si>
  <si>
    <t>-93.2</t>
  </si>
  <si>
    <t>185</t>
  </si>
  <si>
    <t>508.6</t>
  </si>
  <si>
    <t>-81.2</t>
  </si>
  <si>
    <t>186</t>
  </si>
  <si>
    <t>187</t>
  </si>
  <si>
    <t>34.4</t>
  </si>
  <si>
    <t>-97.2</t>
  </si>
  <si>
    <t>190</t>
  </si>
  <si>
    <t>150.2</t>
  </si>
  <si>
    <t>196</t>
  </si>
  <si>
    <t>-91.3</t>
  </si>
  <si>
    <t>197</t>
  </si>
  <si>
    <t>1.34</t>
  </si>
  <si>
    <t>90.6</t>
  </si>
  <si>
    <t>-85.2</t>
  </si>
  <si>
    <t>201</t>
  </si>
  <si>
    <t>-37.4</t>
  </si>
  <si>
    <t>010</t>
  </si>
  <si>
    <t>12.5</t>
  </si>
  <si>
    <t>014</t>
  </si>
  <si>
    <t>9.4</t>
  </si>
  <si>
    <t>-77.2</t>
  </si>
  <si>
    <t>8.3</t>
  </si>
  <si>
    <t>015</t>
  </si>
  <si>
    <t>492.1</t>
  </si>
  <si>
    <t>020</t>
  </si>
  <si>
    <t>3.88</t>
  </si>
  <si>
    <t>239.9</t>
  </si>
  <si>
    <t>-90.3</t>
  </si>
  <si>
    <t>029</t>
  </si>
  <si>
    <t>135.5</t>
  </si>
  <si>
    <t>030</t>
  </si>
  <si>
    <t>-50.3</t>
  </si>
  <si>
    <t>034</t>
  </si>
  <si>
    <t>59.5</t>
  </si>
  <si>
    <t>036</t>
  </si>
  <si>
    <t>136.0</t>
  </si>
  <si>
    <t>-3.2</t>
  </si>
  <si>
    <t>044</t>
  </si>
  <si>
    <t>60</t>
  </si>
  <si>
    <t>20.0</t>
  </si>
  <si>
    <t>-60.0</t>
  </si>
  <si>
    <t>045</t>
  </si>
  <si>
    <t>-49.8</t>
  </si>
  <si>
    <t>046</t>
  </si>
  <si>
    <t>-4.5</t>
  </si>
  <si>
    <t>052</t>
  </si>
  <si>
    <t>17.3</t>
  </si>
  <si>
    <t>056</t>
  </si>
  <si>
    <t>15.0</t>
  </si>
  <si>
    <t>060</t>
  </si>
  <si>
    <t>-42.1</t>
  </si>
  <si>
    <t>066</t>
  </si>
  <si>
    <t>33.8</t>
  </si>
  <si>
    <t>068</t>
  </si>
  <si>
    <t>1.22</t>
  </si>
  <si>
    <t>-70.6</t>
  </si>
  <si>
    <t>071</t>
  </si>
  <si>
    <t>6.82</t>
  </si>
  <si>
    <t>080</t>
  </si>
  <si>
    <t>97.1</t>
  </si>
  <si>
    <t>-49.6</t>
  </si>
  <si>
    <t>67.2</t>
  </si>
  <si>
    <t>082</t>
  </si>
  <si>
    <t>4.3</t>
  </si>
  <si>
    <t>-88.6</t>
  </si>
  <si>
    <t>087</t>
  </si>
  <si>
    <t>269.3</t>
  </si>
  <si>
    <t>5.4</t>
  </si>
  <si>
    <t>-75.4</t>
  </si>
  <si>
    <t>5.3</t>
  </si>
  <si>
    <t>1.53</t>
  </si>
  <si>
    <t>-96.8</t>
  </si>
  <si>
    <t>49</t>
  </si>
  <si>
    <t>21.0</t>
  </si>
  <si>
    <t>-91.9</t>
  </si>
  <si>
    <t>15.9</t>
  </si>
  <si>
    <t>-72.3</t>
  </si>
  <si>
    <t>10.2</t>
  </si>
  <si>
    <t>26.0</t>
  </si>
  <si>
    <t>-98.1</t>
  </si>
  <si>
    <t>20.4</t>
  </si>
  <si>
    <t>19.8</t>
  </si>
  <si>
    <t>32.3</t>
  </si>
  <si>
    <t>51.3</t>
  </si>
  <si>
    <t>-97.9</t>
  </si>
  <si>
    <t>5.9</t>
  </si>
  <si>
    <t>144.0</t>
  </si>
  <si>
    <t>6.3</t>
  </si>
  <si>
    <t>4.01</t>
  </si>
  <si>
    <t>2.19</t>
  </si>
  <si>
    <t>127.3</t>
  </si>
  <si>
    <t>43.2</t>
  </si>
  <si>
    <t>2.49</t>
  </si>
  <si>
    <t>9.0</t>
  </si>
  <si>
    <t>-92.6</t>
  </si>
  <si>
    <t>-60.2</t>
  </si>
  <si>
    <t>20.3</t>
  </si>
  <si>
    <t>-82.8</t>
  </si>
  <si>
    <t>10.1</t>
  </si>
  <si>
    <t>169</t>
  </si>
  <si>
    <t>5.09</t>
  </si>
  <si>
    <t>0.98</t>
  </si>
  <si>
    <t>19.2</t>
  </si>
  <si>
    <t>176</t>
  </si>
  <si>
    <t>40.5</t>
  </si>
  <si>
    <t>-89.1</t>
  </si>
  <si>
    <t>179</t>
  </si>
  <si>
    <t>5.8</t>
  </si>
  <si>
    <t>89.7</t>
  </si>
  <si>
    <t>180</t>
  </si>
  <si>
    <t>2.15</t>
  </si>
  <si>
    <t>191</t>
  </si>
  <si>
    <t>53.4</t>
  </si>
  <si>
    <t>-86.9</t>
  </si>
  <si>
    <t>25.8</t>
  </si>
  <si>
    <t>18.2</t>
  </si>
  <si>
    <t>23.2</t>
  </si>
  <si>
    <t>35.3</t>
  </si>
  <si>
    <t>002-001</t>
  </si>
  <si>
    <t>002-002</t>
  </si>
  <si>
    <t>002-003</t>
  </si>
  <si>
    <t>003-005</t>
  </si>
  <si>
    <t>003-021</t>
  </si>
  <si>
    <t>005-001</t>
  </si>
  <si>
    <t>006-002</t>
  </si>
  <si>
    <t>006-004</t>
  </si>
  <si>
    <t>006-006</t>
  </si>
  <si>
    <t>010-002</t>
  </si>
  <si>
    <t>010-003</t>
  </si>
  <si>
    <t>010-004</t>
  </si>
  <si>
    <t>012-006</t>
  </si>
  <si>
    <t>016-001</t>
  </si>
  <si>
    <t>016-007</t>
  </si>
  <si>
    <t>016-009</t>
  </si>
  <si>
    <t>018-007</t>
  </si>
  <si>
    <t>026-001</t>
  </si>
  <si>
    <t>026-007</t>
  </si>
  <si>
    <t>026-008</t>
  </si>
  <si>
    <t>026-010</t>
  </si>
  <si>
    <t>026-011</t>
  </si>
  <si>
    <t>026-012</t>
  </si>
  <si>
    <t>026-013</t>
  </si>
  <si>
    <t>026-015</t>
  </si>
  <si>
    <t>028-002</t>
  </si>
  <si>
    <t>028-003</t>
  </si>
  <si>
    <t>028-005</t>
  </si>
  <si>
    <t>028-007</t>
  </si>
  <si>
    <t>028-008</t>
  </si>
  <si>
    <t>028-009</t>
  </si>
  <si>
    <t>900-002</t>
  </si>
  <si>
    <t>900-006</t>
  </si>
  <si>
    <t>901-001</t>
  </si>
  <si>
    <t>901-004</t>
  </si>
  <si>
    <t>001-001</t>
  </si>
  <si>
    <t>003-002</t>
  </si>
  <si>
    <t>003-008</t>
  </si>
  <si>
    <t>003-012</t>
  </si>
  <si>
    <t>003-014</t>
  </si>
  <si>
    <t>003-016</t>
  </si>
  <si>
    <t>003-020</t>
  </si>
  <si>
    <t>005-003</t>
  </si>
  <si>
    <t>006-005</t>
  </si>
  <si>
    <t>006-008</t>
  </si>
  <si>
    <t>010-001</t>
  </si>
  <si>
    <t>012-001</t>
  </si>
  <si>
    <t>012-002</t>
  </si>
  <si>
    <t>012-003</t>
  </si>
  <si>
    <t>012-004</t>
  </si>
  <si>
    <t>012-005</t>
  </si>
  <si>
    <t>016-002</t>
  </si>
  <si>
    <t>016-003</t>
  </si>
  <si>
    <t>016-010</t>
  </si>
  <si>
    <t>018-003</t>
  </si>
  <si>
    <t>018-004</t>
  </si>
  <si>
    <t>018-005</t>
  </si>
  <si>
    <t>018-006</t>
  </si>
  <si>
    <t>018-008</t>
  </si>
  <si>
    <t>026-002</t>
  </si>
  <si>
    <t>026-003</t>
  </si>
  <si>
    <t>026-006</t>
  </si>
  <si>
    <t>900-001</t>
  </si>
  <si>
    <t>900-003</t>
  </si>
  <si>
    <t>900-005</t>
  </si>
  <si>
    <t>901-002</t>
  </si>
  <si>
    <t>Sample_ID</t>
  </si>
  <si>
    <t>Patient_ID</t>
  </si>
  <si>
    <t>Collection_date</t>
  </si>
  <si>
    <t>GU-16-001-cfDNA-UMI-2016Oct26</t>
  </si>
  <si>
    <t>GU-16-002-cfDNA-UMI-2017Aug10</t>
  </si>
  <si>
    <t>GU-16-011-cfDNA-UMI-2016Nov07</t>
  </si>
  <si>
    <t>GU-16-013-cfDNA-UMI-2017Oct25</t>
  </si>
  <si>
    <t>GU-16-013-cfDNA-UMI-2018Jun18</t>
  </si>
  <si>
    <t>GU-16-016-cfDNA-UMI-2016Dec12</t>
  </si>
  <si>
    <t>GU-16-017-cfDNA-UMI-2016Dec14</t>
  </si>
  <si>
    <t>GU-16-026-cfDNA-2016Nov16</t>
  </si>
  <si>
    <t>GU-16-028-cfDNA-UMI-2016Dec15</t>
  </si>
  <si>
    <t>GU-16-029-cfDNA-UMI-2016Dec16</t>
  </si>
  <si>
    <t>GU-17-001-cfDNA-UMI-2017Jan05</t>
  </si>
  <si>
    <t>GU-17-002-cfDNA-UMI-2017Jan06</t>
  </si>
  <si>
    <t>GU-17-005-cfDNA-UMI-2017Jan25</t>
  </si>
  <si>
    <t>GU-17-006-cfDNA-UMI-2017Jan26</t>
  </si>
  <si>
    <t>GU-17-007-cfDNA-UMI-2017Jan26</t>
  </si>
  <si>
    <t>GU-17-010-cfDNA-UMI-2017Feb02</t>
  </si>
  <si>
    <t>GU-17-019-cfDNA-UMI-2017Mar03</t>
  </si>
  <si>
    <t>GU-17-020-cfDNA-UMI-2017Jan11</t>
  </si>
  <si>
    <t>GU-17-020-cfDNA-UMI-2017Jul19</t>
  </si>
  <si>
    <t>GU-17-021-cfDNA-UMI-2018Mar12</t>
  </si>
  <si>
    <t>GU-17-021-cfDNA-UMI-2018Jul23</t>
  </si>
  <si>
    <t>GU-17-022-cfDNA-UMI-2017Aug29</t>
  </si>
  <si>
    <t>GU-17-022-cfDNA-UMI-2018Apr03</t>
  </si>
  <si>
    <t>GU-17-023-cfDNA-UMI-2017Feb06</t>
  </si>
  <si>
    <t>GU-17-024-cfDNA-UMI-2017Feb01</t>
  </si>
  <si>
    <t>GU-17-025-cfDNA-OnTreatment-2018Feb14-RocheV1</t>
  </si>
  <si>
    <t>GU-17-026-cfDNA-UMI-2017Feb06</t>
  </si>
  <si>
    <t>GU-17-028-cfDNA-UMI-2017Feb21</t>
  </si>
  <si>
    <t>GU-17-029-cfDNA-Baseline-2017Feb27</t>
  </si>
  <si>
    <t>GU-17-029-cfDNA-UMI-2018Aug07</t>
  </si>
  <si>
    <t>GU-17-030-cfDNA</t>
  </si>
  <si>
    <t>GU-17-031-cfDNA-Baseline-2017Mar08</t>
  </si>
  <si>
    <t>GU-17-033-cfDNA-UMI-2017Sep21</t>
  </si>
  <si>
    <t>GU-17-037-cfDNA-UMI-2017Apr25</t>
  </si>
  <si>
    <t>GU-17-038-cfDNA-UMI-2017May02</t>
  </si>
  <si>
    <t>GU-17-039-cfDNA-UMI-2017May03</t>
  </si>
  <si>
    <t>GU-17-041-cfDNA-OnTreatment-2019Jun19-RocheV1</t>
  </si>
  <si>
    <t>GU-17-044-cfDNA-UMI-2018Jan11</t>
  </si>
  <si>
    <t>GU-17-046-cfDNA</t>
  </si>
  <si>
    <t>GU-17-046-cfDNA-UMI-2017May18</t>
  </si>
  <si>
    <t>GU-17-054-cfDNA-Baseline-2017Apr06</t>
  </si>
  <si>
    <t>GU-17-061-1st-cfDNA</t>
  </si>
  <si>
    <t>Manually imputed</t>
  </si>
  <si>
    <t>GU-17-064-cfDNA-UMI-2017Jul31</t>
  </si>
  <si>
    <t>GU-17-065-cfDNA-UMI-2017Jul04</t>
  </si>
  <si>
    <t>GU-17-067-cfDNA-UMI-2017Oct04</t>
  </si>
  <si>
    <t>GU-17-067-cfDNA-UMI-2018Jul17</t>
  </si>
  <si>
    <t>GU-17-069-cfDNA-UMI-2017Oct24</t>
  </si>
  <si>
    <t>GU-17-072-cfDNA-UMI-2017Jun05</t>
  </si>
  <si>
    <t>GU-17-075-cfDNA-UMI-2018Jan23</t>
  </si>
  <si>
    <t>GU-17-077-cfDNA-UMI-2017Oct03</t>
  </si>
  <si>
    <t>GU-17-082-cfDNA-Baseline-2017Apr12</t>
  </si>
  <si>
    <t>GU-17-082-cfDNA-UMI-2017Dec07</t>
  </si>
  <si>
    <t>GU-17-093-cfDNA-UMI-2017May11</t>
  </si>
  <si>
    <t>GU-17-105-cfDNA-UMI-2017Jun01</t>
  </si>
  <si>
    <t>GU-17-117-cfDNA-UMI-2017Jun05</t>
  </si>
  <si>
    <t>GU-17-119-cfDNA-OnTreatment-2018May22</t>
  </si>
  <si>
    <t>GU-17-123-cfDNA-UMI-2017Jun20</t>
  </si>
  <si>
    <t>GU-17-123-cfDNA-UMI-2018Jul11</t>
  </si>
  <si>
    <t>GU-17-124-cfDNA-UMI-2017Jun26</t>
  </si>
  <si>
    <t>GU-17-125-1st-cfDNA</t>
  </si>
  <si>
    <t>GU-17-131-cfDNA-OnTreatment-UMI-2017Oct10</t>
  </si>
  <si>
    <t>GU-17-131-cfDNA-OnTreatment-2020Feb09</t>
  </si>
  <si>
    <t>GU-17-148-cfDNA-UMI-2017Jun02</t>
  </si>
  <si>
    <t>GU-17-150-cfDNA-2017Nov07</t>
  </si>
  <si>
    <t>GU-17-150-cfDNA-UMI-2018Jan31</t>
  </si>
  <si>
    <t>GU-17-157-cfDNA-UMI-2017Jun12</t>
  </si>
  <si>
    <t>GU-17-163-cfDNA-UMI-2017Jun13</t>
  </si>
  <si>
    <t>GU-17-165-cfDNA-UMI-2017Jul06</t>
  </si>
  <si>
    <t>GU-17-171-cfDNA-UMI-2017Jul06</t>
  </si>
  <si>
    <t>GU-17-174-cfDNA-UMI-2017Jun29</t>
  </si>
  <si>
    <t>GU-17-184-cfDNA-UMI-2017Jul31</t>
  </si>
  <si>
    <t>GU-17-184-cfDNA-OnTreatment-2017Nov20</t>
  </si>
  <si>
    <t>GU-17-190-cfDNA-UMI-2017Sep25</t>
  </si>
  <si>
    <t>GU-17-192-cfDNA-UMI-2017Sep26</t>
  </si>
  <si>
    <t>GU-17-193-cfDNA-Baseline-2017Dec20</t>
  </si>
  <si>
    <t>GU-17-195-cfDNA-UMI-2017Oct02</t>
  </si>
  <si>
    <t>GU-17-196-cfDNA-OnTreatment-2019Apr01-RocheV1</t>
  </si>
  <si>
    <t>GU-17-199-cfDNA-UMI-2017Nov06</t>
  </si>
  <si>
    <t>GU-17-202-cfDNA-Baseline-2017Dec06</t>
  </si>
  <si>
    <t>GU-17-205-cfDNA-UMI-2017Oct31</t>
  </si>
  <si>
    <t>GU-17-211-cfDNA-UMI-2018Mar19</t>
  </si>
  <si>
    <t>GU-17-211-cfDNA-UMI-2018Jun29</t>
  </si>
  <si>
    <t>GU-17-213-cfDNA-UMI-2017Nov29</t>
  </si>
  <si>
    <t>GU-17-222-cfDNA-UMI-2017Jul27</t>
  </si>
  <si>
    <t>GU-17-244-cfDNA-UMI-2017Aug29</t>
  </si>
  <si>
    <t>GU-17-251-cfDNA-UMI-2017Aug15</t>
  </si>
  <si>
    <t>GU-17-252-16Aug2017-cfDNA</t>
  </si>
  <si>
    <t>GU-17-269-cfDNA-Baseline-2017Oct06</t>
  </si>
  <si>
    <t>GU-17-269-cfDNA-OnTreatment-2017Dec07</t>
  </si>
  <si>
    <t>GU-17-295-cfDNA-UMI-2018Jan25</t>
  </si>
  <si>
    <t>GU-17-295-cfDNA-UMI-2019Mar04</t>
  </si>
  <si>
    <t>GU-17-310-cfDNA-Baseline-2017Nov06</t>
  </si>
  <si>
    <t>GU-17-311-cfDNA-Baseline-2017Nov06</t>
  </si>
  <si>
    <t>GU-17-312-cfDNA-Baseline-2017Nov21</t>
  </si>
  <si>
    <t>GU-17-312-cfDNA-OnTreatment-2018Apr16</t>
  </si>
  <si>
    <t>GU-17-313-cfDNA-Baseline-2017Dec13</t>
  </si>
  <si>
    <t>GU-17-332-cfDNA-Baseline-2017Dec20</t>
  </si>
  <si>
    <t>GU-18-001-cfDNA-Baseline-2018Jan03</t>
  </si>
  <si>
    <t>GU-18-002-cfDNA-Baseline-2018Jan10</t>
  </si>
  <si>
    <t>GU-18-024-cfDNA-UMI-2018May23</t>
  </si>
  <si>
    <t>GU-18-027-cfDNA-UMI-2018Feb14</t>
  </si>
  <si>
    <t>GU-18-028-cfDNA-Baseline-2018Feb14</t>
  </si>
  <si>
    <t>GU-18-041-cfDNA-Baseline-2018Feb22</t>
  </si>
  <si>
    <t>GU-18-054-cfDNA-Baseline-2018Feb07</t>
  </si>
  <si>
    <t>GU-18-064-cfDNA-UMI-2018Apr10</t>
  </si>
  <si>
    <t>GU-18-072-cfDNA-Baseline-2018Apr24</t>
  </si>
  <si>
    <t>GU-18-073-cfDNA-UMI-2018Apr24</t>
  </si>
  <si>
    <t>GU-18-075-cfDNA-UMI-2018May14</t>
  </si>
  <si>
    <t>GU-18-089-cfDNA-UMI-2018Jul24</t>
  </si>
  <si>
    <t>GU-18-093-cfDNA-OnTreatment-2019Dec09-RocheV1</t>
  </si>
  <si>
    <t>GU-18-106-cfDNA-UMI-2018Nov26</t>
  </si>
  <si>
    <t>GU-18-120-cfDNA-Baseline-2018Jan22</t>
  </si>
  <si>
    <t>GU-18-124-cfDNA-UMI-2018Jan31</t>
  </si>
  <si>
    <t>GU-18-126-cfDNA-OnTreatment-UMI-2018Jul03</t>
  </si>
  <si>
    <t>GU-18-127-cfDNA-UMI-2018Mar06</t>
  </si>
  <si>
    <t>GU-18-127-cfDNA-UMI-2018Oct23</t>
  </si>
  <si>
    <t>GU-18-131-cfDNA-UMI-2018Mar20</t>
  </si>
  <si>
    <t>GU-18-134-cfDNA-OnTreatment-2019Feb26-RocheV1</t>
  </si>
  <si>
    <t>GU-18-134-cfDNA-OnTreatment-UMI-2019Jun03</t>
  </si>
  <si>
    <t>GU-18-152-cfDNA-UMI-2018Feb13</t>
  </si>
  <si>
    <t>GU-18-159-cfDNA-Baseline-UMI-2018Mar27</t>
  </si>
  <si>
    <t>GU-18-165-cfDNA-UMI-2018Apr11</t>
  </si>
  <si>
    <t>GU-18-167-cfDNA-UMI-2018Jun04</t>
  </si>
  <si>
    <t>GU-18-194-cfDNA-UMI-2019Mar14</t>
  </si>
  <si>
    <t>GU-18-212-cfDNA-Baseline-2018Mar08</t>
  </si>
  <si>
    <t>GU-18-214-cfDNA-UMI-2018Mar16</t>
  </si>
  <si>
    <t>GU-18-229-cfDNA-Baseline-2018Apr12</t>
  </si>
  <si>
    <t>GU-18-232-cfDNA-Baseline-2018Jun15</t>
  </si>
  <si>
    <t>GU-18-246-cfDNA-UMI-2018May09</t>
  </si>
  <si>
    <t>GU-18-246-cfDNA-OnTreatment-2020Aug13</t>
  </si>
  <si>
    <t>GU-18-272-cfDNA-Baseline-UMI-2018Jun06</t>
  </si>
  <si>
    <t>GU-18-280-cfDNA-UMI-2018Jun20</t>
  </si>
  <si>
    <t>GU-18-282-cfDNA-UMI-2018Jul04</t>
  </si>
  <si>
    <t>GU-18-284-cfDNA-UMI-2018Jun28</t>
  </si>
  <si>
    <t>GU-18-292-cfDNA-UMI-2018Jul04</t>
  </si>
  <si>
    <t>GU-18-296-cfDNA-UMI-2018Jul09</t>
  </si>
  <si>
    <t>GU-18-325-cfDNA-UMI-2018Aug13</t>
  </si>
  <si>
    <t>GU-18-329-cfDNA-UMI-2018Sep26</t>
  </si>
  <si>
    <t>GU-18-335-cfDNA-UMI-2018Jul24</t>
  </si>
  <si>
    <t>GU-18-336-cfDNA-UMI-2018Jul25</t>
  </si>
  <si>
    <t>GU-18-346-cfDNA-UMI-2018Dec27</t>
  </si>
  <si>
    <t>GU-18-347-cfDNA-UMI-2018Aug09</t>
  </si>
  <si>
    <t>GU-18-356-cfDNA-Baseline-2018Oct31</t>
  </si>
  <si>
    <t>GU-18-379-cfDNA-UMI-2018Aug15</t>
  </si>
  <si>
    <t>GU-18-386-cfDNA-UMI-2018Aug15</t>
  </si>
  <si>
    <t>GU-18-388-cfDNA-OnTreatment-2019Nov08-RocheV1</t>
  </si>
  <si>
    <t>GU-18-390-cfDNA-UMI-2018Aug23</t>
  </si>
  <si>
    <t>GU-18-436-cfDNA-UMI-2018Oct03</t>
  </si>
  <si>
    <t>GU-18-444-cfDNA-Baseline-2018Nov01</t>
  </si>
  <si>
    <t>GU-18-481-cfDNA-OnTreatment-2019Jul17-RocheV1</t>
  </si>
  <si>
    <t>GU-18-487-cfDNA-Baseline-2018Nov26</t>
  </si>
  <si>
    <t>GU-18-489-cfDNA-Baseline-2019Jan07-RocheV1</t>
  </si>
  <si>
    <t>GU-18-523-cfDNA-UMI-2018Dec17</t>
  </si>
  <si>
    <t>GU-19-016-cfDNA-UMI-2019Jan16</t>
  </si>
  <si>
    <t>GU-19-021-cfDNA-Baseline-2019Jan18-RocheV1</t>
  </si>
  <si>
    <t>GU-19-022-cfDNA-Baseline-2019Jan23-RocheV1</t>
  </si>
  <si>
    <t>GU-19-025-cfDNA-Baseline-2019Jan24-RocheV1</t>
  </si>
  <si>
    <t>GU-19-048-cfDNA-OnTreatment-2019Aug21</t>
  </si>
  <si>
    <t>GU-19-098-cfDNA-OnTreatment-2019Nov27-RocheV1</t>
  </si>
  <si>
    <t>GU-19-099-cfDNA-Baseline-2019May31</t>
  </si>
  <si>
    <t>GU-19-113-cfDNA-Baseline-2019Mar27-RocheV1</t>
  </si>
  <si>
    <t>GU-19-120-cfDNA-Baseline-2019May01-RocheV1</t>
  </si>
  <si>
    <t>GU-19-122-cfDNA-Baseline-2019May06-RocheV1</t>
  </si>
  <si>
    <t>GU-19-154-cfDNA-Baseline-2019May21-RocheV1</t>
  </si>
  <si>
    <t>GU-19-155-cfDNA-Baseline-UMI-2019May27</t>
  </si>
  <si>
    <t>GU-19-158-cfDNA-Baseline-2019Dec09-RocheV1</t>
  </si>
  <si>
    <t>GU-19-171-cfDNA-Baseline-2019Jan07-RocheV1</t>
  </si>
  <si>
    <t>GU-19-180-cfDNA-Baseline-2019Feb11-RocheV1</t>
  </si>
  <si>
    <t>GU-19-181-cfDNA-Baseline-UMI-2019Feb25</t>
  </si>
  <si>
    <t>GU-19-184-cfDNA-Baseline-2019Mar11-RocheV1</t>
  </si>
  <si>
    <t>GU-19-186-cfDNA-Baseline-2019Mar27-RocheV1</t>
  </si>
  <si>
    <t>GU-19-187-cfDNA-Baseline-2019Mar27-RocheV1</t>
  </si>
  <si>
    <t>GU-19-206-cfDNA-Baseline-2019Jul03-RocheV1</t>
  </si>
  <si>
    <t>GU-19-209-cfDNA-Baseline-2019Jul08-RocheV1</t>
  </si>
  <si>
    <t>GU-19-250-cfDNA-Baseline-2019Jan07-RocheV1</t>
  </si>
  <si>
    <t>GU-19-275-cfDNA-Baseline-2019Apr16-RocheV1</t>
  </si>
  <si>
    <t>GU-19-284-cfDNA-Baseline-UMI-2019Mar05</t>
  </si>
  <si>
    <t>GU-19-285-cfDNA-Baseline-2019Mar04-RocheV1</t>
  </si>
  <si>
    <t>GU-19-297-cfDNA-Baseline-2019Apr01-RocheV1</t>
  </si>
  <si>
    <t>GU-19-298-cfDNA-Baseline-2019Apr02-RocheV1</t>
  </si>
  <si>
    <t>GU-19-306-cfDNA-Baseline-2019May13-RocheV1</t>
  </si>
  <si>
    <t>GU-19-320-cfDNA-Baseline-UMI-2019Jun19</t>
  </si>
  <si>
    <t>GU-19-332-cfDNA-Baseline-2019Aug19-RocheV1</t>
  </si>
  <si>
    <t>GU-19-342-cfDNA-Baseline-2019Oct28</t>
  </si>
  <si>
    <t>GU-19-353-cfDNA-Baseline-UMI-2019May28</t>
  </si>
  <si>
    <t>GU-19-365-cfDNA-Baseline-2019Jul02-RocheV1</t>
  </si>
  <si>
    <t>GU-19-371-cfDNA-Baseline-2019Jul10-RocheV1</t>
  </si>
  <si>
    <t>GU-19-372-cfDNA-Baseline-2019Jul09</t>
  </si>
  <si>
    <t>GU-19-387-cfDNA-Baseline-2019Aug19</t>
  </si>
  <si>
    <t>GU-19-388-cfDNA-Baseline-2019Aug20-RocheV1</t>
  </si>
  <si>
    <t>GU-19-396-cfDNA-UMI-2019Jun17</t>
  </si>
  <si>
    <t>GU-19-397-cfDNA-Baseline-2019May29-RocheV1</t>
  </si>
  <si>
    <t>GU-19-404-cfDNA-Baseline-2019Jun07-RocheV1</t>
  </si>
  <si>
    <t>GU-19-443-cfDNA-OnTreatment-2020Oct26-RocheV1</t>
  </si>
  <si>
    <t>GU-19-457-cfDNA-Baseline-UMI-2019Sep20</t>
  </si>
  <si>
    <t>GU-19-628-cfDNA-Baseline-2020Jan31-RocheV1</t>
  </si>
  <si>
    <t>GU-20-002-cfDNA-Baseline-2020Jan08-RocheV1</t>
  </si>
  <si>
    <t>GU-20-005-cfDNA-Baseline-2020Feb04-RocheV1</t>
  </si>
  <si>
    <t>GU-20-056-cfDNA-Baseline-2020Jun25-RocheV1</t>
  </si>
  <si>
    <t>GU-20-086-cfDNA-2020Mar09</t>
  </si>
  <si>
    <t>GU-20-112-cfDNA-Baseline-2020Sep24-RocheV1</t>
  </si>
  <si>
    <t>GU-20-120-cfDNA-Baseline-2020Oct21-RocheV1</t>
  </si>
  <si>
    <t>GU-20-123-cfDNA-Baseline-2020Jan14</t>
  </si>
  <si>
    <t>GU-20-126-cfDNA-Baseline-2020Jan29-RocheV1</t>
  </si>
  <si>
    <t>GU-20-130-cfDNA-Baseline-2020Feb18-RocheV1</t>
  </si>
  <si>
    <t>GU-20-138-cfDNA-Baseline-2020Mar06-RocheV1</t>
  </si>
  <si>
    <t>GU-20-139-cfDNA-2020Mar16</t>
  </si>
  <si>
    <t>GU-20-149-cfDNA-Baseline-2020Aug17-RocheV1</t>
  </si>
  <si>
    <t>GU-20-179-cfDNA-Baseline-2020Oct06-RocheV1</t>
  </si>
  <si>
    <t>GU-20-224-cfDNA-Baseline-2020Mar13-RocheV1</t>
  </si>
  <si>
    <t>GU-20-235-cfDNA-Baseline-2020Jun05-RocheV1</t>
  </si>
  <si>
    <t>GU-20-264-cfDNA-Baseline-2020Jul24-RocheV1</t>
  </si>
  <si>
    <t>GU-20-272-cfDNA-Baseline-2020Aug27-RocheV1</t>
  </si>
  <si>
    <t>GU-20-309-cfDNA-Baseline-2020Oct07-RocheV1</t>
  </si>
  <si>
    <t>GU-20-317-cfDNA-Baseline-2020Sep09-RocheV1</t>
  </si>
  <si>
    <t>GU-20-352-cfDNA-Baseline-2020Oct13-RocheV1</t>
  </si>
  <si>
    <t>GU-20-372-cfDNA-Baseline-2020Oct15-RocheV1</t>
  </si>
  <si>
    <t>GU-19-151-cfDNA-Baseline-2019Apr02-RocheV1</t>
  </si>
  <si>
    <t>2L mCRPC baseline</t>
  </si>
  <si>
    <t>18-052</t>
  </si>
  <si>
    <t>16-012</t>
  </si>
  <si>
    <t>17-055</t>
  </si>
  <si>
    <t>18-090</t>
  </si>
  <si>
    <t>18-140</t>
  </si>
  <si>
    <t>18-169</t>
  </si>
  <si>
    <t>18-176</t>
  </si>
  <si>
    <t>18-322</t>
  </si>
  <si>
    <t>18-372</t>
  </si>
  <si>
    <t>19-036</t>
  </si>
  <si>
    <t>20-234</t>
  </si>
  <si>
    <t>20-266</t>
  </si>
  <si>
    <t>18-069</t>
  </si>
  <si>
    <t>003-010</t>
  </si>
  <si>
    <t>Yes</t>
  </si>
  <si>
    <t>No</t>
  </si>
  <si>
    <t>CRPC in 12 months</t>
  </si>
  <si>
    <t>LDH (ULN)</t>
  </si>
  <si>
    <t>ALP (ULN)</t>
  </si>
  <si>
    <t>ECOG</t>
  </si>
  <si>
    <t>Best PSA decline (%)</t>
  </si>
  <si>
    <t>258</t>
  </si>
  <si>
    <t>1.5</t>
  </si>
  <si>
    <t>22.8</t>
  </si>
  <si>
    <t>13.1</t>
  </si>
  <si>
    <t>12.3</t>
  </si>
  <si>
    <t>15.3</t>
  </si>
  <si>
    <t>7.2</t>
  </si>
  <si>
    <t>46.1</t>
  </si>
  <si>
    <t>42.7</t>
  </si>
  <si>
    <t>11.8</t>
  </si>
  <si>
    <t>13.9</t>
  </si>
  <si>
    <t>3.3</t>
  </si>
  <si>
    <t>6.4</t>
  </si>
  <si>
    <t>15.1</t>
  </si>
  <si>
    <t>12.4</t>
  </si>
  <si>
    <t>14.3</t>
  </si>
  <si>
    <t>71.0</t>
  </si>
  <si>
    <t>12.2</t>
  </si>
  <si>
    <t>14.5</t>
  </si>
  <si>
    <t>15.4</t>
  </si>
  <si>
    <t>7.4</t>
  </si>
  <si>
    <t>35.2</t>
  </si>
  <si>
    <t>1600</t>
  </si>
  <si>
    <t>26.9</t>
  </si>
  <si>
    <t>18.8</t>
  </si>
  <si>
    <t>11.5</t>
  </si>
  <si>
    <t>76.0</t>
  </si>
  <si>
    <t>10.4</t>
  </si>
  <si>
    <t>236</t>
  </si>
  <si>
    <t>43.8</t>
  </si>
  <si>
    <t>17.8</t>
  </si>
  <si>
    <t>7.3</t>
  </si>
  <si>
    <t>17.0</t>
  </si>
  <si>
    <t>9.3</t>
  </si>
  <si>
    <t>12.6</t>
  </si>
  <si>
    <t>64.6</t>
  </si>
  <si>
    <t>16.8</t>
  </si>
  <si>
    <t>8.7</t>
  </si>
  <si>
    <t>101.4</t>
  </si>
  <si>
    <t>10.5</t>
  </si>
  <si>
    <t>16.9</t>
  </si>
  <si>
    <t>87.2</t>
  </si>
  <si>
    <t>24.0</t>
  </si>
  <si>
    <t>27.5</t>
  </si>
  <si>
    <t>92.5</t>
  </si>
  <si>
    <t>14.2</t>
  </si>
  <si>
    <t>17.2</t>
  </si>
  <si>
    <t>230.4</t>
  </si>
  <si>
    <t>16.3</t>
  </si>
  <si>
    <t>59.7</t>
  </si>
  <si>
    <t>74.7</t>
  </si>
  <si>
    <t>28.4</t>
  </si>
  <si>
    <t>16.2</t>
  </si>
  <si>
    <t>21.5</t>
  </si>
  <si>
    <t>72.8</t>
  </si>
  <si>
    <t>61.3</t>
  </si>
  <si>
    <t>45.1</t>
  </si>
  <si>
    <t>217.0</t>
  </si>
  <si>
    <t>17.7</t>
  </si>
  <si>
    <t>11.4</t>
  </si>
  <si>
    <t>37.4</t>
  </si>
  <si>
    <t>7.5</t>
  </si>
  <si>
    <t>32.4</t>
  </si>
  <si>
    <t>17.5</t>
  </si>
  <si>
    <t>29.9</t>
  </si>
  <si>
    <t>76.3</t>
  </si>
  <si>
    <t>77.8</t>
  </si>
  <si>
    <t>30.6</t>
  </si>
  <si>
    <t>16.5</t>
  </si>
  <si>
    <t>40.4</t>
  </si>
  <si>
    <t>10.3</t>
  </si>
  <si>
    <t>181.5</t>
  </si>
  <si>
    <t>22.5</t>
  </si>
  <si>
    <t>29.5</t>
  </si>
  <si>
    <t>63.7</t>
  </si>
  <si>
    <t>154</t>
  </si>
  <si>
    <t>142.6</t>
  </si>
  <si>
    <t>1.48</t>
  </si>
  <si>
    <t>35.7</t>
  </si>
  <si>
    <t>52.5</t>
  </si>
  <si>
    <t>42.8</t>
  </si>
  <si>
    <t>18.0</t>
  </si>
  <si>
    <t>25.2</t>
  </si>
  <si>
    <t>79.9</t>
  </si>
  <si>
    <t>22.3</t>
  </si>
  <si>
    <t>93.5</t>
  </si>
  <si>
    <t>3870.7</t>
  </si>
  <si>
    <t>31.1</t>
  </si>
  <si>
    <t>12.9</t>
  </si>
  <si>
    <t>?</t>
  </si>
  <si>
    <t>Pt. ID</t>
  </si>
  <si>
    <t>disease diseminnation at Dx. (loc-0/ met-1/ ukn-2)</t>
  </si>
  <si>
    <t>Rx for mCSPC (n-0/doc-1/ abi-2/ apa-3/ enza-4)</t>
  </si>
  <si>
    <t>disease localization at 1L mCRPC</t>
  </si>
  <si>
    <t>age at 1L mCRPC</t>
  </si>
  <si>
    <t xml:space="preserve">time from ADT to 1L mCRPC </t>
  </si>
  <si>
    <t>PSA at 1L mCRPC</t>
  </si>
  <si>
    <t>Alb. at 1L mCRPC</t>
  </si>
  <si>
    <t>LDH at 1L mCRPC</t>
  </si>
  <si>
    <t>ALP at 1L mCRPC</t>
  </si>
  <si>
    <t>Hb at 1L mCRPC</t>
  </si>
  <si>
    <t>Neu/Lym ratio</t>
  </si>
  <si>
    <t>type of 1L treatment</t>
  </si>
  <si>
    <t>median(range) lines of therapy for CRPC</t>
  </si>
  <si>
    <t>median F/U time</t>
  </si>
  <si>
    <t>ongoing treatment(n-0/ y-1)</t>
  </si>
  <si>
    <t xml:space="preserve"> PSA PFS</t>
  </si>
  <si>
    <t>PSA50 RR (n-0/ y-1)</t>
  </si>
  <si>
    <t xml:space="preserve">ctDNA% </t>
  </si>
  <si>
    <t>cfDNA (ng/ml)</t>
  </si>
  <si>
    <t>Bone</t>
  </si>
  <si>
    <t>Lung</t>
  </si>
  <si>
    <t>Liver</t>
  </si>
  <si>
    <t>Baseline</t>
  </si>
  <si>
    <t>Age (mean/range)</t>
  </si>
  <si>
    <t>72(45-98)</t>
  </si>
  <si>
    <t>Median!!!</t>
  </si>
  <si>
    <t>De Novo metastatic disease</t>
  </si>
  <si>
    <t>44% (excluding OZM)</t>
  </si>
  <si>
    <t>Additional treatment for mCSPC</t>
  </si>
  <si>
    <t>ECOG PS 0 - 1</t>
  </si>
  <si>
    <t>time from ADT to 1LmCRPC (median/range)</t>
  </si>
  <si>
    <t>18(1-237) (excluding OZM)</t>
  </si>
  <si>
    <t>CRPC within 12 months</t>
  </si>
  <si>
    <t>LN metasteses</t>
  </si>
  <si>
    <t>Other Metastases</t>
  </si>
  <si>
    <t>PSA (ng / mL)</t>
  </si>
  <si>
    <t>109.84 (0.02-5800)</t>
  </si>
  <si>
    <t>Hemoglobin (g / L)</t>
  </si>
  <si>
    <t>Albumin &lt;40 (g/l)</t>
  </si>
  <si>
    <t>1L treatment</t>
  </si>
  <si>
    <t>docataxel</t>
  </si>
  <si>
    <t xml:space="preserve">Other </t>
  </si>
  <si>
    <t>F/U time (median/range)</t>
  </si>
  <si>
    <t>19 (1-75)</t>
  </si>
  <si>
    <t>Duplicate</t>
  </si>
  <si>
    <t>Original_ID_from_file</t>
  </si>
  <si>
    <t>Sample_ID_date</t>
  </si>
  <si>
    <t>GU-16-001-cfDNA-UMI-2016Oct26.bam</t>
  </si>
  <si>
    <t>GU-16-002-cfDNA-UMI-2016Nov02.bam</t>
  </si>
  <si>
    <t>GU-16-002-cfDNA-UMI-2017Mar30.bam</t>
  </si>
  <si>
    <t>GU-16-002-cfDNA-UMI-2017Aug10.bam</t>
  </si>
  <si>
    <t>GU-16-002-cfDNA-UMI-2018Apr11.bam</t>
  </si>
  <si>
    <t>GU-16-002-cfDNA-UMI-2018Feb07.bam</t>
  </si>
  <si>
    <t>GU-16-002-cfDNA-UMI-2018Oct17.bam</t>
  </si>
  <si>
    <t>GU-16-011-cfDNA-OnTreatment-2017Jan17.bam</t>
  </si>
  <si>
    <t>GU-16-011-cfDNA-UMI-2016Nov07.bam</t>
  </si>
  <si>
    <t>GU-16-011-cfDNA-UMI-2017Apr25.bam</t>
  </si>
  <si>
    <t>GU-16-012-cfDNA-OnTreatment-2017Feb01.bam</t>
  </si>
  <si>
    <t>GU-16-012-cfDNA-OnTreatment-2018Oct24.bam</t>
  </si>
  <si>
    <t>GU-16-012-cfDNA-UMI-2016Nov14.bam</t>
  </si>
  <si>
    <t>GU-16-013-cfDNA-UMI-2016Nov21.bam</t>
  </si>
  <si>
    <t>GU-16-013-cfDNA-UMI-2017Feb01.bam</t>
  </si>
  <si>
    <t>GU-16-013-cfDNA-UMI-2017Oct25.bam</t>
  </si>
  <si>
    <t>GU-16-013-cfDNA-UMI-2018Jun18.bam</t>
  </si>
  <si>
    <t>GU-16-016-cfDNA-OnTreatment-2017Mar20.bam</t>
  </si>
  <si>
    <t>GU-16-016-cfDNA-UMI-2016Dec12.bam</t>
  </si>
  <si>
    <t>GU-16-017-cfDNA-UMI-2016Dec14.bam</t>
  </si>
  <si>
    <t>GU-16-026-cfDNA-UMI-2016Nov16.bam</t>
  </si>
  <si>
    <t>GU-16-026-cfDNA-UMI-2017Feb16.bam</t>
  </si>
  <si>
    <t>GU-16-026-cfDNA-UMI-2017Sep28.bam</t>
  </si>
  <si>
    <t>2017Sep28</t>
  </si>
  <si>
    <t>GU-16-026-cfDNA-UMI-2017Dec13.bam</t>
  </si>
  <si>
    <t>GU-16-028-cfDNA-OnTreatment-2017Mar23.bam</t>
  </si>
  <si>
    <t>GU-16-028-cfDNA-UMI-2016Dec15.bam</t>
  </si>
  <si>
    <t>GU-16-029-cfDNA-UMI-2016Dec16.bam</t>
  </si>
  <si>
    <t>GU-16-029-cfDNA-UMI-2017Mar13.bam</t>
  </si>
  <si>
    <t>GU-17-001-cfDNA-OnTreatment-2017Apr13.bam</t>
  </si>
  <si>
    <t>GU-17-001-cfDNA-UMI-2017Jan05.bam</t>
  </si>
  <si>
    <t>GU-17-001-cfDNA-UMI-2018Apr04.bam</t>
  </si>
  <si>
    <t>GU-17-002-cfDNA-OnTreatment-2017Apr03.bam</t>
  </si>
  <si>
    <t>GU-17-002-cfDNA-UMI-2017Jan06.bam</t>
  </si>
  <si>
    <t>GU-17-005-cfDNA-UMI-2017Apr13.bam</t>
  </si>
  <si>
    <t>GU-17-005-cfDNA-UMI-2017Jan25.bam</t>
  </si>
  <si>
    <t>GU-17-006-cfDNA-OnTreatment-2017Apr21.bam</t>
  </si>
  <si>
    <t>GU-17-006-cfDNA-UMI-2017Jan26.bam</t>
  </si>
  <si>
    <t>GU-17-007-cfDNA-OnTreatment-2017Apr27.bam</t>
  </si>
  <si>
    <t>GU-17-007-cfDNA-UMI-2017Jan26.bam</t>
  </si>
  <si>
    <t>GU-17-010-cfDNA-OnTreatment-2017Apr26.bam</t>
  </si>
  <si>
    <t>GU-17-010-cfDNA-UMI-2017Feb02.bam</t>
  </si>
  <si>
    <t>GU-17-019-cfDNA-UMI-2017Jun02.bam</t>
  </si>
  <si>
    <t>GU-17-019-cfDNA-UMI-2017Mar03.bam</t>
  </si>
  <si>
    <t>GU-17-020-cfDNA-OnTreatment-2017Mar27.bam</t>
  </si>
  <si>
    <t>GU-17-020-cfDNA-OnTreatment-2017Nov28.bam</t>
  </si>
  <si>
    <t>GU-17-020-cfDNA-UMI-2017Jan11.bam</t>
  </si>
  <si>
    <t>GU-17-020-cfDNA-UMI-2017Jul19.bam</t>
  </si>
  <si>
    <t>GU-17-020-cfDNA-UMI-2018Mar05.bam</t>
  </si>
  <si>
    <t>GU-17-021-cfDNA-UMI-2018Jul23.bam</t>
  </si>
  <si>
    <t>GU-17-021-cfDNA-UMI-2018Mar12.bam</t>
  </si>
  <si>
    <t>GU-17-022-1st-cfDNA.bam</t>
  </si>
  <si>
    <t>GU-17-022-cfDNA-OnTreatmentUMI-2019May08.bam</t>
  </si>
  <si>
    <t>GU-17-022-cfDNA-UMI-2017Aug29.bam</t>
  </si>
  <si>
    <t>GU-17-022-cfDNA-UMI-2018Apr03.bam</t>
  </si>
  <si>
    <t>GU-17-022-cfDNA-UMI-2018Sep19.bam</t>
  </si>
  <si>
    <t>2018Sep19</t>
  </si>
  <si>
    <t>GU-17-023-cfDNA-UMI-2017Feb06.bam</t>
  </si>
  <si>
    <t>GU-17-024-cfDNA-OnTreatment-2017May02.bam</t>
  </si>
  <si>
    <t>GU-17-024-cfDNA-UMI-2017Feb01.bam</t>
  </si>
  <si>
    <t>GU-17-025-1st-cfDNA.bam</t>
  </si>
  <si>
    <t>GU-17-025-2nd-cfDNA.bam</t>
  </si>
  <si>
    <t>GU-17-025-cfDNA-OnTreatment-2018May15.bam</t>
  </si>
  <si>
    <t>GU-17-026-cfDNA-OnTreatment-2017Apr26.bam</t>
  </si>
  <si>
    <t>GU-17-026-cfDNA-UMI-2017Feb06.bam</t>
  </si>
  <si>
    <t>GU-17-028-cfDNA-OnTreatment-2017May10.bam</t>
  </si>
  <si>
    <t>GU-17-028-cfDNA-UMI-2017Feb21.bam</t>
  </si>
  <si>
    <t>GU-17-029-cfDNA-Baseline-2017Feb27.bam</t>
  </si>
  <si>
    <t>GU-17-029-cfDNA-OnTreatment-2017May15.bam</t>
  </si>
  <si>
    <t>GU-17-029-cfDNA-UMI-2018Aug07.bam</t>
  </si>
  <si>
    <t>GU-17-030-cfDNA.bam</t>
  </si>
  <si>
    <t>GU-17-030-cfDNA-OnTreatment-2017Jun12.bam</t>
  </si>
  <si>
    <t>GU-17-031-cfDNA-Baseline-2017Mar08.bam</t>
  </si>
  <si>
    <t>GU-17-031-cfDNA-OnTreatment-2017Aug09.bam</t>
  </si>
  <si>
    <t>GU-17-031-cfDNA-UMI-2017Jun13.bam</t>
  </si>
  <si>
    <t>GU-17-033-1st-cfDNA.bam</t>
  </si>
  <si>
    <t>GU-17-033-cfDNA-UMI-2017Sep21.bam</t>
  </si>
  <si>
    <t>2017Sep21</t>
  </si>
  <si>
    <t>GU-17-037-cfDNA-OnTreatment-2017Jul24.bam</t>
  </si>
  <si>
    <t>GU-17-037-cfDNA-UMI-2017Apr25.bam</t>
  </si>
  <si>
    <t>GU-17-037-cfDNA-UMI-2018Jul24.bam</t>
  </si>
  <si>
    <t>GU-17-038-cfDNA-UMI-2017May02.bam</t>
  </si>
  <si>
    <t>GU-17-039-cfDNA-UMI-2017May03.bam</t>
  </si>
  <si>
    <t>GU-17-041-1st-cfDNA.bam</t>
  </si>
  <si>
    <t>GU-17-044-cfDNA-UMI-2018Apr17.bam</t>
  </si>
  <si>
    <t>GU-17-044-cfDNA-UMI-2018Jan11.bam</t>
  </si>
  <si>
    <t>GU-17-046-cfDNA.bam</t>
  </si>
  <si>
    <t>GU-17-046-cfDNA-UMI-2017May18.bam</t>
  </si>
  <si>
    <t>GU-17-054-cfDNA-Baseline-2017Apr06.bam</t>
  </si>
  <si>
    <t>GU-17-054-cfDNA-OnTreatment-2017Jun15.bam</t>
  </si>
  <si>
    <t>GU-17-054-cfDNA-UMI-2018Aug20.bam</t>
  </si>
  <si>
    <t>GU-17-055-cfDNA-UMI-2017Apr13.bam</t>
  </si>
  <si>
    <t>GU-17-061-1st-cfDNA.bam</t>
  </si>
  <si>
    <t>GU-17-061-cfDNA-OnTreatment-2017Apr19.bam</t>
  </si>
  <si>
    <t>GU-17-061-cfDNA-UMI-2017Jul12.bam</t>
  </si>
  <si>
    <t>GU-17-064-cfDNA-OnTreatment-2017Oct04.bam</t>
  </si>
  <si>
    <t>GU-17-064-cfDNA-OnTreatment-2018Oct31.bam</t>
  </si>
  <si>
    <t>GU-17-064-cfDNA-UMI-2017Jul31.bam</t>
  </si>
  <si>
    <t>GU-17-064-cfDNA-UMI-2018Feb22.bam</t>
  </si>
  <si>
    <t>GU-17-065-cfDNA-OnTreatment-2017Oct30.bam</t>
  </si>
  <si>
    <t>GU-17-065-cfDNA-UMI-2017Jul04.bam</t>
  </si>
  <si>
    <t>GU-17-067-cfDNA-OnTreatment-2018Mar07.bam</t>
  </si>
  <si>
    <t>GU-17-067-cfDNA-OnTreatmentUMI-2018May23.bam</t>
  </si>
  <si>
    <t>GU-17-067-cfDNA-UMI-2017Oct04.bam</t>
  </si>
  <si>
    <t>GU-17-067-cfDNA-UMI-2018Jul17.bam</t>
  </si>
  <si>
    <t>GU-17-069-cfDNA-UMI-2017Oct24.bam</t>
  </si>
  <si>
    <t>GU-17-069-cfDNA-UMI-2018Mar12.bam</t>
  </si>
  <si>
    <t>GU-17-072-cfDNA-UMI-2017Jun05.bam</t>
  </si>
  <si>
    <t>GU-17-075-24Jul2017-cfDNA.bam</t>
  </si>
  <si>
    <t>GU-17-075-cfDNA-UMI-2018Jan23.bam</t>
  </si>
  <si>
    <t>GU-17-077-cfDNA-UMI-2017Oct03.bam</t>
  </si>
  <si>
    <t>GU-17-082-cfDNA-Baseline-2017Apr12.bam</t>
  </si>
  <si>
    <t>GU-17-082-cfDNA-OnTreatment-2017Sep14.bam</t>
  </si>
  <si>
    <t>2017Sep14</t>
  </si>
  <si>
    <t>GU-17-082-cfDNA-UMI-2017Dec07.bam</t>
  </si>
  <si>
    <t>GU-17-092-cfDNA-UMI-2017May02.bam</t>
  </si>
  <si>
    <t>GU-17-092-cfDNA-OnTreatment-2019Aug28.bam</t>
  </si>
  <si>
    <t>GU-17-093-cfDNA-OnTreatment-2017Aug17.bam</t>
  </si>
  <si>
    <t>GU-17-093-cfDNA-UMI-2017May11.bam</t>
  </si>
  <si>
    <t>GU-17-105-cfDNA-UMI-2017Jun01.bam</t>
  </si>
  <si>
    <t>GU-17-105-cfDNA-UMI-2017Sep18.bam</t>
  </si>
  <si>
    <t>2017Sep18</t>
  </si>
  <si>
    <t>GU-17-111-1st-cfDNA.bam</t>
  </si>
  <si>
    <t>GU-17-117-cfDNA-OnTreatment-2017Sep20.bam</t>
  </si>
  <si>
    <t>2017Sep20</t>
  </si>
  <si>
    <t>GU-17-117-cfDNA-UMI-2017Jun05.bam</t>
  </si>
  <si>
    <t>GU-17-117-cfDNA-UMI-2018Sep13.bam</t>
  </si>
  <si>
    <t>2018Sep13</t>
  </si>
  <si>
    <t>GU-17-119-cfDNA-OnTreatment-2018May22.bam</t>
  </si>
  <si>
    <t>GU-17-123-cfDNA-OnTreatment-2017Sep08.bam</t>
  </si>
  <si>
    <t>2017Sep08</t>
  </si>
  <si>
    <t>GU-17-123-cfDNA-OnTreatmentUMI-2018Oct30.bam</t>
  </si>
  <si>
    <t>GU-17-123-cfDNA-UMI-2017Jun20.bam</t>
  </si>
  <si>
    <t>GU-17-123-cfDNA-UMI-2018Jul11.bam</t>
  </si>
  <si>
    <t>GU-17-124-cfDNA-OnTreatment-2017Sep25.bam</t>
  </si>
  <si>
    <t>2017Sep25</t>
  </si>
  <si>
    <t>GU-17-124-cfDNA-UMI-2017Jun26.bam</t>
  </si>
  <si>
    <t>GU-17-125-1st-cfDNA.bam</t>
  </si>
  <si>
    <t>GU-17-125-cfDNA-OnTreatment-2017Oct10.bam</t>
  </si>
  <si>
    <t>GU-17-131-cfDNA-OnTreatment-2020Feb09.bam</t>
  </si>
  <si>
    <t>GU-17-131-cfDNA-OnTreatment-2017Oct10.bam</t>
  </si>
  <si>
    <t>GU-17-131-cfDNA-UMI-2017Jun26.bam</t>
  </si>
  <si>
    <t>GU-17-148-cfDNA-OnTreatment-2017Oct18.bam</t>
  </si>
  <si>
    <t>GU-17-148-cfDNA-UMI-2017Jun02.bam</t>
  </si>
  <si>
    <t>GU-17-150-cfDNA-UMI-2017Nov07.bam</t>
  </si>
  <si>
    <t>GU-17-150-cfDNA-UMI-2017Oct17.bam</t>
  </si>
  <si>
    <t>GU-17-150-cfDNA-UMI-2018Jan31.bam</t>
  </si>
  <si>
    <t>GU-17-157-cfDNA-UMI-2017Jun12.bam</t>
  </si>
  <si>
    <t>GU-17-163-cfDNA-UMI-2017Jun13.bam</t>
  </si>
  <si>
    <t>GU-17-163-cfDNA-UMI-2017Sep06.bam</t>
  </si>
  <si>
    <t>2017Sep06</t>
  </si>
  <si>
    <t>GU-17-165-cfDNA-OnTreatment-2017Oct25.bam</t>
  </si>
  <si>
    <t>GU-17-165-cfDNA-UMI-2017Jul06.bam</t>
  </si>
  <si>
    <t>GU-17-171-cfDNA-OnTreatment-2017Nov03.bam</t>
  </si>
  <si>
    <t>GU-17-171-cfDNA-UMI-2017Jul06.bam</t>
  </si>
  <si>
    <t>GU-17-174-cfDNA-OnTreatment-2017Sep28.bam</t>
  </si>
  <si>
    <t>GU-17-174-cfDNA-UMI-2017Jun29.bam</t>
  </si>
  <si>
    <t>GU-17-184-cfDNA-OnTreatment-2017Nov20.bam</t>
  </si>
  <si>
    <t>GU-17-184-cfDNA-UMI-2017Jul31.bam</t>
  </si>
  <si>
    <t>GU-17-190-cfDNA-OnTreatment-2017Dec11.bam</t>
  </si>
  <si>
    <t>GU-17-190-cfDNA-OnTreatment-2018Aug02.bam</t>
  </si>
  <si>
    <t>GU-17-190-cfDNA-UMI-2017Sep25.bam</t>
  </si>
  <si>
    <t>GU-17-192-cfDNA-OnTreatment-2018Jan08.bam</t>
  </si>
  <si>
    <t>GU-17-192-cfDNA-UMI-2017Sep26.bam</t>
  </si>
  <si>
    <t>2017Sep26</t>
  </si>
  <si>
    <t>GU-17-193-cfDNA-Baseline-2017Dec20.bam</t>
  </si>
  <si>
    <t>GU-17-193-cfDNA-OnTreatment-2018Apr11.bam</t>
  </si>
  <si>
    <t>GU-17-195-cfDNA-OnTreatment-2018Jan09.bam</t>
  </si>
  <si>
    <t>GU-17-195-cfDNA-UMI-2017Oct02.bam</t>
  </si>
  <si>
    <t>GU-17-199-cfDNA-UMI-2017Nov06.bam</t>
  </si>
  <si>
    <t>GU-17-202-cfDNA-Baseline-2017Dec06.bam</t>
  </si>
  <si>
    <t>GU-17-202-cfDNA-OnTreatment-2018Mar14.bam</t>
  </si>
  <si>
    <t>GU-17-205-cfDNA-UMI-2017Oct31.bam</t>
  </si>
  <si>
    <t>GU-17-205-cfDNA-UMI-2018Feb26.bam</t>
  </si>
  <si>
    <t>GU-17-211-cfDNA-OnTreatment-2018Mar19.bam</t>
  </si>
  <si>
    <t>Duplicated (i.e. there are 2 March 19th samples)</t>
  </si>
  <si>
    <t>GU-17-211-cfDNA-UMI-2018Jun29.bam</t>
  </si>
  <si>
    <t>GU-17-211-cfDNA-UMI-2018Oct30.bam</t>
  </si>
  <si>
    <t>GU-17-213-cfDNA-UMI-2017Nov29.bam</t>
  </si>
  <si>
    <t>GU-17-222-cfDNA-OnTreatment-2017Oct31.bam</t>
  </si>
  <si>
    <t>GU-17-222-cfDNA-UMI-2017Jul27.bam</t>
  </si>
  <si>
    <t>GU-17-244-cfDNA-UMI-2017Aug29.bam</t>
  </si>
  <si>
    <t>GU-17-251-cfDNA-OnTreatment-2017Oct17.bam</t>
  </si>
  <si>
    <t>GU-17-251-cfDNA-UMI-2017Aug15.bam</t>
  </si>
  <si>
    <t>GU-17-251-cfDNA-UMI-2017Dec18.bam</t>
  </si>
  <si>
    <t>GU-17-252-UMI-cfDNA-16Aug2017.bam</t>
  </si>
  <si>
    <t>GU-17-252-cfDNA-OnTreatment-2017Nov06.bam</t>
  </si>
  <si>
    <t>GU-17-269-cfDNA-Baseline-2017Oct06.bam</t>
  </si>
  <si>
    <t>GU-17-269-cfDNA-OnTreatment-2017Dec07.bam</t>
  </si>
  <si>
    <t>GU-17-295-cfDNA-UMI-2017Nov08.bam</t>
  </si>
  <si>
    <t>GU-17-295-cfDNA-UMI-2018Dec11.bam</t>
  </si>
  <si>
    <t>GU-17-295-cfDNA-UMI-2018Jan25.bam</t>
  </si>
  <si>
    <t>GU-17-295-cfDNA-UMI-2018Sep26.bam</t>
  </si>
  <si>
    <t>2018Sep26</t>
  </si>
  <si>
    <t>GU-17-295-cfDNA-UMI-2019Mar04.bam</t>
  </si>
  <si>
    <t>GU-17-310-cfDNA-Baseline-2017Nov06.bam</t>
  </si>
  <si>
    <t>GU-17-310-cfDNA-OnTreatment-2018Mar19.bam</t>
  </si>
  <si>
    <t>GU-17-311-cfDNA-Baseline-2017Nov06.bam</t>
  </si>
  <si>
    <t>GU-17-311-cfDNA-OnTreatment-2017Nov27.bam</t>
  </si>
  <si>
    <t>GU-17-312-cfDNA-Baseline-2017Nov21.bam</t>
  </si>
  <si>
    <t>GU-17-312-cfDNA-OnTreatment-2018Apr16.bam</t>
  </si>
  <si>
    <t>GU-17-312-cfDNA-OnTreatment-2018Aug14.bam</t>
  </si>
  <si>
    <t>GU-17-312-cfDNA-OnTreatment-2018Feb13.bam</t>
  </si>
  <si>
    <t>GU-17-313-cfDNA-Baseline-2017Dec13.bam</t>
  </si>
  <si>
    <t>GU-17-313-cfDNA-OnTreatment-2018Apr03.bam</t>
  </si>
  <si>
    <t>GU-17-332-cfDNA-Baseline-2017Dec20.bam</t>
  </si>
  <si>
    <t>GU-18-001-cfDNA-Baseline-2018Jan03.bam</t>
  </si>
  <si>
    <t>GU-18-001-cfDNA-OnTreatment-2018Mar28.bam</t>
  </si>
  <si>
    <t>GU-18-002-cfDNA-Baseline-2018Jan10.bam</t>
  </si>
  <si>
    <t>GU-18-024-cfDNA-UMI-2018May23.bam</t>
  </si>
  <si>
    <t>GU-18-024-cfDNA-UMI-2018Sep13.bam</t>
  </si>
  <si>
    <t>GU-18-027-cfDNA-OnTreatment-2018May10.bam</t>
  </si>
  <si>
    <t>GU-18-027-cfDNA-UMI-2018Feb14.bam</t>
  </si>
  <si>
    <t>GU-18-028-cfDNA-Baseline-2018Feb14.bam</t>
  </si>
  <si>
    <t>GU-18-028-cfDNA-OnTreatment-2018Jun13.bam</t>
  </si>
  <si>
    <t>GU-18-041-cfDNA-Baseline-2018Feb22.bam</t>
  </si>
  <si>
    <t>GU-18-041-cfDNA-OnTreatmentUMI-2018Jun05.bam</t>
  </si>
  <si>
    <t>GU-18-052-cfDNA-OnTreatmentUMI-2018May28.bam</t>
  </si>
  <si>
    <t>GU-18-054-cfDNA-Baseline-2018Feb07.bam</t>
  </si>
  <si>
    <t>GU-18-064-cfDNA-UMI-2018Apr10.bam</t>
  </si>
  <si>
    <t>GU-18-069-cfDNA-UMI-2018Sep12.bam</t>
  </si>
  <si>
    <t>2018Sep12</t>
  </si>
  <si>
    <t>GU-18-072-cfDNA-Baseline-2018Apr24.bam</t>
  </si>
  <si>
    <t>GU-18-072-cfDNA-OnTreatment-2018Jun25.bam</t>
  </si>
  <si>
    <t>GU-18-073-cfDNA-UMI-2018Apr24.bam</t>
  </si>
  <si>
    <t>GU-18-075-cfDNA-OnTreatment-2018Jul09.bam</t>
  </si>
  <si>
    <t>GU-18-075-cfDNA-UMI-2018May14.bam</t>
  </si>
  <si>
    <t>GU-18-089-cfDNA-OnTreatment-2018Oct17.bam</t>
  </si>
  <si>
    <t>GU-18-089-cfDNA-UMI-2018Jul24.bam</t>
  </si>
  <si>
    <t>GU-18-090-cfDNA-UMI-2018Jul30.bam</t>
  </si>
  <si>
    <t>GU-18-106-cfDNA-UMI-2018Nov26.bam</t>
  </si>
  <si>
    <t>GU-18-106-cfDNA-UMI-2019Feb13.bam</t>
  </si>
  <si>
    <t>GU-18-120-cfDNA-Baseline-2018Jan22.bam</t>
  </si>
  <si>
    <t>GU-18-120-cfDNA-OnTreatmentUMI-2018Jun04.bam</t>
  </si>
  <si>
    <t>GU-18-124-cfDNA-OnTreatmentUMI-2018May28.bam</t>
  </si>
  <si>
    <t>GU-18-124-cfDNA-UMI-2018Jan31.bam</t>
  </si>
  <si>
    <t>GU-18-126-cfDNA-BaselineUMI-2018Feb19.bam</t>
  </si>
  <si>
    <t>GU-18-126-cfDNA-OnTreatmentUMI-2018Jul03.bam</t>
  </si>
  <si>
    <t>GU-18-127-cfDNA-OnTreatment-2018Jul24.bam</t>
  </si>
  <si>
    <t>GU-18-127-cfDNA-UMI-2018Mar06.bam</t>
  </si>
  <si>
    <t>GU-18-127-cfDNA-UMI-2018Oct23.bam</t>
  </si>
  <si>
    <t>GU-18-131-cfDNA-UMI-2018Mar20.bam</t>
  </si>
  <si>
    <t>GU-18-134-cfDNA-OnTreatmentUMI-2019Jun03.bam</t>
  </si>
  <si>
    <t>GU-18-140-cfDNA-OnTreatment-2018Oct23.bam</t>
  </si>
  <si>
    <t>GU-18-140-cfDNA-UMI-2018Jul23.bam</t>
  </si>
  <si>
    <t>GU-18-152-cfDNA-OnTreatment-2018Apr24.bam</t>
  </si>
  <si>
    <t>GU-18-152-cfDNA-UMI-2018Feb13.bam</t>
  </si>
  <si>
    <t>GU-18-159-cfDNA-BaselineUMI-2018Mar27.bam</t>
  </si>
  <si>
    <t>GU-18-159-cfDNA-OnTreatment-2020Feb03.bam</t>
  </si>
  <si>
    <t>GU-18-159-cfDNA-OnTreatmentUMI-2018Jul11.bam</t>
  </si>
  <si>
    <t>GU-18-165-cfDNA-OnTreatment-2018Sep26.bam</t>
  </si>
  <si>
    <t>GU-18-165-cfDNA-UMI-2018Apr11.bam</t>
  </si>
  <si>
    <t>GU-18-167-cfDNA-BaselineUMI-2018Jun04.bam</t>
  </si>
  <si>
    <t>Duplicated (i.e. there are 2 June 4th samples)</t>
  </si>
  <si>
    <t>GU-18-167-cfDNA-UMI-2018Jun04.bam</t>
  </si>
  <si>
    <t>GU-18-169-cfDNA-Baseline-2018May09.bam</t>
  </si>
  <si>
    <t>GU-18-169-cfDNA-OnTreatment-2018Oct10.bam</t>
  </si>
  <si>
    <t>GU-18-176-cfDNA-UMI-2018Dec03.bam</t>
  </si>
  <si>
    <t>GU-18-176-cfDNA-UMI-2018Sep17.bam</t>
  </si>
  <si>
    <t>2018Sep17</t>
  </si>
  <si>
    <t>GU-18-194-cfDNA-OnTreatment-2019Mar14.bam</t>
  </si>
  <si>
    <t>Duplicated (i.e. there are 2 March 14th samples)</t>
  </si>
  <si>
    <t>GU-18-194-cfDNA-UMI-2018May16.bam</t>
  </si>
  <si>
    <t>GU-18-194-cfDNA-UMI-2018Oct10.bam</t>
  </si>
  <si>
    <t>GU-18-194-cfDNA-UMI-2019Mar14.bam</t>
  </si>
  <si>
    <t>GU-18-212-cfDNA-Baseline-2018Mar08.bam</t>
  </si>
  <si>
    <t>GU-18-214-cfDNA-OnTreatment-2018Jun14.bam</t>
  </si>
  <si>
    <t>GU-18-214-cfDNA-OnTreatmentUMI-2019Oct18.bam</t>
  </si>
  <si>
    <t>GU-18-214-cfDNA-UMI-2018Mar16.bam</t>
  </si>
  <si>
    <t>GU-18-229-cfDNA-Baseline-2018Apr12.bam</t>
  </si>
  <si>
    <t>GU-18-232-cfDNA-Baseline-2018Jun15.bam</t>
  </si>
  <si>
    <t>GU-18-246-cfDNA-OnTreatment-2020Aug13.bam</t>
  </si>
  <si>
    <t>GU-18-246-cfDNA-UMI-2018May09.bam</t>
  </si>
  <si>
    <t>GU-18-265-cfDNA-OnTreatment-2018Aug14.bam</t>
  </si>
  <si>
    <t>GU-18-272-cfDNA-BaselineUMI-2018Jun06.bam</t>
  </si>
  <si>
    <t>GU-18-272-cfDNA-OnTreatment-2018Aug30.bam</t>
  </si>
  <si>
    <t>GU-18-280-cfDNA-OnTreatment-2018Oct10.bam</t>
  </si>
  <si>
    <t>GU-18-280-cfDNA-UMI-2018Jun20.bam</t>
  </si>
  <si>
    <t>GU-18-282-cfDNA-OnTreatment-2018Oct23.bam</t>
  </si>
  <si>
    <t>GU-18-282-cfDNA-UMI-2018Jul04.bam</t>
  </si>
  <si>
    <t>GU-18-284-cfDNA-OnTreatment-2018Nov22.bam</t>
  </si>
  <si>
    <t>GU-18-284-cfDNA-UMI-2018Jun28.bam</t>
  </si>
  <si>
    <t>GU-18-292-cfDNA-OnTreatment-2018Sep27.bam</t>
  </si>
  <si>
    <t>2018Sep27</t>
  </si>
  <si>
    <t>GU-18-292-cfDNA-UMI-2018Jul04.bam</t>
  </si>
  <si>
    <t>GU-18-296-cfDNA-UMI-2018Jul09.bam</t>
  </si>
  <si>
    <t>GU-18-322-cfDNA-OnTreatment-2018Nov27.bam</t>
  </si>
  <si>
    <t>GU-18-322-cfDNA-UMI-2018Jul04.bam</t>
  </si>
  <si>
    <t>GU-18-325-cfDNA-OnTreatment-2018Nov06.bam</t>
  </si>
  <si>
    <t>GU-18-325-cfDNA-UMI-2018Aug13.bam</t>
  </si>
  <si>
    <t>GU-18-329-cfDNA-UMI-2018Sep26.bam</t>
  </si>
  <si>
    <t>GU-18-335-cfDNA-UMI-2018Jul24.bam</t>
  </si>
  <si>
    <t>GU-18-336-cfDNA-UMI-2018Jul25.bam</t>
  </si>
  <si>
    <t>GU-18-346-cfDNA-UMI-2018Dec27.bam</t>
  </si>
  <si>
    <t>GU-18-347-cfDNA-UMI-2018Aug09.bam</t>
  </si>
  <si>
    <t>GU-18-356-cfDNA-Baseline-2018Oct31.bam</t>
  </si>
  <si>
    <t>GU-18-372-cfDNA-OnTreatment-2018Oct09.bam</t>
  </si>
  <si>
    <t>GU-18-372-cfDNA-UMI-2018Aug03.bam</t>
  </si>
  <si>
    <t>GU-18-379-cfDNA-OnTreatment-2018Nov08.bam</t>
  </si>
  <si>
    <t>GU-18-379-cfDNA-UMI-2018Aug15.bam</t>
  </si>
  <si>
    <t>GU-18-386-cfDNA-UMI-2018Aug15.bam</t>
  </si>
  <si>
    <t>GU-18-390-cfDNA-UMI-2018Aug23.bam</t>
  </si>
  <si>
    <t>GU-18-436-cfDNA-UMI-2018Oct03.bam</t>
  </si>
  <si>
    <t>GU-18-444-cfDNA-Baseline-2018Nov01.bam</t>
  </si>
  <si>
    <t>GU-18-487-cfDNA-Baseline-2018Nov26.bam</t>
  </si>
  <si>
    <t>GU-18-523-cfDNA-UMI-2018Dec17.bam</t>
  </si>
  <si>
    <t>GU-18-523-cfDNA-UMI-2019May13.bam</t>
  </si>
  <si>
    <t>GU-19-016-cfDNA-UMI-2019Jan16.bam</t>
  </si>
  <si>
    <t>GU-19-025-cfDNA-OnTreatment-2020Sep01.bam</t>
  </si>
  <si>
    <t>2020Sep01</t>
  </si>
  <si>
    <t>GU-19-036-cfDNA-UMI-2019Mar05.bam</t>
  </si>
  <si>
    <t>GU-19-048-cfDNA-OnTreatment-2019Aug21.bam</t>
  </si>
  <si>
    <t>GU-19-048-cfDNA-OnTreatment-2019Dec27.bam</t>
  </si>
  <si>
    <t>GU-19-048-cfDNA-OnTreatment-2019Nov20.bam</t>
  </si>
  <si>
    <t>GU-19-048-cfDNA-UMI-2019Jul10.bam</t>
  </si>
  <si>
    <t>GU-19-048-cfDNA-UMI-2019Mar07.bam</t>
  </si>
  <si>
    <t>GU-19-099-cfDNA-OnTreatmentUMI-2019Oct17.bam</t>
  </si>
  <si>
    <t>GU-19-155-cfDNA-BaselineUMI-2019May27.bam</t>
  </si>
  <si>
    <t>GU-19-181-cfDNA-BaselineUMI-2019Feb25.bam</t>
  </si>
  <si>
    <t>GU-19-284-cfDNA-BaselineUMI-2019Mar05.bam</t>
  </si>
  <si>
    <t>GU-19-320-cfDNA-BaselineUMI-2019Jun19.bam</t>
  </si>
  <si>
    <t>GU-19-342-cfDNA-Baseline-2019Oct28.bam</t>
  </si>
  <si>
    <t>GU-19-353-cfDNA-BaselineUMI-2019May28.bam</t>
  </si>
  <si>
    <t>GU-19-372-cfDNA-OnTreatmentUMI-2019Oct15.bam</t>
  </si>
  <si>
    <t>GU-19-387-cfDNA-Baseline-2019Aug19.bam</t>
  </si>
  <si>
    <t>GU-19-396-cfDNA-UMI-2019Jun17.bam</t>
  </si>
  <si>
    <t>GU-19-443-cfDNA-Baseline-2019Aug01.bam</t>
  </si>
  <si>
    <t>GU-19-457-cfDNA-BaselineUMI-2019Sep20.bam</t>
  </si>
  <si>
    <t>2019Sep20</t>
  </si>
  <si>
    <t>GU-20-086-cfDNA-UMI-2020Mar09.bam</t>
  </si>
  <si>
    <t>GU-20-139-cfDNA-UMI-2020Mar16.bam</t>
  </si>
  <si>
    <t>Sample_sequencing_name_betastasis</t>
  </si>
  <si>
    <t>Sample_sequencing_name_server</t>
  </si>
  <si>
    <t>gDNA sequencing run</t>
  </si>
  <si>
    <t>Sequenced</t>
  </si>
  <si>
    <t>1L mCRPC baseline</t>
  </si>
  <si>
    <t>GUBB-18-052_cfDNA_Baseline_UMI_2018Jan22</t>
  </si>
  <si>
    <t>Sequenced with CRPC 2020 panel</t>
  </si>
  <si>
    <t>Yes?</t>
  </si>
  <si>
    <t>Run name: April 2017 VIP</t>
  </si>
  <si>
    <t>Run name: GUBB samples March 2019</t>
  </si>
  <si>
    <t>Run name: M1/Hypermutated/Docetaxel/VIP</t>
  </si>
  <si>
    <t>Run name: M1/Hypermutated/Docetaxel/VIP (GU-17-111-cfDNA-UMI-2018May23)</t>
  </si>
  <si>
    <t>GU-17-211-cfDNA-UMI-2018Mar19.bam</t>
  </si>
  <si>
    <t>This sample has duplicates: consider analyzing the other one if quality is bad</t>
  </si>
  <si>
    <t>GU-16-012-cfDNA-UMI-2016Nov14</t>
  </si>
  <si>
    <t>GU-17-055-cfDNA-UMI-2017Apr13</t>
  </si>
  <si>
    <t>GU-17-131-cfDNA-OnTreatment-UMI-2017Oct10.bam</t>
  </si>
  <si>
    <t>GU-18-090-cfDNA-UMI-2018Jul30</t>
  </si>
  <si>
    <t>GU-18-140-cfDNA-UMI-2018Jul23</t>
  </si>
  <si>
    <t>GU-18-159-cfDNA-Baseline-UMI-2018Mar27.bam</t>
  </si>
  <si>
    <t>GU-18-169-cfDNA-Baseline-2018May09</t>
  </si>
  <si>
    <t>GU-18-176-cfDNA-UMI-2018Sep17</t>
  </si>
  <si>
    <t>GU-18-272-cfDNA-Baseline-UMI-2018Jun06.bam</t>
  </si>
  <si>
    <t>GU-18-322-cfDNA-UMI-2018Jul04</t>
  </si>
  <si>
    <t>GU-18-372-cfDNA-UMI-2018Aug03</t>
  </si>
  <si>
    <t>GU-19-036-cfDNA-UMI-2019Mar05</t>
  </si>
  <si>
    <t>GU-19-155-cfDNA-Baseline-UMI-2019May27.bam</t>
  </si>
  <si>
    <t>GU-19-181-cfDNA-Baseline-UMI-2019Feb25.bam</t>
  </si>
  <si>
    <t>GU-19-284-cfDNA-Baseline-UMI-2019Mar05.bam</t>
  </si>
  <si>
    <t>GU-19-320-cfDNA-Baseline-UMI-2019Jun19.bam</t>
  </si>
  <si>
    <t>GU-19-353-cfDNA-Baseline-UMI-2019May28.bam</t>
  </si>
  <si>
    <t>GU-19-457-cfDNA-Baseline-UMI-2019Sep20.bam</t>
  </si>
  <si>
    <t>GU-20-139-cfDNA-2020Mar16.bam</t>
  </si>
  <si>
    <t>GU-17-092-cfDNA-OnTreatment-2019Aug28</t>
  </si>
  <si>
    <t>GU-17-150-cfDNA-2017Nov07.bam</t>
  </si>
  <si>
    <t>GU-18-126-cfDNA-OnTreatment-UMI-2018Jul03.bam</t>
  </si>
  <si>
    <t>GU-18-489-cfDNA-Baseline-2019Jan07-RocheV1.bam</t>
  </si>
  <si>
    <t>21-May-2019+GU-18-489-WBC+GUBB samples May 2019</t>
  </si>
  <si>
    <t>GU-19-021-cfDNA-Baseline-2019Jan18-RocheV1.bam</t>
  </si>
  <si>
    <t>21-May-2019+GU-19-021-WBC+GUBB samples May 2019</t>
  </si>
  <si>
    <t>GU-19-022-cfDNA-Baseline-2019Jan23-RocheV1.bam</t>
  </si>
  <si>
    <t>21-May-2019+GU-19-022-WBC+GUBB samples May 2019</t>
  </si>
  <si>
    <t>GU-19-025-cfDNA-Baseline-2019Jan24-RocheV1.bam</t>
  </si>
  <si>
    <t>21-May-2019+GU-19-256-WBC+GUBB samples May 2019</t>
  </si>
  <si>
    <t>GU-19-099-cfDNA-Baseline-2019May31.bam</t>
  </si>
  <si>
    <t>12-Nov-2019+GU-19-099_gDNA_UMI_2019May31+GUBB_CRPC_1_15Nov2019</t>
  </si>
  <si>
    <t>GU-19-113-cfDNA-Baseline-2019Mar27-RocheV1.bam</t>
  </si>
  <si>
    <t>19-Sep-2019+GU-19-113_gDNA_UMI_2019Mar27+GUBB_CRPC_19Sep2019</t>
  </si>
  <si>
    <t>GU-19-120-cfDNA-Baseline-2019May01-RocheV1.bam</t>
  </si>
  <si>
    <t>12-Nov-2019+GU-19-120_gDNA_UMI_2019May01+GUBB_CRPC_1_15Nov2019</t>
  </si>
  <si>
    <t>GU-19-122-cfDNA-Baseline-2019May06-RocheV1.bam</t>
  </si>
  <si>
    <t>12-Nov-2019+GU-19-122_gDNA_UMI_2019May06+GUBB_CRPC_1_15Nov2019</t>
  </si>
  <si>
    <t>GU-19-151-cfDNA-Baseline-2019Apr02-RocheV1.bam</t>
  </si>
  <si>
    <t>19-Sep-2019+GU-19-151_gDNA_UMI_2019Apr02+GUBB_CRPC_19Sep2019</t>
  </si>
  <si>
    <t>GU-19-154-cfDNA-Baseline-2019May21-RocheV1.bam</t>
  </si>
  <si>
    <t>12-Nov-2019+GU-19-154_gDNA_UMI_2019May21+GUBB_CRPC_1_15Nov2019</t>
  </si>
  <si>
    <t>GU-19-158-cfDNA-Baseline-2019Dec09-RocheV1.bam</t>
  </si>
  <si>
    <t>03-Feb-2020+GU-19-158_gDNA_UMI_2019Dec09+GUBB_CRPC_05Feb2020</t>
  </si>
  <si>
    <t>GU-19-171-cfDNA-Baseline-2019Jan07-RocheV1.bam</t>
  </si>
  <si>
    <t>19-Sep-2019+GU-19-171_gDNA_UMI_2019Jan07+GUBB_CRPC_19Sep2019</t>
  </si>
  <si>
    <t>GU-19-180-cfDNA-Baseline-2019Feb11-RocheV1.bam</t>
  </si>
  <si>
    <t>12-Nov-2019+GU-19-180_gDNA_UMI_2019Feb11+GUBB_CRPC_1_15Nov2019</t>
  </si>
  <si>
    <t>GU-19-184-cfDNA-Baseline-2019Mar11-RocheV1.bam</t>
  </si>
  <si>
    <t>19-Sep-2019+GU-19-184_gDNA_UMI_2019Mar11+GUBB_CRPC_19Sep2019</t>
  </si>
  <si>
    <t>GU-19-186-cfDNA-Baseline-2019Mar27-RocheV1.bam</t>
  </si>
  <si>
    <t>19-Sep-2019+GU-19-186_gDNA_UMI_2019Mar27+GUBB_CRPC_19Sep2019</t>
  </si>
  <si>
    <t>GU-19-187-cfDNA-Baseline-2019Mar27-RocheV1.bam</t>
  </si>
  <si>
    <t>19-Sep-2019+GU-19-187_gDNA_UMI_2019Mar27+GUBB_CRPC_19Sep2019</t>
  </si>
  <si>
    <t>GU-19-206-cfDNA-Baseline-2019Jul03-RocheV1.bam</t>
  </si>
  <si>
    <t>12-Nov-2019+GU-19-206_gDNA_UMI_2019Jul03+GUBB_CRPC_1_15Nov2019</t>
  </si>
  <si>
    <t>GU-19-209-cfDNA-Baseline-2019Jul08-RocheV1.bam</t>
  </si>
  <si>
    <t>12-Nov-2019+GU-19-209_gDNA_UMI_2019Jul08+GUBB_CRPC_1_15Nov2019</t>
  </si>
  <si>
    <t>GU-19-250-cfDNA-Baseline-2019Jan07-RocheV1.bam</t>
  </si>
  <si>
    <t>19-Sep-2019+GU-19-250_gDNA_UMI_2019Jan07+GUBB_CRPC_19Sep2019</t>
  </si>
  <si>
    <t>GU-19-275-cfDNA-Baseline-2019Apr16-RocheV1.bam</t>
  </si>
  <si>
    <t>12-Nov-2019+GU-19-275_gDNA_UMI_2019Apr16+GUBB_CRPC_1_15Nov2019</t>
  </si>
  <si>
    <t>GU-19-285-cfDNA-Baseline-2019Mar04-RocheV1.bam</t>
  </si>
  <si>
    <t>19-Sep-2019+GU-19-285_gDNA_UMI_2019Mar04+GUBB_CRPC_19Sep2019</t>
  </si>
  <si>
    <t>GU-19-297-cfDNA-Baseline-2019Apr01-RocheV1.bam</t>
  </si>
  <si>
    <t>19-Sep-2019+GU-19-297_gDNA_UMI_2019Apr01+GUBB_CRPC_19Sep2019</t>
  </si>
  <si>
    <t>GU-19-298-cfDNA-Baseline-2019Apr02-RocheV1.bam</t>
  </si>
  <si>
    <t>19-Sep-2019+GU-19-298_gDNA_UMI_2019Apr02+GUBB_CRPC_19Sep2019</t>
  </si>
  <si>
    <t>GU-19-306-cfDNA-Baseline-2019May13-RocheV1.bam</t>
  </si>
  <si>
    <t>12-Nov-2019+GU-19-306_gDNA_UMI_2019May13+GUBB_CRPC_1_15Nov2019</t>
  </si>
  <si>
    <t>GU-19-332-cfDNA-Baseline-2019Aug19-RocheV1.bam</t>
  </si>
  <si>
    <t>07-Jan-2020+GU-19-332_gDNA_UMI_2019Aug19+GUBB_CRPC_08Jan2020</t>
  </si>
  <si>
    <t>GU-19-365-cfDNA-Baseline-2019Jul02-RocheV1.bam</t>
  </si>
  <si>
    <t>12-Nov-2019+GU-19-365_gDNA_UMI_2019Jul02+GUBB_CRPC_1_15Nov2019</t>
  </si>
  <si>
    <t>GU-19-371-cfDNA-Baseline-2019Jul10-RocheV1.bam</t>
  </si>
  <si>
    <t>07-Jan-2020+GU-19-371_gDNA_UMI_2019Jul10+GUBB_CRPC_08Jan2020</t>
  </si>
  <si>
    <t>GU-19-372-cfDNA-Baseline-2019Jul09.bam</t>
  </si>
  <si>
    <t>12-Nov-2019+GU-19-372_gDNA_UMI_2019Jul09+GUBB_CRPC_1_15Nov2019</t>
  </si>
  <si>
    <t>GU-19-388-cfDNA-Baseline-2019Aug20-RocheV1.bam</t>
  </si>
  <si>
    <t>07-Jan-2020+GU-19-388_gDNA_UMI_2019Aug20+GUBB_CRPC_08Jan2020</t>
  </si>
  <si>
    <t>GU-19-397-cfDNA-Baseline-2019May29-RocheV1.bam</t>
  </si>
  <si>
    <t>07-Jan-2020+GU-19-397_gDNA_UMI_2019May29+GUBB_CRPC_08Jan2020</t>
  </si>
  <si>
    <t>GU-19-404-cfDNA-Baseline-2019Jun07-RocheV1.bam</t>
  </si>
  <si>
    <t>07-Jan-2020+GU-19-404_gDNA_UMI_2019Jun07+GUBB_CRPC_08Jan2020</t>
  </si>
  <si>
    <t>GU-19-628-cfDNA-Baseline-2020Jan31-RocheV1.bam</t>
  </si>
  <si>
    <t>20-Feb-2020+GU-19-628_gDNA_UMI_2020Jan31+GUBB_CRPC_1_21Feb2020</t>
  </si>
  <si>
    <t>GU-20-002-cfDNA-Baseline-2020Jan08-RocheV1.bam</t>
  </si>
  <si>
    <t>03-Feb-2020+GU-20-002_gDNA_UMI_2020Jan08+GUBB_CRPC_05Feb2020</t>
  </si>
  <si>
    <t>GU-20-005-cfDNA-Baseline-2020Feb04-RocheV1.bam</t>
  </si>
  <si>
    <t>20-Feb-2020+GU-20-005_gDNA_UMI_2020Feb04+GUBB_CRPC_1_21Feb2020</t>
  </si>
  <si>
    <t>GU-20-056-cfDNA-Baseline-2020Jun25-RocheV1.bam</t>
  </si>
  <si>
    <t>17-Aug-2020+GU-20-056_gDNA_Baseline_UMI_2020Jun25+I234_CRPC_18Aug2020</t>
  </si>
  <si>
    <t>GU-20-112-cfDNA-Baseline-2020Sep24-RocheV1.bam</t>
  </si>
  <si>
    <t>GU-20-120-cfDNA-Baseline-2020Oct21-RocheV1.bam</t>
  </si>
  <si>
    <t>GU-20-123-cfDNA-Baseline-2020Jan14.bam</t>
  </si>
  <si>
    <t>03-Feb-2020+GU-20-123_gDNA_UMI_2020Jan14+GUBB_CRPC_05Feb2020</t>
  </si>
  <si>
    <t>GU-20-126-cfDNA-Baseline-2020Jan29-RocheV1.bam</t>
  </si>
  <si>
    <t>20-Feb-2020+GU-20-126_gDNA_UMI_2020Jan29+GUBB_CRPC_1_21Feb2020</t>
  </si>
  <si>
    <t>GU-20-130-cfDNA-Baseline-2020Feb18-RocheV1.bam</t>
  </si>
  <si>
    <t>08-Jun-2020+GU-20-130_gDNA_Baseline_UMI_2020Feb18+I234_CRPC_09Jun2020</t>
  </si>
  <si>
    <t>GU-20-138-cfDNA-Baseline-2020Mar06-RocheV1.bam</t>
  </si>
  <si>
    <t>08-Jun-2020+GU-20-138_gDNA_Baseline_UMI_2020Mar06+I234_CRPC_09Jun2020</t>
  </si>
  <si>
    <t>GU-20-149-cfDNA-Baseline-2020Aug17-RocheV1.bam</t>
  </si>
  <si>
    <t>23-Sep-2020+GU-20-149_gDNA_Baseline_UMI_2020Aug17+I234_CRPC-T2_24Sep2020</t>
  </si>
  <si>
    <t>chr3:142,535,169-142,535,209; chr3:142,549,518-142,549,558</t>
  </si>
  <si>
    <t>GU-20-179-cfDNA-Baseline-2020Oct06-RocheV1.bam</t>
  </si>
  <si>
    <t>GU-20-224-cfDNA-Baseline-2020Mar13-RocheV1.bam</t>
  </si>
  <si>
    <t>08-Jun-2020+GU-20-224_gDNA_Baseline_UMI_2020Mar13+I234_CRPC_09Jun2020</t>
  </si>
  <si>
    <t>GU-20-234-cfDNA-Baseline-2020Jun23-RocheV1</t>
  </si>
  <si>
    <t>GU-20-234-cfDNA-Baseline-2020Jun23-RocheV1.bam</t>
  </si>
  <si>
    <t>17-Aug-2020+GU-20-234_gDNA_Baseline_UMI_2020Jun23+I234_CRPC_18Aug2020</t>
  </si>
  <si>
    <t>GU-20-264-cfDNA-Baseline-2020Jul24-RocheV1.bam</t>
  </si>
  <si>
    <t>10-Sep-2020+GU-20-264_gDNA_Baseline_UMI_2020Jul24+I234_CRPC_11Sep2020</t>
  </si>
  <si>
    <t>chr16:72,958,662-72,958,702</t>
  </si>
  <si>
    <t>GU-20-266-cfDNA-Baseline-2020Jun22-RocheV1</t>
  </si>
  <si>
    <t>GU-20-266-cfDNA-Baseline-2020Jun22-RocheV1.bam</t>
  </si>
  <si>
    <t>17-Aug-2020+GU-20-266_gDNA_Baseline_UMI_2020Jun22+I234_CRPC_18Aug2020</t>
  </si>
  <si>
    <t>GU-20-272-cfDNA-Baseline-2020Aug27-RocheV1.bam</t>
  </si>
  <si>
    <t>25-Feb-2021+GU-20-272_gDNA_Baseline_UMI_2020Aug27+PRO_CRPC-R2_26Feb2021</t>
  </si>
  <si>
    <t>chr13:48,465,088-48,465,128</t>
  </si>
  <si>
    <t>GU-20-309-cfDNA-Baseline-2020Oct07-RocheV1.bam</t>
  </si>
  <si>
    <t>GU-20-317-cfDNA-Baseline-2020Sep09-RocheV1.bam</t>
  </si>
  <si>
    <t>25-Feb-2021+GU-20-317_gDNA_Baseline_UMI_2020Sep09+PRO_CRPC-R2_26Feb2021</t>
  </si>
  <si>
    <t>GU-20-352-cfDNA-Baseline-2020Oct13-RocheV1.bam</t>
  </si>
  <si>
    <t>GU-20-372-cfDNA-Baseline-2020Oct15-RocheV1.bam</t>
  </si>
  <si>
    <t>TERT promoter mutations (n=2)</t>
  </si>
  <si>
    <t>GU-17-025-cfDNA-OnTreatment-2018Feb14-RocheV1.bam</t>
  </si>
  <si>
    <t>05-Jul-2017+17-025_Germline-WBC+July_Docetaxel</t>
  </si>
  <si>
    <t>GU-17-041-cfDNA-OnTreatment-2019Jun19-RocheV1.bam</t>
  </si>
  <si>
    <t>05-Jul-2017+17-041_Germline-WBC+July_Docetaxel</t>
  </si>
  <si>
    <t>GU-17-196-cfDNA-OnTreatment-2019Apr01-RocheV1.bam</t>
  </si>
  <si>
    <t>26-Mar-2018+17-196_gDNA+gu_gDNA_April'18</t>
  </si>
  <si>
    <t>GU-18-093-cfDNA-OnTreatment-2019Dec09-RocheV1.bam</t>
  </si>
  <si>
    <t>19-Nov-2018+18-093-WBC+GU-22NOV18</t>
  </si>
  <si>
    <t>GU-18-134-cfDNA-OnTreatment-2019Feb26-RocheV1.bam</t>
  </si>
  <si>
    <t>19-Nov-2018+18-134-WBC+GU-22NOV18</t>
  </si>
  <si>
    <t>chr17:7,673,535-7,673,575</t>
  </si>
  <si>
    <t>GU-18-388-cfDNA-OnTreatment-2019Nov08-RocheV1.bam</t>
  </si>
  <si>
    <t>21-May-2019+GU-18-388-WBC+GUBB samples May 2019</t>
  </si>
  <si>
    <t>GU-18-481-cfDNA-OnTreatment-2019Jul17-RocheV1.bam</t>
  </si>
  <si>
    <t>21-May-2019+GU-18-481-WBC+GUBB samples May 2019</t>
  </si>
  <si>
    <t>GU-19-098-cfDNA-OnTreatment-2019Nov27-RocheV1.bam</t>
  </si>
  <si>
    <t>12-Nov-2019+GU-19-098_gDNA_UMI_2019Apr25+GUBB_CRPC_1_15Nov2019</t>
  </si>
  <si>
    <t>GU-19-443-cfDNA-OnTreatment-2020Oct26-RocheV1.bam</t>
  </si>
  <si>
    <t>03-Feb-2020+GU-19-443_gDNA_UMI_2019Aug01+GUBB_CRPC_05Feb2020</t>
  </si>
  <si>
    <t>GU-20-235-cfDNA-Baseline-2020Jun05-RocheV1.bam</t>
  </si>
  <si>
    <t>17-Aug-2020+GU-20-235_gDNA_Baseline_UMI_2020Jun08+I234_CRPC_18Aug2020</t>
  </si>
  <si>
    <t>GU-18-134-cfDNA-OnTreatment-UMI-2019Jun03.bam</t>
  </si>
  <si>
    <t>GUOct242018</t>
  </si>
  <si>
    <t>3L mCRPC baseline</t>
  </si>
  <si>
    <t>GUBB_CRPC_05Feb2020</t>
  </si>
  <si>
    <t>Nearest collection timepoint is 19-Sep-2018</t>
  </si>
  <si>
    <t>SAMPLE</t>
  </si>
  <si>
    <t>cfDNA/library available</t>
  </si>
  <si>
    <t>Seq run</t>
  </si>
  <si>
    <t>GUBB-cf-Kapa-17-295-UMI_027-2018Jun06</t>
  </si>
  <si>
    <t>GUBB_CRPC_26Nov2019</t>
  </si>
  <si>
    <t xml:space="preserve">No </t>
  </si>
  <si>
    <t>Closest sample: 03-Apr-2018, 19-Sep-2018</t>
  </si>
  <si>
    <t>coef</t>
  </si>
  <si>
    <t>exp(coef)</t>
  </si>
  <si>
    <t>se(coef)</t>
  </si>
  <si>
    <t>coef lower 95</t>
  </si>
  <si>
    <t>coef upper 95%</t>
  </si>
  <si>
    <t>exp(coef) lower 95%</t>
  </si>
  <si>
    <t>exp(coef) upper 95%</t>
  </si>
  <si>
    <t>z</t>
  </si>
  <si>
    <t>p</t>
  </si>
  <si>
    <t>log(p)</t>
  </si>
  <si>
    <t>Univariable or multivariable?</t>
  </si>
  <si>
    <t>endpoint</t>
  </si>
  <si>
    <t>cfDNA_by_median</t>
  </si>
  <si>
    <t>Univarable</t>
  </si>
  <si>
    <t>PSA_PFS</t>
  </si>
  <si>
    <t>ctDNA_by_predef_bins</t>
  </si>
  <si>
    <t>Multivariable</t>
  </si>
  <si>
    <t>PSA_PH</t>
  </si>
  <si>
    <t>ALP/ULN_PH</t>
  </si>
  <si>
    <t>LDH/ULN_PH</t>
  </si>
  <si>
    <t>ECOG_PH</t>
  </si>
  <si>
    <t>cfDNA_PH</t>
  </si>
  <si>
    <t>Visceral_mets</t>
  </si>
  <si>
    <t>ADT_to_CRPC</t>
  </si>
  <si>
    <t>Age_PH</t>
  </si>
  <si>
    <t>ctDNA_by_median</t>
  </si>
  <si>
    <t>ctDNA (continuous)</t>
  </si>
  <si>
    <t>cfDNA_(ng_/_mL_plasma)</t>
  </si>
  <si>
    <t>Univariate analysis</t>
  </si>
  <si>
    <t xml:space="preserve">ctDNA by median </t>
  </si>
  <si>
    <t>ctDNA&lt;4.9</t>
  </si>
  <si>
    <t>ctDNA&gt;4.9</t>
  </si>
  <si>
    <t>No. of patients</t>
  </si>
  <si>
    <t>OS_KM_median (months)</t>
  </si>
  <si>
    <t>OS_HR</t>
  </si>
  <si>
    <t>#patients in Cox PH model</t>
  </si>
  <si>
    <t>PFS_median (months)</t>
  </si>
  <si>
    <t>PFS_HR</t>
  </si>
  <si>
    <t xml:space="preserve">PSA50RR </t>
  </si>
  <si>
    <t>p=0.0037</t>
  </si>
  <si>
    <t>n=</t>
  </si>
  <si>
    <t>(158/208)</t>
  </si>
  <si>
    <t>126/202</t>
  </si>
  <si>
    <t>OPTIMUM/ILUMINATE (OPT/ILU)</t>
  </si>
  <si>
    <t>Supplementary Data 1</t>
  </si>
  <si>
    <t>Supplementary Data 2</t>
  </si>
  <si>
    <t>Supplementary Data 3</t>
  </si>
  <si>
    <t>Supplementary Data 4</t>
  </si>
  <si>
    <t>Supplementary Data 5</t>
  </si>
  <si>
    <t>Supplementary Data 6</t>
  </si>
  <si>
    <t>Clinical variables used for training XGBoost and KNN models to predict ctDNA% and model performance metrics.</t>
  </si>
  <si>
    <t>Multivariable Cox proportional hazard model for overall survival and PSA-PFS. Hazard ratios, upper and lower 95% confidence intervals, and (unadjusted) p-values are displayed.</t>
  </si>
  <si>
    <t xml:space="preserve">Univariable Cox proportional hazards model for overall survival and PSA-PFS. Hazard ratios, upper and lower 95% confidence intervals, and (unadjusted) p-values are displayed. </t>
  </si>
  <si>
    <t>Event rates for PSA-PFS and OS and summary of missing clinical data (per initiating line of therapy).</t>
  </si>
  <si>
    <t>Patient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</si>
</sst>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0.0"/>
    <numFmt numFmtId="165" formatCode="d\-m"/>
    <numFmt numFmtId="166" formatCode="d\-mmm\-yyyy"/>
    <numFmt numFmtId="167" formatCode="dd\-mmm\-yyyy"/>
    <numFmt numFmtId="168" formatCode="d\-mmmm\-yyyy"/>
    <numFmt numFmtId="169" formatCode="dd\-mmmm\-yyyy"/>
    <numFmt numFmtId="170" formatCode="dd\-mmm\-yy"/>
    <numFmt numFmtId="171" formatCode="d\-mmm\-yy"/>
    <numFmt numFmtId="172" formatCode="dd\-mmmyyyy"/>
    <numFmt numFmtId="173" formatCode="d\-mmmm\-yy"/>
    <numFmt numFmtId="174" formatCode="dd\-mmmm\-yy"/>
    <numFmt numFmtId="175" formatCode="yyyymmmd"/>
    <numFmt numFmtId="176" formatCode="yyyymmmdd"/>
    <numFmt numFmtId="177" formatCode="yyyymmmmdd"/>
    <numFmt numFmtId="178" formatCode="yyyymmmmd"/>
  </numFmts>
  <fonts count="21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trike/>
      <sz val="10"/>
      <color theme="1"/>
      <name val="Arial"/>
      <family val="2"/>
      <scheme val="minor"/>
    </font>
    <font>
      <sz val="11"/>
      <color rgb="FF000000"/>
      <name val="Arial"/>
      <family val="2"/>
    </font>
    <font>
      <sz val="10"/>
      <color rgb="FFFF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0E0E3"/>
        <bgColor rgb="FFD0E0E3"/>
      </patternFill>
    </fill>
    <fill>
      <patternFill patternType="solid">
        <fgColor rgb="FFFFF2CC"/>
        <bgColor rgb="FFFFF2CC"/>
      </patternFill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rgb="FFCFE2F3"/>
        <bgColor rgb="FFCFE2F3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7" fillId="3" borderId="5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center"/>
    </xf>
    <xf numFmtId="0" fontId="0" fillId="0" borderId="5" xfId="0" applyBorder="1" applyAlignment="1">
      <alignment horizontal="left"/>
    </xf>
    <xf numFmtId="4" fontId="8" fillId="0" borderId="5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0" xfId="0" applyFont="1"/>
    <xf numFmtId="4" fontId="9" fillId="0" borderId="5" xfId="0" applyNumberFormat="1" applyFont="1" applyBorder="1" applyAlignment="1">
      <alignment horizontal="center"/>
    </xf>
    <xf numFmtId="11" fontId="9" fillId="0" borderId="5" xfId="0" applyNumberFormat="1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0" xfId="0" applyFont="1" applyAlignment="1">
      <alignment horizontal="right"/>
    </xf>
    <xf numFmtId="11" fontId="9" fillId="0" borderId="0" xfId="0" applyNumberFormat="1" applyFont="1" applyAlignment="1">
      <alignment horizontal="right"/>
    </xf>
    <xf numFmtId="0" fontId="9" fillId="0" borderId="0" xfId="0" applyFont="1" applyAlignment="1">
      <alignment horizontal="center"/>
    </xf>
    <xf numFmtId="4" fontId="9" fillId="0" borderId="8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11" fontId="9" fillId="0" borderId="0" xfId="0" applyNumberFormat="1" applyFont="1" applyAlignment="1">
      <alignment horizontal="center"/>
    </xf>
    <xf numFmtId="4" fontId="9" fillId="0" borderId="5" xfId="0" applyNumberFormat="1" applyFont="1" applyBorder="1" applyAlignment="1">
      <alignment horizontal="right"/>
    </xf>
    <xf numFmtId="11" fontId="9" fillId="0" borderId="5" xfId="0" applyNumberFormat="1" applyFont="1" applyBorder="1" applyAlignment="1">
      <alignment horizontal="right"/>
    </xf>
    <xf numFmtId="0" fontId="9" fillId="0" borderId="5" xfId="0" applyFont="1" applyBorder="1"/>
    <xf numFmtId="0" fontId="9" fillId="0" borderId="5" xfId="0" applyFont="1" applyBorder="1" applyAlignment="1">
      <alignment horizontal="right"/>
    </xf>
    <xf numFmtId="4" fontId="1" fillId="0" borderId="0" xfId="0" applyNumberFormat="1" applyFont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" fontId="5" fillId="0" borderId="2" xfId="0" applyNumberFormat="1" applyFont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4" fontId="8" fillId="3" borderId="5" xfId="0" applyNumberFormat="1" applyFont="1" applyFill="1" applyBorder="1" applyAlignment="1">
      <alignment horizontal="right"/>
    </xf>
    <xf numFmtId="4" fontId="9" fillId="3" borderId="5" xfId="0" applyNumberFormat="1" applyFont="1" applyFill="1" applyBorder="1" applyAlignment="1">
      <alignment horizontal="right"/>
    </xf>
    <xf numFmtId="0" fontId="9" fillId="3" borderId="5" xfId="0" applyFont="1" applyFill="1" applyBorder="1" applyAlignment="1">
      <alignment horizontal="right"/>
    </xf>
    <xf numFmtId="4" fontId="8" fillId="0" borderId="5" xfId="0" applyNumberFormat="1" applyFont="1" applyBorder="1" applyAlignment="1">
      <alignment horizontal="right"/>
    </xf>
    <xf numFmtId="11" fontId="9" fillId="3" borderId="5" xfId="0" applyNumberFormat="1" applyFont="1" applyFill="1" applyBorder="1" applyAlignment="1">
      <alignment horizontal="right"/>
    </xf>
    <xf numFmtId="4" fontId="9" fillId="3" borderId="5" xfId="0" applyNumberFormat="1" applyFont="1" applyFill="1" applyBorder="1" applyAlignment="1">
      <alignment horizontal="center"/>
    </xf>
    <xf numFmtId="4" fontId="5" fillId="0" borderId="5" xfId="0" applyNumberFormat="1" applyFont="1" applyBorder="1" applyAlignment="1">
      <alignment horizontal="center"/>
    </xf>
    <xf numFmtId="0" fontId="5" fillId="0" borderId="5" xfId="0" applyFont="1" applyBorder="1"/>
    <xf numFmtId="4" fontId="5" fillId="0" borderId="0" xfId="0" applyNumberFormat="1" applyFont="1" applyAlignment="1">
      <alignment horizontal="center"/>
    </xf>
    <xf numFmtId="0" fontId="10" fillId="0" borderId="5" xfId="0" applyFont="1" applyBorder="1" applyAlignment="1">
      <alignment horizontal="center"/>
    </xf>
    <xf numFmtId="0" fontId="11" fillId="0" borderId="5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right"/>
    </xf>
    <xf numFmtId="0" fontId="1" fillId="3" borderId="5" xfId="0" applyFont="1" applyFill="1" applyBorder="1"/>
    <xf numFmtId="0" fontId="5" fillId="3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0" borderId="13" xfId="0" applyFont="1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/>
    <xf numFmtId="0" fontId="1" fillId="2" borderId="5" xfId="0" applyFont="1" applyFill="1" applyBorder="1"/>
    <xf numFmtId="0" fontId="5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2" fontId="1" fillId="0" borderId="5" xfId="0" applyNumberFormat="1" applyFont="1" applyBorder="1"/>
    <xf numFmtId="0" fontId="6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166" fontId="1" fillId="0" borderId="0" xfId="0" applyNumberFormat="1" applyFont="1" applyAlignment="1">
      <alignment horizontal="left"/>
    </xf>
    <xf numFmtId="0" fontId="14" fillId="6" borderId="0" xfId="0" applyFont="1" applyFill="1" applyAlignment="1">
      <alignment horizontal="left"/>
    </xf>
    <xf numFmtId="0" fontId="1" fillId="8" borderId="0" xfId="0" applyFont="1" applyFill="1" applyAlignment="1">
      <alignment horizontal="left"/>
    </xf>
    <xf numFmtId="168" fontId="1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67" fontId="1" fillId="0" borderId="0" xfId="0" applyNumberFormat="1" applyFont="1"/>
    <xf numFmtId="166" fontId="1" fillId="0" borderId="0" xfId="0" applyNumberFormat="1" applyFont="1"/>
    <xf numFmtId="168" fontId="1" fillId="0" borderId="0" xfId="0" applyNumberFormat="1" applyFont="1"/>
    <xf numFmtId="170" fontId="9" fillId="0" borderId="0" xfId="0" applyNumberFormat="1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left"/>
    </xf>
    <xf numFmtId="49" fontId="14" fillId="0" borderId="0" xfId="0" applyNumberFormat="1" applyFont="1" applyAlignment="1">
      <alignment horizontal="center"/>
    </xf>
    <xf numFmtId="0" fontId="14" fillId="0" borderId="0" xfId="0" applyFont="1"/>
    <xf numFmtId="0" fontId="6" fillId="0" borderId="0" xfId="0" applyFont="1"/>
    <xf numFmtId="169" fontId="1" fillId="0" borderId="0" xfId="0" applyNumberFormat="1" applyFont="1"/>
    <xf numFmtId="171" fontId="9" fillId="0" borderId="0" xfId="0" applyNumberFormat="1" applyFont="1" applyAlignment="1">
      <alignment horizontal="right"/>
    </xf>
    <xf numFmtId="170" fontId="9" fillId="0" borderId="0" xfId="0" applyNumberFormat="1" applyFont="1" applyAlignment="1">
      <alignment horizontal="right"/>
    </xf>
    <xf numFmtId="173" fontId="9" fillId="0" borderId="0" xfId="0" applyNumberFormat="1" applyFont="1" applyAlignment="1">
      <alignment horizontal="right"/>
    </xf>
    <xf numFmtId="0" fontId="1" fillId="0" borderId="13" xfId="0" applyFont="1" applyBorder="1" applyAlignment="1">
      <alignment horizontal="center" wrapText="1"/>
    </xf>
    <xf numFmtId="0" fontId="9" fillId="0" borderId="15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1" fontId="1" fillId="0" borderId="5" xfId="0" applyNumberFormat="1" applyFont="1" applyBorder="1" applyAlignment="1">
      <alignment horizontal="center" wrapText="1"/>
    </xf>
    <xf numFmtId="2" fontId="1" fillId="0" borderId="5" xfId="0" applyNumberFormat="1" applyFont="1" applyBorder="1" applyAlignment="1">
      <alignment horizontal="center" wrapText="1"/>
    </xf>
    <xf numFmtId="164" fontId="1" fillId="0" borderId="5" xfId="0" applyNumberFormat="1" applyFont="1" applyBorder="1" applyAlignment="1">
      <alignment horizontal="center" wrapText="1"/>
    </xf>
    <xf numFmtId="1" fontId="1" fillId="0" borderId="5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 wrapText="1"/>
    </xf>
    <xf numFmtId="2" fontId="1" fillId="0" borderId="17" xfId="0" applyNumberFormat="1" applyFont="1" applyBorder="1" applyAlignment="1">
      <alignment horizontal="center" wrapText="1"/>
    </xf>
    <xf numFmtId="164" fontId="1" fillId="0" borderId="17" xfId="0" applyNumberFormat="1" applyFont="1" applyBorder="1" applyAlignment="1">
      <alignment horizontal="center" wrapText="1"/>
    </xf>
    <xf numFmtId="1" fontId="1" fillId="0" borderId="17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 wrapText="1"/>
    </xf>
    <xf numFmtId="0" fontId="14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1" fontId="1" fillId="0" borderId="13" xfId="0" applyNumberFormat="1" applyFont="1" applyBorder="1" applyAlignment="1">
      <alignment horizontal="center" wrapText="1"/>
    </xf>
    <xf numFmtId="0" fontId="1" fillId="0" borderId="20" xfId="0" applyFont="1" applyBorder="1" applyAlignment="1">
      <alignment horizontal="center"/>
    </xf>
    <xf numFmtId="49" fontId="15" fillId="0" borderId="2" xfId="0" applyNumberFormat="1" applyFont="1" applyBorder="1" applyAlignment="1">
      <alignment horizontal="center"/>
    </xf>
    <xf numFmtId="1" fontId="15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" fontId="4" fillId="7" borderId="12" xfId="0" applyNumberFormat="1" applyFont="1" applyFill="1" applyBorder="1" applyAlignment="1">
      <alignment horizontal="center"/>
    </xf>
    <xf numFmtId="1" fontId="4" fillId="7" borderId="2" xfId="0" applyNumberFormat="1" applyFont="1" applyFill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" fontId="6" fillId="0" borderId="21" xfId="0" applyNumberFormat="1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49" fontId="14" fillId="0" borderId="2" xfId="0" applyNumberFormat="1" applyFont="1" applyBorder="1" applyAlignment="1">
      <alignment horizontal="center"/>
    </xf>
    <xf numFmtId="164" fontId="15" fillId="0" borderId="2" xfId="0" applyNumberFormat="1" applyFont="1" applyBorder="1" applyAlignment="1">
      <alignment horizontal="center"/>
    </xf>
    <xf numFmtId="49" fontId="15" fillId="8" borderId="5" xfId="0" applyNumberFormat="1" applyFont="1" applyFill="1" applyBorder="1" applyAlignment="1">
      <alignment horizontal="center"/>
    </xf>
    <xf numFmtId="49" fontId="15" fillId="0" borderId="5" xfId="0" applyNumberFormat="1" applyFont="1" applyBorder="1" applyAlignment="1">
      <alignment horizontal="center"/>
    </xf>
    <xf numFmtId="1" fontId="15" fillId="0" borderId="5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" fontId="4" fillId="7" borderId="6" xfId="0" applyNumberFormat="1" applyFont="1" applyFill="1" applyBorder="1" applyAlignment="1">
      <alignment horizontal="center"/>
    </xf>
    <xf numFmtId="1" fontId="4" fillId="7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1" fontId="14" fillId="0" borderId="6" xfId="0" applyNumberFormat="1" applyFont="1" applyBorder="1" applyAlignment="1">
      <alignment horizontal="center"/>
    </xf>
    <xf numFmtId="49" fontId="14" fillId="0" borderId="5" xfId="0" applyNumberFormat="1" applyFont="1" applyBorder="1" applyAlignment="1">
      <alignment horizontal="center"/>
    </xf>
    <xf numFmtId="164" fontId="15" fillId="0" borderId="5" xfId="0" applyNumberFormat="1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1" fontId="6" fillId="0" borderId="6" xfId="0" applyNumberFormat="1" applyFont="1" applyBorder="1" applyAlignment="1">
      <alignment horizontal="center"/>
    </xf>
    <xf numFmtId="1" fontId="4" fillId="5" borderId="6" xfId="0" applyNumberFormat="1" applyFont="1" applyFill="1" applyBorder="1" applyAlignment="1">
      <alignment horizontal="center"/>
    </xf>
    <xf numFmtId="1" fontId="4" fillId="5" borderId="5" xfId="0" applyNumberFormat="1" applyFont="1" applyFill="1" applyBorder="1" applyAlignment="1">
      <alignment horizontal="center"/>
    </xf>
    <xf numFmtId="0" fontId="14" fillId="8" borderId="5" xfId="0" applyFont="1" applyFill="1" applyBorder="1" applyAlignment="1">
      <alignment horizontal="center"/>
    </xf>
    <xf numFmtId="1" fontId="14" fillId="8" borderId="6" xfId="0" applyNumberFormat="1" applyFont="1" applyFill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49" fontId="15" fillId="8" borderId="17" xfId="0" applyNumberFormat="1" applyFont="1" applyFill="1" applyBorder="1" applyAlignment="1">
      <alignment horizontal="center"/>
    </xf>
    <xf numFmtId="49" fontId="15" fillId="0" borderId="17" xfId="0" applyNumberFormat="1" applyFont="1" applyBorder="1" applyAlignment="1">
      <alignment horizontal="center"/>
    </xf>
    <xf numFmtId="1" fontId="15" fillId="0" borderId="17" xfId="0" applyNumberFormat="1" applyFont="1" applyBorder="1" applyAlignment="1">
      <alignment horizontal="center"/>
    </xf>
    <xf numFmtId="164" fontId="1" fillId="0" borderId="17" xfId="0" applyNumberFormat="1" applyFont="1" applyBorder="1" applyAlignment="1">
      <alignment horizontal="center"/>
    </xf>
    <xf numFmtId="1" fontId="4" fillId="7" borderId="18" xfId="0" applyNumberFormat="1" applyFont="1" applyFill="1" applyBorder="1" applyAlignment="1">
      <alignment horizontal="center"/>
    </xf>
    <xf numFmtId="1" fontId="4" fillId="7" borderId="17" xfId="0" applyNumberFormat="1" applyFont="1" applyFill="1" applyBorder="1" applyAlignment="1">
      <alignment horizontal="center"/>
    </xf>
    <xf numFmtId="1" fontId="14" fillId="0" borderId="18" xfId="0" applyNumberFormat="1" applyFont="1" applyBorder="1" applyAlignment="1">
      <alignment horizontal="center"/>
    </xf>
    <xf numFmtId="49" fontId="14" fillId="0" borderId="13" xfId="0" applyNumberFormat="1" applyFont="1" applyBorder="1" applyAlignment="1">
      <alignment horizontal="center"/>
    </xf>
    <xf numFmtId="164" fontId="15" fillId="0" borderId="13" xfId="0" applyNumberFormat="1" applyFont="1" applyBorder="1" applyAlignment="1">
      <alignment horizontal="center"/>
    </xf>
    <xf numFmtId="49" fontId="15" fillId="0" borderId="13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 wrapText="1"/>
    </xf>
    <xf numFmtId="1" fontId="1" fillId="0" borderId="2" xfId="0" applyNumberFormat="1" applyFont="1" applyBorder="1" applyAlignment="1">
      <alignment horizontal="center"/>
    </xf>
    <xf numFmtId="2" fontId="4" fillId="7" borderId="2" xfId="0" applyNumberFormat="1" applyFont="1" applyFill="1" applyBorder="1" applyAlignment="1">
      <alignment horizontal="center" wrapText="1"/>
    </xf>
    <xf numFmtId="1" fontId="4" fillId="0" borderId="2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164" fontId="6" fillId="7" borderId="22" xfId="0" applyNumberFormat="1" applyFont="1" applyFill="1" applyBorder="1" applyAlignment="1">
      <alignment horizontal="center"/>
    </xf>
    <xf numFmtId="1" fontId="6" fillId="7" borderId="22" xfId="0" applyNumberFormat="1" applyFont="1" applyFill="1" applyBorder="1" applyAlignment="1">
      <alignment horizontal="center"/>
    </xf>
    <xf numFmtId="0" fontId="4" fillId="7" borderId="22" xfId="0" applyFont="1" applyFill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 wrapText="1"/>
    </xf>
    <xf numFmtId="2" fontId="4" fillId="7" borderId="5" xfId="0" applyNumberFormat="1" applyFont="1" applyFill="1" applyBorder="1" applyAlignment="1">
      <alignment horizontal="center" wrapText="1"/>
    </xf>
    <xf numFmtId="1" fontId="4" fillId="0" borderId="5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64" fontId="6" fillId="0" borderId="5" xfId="0" applyNumberFormat="1" applyFont="1" applyBorder="1" applyAlignment="1">
      <alignment horizontal="center"/>
    </xf>
    <xf numFmtId="1" fontId="6" fillId="0" borderId="5" xfId="0" applyNumberFormat="1" applyFont="1" applyBorder="1" applyAlignment="1">
      <alignment horizontal="center"/>
    </xf>
    <xf numFmtId="164" fontId="6" fillId="7" borderId="5" xfId="0" applyNumberFormat="1" applyFont="1" applyFill="1" applyBorder="1" applyAlignment="1">
      <alignment horizontal="center"/>
    </xf>
    <xf numFmtId="1" fontId="6" fillId="7" borderId="5" xfId="0" applyNumberFormat="1" applyFont="1" applyFill="1" applyBorder="1" applyAlignment="1">
      <alignment horizontal="center"/>
    </xf>
    <xf numFmtId="164" fontId="14" fillId="10" borderId="5" xfId="0" applyNumberFormat="1" applyFont="1" applyFill="1" applyBorder="1"/>
    <xf numFmtId="1" fontId="14" fillId="8" borderId="5" xfId="0" applyNumberFormat="1" applyFont="1" applyFill="1" applyBorder="1" applyAlignment="1">
      <alignment horizontal="center"/>
    </xf>
    <xf numFmtId="164" fontId="14" fillId="0" borderId="5" xfId="0" applyNumberFormat="1" applyFont="1" applyBorder="1" applyAlignment="1">
      <alignment horizontal="center"/>
    </xf>
    <xf numFmtId="1" fontId="14" fillId="0" borderId="5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2" fillId="0" borderId="23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9" fontId="1" fillId="0" borderId="5" xfId="0" applyNumberFormat="1" applyFont="1" applyBorder="1" applyAlignment="1">
      <alignment horizontal="center"/>
    </xf>
    <xf numFmtId="0" fontId="2" fillId="0" borderId="13" xfId="0" applyFont="1" applyBorder="1" applyAlignment="1">
      <alignment horizontal="left" wrapText="1"/>
    </xf>
    <xf numFmtId="165" fontId="2" fillId="0" borderId="14" xfId="0" applyNumberFormat="1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10" fontId="1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3" fillId="0" borderId="0" xfId="0" applyFont="1"/>
    <xf numFmtId="0" fontId="15" fillId="0" borderId="0" xfId="0" applyFont="1"/>
    <xf numFmtId="175" fontId="6" fillId="0" borderId="0" xfId="0" applyNumberFormat="1" applyFont="1" applyAlignment="1">
      <alignment horizontal="left"/>
    </xf>
    <xf numFmtId="176" fontId="6" fillId="0" borderId="0" xfId="0" applyNumberFormat="1" applyFont="1" applyAlignment="1">
      <alignment horizontal="left"/>
    </xf>
    <xf numFmtId="177" fontId="6" fillId="0" borderId="0" xfId="0" applyNumberFormat="1" applyFont="1" applyAlignment="1">
      <alignment horizontal="left"/>
    </xf>
    <xf numFmtId="178" fontId="6" fillId="0" borderId="0" xfId="0" applyNumberFormat="1" applyFont="1" applyAlignment="1">
      <alignment horizontal="left"/>
    </xf>
    <xf numFmtId="0" fontId="1" fillId="8" borderId="0" xfId="0" applyFont="1" applyFill="1"/>
    <xf numFmtId="166" fontId="1" fillId="8" borderId="0" xfId="0" applyNumberFormat="1" applyFont="1" applyFill="1"/>
    <xf numFmtId="166" fontId="16" fillId="0" borderId="0" xfId="0" applyNumberFormat="1" applyFont="1"/>
    <xf numFmtId="168" fontId="1" fillId="8" borderId="0" xfId="0" applyNumberFormat="1" applyFont="1" applyFill="1"/>
    <xf numFmtId="167" fontId="14" fillId="0" borderId="0" xfId="0" applyNumberFormat="1" applyFont="1"/>
    <xf numFmtId="0" fontId="14" fillId="9" borderId="0" xfId="0" applyFont="1" applyFill="1"/>
    <xf numFmtId="166" fontId="14" fillId="0" borderId="0" xfId="0" applyNumberFormat="1" applyFont="1"/>
    <xf numFmtId="169" fontId="14" fillId="0" borderId="0" xfId="0" applyNumberFormat="1" applyFont="1"/>
    <xf numFmtId="168" fontId="14" fillId="0" borderId="0" xfId="0" applyNumberFormat="1" applyFont="1"/>
    <xf numFmtId="173" fontId="6" fillId="0" borderId="0" xfId="0" applyNumberFormat="1" applyFont="1" applyAlignment="1">
      <alignment horizontal="right"/>
    </xf>
    <xf numFmtId="170" fontId="6" fillId="0" borderId="0" xfId="0" applyNumberFormat="1" applyFont="1" applyAlignment="1">
      <alignment horizontal="right"/>
    </xf>
    <xf numFmtId="174" fontId="6" fillId="0" borderId="0" xfId="0" applyNumberFormat="1" applyFont="1" applyAlignment="1">
      <alignment horizontal="right"/>
    </xf>
    <xf numFmtId="171" fontId="6" fillId="0" borderId="0" xfId="0" applyNumberFormat="1" applyFont="1" applyAlignment="1">
      <alignment horizontal="right"/>
    </xf>
    <xf numFmtId="0" fontId="9" fillId="4" borderId="0" xfId="0" applyFont="1" applyFill="1"/>
    <xf numFmtId="170" fontId="9" fillId="4" borderId="0" xfId="0" applyNumberFormat="1" applyFont="1" applyFill="1" applyAlignment="1">
      <alignment horizontal="right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168" fontId="1" fillId="4" borderId="0" xfId="0" applyNumberFormat="1" applyFont="1" applyFill="1"/>
    <xf numFmtId="172" fontId="1" fillId="0" borderId="0" xfId="0" applyNumberFormat="1" applyFont="1"/>
    <xf numFmtId="0" fontId="8" fillId="0" borderId="0" xfId="0" applyFont="1" applyAlignment="1">
      <alignment horizontal="center"/>
    </xf>
    <xf numFmtId="171" fontId="9" fillId="0" borderId="0" xfId="0" applyNumberFormat="1" applyFont="1" applyAlignment="1">
      <alignment horizontal="center"/>
    </xf>
    <xf numFmtId="173" fontId="9" fillId="0" borderId="0" xfId="0" applyNumberFormat="1" applyFont="1" applyAlignment="1">
      <alignment horizontal="center"/>
    </xf>
    <xf numFmtId="0" fontId="1" fillId="3" borderId="0" xfId="0" applyFont="1" applyFill="1" applyAlignment="1">
      <alignment horizontal="left"/>
    </xf>
    <xf numFmtId="11" fontId="1" fillId="3" borderId="0" xfId="0" applyNumberFormat="1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5" fillId="5" borderId="0" xfId="0" applyFont="1" applyFill="1" applyAlignment="1">
      <alignment horizontal="left"/>
    </xf>
    <xf numFmtId="0" fontId="18" fillId="0" borderId="0" xfId="0" applyFont="1" applyAlignment="1">
      <alignment horizontal="left"/>
    </xf>
    <xf numFmtId="11" fontId="1" fillId="0" borderId="0" xfId="0" applyNumberFormat="1" applyFont="1" applyAlignment="1">
      <alignment horizontal="left"/>
    </xf>
    <xf numFmtId="0" fontId="5" fillId="7" borderId="0" xfId="0" applyFont="1" applyFill="1" applyAlignment="1">
      <alignment horizontal="left"/>
    </xf>
    <xf numFmtId="0" fontId="18" fillId="3" borderId="0" xfId="0" applyFont="1" applyFill="1" applyAlignment="1">
      <alignment horizontal="left"/>
    </xf>
    <xf numFmtId="0" fontId="1" fillId="11" borderId="0" xfId="0" applyFont="1" applyFill="1"/>
    <xf numFmtId="10" fontId="1" fillId="0" borderId="0" xfId="0" applyNumberFormat="1" applyFont="1"/>
    <xf numFmtId="0" fontId="4" fillId="0" borderId="0" xfId="0" applyFont="1"/>
    <xf numFmtId="0" fontId="19" fillId="0" borderId="0" xfId="0" applyFont="1"/>
    <xf numFmtId="0" fontId="20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2" borderId="6" xfId="0" applyFont="1" applyFill="1" applyBorder="1" applyAlignment="1">
      <alignment horizontal="center"/>
    </xf>
    <xf numFmtId="0" fontId="3" fillId="0" borderId="7" xfId="0" applyFont="1" applyBorder="1"/>
    <xf numFmtId="0" fontId="3" fillId="0" borderId="4" xfId="0" applyFont="1" applyBorder="1"/>
    <xf numFmtId="4" fontId="8" fillId="0" borderId="6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5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3" xfId="0" applyFont="1" applyBorder="1"/>
    <xf numFmtId="0" fontId="5" fillId="0" borderId="6" xfId="0" applyFont="1" applyBorder="1" applyAlignment="1">
      <alignment horizontal="center"/>
    </xf>
    <xf numFmtId="0" fontId="5" fillId="3" borderId="13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10" fillId="0" borderId="13" xfId="0" applyFont="1" applyBorder="1" applyAlignment="1">
      <alignment horizontal="center" vertical="center"/>
    </xf>
    <xf numFmtId="0" fontId="3" fillId="0" borderId="14" xfId="0" applyFont="1" applyBorder="1"/>
    <xf numFmtId="0" fontId="10" fillId="0" borderId="6" xfId="0" applyFont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" fontId="1" fillId="0" borderId="13" xfId="0" applyNumberFormat="1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0" fillId="0" borderId="0" xfId="0"/>
    <xf numFmtId="2" fontId="1" fillId="0" borderId="13" xfId="0" applyNumberFormat="1" applyFont="1" applyBorder="1" applyAlignment="1">
      <alignment horizontal="center" wrapText="1"/>
    </xf>
    <xf numFmtId="164" fontId="1" fillId="0" borderId="1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3" fillId="0" borderId="12" xfId="0" applyFont="1" applyBorder="1"/>
    <xf numFmtId="0" fontId="17" fillId="0" borderId="13" xfId="0" applyFont="1" applyBorder="1" applyAlignment="1">
      <alignment horizontal="center" wrapText="1"/>
    </xf>
    <xf numFmtId="2" fontId="1" fillId="0" borderId="9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72"/>
  <sheetViews>
    <sheetView tabSelected="1" zoomScale="90" zoomScaleNormal="90" workbookViewId="0">
      <selection activeCell="C2" sqref="C2"/>
    </sheetView>
  </sheetViews>
  <sheetFormatPr defaultColWidth="12.42578125" defaultRowHeight="15.75" customHeight="1" x14ac:dyDescent="0.2"/>
  <cols>
    <col min="1" max="1" width="24" customWidth="1"/>
  </cols>
  <sheetData>
    <row r="1" spans="1:2" ht="15.75" customHeight="1" x14ac:dyDescent="0.2">
      <c r="A1" s="3" t="s">
        <v>2635</v>
      </c>
      <c r="B1" s="219" t="s">
        <v>5</v>
      </c>
    </row>
    <row r="2" spans="1:2" ht="15.75" customHeight="1" x14ac:dyDescent="0.2">
      <c r="A2" s="3" t="s">
        <v>2636</v>
      </c>
      <c r="B2" s="219" t="s">
        <v>6</v>
      </c>
    </row>
    <row r="3" spans="1:2" ht="15.75" customHeight="1" x14ac:dyDescent="0.2">
      <c r="A3" s="3" t="s">
        <v>2637</v>
      </c>
      <c r="B3" s="220" t="s">
        <v>2644</v>
      </c>
    </row>
    <row r="4" spans="1:2" ht="15.75" customHeight="1" x14ac:dyDescent="0.2">
      <c r="A4" s="3" t="s">
        <v>2638</v>
      </c>
      <c r="B4" s="220" t="s">
        <v>2643</v>
      </c>
    </row>
    <row r="5" spans="1:2" ht="15.75" customHeight="1" x14ac:dyDescent="0.2">
      <c r="A5" s="3" t="s">
        <v>2639</v>
      </c>
      <c r="B5" s="220" t="s">
        <v>2642</v>
      </c>
    </row>
    <row r="6" spans="1:2" ht="15.75" customHeight="1" x14ac:dyDescent="0.2">
      <c r="A6" s="3" t="s">
        <v>2640</v>
      </c>
      <c r="B6" s="220" t="s">
        <v>2641</v>
      </c>
    </row>
    <row r="7" spans="1:2" ht="15.75" customHeight="1" x14ac:dyDescent="0.2">
      <c r="A7" s="1"/>
    </row>
    <row r="8" spans="1:2" ht="15.75" customHeight="1" x14ac:dyDescent="0.2">
      <c r="A8" s="1"/>
    </row>
    <row r="9" spans="1:2" ht="15.75" customHeight="1" x14ac:dyDescent="0.2">
      <c r="A9" s="1"/>
    </row>
    <row r="10" spans="1:2" ht="15.75" customHeight="1" x14ac:dyDescent="0.2">
      <c r="A10" s="1"/>
    </row>
    <row r="11" spans="1:2" ht="15.75" customHeight="1" x14ac:dyDescent="0.2">
      <c r="A11" s="1"/>
    </row>
    <row r="12" spans="1:2" ht="15.75" customHeight="1" x14ac:dyDescent="0.2">
      <c r="A12" s="1"/>
    </row>
    <row r="13" spans="1:2" ht="15.75" customHeight="1" x14ac:dyDescent="0.2">
      <c r="A13" s="1"/>
    </row>
    <row r="14" spans="1:2" ht="15.75" customHeight="1" x14ac:dyDescent="0.2">
      <c r="A14" s="1"/>
    </row>
    <row r="15" spans="1:2" ht="15.75" customHeight="1" x14ac:dyDescent="0.2">
      <c r="A15" s="1"/>
    </row>
    <row r="16" spans="1:2" ht="15.75" customHeight="1" x14ac:dyDescent="0.2">
      <c r="A16" s="1"/>
    </row>
    <row r="17" spans="1:1" ht="15.75" customHeight="1" x14ac:dyDescent="0.2">
      <c r="A17" s="1"/>
    </row>
    <row r="18" spans="1:1" ht="15.75" customHeight="1" x14ac:dyDescent="0.2">
      <c r="A18" s="1"/>
    </row>
    <row r="19" spans="1:1" ht="15.75" customHeight="1" x14ac:dyDescent="0.2">
      <c r="A19" s="1"/>
    </row>
    <row r="20" spans="1:1" ht="15.75" customHeight="1" x14ac:dyDescent="0.2">
      <c r="A20" s="1"/>
    </row>
    <row r="21" spans="1:1" ht="15.75" customHeight="1" x14ac:dyDescent="0.2">
      <c r="A21" s="1"/>
    </row>
    <row r="22" spans="1:1" ht="15.75" customHeight="1" x14ac:dyDescent="0.2">
      <c r="A22" s="1"/>
    </row>
    <row r="23" spans="1:1" ht="15.75" customHeight="1" x14ac:dyDescent="0.2">
      <c r="A23" s="1"/>
    </row>
    <row r="24" spans="1:1" ht="15.75" customHeight="1" x14ac:dyDescent="0.2">
      <c r="A24" s="1"/>
    </row>
    <row r="25" spans="1:1" ht="15.75" customHeight="1" x14ac:dyDescent="0.2">
      <c r="A25" s="1"/>
    </row>
    <row r="26" spans="1:1" ht="15.75" customHeight="1" x14ac:dyDescent="0.2">
      <c r="A26" s="1"/>
    </row>
    <row r="27" spans="1:1" ht="15.75" customHeight="1" x14ac:dyDescent="0.2">
      <c r="A27" s="1"/>
    </row>
    <row r="28" spans="1:1" ht="15.75" customHeight="1" x14ac:dyDescent="0.2">
      <c r="A28" s="1"/>
    </row>
    <row r="29" spans="1:1" ht="15.75" customHeight="1" x14ac:dyDescent="0.2">
      <c r="A29" s="1"/>
    </row>
    <row r="30" spans="1:1" ht="15.75" customHeight="1" x14ac:dyDescent="0.2">
      <c r="A30" s="1"/>
    </row>
    <row r="31" spans="1:1" ht="15.75" customHeight="1" x14ac:dyDescent="0.2">
      <c r="A31" s="1"/>
    </row>
    <row r="32" spans="1:1" ht="15.75" customHeight="1" x14ac:dyDescent="0.2">
      <c r="A32" s="1"/>
    </row>
    <row r="33" spans="1:1" ht="15.75" customHeight="1" x14ac:dyDescent="0.2">
      <c r="A33" s="1"/>
    </row>
    <row r="34" spans="1:1" ht="15.75" customHeight="1" x14ac:dyDescent="0.2">
      <c r="A34" s="1"/>
    </row>
    <row r="35" spans="1:1" ht="15.75" customHeight="1" x14ac:dyDescent="0.2">
      <c r="A35" s="1"/>
    </row>
    <row r="36" spans="1:1" ht="15.75" customHeight="1" x14ac:dyDescent="0.2">
      <c r="A36" s="1"/>
    </row>
    <row r="37" spans="1:1" ht="15.75" customHeight="1" x14ac:dyDescent="0.2">
      <c r="A37" s="1"/>
    </row>
    <row r="38" spans="1:1" ht="15.75" customHeight="1" x14ac:dyDescent="0.2">
      <c r="A38" s="1"/>
    </row>
    <row r="39" spans="1:1" ht="15.75" customHeight="1" x14ac:dyDescent="0.2">
      <c r="A39" s="1"/>
    </row>
    <row r="40" spans="1:1" ht="15.75" customHeight="1" x14ac:dyDescent="0.2">
      <c r="A40" s="1"/>
    </row>
    <row r="41" spans="1:1" ht="15.75" customHeight="1" x14ac:dyDescent="0.2">
      <c r="A41" s="1"/>
    </row>
    <row r="42" spans="1:1" ht="12.75" x14ac:dyDescent="0.2">
      <c r="A42" s="1"/>
    </row>
    <row r="43" spans="1:1" ht="12.75" x14ac:dyDescent="0.2">
      <c r="A43" s="1"/>
    </row>
    <row r="44" spans="1:1" ht="12.75" x14ac:dyDescent="0.2">
      <c r="A44" s="1"/>
    </row>
    <row r="45" spans="1:1" ht="12.75" x14ac:dyDescent="0.2">
      <c r="A45" s="1"/>
    </row>
    <row r="46" spans="1:1" ht="12.75" x14ac:dyDescent="0.2">
      <c r="A46" s="1"/>
    </row>
    <row r="47" spans="1:1" ht="12.75" x14ac:dyDescent="0.2">
      <c r="A47" s="1"/>
    </row>
    <row r="48" spans="1:1" ht="12.75" x14ac:dyDescent="0.2">
      <c r="A48" s="1"/>
    </row>
    <row r="49" spans="1:1" ht="12.75" x14ac:dyDescent="0.2">
      <c r="A49" s="1"/>
    </row>
    <row r="50" spans="1:1" ht="12.75" x14ac:dyDescent="0.2">
      <c r="A50" s="1"/>
    </row>
    <row r="51" spans="1:1" ht="12.75" x14ac:dyDescent="0.2">
      <c r="A51" s="1"/>
    </row>
    <row r="52" spans="1:1" ht="12.75" x14ac:dyDescent="0.2">
      <c r="A52" s="1"/>
    </row>
    <row r="53" spans="1:1" ht="12.75" x14ac:dyDescent="0.2">
      <c r="A53" s="1"/>
    </row>
    <row r="54" spans="1:1" ht="12.75" x14ac:dyDescent="0.2">
      <c r="A54" s="1"/>
    </row>
    <row r="55" spans="1:1" ht="12.75" x14ac:dyDescent="0.2">
      <c r="A55" s="1"/>
    </row>
    <row r="56" spans="1:1" ht="12.75" x14ac:dyDescent="0.2">
      <c r="A56" s="1"/>
    </row>
    <row r="57" spans="1:1" ht="12.75" x14ac:dyDescent="0.2">
      <c r="A57" s="1"/>
    </row>
    <row r="58" spans="1:1" ht="12.75" x14ac:dyDescent="0.2">
      <c r="A58" s="1"/>
    </row>
    <row r="59" spans="1:1" ht="12.75" x14ac:dyDescent="0.2">
      <c r="A59" s="1"/>
    </row>
    <row r="60" spans="1:1" ht="12.75" x14ac:dyDescent="0.2">
      <c r="A60" s="1"/>
    </row>
    <row r="61" spans="1:1" ht="12.75" x14ac:dyDescent="0.2">
      <c r="A61" s="1"/>
    </row>
    <row r="62" spans="1:1" ht="12.75" x14ac:dyDescent="0.2">
      <c r="A62" s="1"/>
    </row>
    <row r="63" spans="1:1" ht="12.75" x14ac:dyDescent="0.2">
      <c r="A63" s="1"/>
    </row>
    <row r="64" spans="1:1" ht="12.75" x14ac:dyDescent="0.2">
      <c r="A64" s="1"/>
    </row>
    <row r="65" spans="1:1" ht="12.75" x14ac:dyDescent="0.2">
      <c r="A65" s="1"/>
    </row>
    <row r="66" spans="1:1" ht="12.75" x14ac:dyDescent="0.2">
      <c r="A66" s="1"/>
    </row>
    <row r="67" spans="1:1" ht="12.75" x14ac:dyDescent="0.2">
      <c r="A67" s="1"/>
    </row>
    <row r="68" spans="1:1" ht="12.75" x14ac:dyDescent="0.2">
      <c r="A68" s="1"/>
    </row>
    <row r="69" spans="1:1" ht="12.75" x14ac:dyDescent="0.2">
      <c r="A69" s="1"/>
    </row>
    <row r="70" spans="1:1" ht="12.75" x14ac:dyDescent="0.2">
      <c r="A70" s="1"/>
    </row>
    <row r="71" spans="1:1" ht="12.75" x14ac:dyDescent="0.2">
      <c r="A71" s="1"/>
    </row>
    <row r="72" spans="1:1" ht="12.75" x14ac:dyDescent="0.2">
      <c r="A72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outlinePr summaryBelow="0" summaryRight="0"/>
  </sheetPr>
  <dimension ref="A1:Z1000"/>
  <sheetViews>
    <sheetView workbookViewId="0"/>
  </sheetViews>
  <sheetFormatPr defaultColWidth="12.42578125" defaultRowHeight="15.75" customHeight="1" x14ac:dyDescent="0.2"/>
  <cols>
    <col min="2" max="2" width="17.140625" customWidth="1"/>
    <col min="3" max="3" width="18" customWidth="1"/>
    <col min="4" max="4" width="45.42578125" customWidth="1"/>
    <col min="5" max="5" width="41.42578125" customWidth="1"/>
    <col min="6" max="6" width="38.7109375" customWidth="1"/>
    <col min="7" max="7" width="11.7109375" customWidth="1"/>
    <col min="8" max="8" width="61.28515625" customWidth="1"/>
  </cols>
  <sheetData>
    <row r="1" spans="1:26" ht="12.75" x14ac:dyDescent="0.2">
      <c r="A1" s="67" t="s">
        <v>1706</v>
      </c>
      <c r="B1" s="3" t="s">
        <v>582</v>
      </c>
      <c r="C1" s="3" t="s">
        <v>2086</v>
      </c>
      <c r="D1" s="3" t="s">
        <v>2418</v>
      </c>
      <c r="E1" s="3" t="s">
        <v>2419</v>
      </c>
      <c r="F1" s="3" t="s">
        <v>2420</v>
      </c>
      <c r="G1" s="3" t="s">
        <v>2421</v>
      </c>
      <c r="H1" s="3" t="s">
        <v>0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x14ac:dyDescent="0.2">
      <c r="A2" s="5" t="s">
        <v>1928</v>
      </c>
      <c r="B2" s="1" t="s">
        <v>2422</v>
      </c>
      <c r="C2" s="69">
        <v>43122</v>
      </c>
      <c r="D2" s="1" t="s">
        <v>2423</v>
      </c>
      <c r="G2" s="1" t="s">
        <v>1942</v>
      </c>
      <c r="H2" s="1" t="s">
        <v>2424</v>
      </c>
    </row>
    <row r="3" spans="1:26" ht="12.75" x14ac:dyDescent="0.2">
      <c r="A3" s="65" t="s">
        <v>711</v>
      </c>
      <c r="B3" s="187" t="s">
        <v>2422</v>
      </c>
      <c r="C3" s="188">
        <v>42837</v>
      </c>
      <c r="D3" s="187" t="s">
        <v>2038</v>
      </c>
      <c r="E3" s="187" t="s">
        <v>2038</v>
      </c>
      <c r="F3" s="187"/>
      <c r="G3" s="187" t="s">
        <v>2425</v>
      </c>
      <c r="H3" s="187" t="s">
        <v>2426</v>
      </c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</row>
    <row r="4" spans="1:26" ht="12.75" x14ac:dyDescent="0.2">
      <c r="A4" s="73" t="s">
        <v>1940</v>
      </c>
      <c r="B4" s="72" t="s">
        <v>2422</v>
      </c>
      <c r="C4" s="189">
        <v>43208</v>
      </c>
      <c r="D4" s="72" t="s">
        <v>2038</v>
      </c>
      <c r="E4" s="72" t="s">
        <v>2038</v>
      </c>
      <c r="F4" s="72"/>
      <c r="G4" s="72" t="s">
        <v>2425</v>
      </c>
      <c r="H4" s="72" t="s">
        <v>2427</v>
      </c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</row>
    <row r="5" spans="1:26" ht="12.75" x14ac:dyDescent="0.2">
      <c r="A5" s="65" t="s">
        <v>760</v>
      </c>
      <c r="B5" s="187" t="s">
        <v>2422</v>
      </c>
      <c r="C5" s="190">
        <v>43242</v>
      </c>
      <c r="D5" s="187" t="s">
        <v>2038</v>
      </c>
      <c r="E5" s="187" t="s">
        <v>2038</v>
      </c>
      <c r="F5" s="187"/>
      <c r="G5" s="187" t="s">
        <v>2425</v>
      </c>
      <c r="H5" s="187" t="s">
        <v>2428</v>
      </c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</row>
    <row r="6" spans="1:26" ht="12.75" x14ac:dyDescent="0.2">
      <c r="A6" s="65" t="s">
        <v>846</v>
      </c>
      <c r="B6" s="187" t="s">
        <v>2422</v>
      </c>
      <c r="C6" s="190">
        <v>43243</v>
      </c>
      <c r="D6" s="187" t="s">
        <v>2038</v>
      </c>
      <c r="E6" s="187" t="s">
        <v>2038</v>
      </c>
      <c r="F6" s="187"/>
      <c r="G6" s="187" t="s">
        <v>2425</v>
      </c>
      <c r="H6" s="187" t="s">
        <v>2429</v>
      </c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</row>
    <row r="7" spans="1:26" ht="12.75" x14ac:dyDescent="0.2">
      <c r="A7" s="5" t="s">
        <v>763</v>
      </c>
      <c r="B7" s="1" t="s">
        <v>2422</v>
      </c>
      <c r="C7" s="68">
        <v>43284</v>
      </c>
      <c r="D7" s="1" t="s">
        <v>1841</v>
      </c>
      <c r="E7" s="1" t="s">
        <v>2366</v>
      </c>
      <c r="G7" s="1" t="s">
        <v>1942</v>
      </c>
    </row>
    <row r="8" spans="1:26" ht="12.75" x14ac:dyDescent="0.2">
      <c r="A8" s="5" t="s">
        <v>764</v>
      </c>
      <c r="B8" s="1" t="s">
        <v>2422</v>
      </c>
      <c r="C8" s="69">
        <v>43278</v>
      </c>
      <c r="D8" s="1" t="s">
        <v>1842</v>
      </c>
      <c r="E8" s="1" t="s">
        <v>2368</v>
      </c>
      <c r="G8" s="1" t="s">
        <v>1942</v>
      </c>
    </row>
    <row r="9" spans="1:26" ht="12.75" x14ac:dyDescent="0.2">
      <c r="A9" s="5" t="s">
        <v>775</v>
      </c>
      <c r="B9" s="1" t="s">
        <v>2422</v>
      </c>
      <c r="C9" s="69">
        <v>43336</v>
      </c>
      <c r="D9" s="1" t="s">
        <v>1855</v>
      </c>
      <c r="E9" s="1" t="s">
        <v>2388</v>
      </c>
      <c r="G9" s="1" t="s">
        <v>1942</v>
      </c>
    </row>
    <row r="10" spans="1:26" ht="12.75" x14ac:dyDescent="0.2">
      <c r="A10" s="5" t="s">
        <v>872</v>
      </c>
      <c r="B10" s="1" t="s">
        <v>2422</v>
      </c>
      <c r="C10" s="69">
        <v>43178</v>
      </c>
      <c r="D10" s="1" t="s">
        <v>1789</v>
      </c>
      <c r="E10" s="1" t="s">
        <v>2430</v>
      </c>
      <c r="G10" s="1" t="s">
        <v>1942</v>
      </c>
      <c r="H10" s="1" t="s">
        <v>2431</v>
      </c>
    </row>
    <row r="11" spans="1:26" ht="12.75" x14ac:dyDescent="0.2">
      <c r="A11" s="5" t="s">
        <v>681</v>
      </c>
      <c r="B11" s="1" t="s">
        <v>2422</v>
      </c>
      <c r="C11" s="69">
        <v>42669</v>
      </c>
      <c r="D11" s="1" t="s">
        <v>1708</v>
      </c>
      <c r="E11" s="1" t="s">
        <v>2087</v>
      </c>
      <c r="G11" s="1" t="s">
        <v>1942</v>
      </c>
    </row>
    <row r="12" spans="1:26" ht="12.75" x14ac:dyDescent="0.2">
      <c r="A12" s="5" t="s">
        <v>682</v>
      </c>
      <c r="B12" s="1" t="s">
        <v>2422</v>
      </c>
      <c r="C12" s="68">
        <v>42681</v>
      </c>
      <c r="D12" s="1" t="s">
        <v>1710</v>
      </c>
      <c r="E12" s="1" t="s">
        <v>2095</v>
      </c>
      <c r="G12" s="1" t="s">
        <v>1942</v>
      </c>
    </row>
    <row r="13" spans="1:26" ht="12.75" x14ac:dyDescent="0.2">
      <c r="A13" s="5" t="s">
        <v>1929</v>
      </c>
      <c r="B13" s="1" t="s">
        <v>2422</v>
      </c>
      <c r="C13" s="69">
        <v>42688</v>
      </c>
      <c r="D13" s="1" t="s">
        <v>2432</v>
      </c>
      <c r="E13" s="1" t="s">
        <v>2099</v>
      </c>
      <c r="G13" s="1" t="s">
        <v>1942</v>
      </c>
    </row>
    <row r="14" spans="1:26" ht="12.75" x14ac:dyDescent="0.2">
      <c r="A14" s="5" t="s">
        <v>683</v>
      </c>
      <c r="B14" s="1" t="s">
        <v>2422</v>
      </c>
      <c r="C14" s="69">
        <v>42716</v>
      </c>
      <c r="D14" s="1" t="s">
        <v>1713</v>
      </c>
      <c r="E14" s="1" t="s">
        <v>2105</v>
      </c>
      <c r="G14" s="1" t="s">
        <v>1942</v>
      </c>
    </row>
    <row r="15" spans="1:26" ht="12.75" x14ac:dyDescent="0.2">
      <c r="A15" s="5" t="s">
        <v>684</v>
      </c>
      <c r="B15" s="1" t="s">
        <v>2422</v>
      </c>
      <c r="C15" s="69">
        <v>42718</v>
      </c>
      <c r="D15" s="1" t="s">
        <v>1714</v>
      </c>
      <c r="E15" s="1" t="s">
        <v>2106</v>
      </c>
      <c r="G15" s="1" t="s">
        <v>1942</v>
      </c>
    </row>
    <row r="16" spans="1:26" ht="12.75" x14ac:dyDescent="0.2">
      <c r="A16" s="5" t="s">
        <v>685</v>
      </c>
      <c r="B16" s="1" t="s">
        <v>2422</v>
      </c>
      <c r="C16" s="69">
        <v>42690</v>
      </c>
      <c r="D16" s="1" t="s">
        <v>1715</v>
      </c>
      <c r="E16" s="1" t="s">
        <v>2107</v>
      </c>
      <c r="G16" s="1" t="s">
        <v>1942</v>
      </c>
    </row>
    <row r="17" spans="1:8" ht="12.75" x14ac:dyDescent="0.2">
      <c r="A17" s="5" t="s">
        <v>686</v>
      </c>
      <c r="B17" s="1" t="s">
        <v>2422</v>
      </c>
      <c r="C17" s="69">
        <v>42719</v>
      </c>
      <c r="D17" s="1" t="s">
        <v>1716</v>
      </c>
      <c r="E17" s="1" t="s">
        <v>2113</v>
      </c>
      <c r="G17" s="1" t="s">
        <v>1942</v>
      </c>
    </row>
    <row r="18" spans="1:8" ht="12.75" x14ac:dyDescent="0.2">
      <c r="A18" s="5" t="s">
        <v>687</v>
      </c>
      <c r="B18" s="1" t="s">
        <v>2422</v>
      </c>
      <c r="C18" s="69">
        <v>42720</v>
      </c>
      <c r="D18" s="1" t="s">
        <v>1717</v>
      </c>
      <c r="E18" s="1" t="s">
        <v>2114</v>
      </c>
      <c r="G18" s="1" t="s">
        <v>1942</v>
      </c>
    </row>
    <row r="19" spans="1:8" ht="12.75" x14ac:dyDescent="0.2">
      <c r="A19" s="5" t="s">
        <v>688</v>
      </c>
      <c r="B19" s="1" t="s">
        <v>2422</v>
      </c>
      <c r="C19" s="68">
        <v>42740</v>
      </c>
      <c r="D19" s="1" t="s">
        <v>1718</v>
      </c>
      <c r="E19" s="1" t="s">
        <v>2117</v>
      </c>
      <c r="G19" s="1" t="s">
        <v>1942</v>
      </c>
    </row>
    <row r="20" spans="1:8" ht="12.75" x14ac:dyDescent="0.2">
      <c r="A20" s="5" t="s">
        <v>689</v>
      </c>
      <c r="B20" s="1" t="s">
        <v>2422</v>
      </c>
      <c r="C20" s="68">
        <v>42741</v>
      </c>
      <c r="D20" s="1" t="s">
        <v>1719</v>
      </c>
      <c r="E20" s="1" t="s">
        <v>2120</v>
      </c>
      <c r="G20" s="1" t="s">
        <v>1942</v>
      </c>
    </row>
    <row r="21" spans="1:8" ht="12.75" x14ac:dyDescent="0.2">
      <c r="A21" s="5" t="s">
        <v>690</v>
      </c>
      <c r="B21" s="1" t="s">
        <v>2422</v>
      </c>
      <c r="C21" s="69">
        <v>42760</v>
      </c>
      <c r="D21" s="1" t="s">
        <v>1720</v>
      </c>
      <c r="E21" s="1" t="s">
        <v>2122</v>
      </c>
      <c r="G21" s="1" t="s">
        <v>1942</v>
      </c>
    </row>
    <row r="22" spans="1:8" ht="12.75" x14ac:dyDescent="0.2">
      <c r="A22" s="5" t="s">
        <v>691</v>
      </c>
      <c r="B22" s="1" t="s">
        <v>2422</v>
      </c>
      <c r="C22" s="69">
        <v>42761</v>
      </c>
      <c r="D22" s="1" t="s">
        <v>1721</v>
      </c>
      <c r="E22" s="1" t="s">
        <v>2124</v>
      </c>
      <c r="G22" s="1" t="s">
        <v>1942</v>
      </c>
    </row>
    <row r="23" spans="1:8" ht="12.75" x14ac:dyDescent="0.2">
      <c r="A23" s="5" t="s">
        <v>692</v>
      </c>
      <c r="B23" s="1" t="s">
        <v>2422</v>
      </c>
      <c r="C23" s="69">
        <v>42761</v>
      </c>
      <c r="D23" s="1" t="s">
        <v>1722</v>
      </c>
      <c r="E23" s="1" t="s">
        <v>2126</v>
      </c>
      <c r="G23" s="1" t="s">
        <v>1942</v>
      </c>
    </row>
    <row r="24" spans="1:8" ht="12.75" x14ac:dyDescent="0.2">
      <c r="A24" s="5" t="s">
        <v>693</v>
      </c>
      <c r="B24" s="1" t="s">
        <v>2422</v>
      </c>
      <c r="C24" s="68">
        <v>42768</v>
      </c>
      <c r="D24" s="1" t="s">
        <v>1723</v>
      </c>
      <c r="E24" s="1" t="s">
        <v>2128</v>
      </c>
      <c r="G24" s="1" t="s">
        <v>1942</v>
      </c>
    </row>
    <row r="25" spans="1:8" ht="12.75" x14ac:dyDescent="0.2">
      <c r="A25" s="5" t="s">
        <v>694</v>
      </c>
      <c r="B25" s="1" t="s">
        <v>2422</v>
      </c>
      <c r="C25" s="68">
        <v>42797</v>
      </c>
      <c r="D25" s="1" t="s">
        <v>1724</v>
      </c>
      <c r="E25" s="1" t="s">
        <v>2130</v>
      </c>
      <c r="G25" s="1" t="s">
        <v>1942</v>
      </c>
    </row>
    <row r="26" spans="1:8" ht="12.75" x14ac:dyDescent="0.2">
      <c r="A26" s="5" t="s">
        <v>859</v>
      </c>
      <c r="B26" s="1" t="s">
        <v>2422</v>
      </c>
      <c r="C26" s="69">
        <v>42746</v>
      </c>
      <c r="D26" s="1" t="s">
        <v>1725</v>
      </c>
      <c r="E26" s="1" t="s">
        <v>2133</v>
      </c>
      <c r="G26" s="1" t="s">
        <v>1942</v>
      </c>
    </row>
    <row r="27" spans="1:8" ht="12.75" x14ac:dyDescent="0.2">
      <c r="A27" s="5" t="s">
        <v>695</v>
      </c>
      <c r="B27" s="1" t="s">
        <v>2422</v>
      </c>
      <c r="C27" s="68">
        <v>42772</v>
      </c>
      <c r="D27" s="1" t="s">
        <v>1731</v>
      </c>
      <c r="E27" s="1" t="s">
        <v>2144</v>
      </c>
      <c r="G27" s="1" t="s">
        <v>1942</v>
      </c>
    </row>
    <row r="28" spans="1:8" ht="12.75" x14ac:dyDescent="0.2">
      <c r="A28" s="5" t="s">
        <v>696</v>
      </c>
      <c r="B28" s="1" t="s">
        <v>2422</v>
      </c>
      <c r="C28" s="68">
        <v>42767</v>
      </c>
      <c r="D28" s="1" t="s">
        <v>1732</v>
      </c>
      <c r="E28" s="1" t="s">
        <v>2146</v>
      </c>
      <c r="G28" s="1" t="s">
        <v>1942</v>
      </c>
    </row>
    <row r="29" spans="1:8" ht="12.75" x14ac:dyDescent="0.2">
      <c r="A29" s="5" t="s">
        <v>697</v>
      </c>
      <c r="B29" s="1" t="s">
        <v>2422</v>
      </c>
      <c r="C29" s="68">
        <v>42772</v>
      </c>
      <c r="D29" s="1" t="s">
        <v>1734</v>
      </c>
      <c r="E29" s="1" t="s">
        <v>2151</v>
      </c>
      <c r="G29" s="1" t="s">
        <v>1942</v>
      </c>
    </row>
    <row r="30" spans="1:8" ht="12.75" x14ac:dyDescent="0.2">
      <c r="A30" s="5" t="s">
        <v>698</v>
      </c>
      <c r="B30" s="1" t="s">
        <v>2422</v>
      </c>
      <c r="C30" s="69">
        <v>42787</v>
      </c>
      <c r="D30" s="1" t="s">
        <v>1735</v>
      </c>
      <c r="E30" s="1" t="s">
        <v>2153</v>
      </c>
      <c r="G30" s="1" t="s">
        <v>1942</v>
      </c>
    </row>
    <row r="31" spans="1:8" ht="12.75" x14ac:dyDescent="0.2">
      <c r="A31" s="5" t="s">
        <v>877</v>
      </c>
      <c r="B31" s="1" t="s">
        <v>2422</v>
      </c>
      <c r="C31" s="69">
        <v>42793</v>
      </c>
      <c r="D31" s="1" t="s">
        <v>1736</v>
      </c>
      <c r="E31" s="1" t="s">
        <v>2154</v>
      </c>
      <c r="G31" s="1" t="s">
        <v>1942</v>
      </c>
    </row>
    <row r="32" spans="1:8" ht="12.75" x14ac:dyDescent="0.2">
      <c r="A32" s="5" t="s">
        <v>699</v>
      </c>
      <c r="B32" s="1" t="s">
        <v>2422</v>
      </c>
      <c r="C32" s="68">
        <v>42800</v>
      </c>
      <c r="D32" s="1" t="s">
        <v>1738</v>
      </c>
      <c r="E32" s="1" t="s">
        <v>2157</v>
      </c>
      <c r="G32" s="1" t="s">
        <v>1942</v>
      </c>
      <c r="H32" s="1" t="s">
        <v>1750</v>
      </c>
    </row>
    <row r="33" spans="1:8" ht="12.75" x14ac:dyDescent="0.2">
      <c r="A33" s="5" t="s">
        <v>700</v>
      </c>
      <c r="B33" s="1" t="s">
        <v>2422</v>
      </c>
      <c r="C33" s="68">
        <v>42802</v>
      </c>
      <c r="D33" s="1" t="s">
        <v>1739</v>
      </c>
      <c r="E33" s="1" t="s">
        <v>2159</v>
      </c>
      <c r="G33" s="1" t="s">
        <v>1942</v>
      </c>
    </row>
    <row r="34" spans="1:8" ht="12.75" x14ac:dyDescent="0.2">
      <c r="A34" s="5" t="s">
        <v>702</v>
      </c>
      <c r="B34" s="1" t="s">
        <v>2422</v>
      </c>
      <c r="C34" s="69">
        <v>42850</v>
      </c>
      <c r="D34" s="1" t="s">
        <v>1741</v>
      </c>
      <c r="E34" s="1" t="s">
        <v>2166</v>
      </c>
      <c r="G34" s="1" t="s">
        <v>1942</v>
      </c>
    </row>
    <row r="35" spans="1:8" ht="12.75" x14ac:dyDescent="0.2">
      <c r="A35" s="5" t="s">
        <v>703</v>
      </c>
      <c r="B35" s="1" t="s">
        <v>2422</v>
      </c>
      <c r="C35" s="77">
        <v>42857</v>
      </c>
      <c r="D35" s="1" t="s">
        <v>1742</v>
      </c>
      <c r="E35" s="1" t="s">
        <v>2168</v>
      </c>
      <c r="G35" s="1" t="s">
        <v>1942</v>
      </c>
    </row>
    <row r="36" spans="1:8" ht="12.75" x14ac:dyDescent="0.2">
      <c r="A36" s="5" t="s">
        <v>704</v>
      </c>
      <c r="B36" s="1" t="s">
        <v>2422</v>
      </c>
      <c r="C36" s="77">
        <v>42858</v>
      </c>
      <c r="D36" s="1" t="s">
        <v>1743</v>
      </c>
      <c r="E36" s="1" t="s">
        <v>2169</v>
      </c>
      <c r="G36" s="1" t="s">
        <v>1942</v>
      </c>
    </row>
    <row r="37" spans="1:8" ht="12.75" x14ac:dyDescent="0.2">
      <c r="A37" s="5" t="s">
        <v>860</v>
      </c>
      <c r="B37" s="1" t="s">
        <v>2422</v>
      </c>
      <c r="C37" s="69">
        <v>42814</v>
      </c>
      <c r="D37" s="1" t="s">
        <v>1746</v>
      </c>
      <c r="E37" s="1" t="s">
        <v>2173</v>
      </c>
      <c r="G37" s="1" t="s">
        <v>1942</v>
      </c>
      <c r="H37" s="1" t="s">
        <v>1750</v>
      </c>
    </row>
    <row r="38" spans="1:8" ht="12.75" x14ac:dyDescent="0.2">
      <c r="A38" s="5" t="s">
        <v>705</v>
      </c>
      <c r="B38" s="1" t="s">
        <v>2422</v>
      </c>
      <c r="C38" s="68">
        <v>42831</v>
      </c>
      <c r="D38" s="1" t="s">
        <v>1748</v>
      </c>
      <c r="E38" s="1" t="s">
        <v>2175</v>
      </c>
      <c r="G38" s="1" t="s">
        <v>1942</v>
      </c>
    </row>
    <row r="39" spans="1:8" ht="12.75" x14ac:dyDescent="0.2">
      <c r="A39" s="5" t="s">
        <v>1930</v>
      </c>
      <c r="B39" s="1" t="s">
        <v>2422</v>
      </c>
      <c r="C39" s="69">
        <v>42838</v>
      </c>
      <c r="D39" s="1" t="s">
        <v>2433</v>
      </c>
      <c r="E39" s="1" t="s">
        <v>2178</v>
      </c>
      <c r="G39" s="1" t="s">
        <v>1942</v>
      </c>
    </row>
    <row r="40" spans="1:8" ht="12.75" x14ac:dyDescent="0.2">
      <c r="A40" s="5" t="s">
        <v>706</v>
      </c>
      <c r="B40" s="1" t="s">
        <v>2422</v>
      </c>
      <c r="C40" s="69">
        <v>42821</v>
      </c>
      <c r="D40" s="1" t="s">
        <v>1749</v>
      </c>
      <c r="E40" s="1" t="s">
        <v>2179</v>
      </c>
      <c r="G40" s="1" t="s">
        <v>1942</v>
      </c>
      <c r="H40" s="1" t="s">
        <v>1750</v>
      </c>
    </row>
    <row r="41" spans="1:8" ht="12.75" x14ac:dyDescent="0.2">
      <c r="A41" s="5" t="s">
        <v>880</v>
      </c>
      <c r="B41" s="1" t="s">
        <v>2422</v>
      </c>
      <c r="C41" s="69">
        <v>42947</v>
      </c>
      <c r="D41" s="1" t="s">
        <v>1751</v>
      </c>
      <c r="E41" s="1" t="s">
        <v>2184</v>
      </c>
      <c r="G41" s="1" t="s">
        <v>1942</v>
      </c>
    </row>
    <row r="42" spans="1:8" ht="12.75" x14ac:dyDescent="0.2">
      <c r="A42" s="5" t="s">
        <v>707</v>
      </c>
      <c r="B42" s="1" t="s">
        <v>2422</v>
      </c>
      <c r="C42" s="68">
        <v>42920</v>
      </c>
      <c r="D42" s="1" t="s">
        <v>1752</v>
      </c>
      <c r="E42" s="1" t="s">
        <v>2187</v>
      </c>
      <c r="G42" s="1" t="s">
        <v>1942</v>
      </c>
    </row>
    <row r="43" spans="1:8" ht="12.75" x14ac:dyDescent="0.2">
      <c r="A43" s="5" t="s">
        <v>874</v>
      </c>
      <c r="B43" s="1" t="s">
        <v>2422</v>
      </c>
      <c r="C43" s="68">
        <v>43012</v>
      </c>
      <c r="D43" s="1" t="s">
        <v>1753</v>
      </c>
      <c r="E43" s="1" t="s">
        <v>2190</v>
      </c>
      <c r="G43" s="1" t="s">
        <v>1942</v>
      </c>
    </row>
    <row r="44" spans="1:8" ht="12.75" x14ac:dyDescent="0.2">
      <c r="A44" s="5" t="s">
        <v>708</v>
      </c>
      <c r="B44" s="1" t="s">
        <v>2422</v>
      </c>
      <c r="C44" s="69">
        <v>43032</v>
      </c>
      <c r="D44" s="1" t="s">
        <v>1755</v>
      </c>
      <c r="E44" s="1" t="s">
        <v>2192</v>
      </c>
      <c r="G44" s="1" t="s">
        <v>1942</v>
      </c>
    </row>
    <row r="45" spans="1:8" ht="12.75" x14ac:dyDescent="0.2">
      <c r="A45" s="5" t="s">
        <v>709</v>
      </c>
      <c r="B45" s="1" t="s">
        <v>2422</v>
      </c>
      <c r="C45" s="68">
        <v>42891</v>
      </c>
      <c r="D45" s="1" t="s">
        <v>1756</v>
      </c>
      <c r="E45" s="1" t="s">
        <v>2194</v>
      </c>
      <c r="G45" s="1" t="s">
        <v>1942</v>
      </c>
    </row>
    <row r="46" spans="1:8" ht="12.75" x14ac:dyDescent="0.2">
      <c r="A46" s="5" t="s">
        <v>710</v>
      </c>
      <c r="B46" s="1" t="s">
        <v>2422</v>
      </c>
      <c r="C46" s="68">
        <v>43011</v>
      </c>
      <c r="D46" s="1" t="s">
        <v>1758</v>
      </c>
      <c r="E46" s="1" t="s">
        <v>2197</v>
      </c>
      <c r="G46" s="1" t="s">
        <v>1942</v>
      </c>
    </row>
    <row r="47" spans="1:8" ht="12.75" x14ac:dyDescent="0.2">
      <c r="A47" s="5" t="s">
        <v>861</v>
      </c>
      <c r="B47" s="1" t="s">
        <v>2422</v>
      </c>
      <c r="C47" s="69">
        <v>42837</v>
      </c>
      <c r="D47" s="1" t="s">
        <v>1759</v>
      </c>
      <c r="E47" s="1" t="s">
        <v>2198</v>
      </c>
      <c r="G47" s="1" t="s">
        <v>1942</v>
      </c>
    </row>
    <row r="48" spans="1:8" ht="12.75" x14ac:dyDescent="0.2">
      <c r="A48" s="5" t="s">
        <v>712</v>
      </c>
      <c r="B48" s="1" t="s">
        <v>2422</v>
      </c>
      <c r="C48" s="70">
        <v>42866</v>
      </c>
      <c r="D48" s="1" t="s">
        <v>1761</v>
      </c>
      <c r="E48" s="1" t="s">
        <v>2205</v>
      </c>
      <c r="G48" s="1" t="s">
        <v>1942</v>
      </c>
    </row>
    <row r="49" spans="1:8" ht="12.75" x14ac:dyDescent="0.2">
      <c r="A49" s="5" t="s">
        <v>713</v>
      </c>
      <c r="B49" s="1" t="s">
        <v>2422</v>
      </c>
      <c r="C49" s="68">
        <v>42887</v>
      </c>
      <c r="D49" s="1" t="s">
        <v>1762</v>
      </c>
      <c r="E49" s="1" t="s">
        <v>2206</v>
      </c>
      <c r="G49" s="1" t="s">
        <v>1942</v>
      </c>
    </row>
    <row r="50" spans="1:8" ht="12.75" x14ac:dyDescent="0.2">
      <c r="A50" s="5" t="s">
        <v>714</v>
      </c>
      <c r="B50" s="1" t="s">
        <v>2422</v>
      </c>
      <c r="C50" s="68">
        <v>42891</v>
      </c>
      <c r="D50" s="1" t="s">
        <v>1763</v>
      </c>
      <c r="E50" s="1" t="s">
        <v>2212</v>
      </c>
      <c r="G50" s="1" t="s">
        <v>1942</v>
      </c>
    </row>
    <row r="51" spans="1:8" ht="12.75" x14ac:dyDescent="0.2">
      <c r="A51" s="5" t="s">
        <v>862</v>
      </c>
      <c r="B51" s="1" t="s">
        <v>2422</v>
      </c>
      <c r="C51" s="69">
        <v>42906</v>
      </c>
      <c r="D51" s="1" t="s">
        <v>1765</v>
      </c>
      <c r="E51" s="1" t="s">
        <v>2219</v>
      </c>
      <c r="G51" s="1" t="s">
        <v>1942</v>
      </c>
    </row>
    <row r="52" spans="1:8" ht="12.75" x14ac:dyDescent="0.2">
      <c r="A52" s="5" t="s">
        <v>715</v>
      </c>
      <c r="B52" s="1" t="s">
        <v>2422</v>
      </c>
      <c r="C52" s="69">
        <v>42912</v>
      </c>
      <c r="D52" s="1" t="s">
        <v>1767</v>
      </c>
      <c r="E52" s="1" t="s">
        <v>2223</v>
      </c>
      <c r="G52" s="1" t="s">
        <v>1942</v>
      </c>
    </row>
    <row r="53" spans="1:8" ht="12.75" x14ac:dyDescent="0.2">
      <c r="A53" s="5" t="s">
        <v>716</v>
      </c>
      <c r="B53" s="1" t="s">
        <v>2422</v>
      </c>
      <c r="C53" s="69">
        <v>42912</v>
      </c>
      <c r="D53" s="1" t="s">
        <v>1768</v>
      </c>
      <c r="E53" s="1" t="s">
        <v>2224</v>
      </c>
      <c r="G53" s="1" t="s">
        <v>1942</v>
      </c>
      <c r="H53" s="1" t="s">
        <v>1750</v>
      </c>
    </row>
    <row r="54" spans="1:8" ht="12.75" x14ac:dyDescent="0.2">
      <c r="A54" s="5" t="s">
        <v>881</v>
      </c>
      <c r="B54" s="1" t="s">
        <v>2422</v>
      </c>
      <c r="C54" s="69">
        <v>43018</v>
      </c>
      <c r="D54" s="1" t="s">
        <v>1769</v>
      </c>
      <c r="E54" s="1" t="s">
        <v>2434</v>
      </c>
      <c r="G54" s="1" t="s">
        <v>1942</v>
      </c>
    </row>
    <row r="55" spans="1:8" ht="12.75" x14ac:dyDescent="0.2">
      <c r="A55" s="5" t="s">
        <v>717</v>
      </c>
      <c r="B55" s="1" t="s">
        <v>2422</v>
      </c>
      <c r="C55" s="68">
        <v>42888</v>
      </c>
      <c r="D55" s="1" t="s">
        <v>1771</v>
      </c>
      <c r="E55" s="1" t="s">
        <v>2230</v>
      </c>
      <c r="G55" s="1" t="s">
        <v>1942</v>
      </c>
    </row>
    <row r="56" spans="1:8" ht="12.75" x14ac:dyDescent="0.2">
      <c r="A56" s="5" t="s">
        <v>718</v>
      </c>
      <c r="B56" s="1" t="s">
        <v>2422</v>
      </c>
      <c r="C56" s="69">
        <v>42898</v>
      </c>
      <c r="D56" s="1" t="s">
        <v>1774</v>
      </c>
      <c r="E56" s="1" t="s">
        <v>2234</v>
      </c>
      <c r="G56" s="1" t="s">
        <v>1942</v>
      </c>
    </row>
    <row r="57" spans="1:8" ht="12.75" x14ac:dyDescent="0.2">
      <c r="A57" s="5" t="s">
        <v>719</v>
      </c>
      <c r="B57" s="1" t="s">
        <v>2422</v>
      </c>
      <c r="C57" s="69">
        <v>42899</v>
      </c>
      <c r="D57" s="1" t="s">
        <v>1775</v>
      </c>
      <c r="E57" s="1" t="s">
        <v>2235</v>
      </c>
      <c r="G57" s="1" t="s">
        <v>1942</v>
      </c>
    </row>
    <row r="58" spans="1:8" ht="12.75" x14ac:dyDescent="0.2">
      <c r="A58" s="5" t="s">
        <v>720</v>
      </c>
      <c r="B58" s="1" t="s">
        <v>2422</v>
      </c>
      <c r="C58" s="68">
        <v>42922</v>
      </c>
      <c r="D58" s="1" t="s">
        <v>1776</v>
      </c>
      <c r="E58" s="1" t="s">
        <v>2239</v>
      </c>
      <c r="G58" s="1" t="s">
        <v>1942</v>
      </c>
    </row>
    <row r="59" spans="1:8" ht="12.75" x14ac:dyDescent="0.2">
      <c r="A59" s="5" t="s">
        <v>721</v>
      </c>
      <c r="B59" s="1" t="s">
        <v>2422</v>
      </c>
      <c r="C59" s="68">
        <v>42922</v>
      </c>
      <c r="D59" s="1" t="s">
        <v>1777</v>
      </c>
      <c r="E59" s="1" t="s">
        <v>2241</v>
      </c>
      <c r="G59" s="1" t="s">
        <v>1942</v>
      </c>
    </row>
    <row r="60" spans="1:8" ht="12.75" x14ac:dyDescent="0.2">
      <c r="A60" s="5" t="s">
        <v>722</v>
      </c>
      <c r="B60" s="1" t="s">
        <v>2422</v>
      </c>
      <c r="C60" s="69">
        <v>42915</v>
      </c>
      <c r="D60" s="1" t="s">
        <v>1778</v>
      </c>
      <c r="E60" s="1" t="s">
        <v>2243</v>
      </c>
      <c r="G60" s="1" t="s">
        <v>1942</v>
      </c>
    </row>
    <row r="61" spans="1:8" ht="12.75" x14ac:dyDescent="0.2">
      <c r="A61" s="5" t="s">
        <v>875</v>
      </c>
      <c r="B61" s="1" t="s">
        <v>2422</v>
      </c>
      <c r="C61" s="69">
        <v>42947</v>
      </c>
      <c r="D61" s="1" t="s">
        <v>1779</v>
      </c>
      <c r="E61" s="1" t="s">
        <v>2245</v>
      </c>
      <c r="G61" s="1" t="s">
        <v>1942</v>
      </c>
    </row>
    <row r="62" spans="1:8" ht="12.75" x14ac:dyDescent="0.2">
      <c r="A62" s="5" t="s">
        <v>723</v>
      </c>
      <c r="B62" s="1" t="s">
        <v>2422</v>
      </c>
      <c r="C62" s="69">
        <v>43003</v>
      </c>
      <c r="D62" s="1" t="s">
        <v>1781</v>
      </c>
      <c r="E62" s="1" t="s">
        <v>2248</v>
      </c>
      <c r="G62" s="1" t="s">
        <v>1942</v>
      </c>
    </row>
    <row r="63" spans="1:8" ht="12.75" x14ac:dyDescent="0.2">
      <c r="A63" s="5" t="s">
        <v>724</v>
      </c>
      <c r="B63" s="1" t="s">
        <v>2422</v>
      </c>
      <c r="C63" s="69">
        <v>43004</v>
      </c>
      <c r="D63" s="1" t="s">
        <v>1782</v>
      </c>
      <c r="E63" s="1" t="s">
        <v>2250</v>
      </c>
      <c r="G63" s="1" t="s">
        <v>1942</v>
      </c>
    </row>
    <row r="64" spans="1:8" ht="12.75" x14ac:dyDescent="0.2">
      <c r="A64" s="5" t="s">
        <v>725</v>
      </c>
      <c r="B64" s="1" t="s">
        <v>2422</v>
      </c>
      <c r="C64" s="69">
        <v>43089</v>
      </c>
      <c r="D64" s="1" t="s">
        <v>1783</v>
      </c>
      <c r="E64" s="1" t="s">
        <v>2252</v>
      </c>
      <c r="G64" s="1" t="s">
        <v>1942</v>
      </c>
    </row>
    <row r="65" spans="1:8" ht="12.75" x14ac:dyDescent="0.2">
      <c r="A65" s="5" t="s">
        <v>726</v>
      </c>
      <c r="B65" s="1" t="s">
        <v>2422</v>
      </c>
      <c r="C65" s="68">
        <v>43010</v>
      </c>
      <c r="D65" s="1" t="s">
        <v>1784</v>
      </c>
      <c r="E65" s="1" t="s">
        <v>2255</v>
      </c>
      <c r="G65" s="1" t="s">
        <v>1942</v>
      </c>
    </row>
    <row r="66" spans="1:8" ht="12.75" x14ac:dyDescent="0.2">
      <c r="A66" s="5" t="s">
        <v>882</v>
      </c>
      <c r="B66" s="1" t="s">
        <v>2422</v>
      </c>
      <c r="C66" s="68">
        <v>43045</v>
      </c>
      <c r="D66" s="1" t="s">
        <v>1786</v>
      </c>
      <c r="E66" s="1" t="s">
        <v>2256</v>
      </c>
      <c r="G66" s="1" t="s">
        <v>1942</v>
      </c>
    </row>
    <row r="67" spans="1:8" ht="12.75" x14ac:dyDescent="0.2">
      <c r="A67" s="5" t="s">
        <v>727</v>
      </c>
      <c r="B67" s="1" t="s">
        <v>2422</v>
      </c>
      <c r="C67" s="68">
        <v>43075</v>
      </c>
      <c r="D67" s="1" t="s">
        <v>1787</v>
      </c>
      <c r="E67" s="1" t="s">
        <v>2257</v>
      </c>
      <c r="G67" s="1" t="s">
        <v>1942</v>
      </c>
    </row>
    <row r="68" spans="1:8" ht="12.75" x14ac:dyDescent="0.2">
      <c r="A68" s="5" t="s">
        <v>728</v>
      </c>
      <c r="B68" s="1" t="s">
        <v>2422</v>
      </c>
      <c r="C68" s="69">
        <v>43039</v>
      </c>
      <c r="D68" s="1" t="s">
        <v>1788</v>
      </c>
      <c r="E68" s="1" t="s">
        <v>2259</v>
      </c>
      <c r="G68" s="1" t="s">
        <v>1942</v>
      </c>
    </row>
    <row r="69" spans="1:8" ht="12.75" x14ac:dyDescent="0.2">
      <c r="A69" s="5" t="s">
        <v>729</v>
      </c>
      <c r="B69" s="1" t="s">
        <v>2422</v>
      </c>
      <c r="C69" s="69">
        <v>43068</v>
      </c>
      <c r="D69" s="1" t="s">
        <v>1791</v>
      </c>
      <c r="E69" s="1" t="s">
        <v>2265</v>
      </c>
      <c r="G69" s="1" t="s">
        <v>1942</v>
      </c>
    </row>
    <row r="70" spans="1:8" ht="12.75" x14ac:dyDescent="0.2">
      <c r="A70" s="5" t="s">
        <v>730</v>
      </c>
      <c r="B70" s="1" t="s">
        <v>2422</v>
      </c>
      <c r="C70" s="69">
        <v>42943</v>
      </c>
      <c r="D70" s="1" t="s">
        <v>1792</v>
      </c>
      <c r="E70" s="1" t="s">
        <v>2267</v>
      </c>
      <c r="G70" s="1" t="s">
        <v>1942</v>
      </c>
    </row>
    <row r="71" spans="1:8" ht="12.75" x14ac:dyDescent="0.2">
      <c r="A71" s="5" t="s">
        <v>731</v>
      </c>
      <c r="B71" s="1" t="s">
        <v>2422</v>
      </c>
      <c r="C71" s="69">
        <v>42976</v>
      </c>
      <c r="D71" s="1" t="s">
        <v>1793</v>
      </c>
      <c r="E71" s="1" t="s">
        <v>2268</v>
      </c>
      <c r="G71" s="1" t="s">
        <v>1942</v>
      </c>
    </row>
    <row r="72" spans="1:8" ht="12.75" x14ac:dyDescent="0.2">
      <c r="A72" s="5" t="s">
        <v>732</v>
      </c>
      <c r="B72" s="1" t="s">
        <v>2422</v>
      </c>
      <c r="C72" s="69">
        <v>42962</v>
      </c>
      <c r="D72" s="1" t="s">
        <v>1794</v>
      </c>
      <c r="E72" s="1" t="s">
        <v>2270</v>
      </c>
      <c r="G72" s="1" t="s">
        <v>1942</v>
      </c>
    </row>
    <row r="73" spans="1:8" ht="12.75" x14ac:dyDescent="0.2">
      <c r="A73" s="5" t="s">
        <v>733</v>
      </c>
      <c r="B73" s="1" t="s">
        <v>2422</v>
      </c>
      <c r="C73" s="69">
        <v>42963</v>
      </c>
      <c r="D73" s="1" t="s">
        <v>1795</v>
      </c>
      <c r="E73" s="1" t="s">
        <v>2272</v>
      </c>
      <c r="G73" s="1" t="s">
        <v>1942</v>
      </c>
      <c r="H73" s="1" t="s">
        <v>1750</v>
      </c>
    </row>
    <row r="74" spans="1:8" ht="12.75" x14ac:dyDescent="0.2">
      <c r="A74" s="5" t="s">
        <v>863</v>
      </c>
      <c r="B74" s="1" t="s">
        <v>2422</v>
      </c>
      <c r="C74" s="68">
        <v>43014</v>
      </c>
      <c r="D74" s="1" t="s">
        <v>1796</v>
      </c>
      <c r="E74" s="1" t="s">
        <v>2274</v>
      </c>
      <c r="G74" s="1" t="s">
        <v>1942</v>
      </c>
    </row>
    <row r="75" spans="1:8" ht="12.75" x14ac:dyDescent="0.2">
      <c r="A75" s="5" t="s">
        <v>734</v>
      </c>
      <c r="B75" s="1" t="s">
        <v>2422</v>
      </c>
      <c r="C75" s="68">
        <v>43045</v>
      </c>
      <c r="D75" s="1" t="s">
        <v>1800</v>
      </c>
      <c r="E75" s="1" t="s">
        <v>2282</v>
      </c>
      <c r="G75" s="1" t="s">
        <v>1942</v>
      </c>
    </row>
    <row r="76" spans="1:8" ht="12.75" x14ac:dyDescent="0.2">
      <c r="A76" s="5" t="s">
        <v>735</v>
      </c>
      <c r="B76" s="1" t="s">
        <v>2422</v>
      </c>
      <c r="C76" s="68">
        <v>43045</v>
      </c>
      <c r="D76" s="1" t="s">
        <v>1801</v>
      </c>
      <c r="E76" s="1" t="s">
        <v>2284</v>
      </c>
      <c r="G76" s="1" t="s">
        <v>1942</v>
      </c>
    </row>
    <row r="77" spans="1:8" ht="12.75" x14ac:dyDescent="0.2">
      <c r="A77" s="5" t="s">
        <v>864</v>
      </c>
      <c r="B77" s="1" t="s">
        <v>2422</v>
      </c>
      <c r="C77" s="69">
        <v>43060</v>
      </c>
      <c r="D77" s="1" t="s">
        <v>1802</v>
      </c>
      <c r="E77" s="1" t="s">
        <v>2286</v>
      </c>
      <c r="G77" s="1" t="s">
        <v>1942</v>
      </c>
    </row>
    <row r="78" spans="1:8" ht="12.75" x14ac:dyDescent="0.2">
      <c r="A78" s="5" t="s">
        <v>736</v>
      </c>
      <c r="B78" s="1" t="s">
        <v>2422</v>
      </c>
      <c r="C78" s="69">
        <v>43082</v>
      </c>
      <c r="D78" s="1" t="s">
        <v>1804</v>
      </c>
      <c r="E78" s="1" t="s">
        <v>2290</v>
      </c>
      <c r="G78" s="1" t="s">
        <v>1942</v>
      </c>
    </row>
    <row r="79" spans="1:8" ht="12.75" x14ac:dyDescent="0.2">
      <c r="A79" s="5" t="s">
        <v>737</v>
      </c>
      <c r="B79" s="1" t="s">
        <v>2422</v>
      </c>
      <c r="C79" s="69">
        <v>43089</v>
      </c>
      <c r="D79" s="1" t="s">
        <v>1805</v>
      </c>
      <c r="E79" s="1" t="s">
        <v>2292</v>
      </c>
      <c r="G79" s="1" t="s">
        <v>1942</v>
      </c>
    </row>
    <row r="80" spans="1:8" ht="12.75" x14ac:dyDescent="0.2">
      <c r="A80" s="5" t="s">
        <v>738</v>
      </c>
      <c r="B80" s="1" t="s">
        <v>2422</v>
      </c>
      <c r="C80" s="68">
        <v>43103</v>
      </c>
      <c r="D80" s="1" t="s">
        <v>1806</v>
      </c>
      <c r="E80" s="1" t="s">
        <v>2293</v>
      </c>
      <c r="G80" s="1" t="s">
        <v>1942</v>
      </c>
    </row>
    <row r="81" spans="1:7" ht="12.75" x14ac:dyDescent="0.2">
      <c r="A81" s="5" t="s">
        <v>739</v>
      </c>
      <c r="B81" s="1" t="s">
        <v>2422</v>
      </c>
      <c r="C81" s="69">
        <v>43110</v>
      </c>
      <c r="D81" s="1" t="s">
        <v>1807</v>
      </c>
      <c r="E81" s="1" t="s">
        <v>2295</v>
      </c>
      <c r="G81" s="1" t="s">
        <v>1942</v>
      </c>
    </row>
    <row r="82" spans="1:7" ht="12.75" x14ac:dyDescent="0.2">
      <c r="A82" s="5" t="s">
        <v>740</v>
      </c>
      <c r="B82" s="1" t="s">
        <v>2422</v>
      </c>
      <c r="C82" s="69">
        <v>43145</v>
      </c>
      <c r="D82" s="1" t="s">
        <v>1809</v>
      </c>
      <c r="E82" s="1" t="s">
        <v>2299</v>
      </c>
      <c r="G82" s="1" t="s">
        <v>1942</v>
      </c>
    </row>
    <row r="83" spans="1:7" ht="12.75" x14ac:dyDescent="0.2">
      <c r="A83" s="5" t="s">
        <v>741</v>
      </c>
      <c r="B83" s="1" t="s">
        <v>2422</v>
      </c>
      <c r="C83" s="69">
        <v>43145</v>
      </c>
      <c r="D83" s="1" t="s">
        <v>1810</v>
      </c>
      <c r="E83" s="1" t="s">
        <v>2300</v>
      </c>
      <c r="G83" s="1" t="s">
        <v>1942</v>
      </c>
    </row>
    <row r="84" spans="1:7" ht="12.75" x14ac:dyDescent="0.2">
      <c r="A84" s="5" t="s">
        <v>742</v>
      </c>
      <c r="B84" s="1" t="s">
        <v>2422</v>
      </c>
      <c r="C84" s="69">
        <v>43153</v>
      </c>
      <c r="D84" s="1" t="s">
        <v>1811</v>
      </c>
      <c r="E84" s="1" t="s">
        <v>2302</v>
      </c>
      <c r="G84" s="1" t="s">
        <v>1942</v>
      </c>
    </row>
    <row r="85" spans="1:7" ht="12.75" x14ac:dyDescent="0.2">
      <c r="A85" s="5" t="s">
        <v>743</v>
      </c>
      <c r="B85" s="1" t="s">
        <v>2422</v>
      </c>
      <c r="C85" s="68">
        <v>43138</v>
      </c>
      <c r="D85" s="1" t="s">
        <v>1812</v>
      </c>
      <c r="E85" s="1" t="s">
        <v>2305</v>
      </c>
      <c r="G85" s="1" t="s">
        <v>1942</v>
      </c>
    </row>
    <row r="86" spans="1:7" ht="12.75" x14ac:dyDescent="0.2">
      <c r="A86" s="5" t="s">
        <v>744</v>
      </c>
      <c r="B86" s="1" t="s">
        <v>2422</v>
      </c>
      <c r="C86" s="69">
        <v>43200</v>
      </c>
      <c r="D86" s="1" t="s">
        <v>1813</v>
      </c>
      <c r="E86" s="1" t="s">
        <v>2306</v>
      </c>
      <c r="G86" s="1" t="s">
        <v>1942</v>
      </c>
    </row>
    <row r="87" spans="1:7" ht="12.75" x14ac:dyDescent="0.2">
      <c r="A87" s="5" t="s">
        <v>745</v>
      </c>
      <c r="B87" s="1" t="s">
        <v>2422</v>
      </c>
      <c r="C87" s="69">
        <v>43214</v>
      </c>
      <c r="D87" s="1" t="s">
        <v>1814</v>
      </c>
      <c r="E87" s="1" t="s">
        <v>2309</v>
      </c>
      <c r="G87" s="1" t="s">
        <v>1942</v>
      </c>
    </row>
    <row r="88" spans="1:7" ht="12.75" x14ac:dyDescent="0.2">
      <c r="A88" s="5" t="s">
        <v>746</v>
      </c>
      <c r="B88" s="1" t="s">
        <v>2422</v>
      </c>
      <c r="C88" s="69">
        <v>43214</v>
      </c>
      <c r="D88" s="1" t="s">
        <v>1815</v>
      </c>
      <c r="E88" s="1" t="s">
        <v>2311</v>
      </c>
      <c r="G88" s="1" t="s">
        <v>1942</v>
      </c>
    </row>
    <row r="89" spans="1:7" ht="12.75" x14ac:dyDescent="0.2">
      <c r="A89" s="5" t="s">
        <v>747</v>
      </c>
      <c r="B89" s="1" t="s">
        <v>2422</v>
      </c>
      <c r="C89" s="70">
        <v>43234</v>
      </c>
      <c r="D89" s="1" t="s">
        <v>1816</v>
      </c>
      <c r="E89" s="1" t="s">
        <v>2313</v>
      </c>
      <c r="G89" s="1" t="s">
        <v>1942</v>
      </c>
    </row>
    <row r="90" spans="1:7" ht="12.75" x14ac:dyDescent="0.2">
      <c r="A90" s="5" t="s">
        <v>748</v>
      </c>
      <c r="B90" s="1" t="s">
        <v>2422</v>
      </c>
      <c r="C90" s="69">
        <v>43305</v>
      </c>
      <c r="D90" s="1" t="s">
        <v>1817</v>
      </c>
      <c r="E90" s="1" t="s">
        <v>2315</v>
      </c>
      <c r="G90" s="1" t="s">
        <v>1942</v>
      </c>
    </row>
    <row r="91" spans="1:7" ht="12.75" x14ac:dyDescent="0.2">
      <c r="A91" s="5" t="s">
        <v>1931</v>
      </c>
      <c r="B91" s="1" t="s">
        <v>2422</v>
      </c>
      <c r="C91" s="69">
        <v>43311</v>
      </c>
      <c r="D91" s="1" t="s">
        <v>2435</v>
      </c>
      <c r="E91" s="1" t="s">
        <v>2316</v>
      </c>
      <c r="G91" s="1" t="s">
        <v>1942</v>
      </c>
    </row>
    <row r="92" spans="1:7" ht="12.75" x14ac:dyDescent="0.2">
      <c r="A92" s="5" t="s">
        <v>749</v>
      </c>
      <c r="B92" s="1" t="s">
        <v>2422</v>
      </c>
      <c r="C92" s="69">
        <v>43430</v>
      </c>
      <c r="D92" s="1" t="s">
        <v>1819</v>
      </c>
      <c r="E92" s="1" t="s">
        <v>2317</v>
      </c>
      <c r="G92" s="1" t="s">
        <v>1942</v>
      </c>
    </row>
    <row r="93" spans="1:7" ht="12.75" x14ac:dyDescent="0.2">
      <c r="A93" s="5" t="s">
        <v>750</v>
      </c>
      <c r="B93" s="1" t="s">
        <v>2422</v>
      </c>
      <c r="C93" s="69">
        <v>43122</v>
      </c>
      <c r="D93" s="1" t="s">
        <v>1820</v>
      </c>
      <c r="E93" s="1" t="s">
        <v>2319</v>
      </c>
      <c r="G93" s="1" t="s">
        <v>1942</v>
      </c>
    </row>
    <row r="94" spans="1:7" ht="12.75" x14ac:dyDescent="0.2">
      <c r="A94" s="5" t="s">
        <v>751</v>
      </c>
      <c r="B94" s="1" t="s">
        <v>2422</v>
      </c>
      <c r="C94" s="69">
        <v>43131</v>
      </c>
      <c r="D94" s="1" t="s">
        <v>1821</v>
      </c>
      <c r="E94" s="1" t="s">
        <v>2322</v>
      </c>
      <c r="G94" s="1" t="s">
        <v>1942</v>
      </c>
    </row>
    <row r="95" spans="1:7" ht="12.75" x14ac:dyDescent="0.2">
      <c r="A95" s="5" t="s">
        <v>865</v>
      </c>
      <c r="B95" s="1" t="s">
        <v>2422</v>
      </c>
      <c r="C95" s="68">
        <v>43165</v>
      </c>
      <c r="D95" s="1" t="s">
        <v>1823</v>
      </c>
      <c r="E95" s="1" t="s">
        <v>2326</v>
      </c>
      <c r="G95" s="1" t="s">
        <v>1942</v>
      </c>
    </row>
    <row r="96" spans="1:7" ht="12.75" x14ac:dyDescent="0.2">
      <c r="A96" s="5" t="s">
        <v>752</v>
      </c>
      <c r="B96" s="1" t="s">
        <v>2422</v>
      </c>
      <c r="C96" s="69">
        <v>43179</v>
      </c>
      <c r="D96" s="1" t="s">
        <v>1825</v>
      </c>
      <c r="E96" s="1" t="s">
        <v>2328</v>
      </c>
      <c r="G96" s="1" t="s">
        <v>1942</v>
      </c>
    </row>
    <row r="97" spans="1:8" ht="12.75" x14ac:dyDescent="0.2">
      <c r="A97" s="5" t="s">
        <v>1932</v>
      </c>
      <c r="B97" s="1" t="s">
        <v>2422</v>
      </c>
      <c r="C97" s="69">
        <v>43304</v>
      </c>
      <c r="D97" s="1" t="s">
        <v>2436</v>
      </c>
      <c r="E97" s="1" t="s">
        <v>2331</v>
      </c>
      <c r="G97" s="1" t="s">
        <v>1942</v>
      </c>
    </row>
    <row r="98" spans="1:8" ht="12.75" x14ac:dyDescent="0.2">
      <c r="A98" s="5" t="s">
        <v>753</v>
      </c>
      <c r="B98" s="1" t="s">
        <v>2422</v>
      </c>
      <c r="C98" s="69">
        <v>43144</v>
      </c>
      <c r="D98" s="1" t="s">
        <v>1828</v>
      </c>
      <c r="E98" s="1" t="s">
        <v>2333</v>
      </c>
      <c r="G98" s="1" t="s">
        <v>1942</v>
      </c>
    </row>
    <row r="99" spans="1:8" ht="12.75" x14ac:dyDescent="0.2">
      <c r="A99" s="5" t="s">
        <v>754</v>
      </c>
      <c r="B99" s="1" t="s">
        <v>2422</v>
      </c>
      <c r="C99" s="69">
        <v>43186</v>
      </c>
      <c r="D99" s="1" t="s">
        <v>1829</v>
      </c>
      <c r="E99" s="1" t="s">
        <v>2437</v>
      </c>
      <c r="G99" s="1" t="s">
        <v>1942</v>
      </c>
    </row>
    <row r="100" spans="1:8" ht="12.75" x14ac:dyDescent="0.2">
      <c r="A100" s="5" t="s">
        <v>755</v>
      </c>
      <c r="B100" s="1" t="s">
        <v>2422</v>
      </c>
      <c r="C100" s="69">
        <v>43201</v>
      </c>
      <c r="D100" s="1" t="s">
        <v>1830</v>
      </c>
      <c r="E100" s="1" t="s">
        <v>2338</v>
      </c>
      <c r="G100" s="1" t="s">
        <v>1942</v>
      </c>
    </row>
    <row r="101" spans="1:8" ht="12.75" x14ac:dyDescent="0.2">
      <c r="A101" s="5" t="s">
        <v>756</v>
      </c>
      <c r="B101" s="1" t="s">
        <v>2422</v>
      </c>
      <c r="C101" s="68">
        <v>43255</v>
      </c>
      <c r="D101" s="1" t="s">
        <v>1831</v>
      </c>
      <c r="E101" s="1" t="s">
        <v>2341</v>
      </c>
      <c r="G101" s="1" t="s">
        <v>1942</v>
      </c>
      <c r="H101" s="1" t="s">
        <v>2431</v>
      </c>
    </row>
    <row r="102" spans="1:8" ht="12.75" x14ac:dyDescent="0.2">
      <c r="A102" s="5" t="s">
        <v>1933</v>
      </c>
      <c r="B102" s="1" t="s">
        <v>2422</v>
      </c>
      <c r="C102" s="77">
        <v>43229</v>
      </c>
      <c r="D102" s="1" t="s">
        <v>2438</v>
      </c>
      <c r="E102" s="1" t="s">
        <v>2342</v>
      </c>
      <c r="G102" s="1" t="s">
        <v>1942</v>
      </c>
    </row>
    <row r="103" spans="1:8" ht="12.75" x14ac:dyDescent="0.2">
      <c r="A103" s="5" t="s">
        <v>1934</v>
      </c>
      <c r="B103" s="1" t="s">
        <v>2422</v>
      </c>
      <c r="C103" s="69">
        <v>43360</v>
      </c>
      <c r="D103" s="1" t="s">
        <v>2439</v>
      </c>
      <c r="E103" s="1" t="s">
        <v>2345</v>
      </c>
      <c r="G103" s="1" t="s">
        <v>1942</v>
      </c>
    </row>
    <row r="104" spans="1:8" ht="12.75" x14ac:dyDescent="0.2">
      <c r="A104" s="5" t="s">
        <v>757</v>
      </c>
      <c r="B104" s="1" t="s">
        <v>2422</v>
      </c>
      <c r="C104" s="68">
        <v>43167</v>
      </c>
      <c r="D104" s="1" t="s">
        <v>1833</v>
      </c>
      <c r="E104" s="1" t="s">
        <v>2352</v>
      </c>
      <c r="G104" s="1" t="s">
        <v>1942</v>
      </c>
    </row>
    <row r="105" spans="1:8" ht="12.75" x14ac:dyDescent="0.2">
      <c r="A105" s="5" t="s">
        <v>883</v>
      </c>
      <c r="B105" s="1" t="s">
        <v>2422</v>
      </c>
      <c r="C105" s="69">
        <v>43175</v>
      </c>
      <c r="D105" s="1" t="s">
        <v>1834</v>
      </c>
      <c r="E105" s="1" t="s">
        <v>2355</v>
      </c>
      <c r="G105" s="1" t="s">
        <v>1942</v>
      </c>
    </row>
    <row r="106" spans="1:8" ht="12.75" x14ac:dyDescent="0.2">
      <c r="A106" s="5" t="s">
        <v>758</v>
      </c>
      <c r="B106" s="1" t="s">
        <v>2422</v>
      </c>
      <c r="C106" s="69">
        <v>43202</v>
      </c>
      <c r="D106" s="1" t="s">
        <v>1835</v>
      </c>
      <c r="E106" s="1" t="s">
        <v>2356</v>
      </c>
      <c r="G106" s="1" t="s">
        <v>1942</v>
      </c>
    </row>
    <row r="107" spans="1:8" ht="12.75" x14ac:dyDescent="0.2">
      <c r="A107" s="5" t="s">
        <v>759</v>
      </c>
      <c r="B107" s="1" t="s">
        <v>2422</v>
      </c>
      <c r="C107" s="69">
        <v>43266</v>
      </c>
      <c r="D107" s="1" t="s">
        <v>1836</v>
      </c>
      <c r="E107" s="1" t="s">
        <v>2357</v>
      </c>
      <c r="G107" s="1" t="s">
        <v>1942</v>
      </c>
    </row>
    <row r="108" spans="1:8" ht="12.75" x14ac:dyDescent="0.2">
      <c r="A108" s="5" t="s">
        <v>884</v>
      </c>
      <c r="B108" s="1" t="s">
        <v>2422</v>
      </c>
      <c r="C108" s="77">
        <v>43229</v>
      </c>
      <c r="D108" s="1" t="s">
        <v>1837</v>
      </c>
      <c r="E108" s="1" t="s">
        <v>2359</v>
      </c>
      <c r="G108" s="1" t="s">
        <v>1942</v>
      </c>
    </row>
    <row r="109" spans="1:8" ht="12.75" x14ac:dyDescent="0.2">
      <c r="A109" s="5" t="s">
        <v>761</v>
      </c>
      <c r="B109" s="1" t="s">
        <v>2422</v>
      </c>
      <c r="C109" s="68">
        <v>43257</v>
      </c>
      <c r="D109" s="1" t="s">
        <v>1839</v>
      </c>
      <c r="E109" s="1" t="s">
        <v>2440</v>
      </c>
      <c r="G109" s="1" t="s">
        <v>1942</v>
      </c>
    </row>
    <row r="110" spans="1:8" ht="12.75" x14ac:dyDescent="0.2">
      <c r="A110" s="5" t="s">
        <v>762</v>
      </c>
      <c r="B110" s="1" t="s">
        <v>2422</v>
      </c>
      <c r="C110" s="69">
        <v>43271</v>
      </c>
      <c r="D110" s="1" t="s">
        <v>1840</v>
      </c>
      <c r="E110" s="1" t="s">
        <v>2364</v>
      </c>
      <c r="G110" s="1" t="s">
        <v>1942</v>
      </c>
    </row>
    <row r="111" spans="1:8" ht="12.75" x14ac:dyDescent="0.2">
      <c r="A111" s="5" t="s">
        <v>866</v>
      </c>
      <c r="B111" s="1" t="s">
        <v>2422</v>
      </c>
      <c r="C111" s="68">
        <v>43285</v>
      </c>
      <c r="D111" s="1" t="s">
        <v>1843</v>
      </c>
      <c r="E111" s="1" t="s">
        <v>2371</v>
      </c>
      <c r="G111" s="1" t="s">
        <v>1942</v>
      </c>
    </row>
    <row r="112" spans="1:8" ht="12.75" x14ac:dyDescent="0.2">
      <c r="A112" s="5" t="s">
        <v>765</v>
      </c>
      <c r="B112" s="1" t="s">
        <v>2422</v>
      </c>
      <c r="C112" s="68">
        <v>43290</v>
      </c>
      <c r="D112" s="1" t="s">
        <v>1844</v>
      </c>
      <c r="E112" s="1" t="s">
        <v>2372</v>
      </c>
      <c r="G112" s="1" t="s">
        <v>1942</v>
      </c>
    </row>
    <row r="113" spans="1:7" ht="12.75" x14ac:dyDescent="0.2">
      <c r="A113" s="5" t="s">
        <v>1935</v>
      </c>
      <c r="B113" s="1" t="s">
        <v>2422</v>
      </c>
      <c r="C113" s="68">
        <v>43285</v>
      </c>
      <c r="D113" s="1" t="s">
        <v>2441</v>
      </c>
      <c r="E113" s="1" t="s">
        <v>2374</v>
      </c>
      <c r="G113" s="1" t="s">
        <v>1942</v>
      </c>
    </row>
    <row r="114" spans="1:7" ht="12.75" x14ac:dyDescent="0.2">
      <c r="A114" s="5" t="s">
        <v>766</v>
      </c>
      <c r="B114" s="1" t="s">
        <v>2422</v>
      </c>
      <c r="C114" s="69">
        <v>43325</v>
      </c>
      <c r="D114" s="1" t="s">
        <v>1845</v>
      </c>
      <c r="E114" s="1" t="s">
        <v>2376</v>
      </c>
      <c r="G114" s="1" t="s">
        <v>1942</v>
      </c>
    </row>
    <row r="115" spans="1:7" ht="12.75" x14ac:dyDescent="0.2">
      <c r="A115" s="5" t="s">
        <v>767</v>
      </c>
      <c r="B115" s="1" t="s">
        <v>2422</v>
      </c>
      <c r="C115" s="69">
        <v>43369</v>
      </c>
      <c r="D115" s="1" t="s">
        <v>1846</v>
      </c>
      <c r="E115" s="1" t="s">
        <v>2377</v>
      </c>
      <c r="G115" s="1" t="s">
        <v>1942</v>
      </c>
    </row>
    <row r="116" spans="1:7" ht="12.75" x14ac:dyDescent="0.2">
      <c r="A116" s="5" t="s">
        <v>768</v>
      </c>
      <c r="B116" s="1" t="s">
        <v>2422</v>
      </c>
      <c r="C116" s="69">
        <v>43305</v>
      </c>
      <c r="D116" s="1" t="s">
        <v>1847</v>
      </c>
      <c r="E116" s="1" t="s">
        <v>2378</v>
      </c>
      <c r="G116" s="1" t="s">
        <v>1942</v>
      </c>
    </row>
    <row r="117" spans="1:7" ht="12.75" x14ac:dyDescent="0.2">
      <c r="A117" s="5" t="s">
        <v>769</v>
      </c>
      <c r="B117" s="1" t="s">
        <v>2422</v>
      </c>
      <c r="C117" s="69">
        <v>43306</v>
      </c>
      <c r="D117" s="1" t="s">
        <v>1848</v>
      </c>
      <c r="E117" s="1" t="s">
        <v>2379</v>
      </c>
      <c r="G117" s="1" t="s">
        <v>1942</v>
      </c>
    </row>
    <row r="118" spans="1:7" ht="12.75" x14ac:dyDescent="0.2">
      <c r="A118" s="5" t="s">
        <v>770</v>
      </c>
      <c r="B118" s="1" t="s">
        <v>2422</v>
      </c>
      <c r="C118" s="69">
        <v>43461</v>
      </c>
      <c r="D118" s="1" t="s">
        <v>1849</v>
      </c>
      <c r="E118" s="1" t="s">
        <v>2380</v>
      </c>
      <c r="G118" s="1" t="s">
        <v>1942</v>
      </c>
    </row>
    <row r="119" spans="1:7" ht="12.75" x14ac:dyDescent="0.2">
      <c r="A119" s="5" t="s">
        <v>771</v>
      </c>
      <c r="B119" s="1" t="s">
        <v>2422</v>
      </c>
      <c r="C119" s="68">
        <v>43321</v>
      </c>
      <c r="D119" s="1" t="s">
        <v>1850</v>
      </c>
      <c r="E119" s="1" t="s">
        <v>2381</v>
      </c>
      <c r="G119" s="1" t="s">
        <v>1942</v>
      </c>
    </row>
    <row r="120" spans="1:7" ht="12.75" x14ac:dyDescent="0.2">
      <c r="A120" s="5" t="s">
        <v>772</v>
      </c>
      <c r="B120" s="1" t="s">
        <v>2422</v>
      </c>
      <c r="C120" s="69">
        <v>43404</v>
      </c>
      <c r="D120" s="1" t="s">
        <v>1851</v>
      </c>
      <c r="E120" s="1" t="s">
        <v>2382</v>
      </c>
      <c r="G120" s="1" t="s">
        <v>1942</v>
      </c>
    </row>
    <row r="121" spans="1:7" ht="12.75" x14ac:dyDescent="0.2">
      <c r="A121" s="5" t="s">
        <v>1936</v>
      </c>
      <c r="B121" s="1" t="s">
        <v>2422</v>
      </c>
      <c r="C121" s="68">
        <v>43315</v>
      </c>
      <c r="D121" s="1" t="s">
        <v>2442</v>
      </c>
      <c r="E121" s="1" t="s">
        <v>2384</v>
      </c>
      <c r="G121" s="1" t="s">
        <v>1942</v>
      </c>
    </row>
    <row r="122" spans="1:7" ht="12.75" x14ac:dyDescent="0.2">
      <c r="A122" s="5" t="s">
        <v>773</v>
      </c>
      <c r="B122" s="1" t="s">
        <v>2422</v>
      </c>
      <c r="C122" s="69">
        <v>43327</v>
      </c>
      <c r="D122" s="1" t="s">
        <v>1852</v>
      </c>
      <c r="E122" s="1" t="s">
        <v>2386</v>
      </c>
      <c r="G122" s="1" t="s">
        <v>1942</v>
      </c>
    </row>
    <row r="123" spans="1:7" ht="12.75" x14ac:dyDescent="0.2">
      <c r="A123" s="5" t="s">
        <v>774</v>
      </c>
      <c r="B123" s="1" t="s">
        <v>2422</v>
      </c>
      <c r="C123" s="69">
        <v>43327</v>
      </c>
      <c r="D123" s="1" t="s">
        <v>1853</v>
      </c>
      <c r="E123" s="1" t="s">
        <v>2387</v>
      </c>
      <c r="G123" s="1" t="s">
        <v>1942</v>
      </c>
    </row>
    <row r="124" spans="1:7" ht="12.75" x14ac:dyDescent="0.2">
      <c r="A124" s="5" t="s">
        <v>776</v>
      </c>
      <c r="B124" s="1" t="s">
        <v>2422</v>
      </c>
      <c r="C124" s="68">
        <v>43376</v>
      </c>
      <c r="D124" s="1" t="s">
        <v>1856</v>
      </c>
      <c r="E124" s="1" t="s">
        <v>2389</v>
      </c>
      <c r="G124" s="1" t="s">
        <v>1942</v>
      </c>
    </row>
    <row r="125" spans="1:7" ht="12.75" x14ac:dyDescent="0.2">
      <c r="A125" s="5" t="s">
        <v>777</v>
      </c>
      <c r="B125" s="1" t="s">
        <v>2422</v>
      </c>
      <c r="C125" s="68">
        <v>43405</v>
      </c>
      <c r="D125" s="1" t="s">
        <v>1857</v>
      </c>
      <c r="E125" s="1" t="s">
        <v>2390</v>
      </c>
      <c r="G125" s="1" t="s">
        <v>1942</v>
      </c>
    </row>
    <row r="126" spans="1:7" ht="12.75" x14ac:dyDescent="0.2">
      <c r="A126" s="5" t="s">
        <v>778</v>
      </c>
      <c r="B126" s="1" t="s">
        <v>2422</v>
      </c>
      <c r="C126" s="69">
        <v>43430</v>
      </c>
      <c r="D126" s="1" t="s">
        <v>1859</v>
      </c>
      <c r="E126" s="1" t="s">
        <v>2391</v>
      </c>
      <c r="G126" s="1" t="s">
        <v>1942</v>
      </c>
    </row>
    <row r="127" spans="1:7" ht="12.75" x14ac:dyDescent="0.2">
      <c r="A127" s="5" t="s">
        <v>780</v>
      </c>
      <c r="B127" s="1" t="s">
        <v>2422</v>
      </c>
      <c r="C127" s="69">
        <v>43451</v>
      </c>
      <c r="D127" s="1" t="s">
        <v>1861</v>
      </c>
      <c r="E127" s="1" t="s">
        <v>2392</v>
      </c>
      <c r="G127" s="1" t="s">
        <v>1942</v>
      </c>
    </row>
    <row r="128" spans="1:7" ht="12.75" x14ac:dyDescent="0.2">
      <c r="A128" s="5" t="s">
        <v>781</v>
      </c>
      <c r="B128" s="1" t="s">
        <v>2422</v>
      </c>
      <c r="C128" s="69">
        <v>43481</v>
      </c>
      <c r="D128" s="1" t="s">
        <v>1862</v>
      </c>
      <c r="E128" s="1" t="s">
        <v>2394</v>
      </c>
      <c r="G128" s="1" t="s">
        <v>1942</v>
      </c>
    </row>
    <row r="129" spans="1:7" ht="12.75" x14ac:dyDescent="0.2">
      <c r="A129" s="5" t="s">
        <v>1937</v>
      </c>
      <c r="B129" s="1" t="s">
        <v>2422</v>
      </c>
      <c r="C129" s="68">
        <v>43529</v>
      </c>
      <c r="D129" s="1" t="s">
        <v>2443</v>
      </c>
      <c r="E129" s="1" t="s">
        <v>2397</v>
      </c>
      <c r="G129" s="1" t="s">
        <v>1942</v>
      </c>
    </row>
    <row r="130" spans="1:7" ht="12.75" x14ac:dyDescent="0.2">
      <c r="A130" s="5" t="s">
        <v>790</v>
      </c>
      <c r="B130" s="1" t="s">
        <v>2422</v>
      </c>
      <c r="C130" s="70">
        <v>43612</v>
      </c>
      <c r="D130" s="1" t="s">
        <v>1873</v>
      </c>
      <c r="E130" s="1" t="s">
        <v>2444</v>
      </c>
      <c r="G130" s="1" t="s">
        <v>1942</v>
      </c>
    </row>
    <row r="131" spans="1:7" ht="12.75" x14ac:dyDescent="0.2">
      <c r="A131" s="5" t="s">
        <v>794</v>
      </c>
      <c r="B131" s="1" t="s">
        <v>2422</v>
      </c>
      <c r="C131" s="69">
        <v>43521</v>
      </c>
      <c r="D131" s="1" t="s">
        <v>1877</v>
      </c>
      <c r="E131" s="1" t="s">
        <v>2445</v>
      </c>
      <c r="G131" s="1" t="s">
        <v>1942</v>
      </c>
    </row>
    <row r="132" spans="1:7" ht="12.75" x14ac:dyDescent="0.2">
      <c r="A132" s="5" t="s">
        <v>802</v>
      </c>
      <c r="B132" s="1" t="s">
        <v>2422</v>
      </c>
      <c r="C132" s="68">
        <v>43529</v>
      </c>
      <c r="D132" s="1" t="s">
        <v>1885</v>
      </c>
      <c r="E132" s="1" t="s">
        <v>2446</v>
      </c>
      <c r="G132" s="1" t="s">
        <v>1942</v>
      </c>
    </row>
    <row r="133" spans="1:7" ht="12.75" x14ac:dyDescent="0.2">
      <c r="A133" s="5" t="s">
        <v>807</v>
      </c>
      <c r="B133" s="1" t="s">
        <v>2422</v>
      </c>
      <c r="C133" s="69">
        <v>43635</v>
      </c>
      <c r="D133" s="1" t="s">
        <v>1890</v>
      </c>
      <c r="E133" s="1" t="s">
        <v>2447</v>
      </c>
      <c r="G133" s="1" t="s">
        <v>1942</v>
      </c>
    </row>
    <row r="134" spans="1:7" ht="12.75" x14ac:dyDescent="0.2">
      <c r="A134" s="5" t="s">
        <v>809</v>
      </c>
      <c r="B134" s="1" t="s">
        <v>2422</v>
      </c>
      <c r="C134" s="69">
        <v>43766</v>
      </c>
      <c r="D134" s="1" t="s">
        <v>1892</v>
      </c>
      <c r="E134" s="1" t="s">
        <v>2408</v>
      </c>
      <c r="G134" s="1" t="s">
        <v>1942</v>
      </c>
    </row>
    <row r="135" spans="1:7" ht="12.75" x14ac:dyDescent="0.2">
      <c r="A135" s="5" t="s">
        <v>810</v>
      </c>
      <c r="B135" s="1" t="s">
        <v>2422</v>
      </c>
      <c r="C135" s="70">
        <v>43613</v>
      </c>
      <c r="D135" s="1" t="s">
        <v>1893</v>
      </c>
      <c r="E135" s="1" t="s">
        <v>2448</v>
      </c>
      <c r="G135" s="1" t="s">
        <v>1942</v>
      </c>
    </row>
    <row r="136" spans="1:7" ht="12.75" x14ac:dyDescent="0.2">
      <c r="A136" s="5" t="s">
        <v>814</v>
      </c>
      <c r="B136" s="1" t="s">
        <v>2422</v>
      </c>
      <c r="C136" s="69">
        <v>43696</v>
      </c>
      <c r="D136" s="1" t="s">
        <v>1897</v>
      </c>
      <c r="E136" s="1" t="s">
        <v>2411</v>
      </c>
      <c r="G136" s="1" t="s">
        <v>1942</v>
      </c>
    </row>
    <row r="137" spans="1:7" ht="12.75" x14ac:dyDescent="0.2">
      <c r="A137" s="5" t="s">
        <v>816</v>
      </c>
      <c r="B137" s="1" t="s">
        <v>2422</v>
      </c>
      <c r="C137" s="69">
        <v>43633</v>
      </c>
      <c r="D137" s="1" t="s">
        <v>1899</v>
      </c>
      <c r="E137" s="1" t="s">
        <v>2412</v>
      </c>
      <c r="G137" s="1" t="s">
        <v>1942</v>
      </c>
    </row>
    <row r="138" spans="1:7" ht="12.75" x14ac:dyDescent="0.2">
      <c r="A138" s="5" t="s">
        <v>818</v>
      </c>
      <c r="B138" s="1" t="s">
        <v>2422</v>
      </c>
      <c r="C138" s="69">
        <v>43728</v>
      </c>
      <c r="D138" s="1" t="s">
        <v>1903</v>
      </c>
      <c r="E138" s="1" t="s">
        <v>2449</v>
      </c>
      <c r="G138" s="1" t="s">
        <v>1942</v>
      </c>
    </row>
    <row r="139" spans="1:7" ht="12.75" x14ac:dyDescent="0.2">
      <c r="A139" s="5" t="s">
        <v>823</v>
      </c>
      <c r="B139" s="1" t="s">
        <v>2422</v>
      </c>
      <c r="C139" s="68">
        <v>43899</v>
      </c>
      <c r="D139" s="1" t="s">
        <v>1908</v>
      </c>
      <c r="E139" s="1" t="s">
        <v>2416</v>
      </c>
      <c r="G139" s="1" t="s">
        <v>1942</v>
      </c>
    </row>
    <row r="140" spans="1:7" ht="12.75" x14ac:dyDescent="0.2">
      <c r="A140" s="5" t="s">
        <v>830</v>
      </c>
      <c r="B140" s="1" t="s">
        <v>2422</v>
      </c>
      <c r="C140" s="69">
        <v>43906</v>
      </c>
      <c r="D140" s="1" t="s">
        <v>1915</v>
      </c>
      <c r="E140" s="1" t="s">
        <v>2450</v>
      </c>
      <c r="G140" s="1" t="s">
        <v>1942</v>
      </c>
    </row>
    <row r="141" spans="1:7" ht="12.75" x14ac:dyDescent="0.2">
      <c r="A141" s="5" t="s">
        <v>840</v>
      </c>
      <c r="B141" s="1" t="s">
        <v>2422</v>
      </c>
      <c r="C141" s="69">
        <v>42957</v>
      </c>
      <c r="D141" s="1" t="s">
        <v>1709</v>
      </c>
      <c r="E141" s="1" t="s">
        <v>2090</v>
      </c>
      <c r="G141" s="1" t="s">
        <v>1942</v>
      </c>
    </row>
    <row r="142" spans="1:7" ht="12.75" x14ac:dyDescent="0.2">
      <c r="A142" s="5" t="s">
        <v>869</v>
      </c>
      <c r="B142" s="1" t="s">
        <v>2422</v>
      </c>
      <c r="C142" s="69">
        <v>43033</v>
      </c>
      <c r="D142" s="1" t="s">
        <v>1711</v>
      </c>
      <c r="E142" s="1" t="s">
        <v>2102</v>
      </c>
      <c r="G142" s="1" t="s">
        <v>1942</v>
      </c>
    </row>
    <row r="143" spans="1:7" ht="12.75" x14ac:dyDescent="0.2">
      <c r="A143" s="5" t="s">
        <v>870</v>
      </c>
      <c r="B143" s="1" t="s">
        <v>2422</v>
      </c>
      <c r="C143" s="69">
        <v>43171</v>
      </c>
      <c r="D143" s="1" t="s">
        <v>1727</v>
      </c>
      <c r="E143" s="1" t="s">
        <v>2137</v>
      </c>
      <c r="G143" s="1" t="s">
        <v>1942</v>
      </c>
    </row>
    <row r="144" spans="1:7" ht="12.75" x14ac:dyDescent="0.2">
      <c r="A144" s="5" t="s">
        <v>876</v>
      </c>
      <c r="B144" s="1" t="s">
        <v>2422</v>
      </c>
      <c r="C144" s="69">
        <v>42976</v>
      </c>
      <c r="D144" s="1" t="s">
        <v>1729</v>
      </c>
      <c r="E144" s="1" t="s">
        <v>2140</v>
      </c>
      <c r="G144" s="1" t="s">
        <v>1942</v>
      </c>
    </row>
    <row r="145" spans="1:26" ht="12.75" x14ac:dyDescent="0.2">
      <c r="A145" s="5" t="s">
        <v>842</v>
      </c>
      <c r="B145" s="1" t="s">
        <v>2422</v>
      </c>
      <c r="C145" s="69">
        <v>42999</v>
      </c>
      <c r="D145" s="1" t="s">
        <v>1740</v>
      </c>
      <c r="E145" s="1" t="s">
        <v>2163</v>
      </c>
      <c r="G145" s="1" t="s">
        <v>1942</v>
      </c>
    </row>
    <row r="146" spans="1:26" ht="12.75" x14ac:dyDescent="0.2">
      <c r="A146" s="5" t="s">
        <v>844</v>
      </c>
      <c r="B146" s="1" t="s">
        <v>2422</v>
      </c>
      <c r="C146" s="69">
        <v>43111</v>
      </c>
      <c r="D146" s="1" t="s">
        <v>1745</v>
      </c>
      <c r="E146" s="1" t="s">
        <v>2172</v>
      </c>
      <c r="G146" s="1" t="s">
        <v>1942</v>
      </c>
    </row>
    <row r="147" spans="1:26" ht="12.75" x14ac:dyDescent="0.2">
      <c r="A147" s="5" t="s">
        <v>845</v>
      </c>
      <c r="B147" s="1" t="s">
        <v>2422</v>
      </c>
      <c r="C147" s="69">
        <v>43123</v>
      </c>
      <c r="D147" s="1" t="s">
        <v>1757</v>
      </c>
      <c r="E147" s="1" t="s">
        <v>2196</v>
      </c>
      <c r="G147" s="1" t="s">
        <v>1942</v>
      </c>
    </row>
    <row r="148" spans="1:26" ht="12.75" x14ac:dyDescent="0.2">
      <c r="A148" s="5" t="s">
        <v>878</v>
      </c>
      <c r="B148" s="1" t="s">
        <v>2422</v>
      </c>
      <c r="C148" s="69">
        <v>43705</v>
      </c>
      <c r="D148" s="1" t="s">
        <v>2451</v>
      </c>
      <c r="E148" s="1" t="s">
        <v>2203</v>
      </c>
      <c r="G148" s="1" t="s">
        <v>1942</v>
      </c>
    </row>
    <row r="149" spans="1:26" ht="12.75" x14ac:dyDescent="0.2">
      <c r="A149" s="5" t="s">
        <v>847</v>
      </c>
      <c r="B149" s="1" t="s">
        <v>2422</v>
      </c>
      <c r="C149" s="70">
        <v>43242</v>
      </c>
      <c r="D149" s="1" t="s">
        <v>1764</v>
      </c>
      <c r="E149" s="1" t="s">
        <v>2215</v>
      </c>
      <c r="G149" s="1" t="s">
        <v>1942</v>
      </c>
    </row>
    <row r="150" spans="1:26" ht="12.75" x14ac:dyDescent="0.2">
      <c r="A150" s="5" t="s">
        <v>871</v>
      </c>
      <c r="B150" s="1" t="s">
        <v>2422</v>
      </c>
      <c r="C150" s="68">
        <v>43046</v>
      </c>
      <c r="D150" s="1" t="s">
        <v>1772</v>
      </c>
      <c r="E150" s="1" t="s">
        <v>2452</v>
      </c>
      <c r="G150" s="1" t="s">
        <v>1942</v>
      </c>
    </row>
    <row r="151" spans="1:26" ht="12.75" x14ac:dyDescent="0.2">
      <c r="A151" s="5" t="s">
        <v>879</v>
      </c>
      <c r="B151" s="1" t="s">
        <v>2422</v>
      </c>
      <c r="C151" s="69">
        <v>43125</v>
      </c>
      <c r="D151" s="1" t="s">
        <v>1798</v>
      </c>
      <c r="E151" s="1" t="s">
        <v>2278</v>
      </c>
      <c r="G151" s="1" t="s">
        <v>1942</v>
      </c>
    </row>
    <row r="152" spans="1:26" ht="12.75" x14ac:dyDescent="0.2">
      <c r="A152" s="5" t="s">
        <v>849</v>
      </c>
      <c r="B152" s="1" t="s">
        <v>2422</v>
      </c>
      <c r="C152" s="70">
        <v>43243</v>
      </c>
      <c r="D152" s="1" t="s">
        <v>1808</v>
      </c>
      <c r="E152" s="1" t="s">
        <v>2296</v>
      </c>
      <c r="G152" s="1" t="s">
        <v>1942</v>
      </c>
    </row>
    <row r="153" spans="1:26" ht="12.75" x14ac:dyDescent="0.2">
      <c r="A153" s="5" t="s">
        <v>851</v>
      </c>
      <c r="B153" s="1" t="s">
        <v>2422</v>
      </c>
      <c r="C153" s="68">
        <v>43284</v>
      </c>
      <c r="D153" s="1" t="s">
        <v>1822</v>
      </c>
      <c r="E153" s="1" t="s">
        <v>2453</v>
      </c>
      <c r="G153" s="1" t="s">
        <v>1942</v>
      </c>
    </row>
    <row r="154" spans="1:26" ht="12.75" x14ac:dyDescent="0.2">
      <c r="A154" s="5" t="s">
        <v>852</v>
      </c>
      <c r="B154" s="1" t="s">
        <v>2422</v>
      </c>
      <c r="C154" s="69">
        <v>43538</v>
      </c>
      <c r="D154" s="1" t="s">
        <v>1832</v>
      </c>
      <c r="E154" s="1" t="s">
        <v>2351</v>
      </c>
      <c r="G154" s="1" t="s">
        <v>1942</v>
      </c>
      <c r="H154" s="1" t="s">
        <v>2431</v>
      </c>
    </row>
    <row r="155" spans="1:26" ht="12.75" x14ac:dyDescent="0.2">
      <c r="A155" s="5" t="s">
        <v>855</v>
      </c>
      <c r="B155" s="1" t="s">
        <v>2422</v>
      </c>
      <c r="C155" s="69">
        <v>43698</v>
      </c>
      <c r="D155" s="1" t="s">
        <v>1866</v>
      </c>
      <c r="E155" s="1" t="s">
        <v>2398</v>
      </c>
      <c r="G155" s="1" t="s">
        <v>1942</v>
      </c>
    </row>
    <row r="156" spans="1:26" ht="12.75" x14ac:dyDescent="0.2">
      <c r="A156" s="62" t="s">
        <v>779</v>
      </c>
      <c r="B156" s="75" t="s">
        <v>2422</v>
      </c>
      <c r="C156" s="191">
        <v>43472</v>
      </c>
      <c r="D156" s="76" t="s">
        <v>1860</v>
      </c>
      <c r="E156" s="76" t="s">
        <v>2454</v>
      </c>
      <c r="F156" s="75" t="s">
        <v>2455</v>
      </c>
      <c r="G156" s="192" t="s">
        <v>1942</v>
      </c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</row>
    <row r="157" spans="1:26" ht="12.75" x14ac:dyDescent="0.2">
      <c r="A157" s="62" t="s">
        <v>782</v>
      </c>
      <c r="B157" s="75" t="s">
        <v>2422</v>
      </c>
      <c r="C157" s="193">
        <v>43483</v>
      </c>
      <c r="D157" s="76" t="s">
        <v>1863</v>
      </c>
      <c r="E157" s="76" t="s">
        <v>2456</v>
      </c>
      <c r="F157" s="75" t="s">
        <v>2457</v>
      </c>
      <c r="G157" s="192" t="s">
        <v>1942</v>
      </c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</row>
    <row r="158" spans="1:26" ht="12.75" x14ac:dyDescent="0.2">
      <c r="A158" s="62" t="s">
        <v>783</v>
      </c>
      <c r="B158" s="75" t="s">
        <v>2422</v>
      </c>
      <c r="C158" s="193">
        <v>43488</v>
      </c>
      <c r="D158" s="76" t="s">
        <v>1864</v>
      </c>
      <c r="E158" s="76" t="s">
        <v>2458</v>
      </c>
      <c r="F158" s="75" t="s">
        <v>2459</v>
      </c>
      <c r="G158" s="192" t="s">
        <v>1942</v>
      </c>
      <c r="H158" s="75" t="s">
        <v>1750</v>
      </c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</row>
    <row r="159" spans="1:26" ht="12.75" x14ac:dyDescent="0.2">
      <c r="A159" s="62" t="s">
        <v>784</v>
      </c>
      <c r="B159" s="75" t="s">
        <v>2422</v>
      </c>
      <c r="C159" s="193">
        <v>43489</v>
      </c>
      <c r="D159" s="76" t="s">
        <v>1865</v>
      </c>
      <c r="E159" s="76" t="s">
        <v>2460</v>
      </c>
      <c r="F159" s="75" t="s">
        <v>2461</v>
      </c>
      <c r="G159" s="192" t="s">
        <v>1942</v>
      </c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</row>
    <row r="160" spans="1:26" ht="12.75" x14ac:dyDescent="0.2">
      <c r="A160" s="62" t="s">
        <v>867</v>
      </c>
      <c r="B160" s="75" t="s">
        <v>2422</v>
      </c>
      <c r="C160" s="193">
        <v>43616</v>
      </c>
      <c r="D160" s="76" t="s">
        <v>1868</v>
      </c>
      <c r="E160" s="76" t="s">
        <v>2462</v>
      </c>
      <c r="F160" s="75" t="s">
        <v>2463</v>
      </c>
      <c r="G160" s="192" t="s">
        <v>1942</v>
      </c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</row>
    <row r="161" spans="1:26" ht="12.75" x14ac:dyDescent="0.2">
      <c r="A161" s="62" t="s">
        <v>785</v>
      </c>
      <c r="B161" s="75" t="s">
        <v>2422</v>
      </c>
      <c r="C161" s="193">
        <v>43551</v>
      </c>
      <c r="D161" s="76" t="s">
        <v>1869</v>
      </c>
      <c r="E161" s="76" t="s">
        <v>2464</v>
      </c>
      <c r="F161" s="75" t="s">
        <v>2465</v>
      </c>
      <c r="G161" s="192" t="s">
        <v>1942</v>
      </c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</row>
    <row r="162" spans="1:26" ht="12.75" x14ac:dyDescent="0.2">
      <c r="A162" s="62" t="s">
        <v>786</v>
      </c>
      <c r="B162" s="75" t="s">
        <v>2422</v>
      </c>
      <c r="C162" s="194">
        <v>43586</v>
      </c>
      <c r="D162" s="76" t="s">
        <v>1870</v>
      </c>
      <c r="E162" s="76" t="s">
        <v>2466</v>
      </c>
      <c r="F162" s="75" t="s">
        <v>2467</v>
      </c>
      <c r="G162" s="192" t="s">
        <v>1942</v>
      </c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</row>
    <row r="163" spans="1:26" ht="12.75" x14ac:dyDescent="0.2">
      <c r="A163" s="62" t="s">
        <v>787</v>
      </c>
      <c r="B163" s="75" t="s">
        <v>2422</v>
      </c>
      <c r="C163" s="194">
        <v>43591</v>
      </c>
      <c r="D163" s="76" t="s">
        <v>1871</v>
      </c>
      <c r="E163" s="76" t="s">
        <v>2468</v>
      </c>
      <c r="F163" s="75" t="s">
        <v>2469</v>
      </c>
      <c r="G163" s="192" t="s">
        <v>1942</v>
      </c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</row>
    <row r="164" spans="1:26" ht="12.75" x14ac:dyDescent="0.2">
      <c r="A164" s="62" t="s">
        <v>788</v>
      </c>
      <c r="B164" s="75" t="s">
        <v>2422</v>
      </c>
      <c r="C164" s="191">
        <v>43557</v>
      </c>
      <c r="D164" s="76" t="s">
        <v>1926</v>
      </c>
      <c r="E164" s="76" t="s">
        <v>2470</v>
      </c>
      <c r="F164" s="75" t="s">
        <v>2471</v>
      </c>
      <c r="G164" s="192" t="s">
        <v>1942</v>
      </c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</row>
    <row r="165" spans="1:26" ht="12.75" x14ac:dyDescent="0.2">
      <c r="A165" s="62" t="s">
        <v>789</v>
      </c>
      <c r="B165" s="75" t="s">
        <v>2422</v>
      </c>
      <c r="C165" s="195">
        <v>43606</v>
      </c>
      <c r="D165" s="76" t="s">
        <v>1872</v>
      </c>
      <c r="E165" s="76" t="s">
        <v>2472</v>
      </c>
      <c r="F165" s="75" t="s">
        <v>2473</v>
      </c>
      <c r="G165" s="192" t="s">
        <v>1942</v>
      </c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</row>
    <row r="166" spans="1:26" ht="12.75" x14ac:dyDescent="0.2">
      <c r="A166" s="62" t="s">
        <v>791</v>
      </c>
      <c r="B166" s="75" t="s">
        <v>2422</v>
      </c>
      <c r="C166" s="191">
        <v>43808</v>
      </c>
      <c r="D166" s="76" t="s">
        <v>1874</v>
      </c>
      <c r="E166" s="76" t="s">
        <v>2474</v>
      </c>
      <c r="F166" s="75" t="s">
        <v>2475</v>
      </c>
      <c r="G166" s="192" t="s">
        <v>1942</v>
      </c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</row>
    <row r="167" spans="1:26" ht="12.75" x14ac:dyDescent="0.2">
      <c r="A167" s="62" t="s">
        <v>792</v>
      </c>
      <c r="B167" s="75" t="s">
        <v>2422</v>
      </c>
      <c r="C167" s="191">
        <v>43472</v>
      </c>
      <c r="D167" s="76" t="s">
        <v>1875</v>
      </c>
      <c r="E167" s="76" t="s">
        <v>2476</v>
      </c>
      <c r="F167" s="75" t="s">
        <v>2477</v>
      </c>
      <c r="G167" s="192" t="s">
        <v>1942</v>
      </c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</row>
    <row r="168" spans="1:26" ht="12.75" x14ac:dyDescent="0.2">
      <c r="A168" s="62" t="s">
        <v>793</v>
      </c>
      <c r="B168" s="75" t="s">
        <v>2422</v>
      </c>
      <c r="C168" s="193">
        <v>43507</v>
      </c>
      <c r="D168" s="76" t="s">
        <v>1876</v>
      </c>
      <c r="E168" s="76" t="s">
        <v>2478</v>
      </c>
      <c r="F168" s="75" t="s">
        <v>2479</v>
      </c>
      <c r="G168" s="192" t="s">
        <v>1942</v>
      </c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</row>
    <row r="169" spans="1:26" ht="12.75" x14ac:dyDescent="0.2">
      <c r="A169" s="62" t="s">
        <v>795</v>
      </c>
      <c r="B169" s="75" t="s">
        <v>2422</v>
      </c>
      <c r="C169" s="193">
        <v>43535</v>
      </c>
      <c r="D169" s="76" t="s">
        <v>1878</v>
      </c>
      <c r="E169" s="76" t="s">
        <v>2480</v>
      </c>
      <c r="F169" s="75" t="s">
        <v>2481</v>
      </c>
      <c r="G169" s="192" t="s">
        <v>1942</v>
      </c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</row>
    <row r="170" spans="1:26" ht="12.75" x14ac:dyDescent="0.2">
      <c r="A170" s="62" t="s">
        <v>796</v>
      </c>
      <c r="B170" s="75" t="s">
        <v>2422</v>
      </c>
      <c r="C170" s="193">
        <v>43551</v>
      </c>
      <c r="D170" s="76" t="s">
        <v>1879</v>
      </c>
      <c r="E170" s="76" t="s">
        <v>2482</v>
      </c>
      <c r="F170" s="75" t="s">
        <v>2483</v>
      </c>
      <c r="G170" s="192" t="s">
        <v>1942</v>
      </c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</row>
    <row r="171" spans="1:26" ht="12.75" x14ac:dyDescent="0.2">
      <c r="A171" s="62" t="s">
        <v>797</v>
      </c>
      <c r="B171" s="75" t="s">
        <v>2422</v>
      </c>
      <c r="C171" s="193">
        <v>43551</v>
      </c>
      <c r="D171" s="76" t="s">
        <v>1880</v>
      </c>
      <c r="E171" s="76" t="s">
        <v>2484</v>
      </c>
      <c r="F171" s="75" t="s">
        <v>2485</v>
      </c>
      <c r="G171" s="192" t="s">
        <v>1942</v>
      </c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</row>
    <row r="172" spans="1:26" ht="12.75" x14ac:dyDescent="0.2">
      <c r="A172" s="62" t="s">
        <v>798</v>
      </c>
      <c r="B172" s="75" t="s">
        <v>2422</v>
      </c>
      <c r="C172" s="191">
        <v>43649</v>
      </c>
      <c r="D172" s="76" t="s">
        <v>1881</v>
      </c>
      <c r="E172" s="76" t="s">
        <v>2486</v>
      </c>
      <c r="F172" s="75" t="s">
        <v>2487</v>
      </c>
      <c r="G172" s="192" t="s">
        <v>1942</v>
      </c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</row>
    <row r="173" spans="1:26" ht="12.75" x14ac:dyDescent="0.2">
      <c r="A173" s="62" t="s">
        <v>799</v>
      </c>
      <c r="B173" s="75" t="s">
        <v>2422</v>
      </c>
      <c r="C173" s="191">
        <v>43654</v>
      </c>
      <c r="D173" s="76" t="s">
        <v>1882</v>
      </c>
      <c r="E173" s="76" t="s">
        <v>2488</v>
      </c>
      <c r="F173" s="75" t="s">
        <v>2489</v>
      </c>
      <c r="G173" s="192" t="s">
        <v>1942</v>
      </c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</row>
    <row r="174" spans="1:26" ht="12.75" x14ac:dyDescent="0.2">
      <c r="A174" s="62" t="s">
        <v>800</v>
      </c>
      <c r="B174" s="75" t="s">
        <v>2422</v>
      </c>
      <c r="C174" s="191">
        <v>43472</v>
      </c>
      <c r="D174" s="76" t="s">
        <v>1883</v>
      </c>
      <c r="E174" s="76" t="s">
        <v>2490</v>
      </c>
      <c r="F174" s="75" t="s">
        <v>2491</v>
      </c>
      <c r="G174" s="192" t="s">
        <v>1942</v>
      </c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</row>
    <row r="175" spans="1:26" ht="12.75" x14ac:dyDescent="0.2">
      <c r="A175" s="62" t="s">
        <v>801</v>
      </c>
      <c r="B175" s="75" t="s">
        <v>2422</v>
      </c>
      <c r="C175" s="193">
        <v>43571</v>
      </c>
      <c r="D175" s="76" t="s">
        <v>1884</v>
      </c>
      <c r="E175" s="76" t="s">
        <v>2492</v>
      </c>
      <c r="F175" s="75" t="s">
        <v>2493</v>
      </c>
      <c r="G175" s="192" t="s">
        <v>1942</v>
      </c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</row>
    <row r="176" spans="1:26" ht="12.75" x14ac:dyDescent="0.2">
      <c r="A176" s="62" t="s">
        <v>803</v>
      </c>
      <c r="B176" s="75" t="s">
        <v>2422</v>
      </c>
      <c r="C176" s="191">
        <v>43528</v>
      </c>
      <c r="D176" s="76" t="s">
        <v>1886</v>
      </c>
      <c r="E176" s="76" t="s">
        <v>2494</v>
      </c>
      <c r="F176" s="75" t="s">
        <v>2495</v>
      </c>
      <c r="G176" s="192" t="s">
        <v>1942</v>
      </c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</row>
    <row r="177" spans="1:26" ht="12.75" x14ac:dyDescent="0.2">
      <c r="A177" s="62" t="s">
        <v>804</v>
      </c>
      <c r="B177" s="75" t="s">
        <v>2422</v>
      </c>
      <c r="C177" s="191">
        <v>43556</v>
      </c>
      <c r="D177" s="76" t="s">
        <v>1887</v>
      </c>
      <c r="E177" s="76" t="s">
        <v>2496</v>
      </c>
      <c r="F177" s="75" t="s">
        <v>2497</v>
      </c>
      <c r="G177" s="192" t="s">
        <v>1942</v>
      </c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</row>
    <row r="178" spans="1:26" ht="12.75" x14ac:dyDescent="0.2">
      <c r="A178" s="62" t="s">
        <v>805</v>
      </c>
      <c r="B178" s="75" t="s">
        <v>2422</v>
      </c>
      <c r="C178" s="191">
        <v>43557</v>
      </c>
      <c r="D178" s="76" t="s">
        <v>1888</v>
      </c>
      <c r="E178" s="76" t="s">
        <v>2498</v>
      </c>
      <c r="F178" s="75" t="s">
        <v>2499</v>
      </c>
      <c r="G178" s="192" t="s">
        <v>1942</v>
      </c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</row>
    <row r="179" spans="1:26" ht="12.75" x14ac:dyDescent="0.2">
      <c r="A179" s="62" t="s">
        <v>806</v>
      </c>
      <c r="B179" s="75" t="s">
        <v>2422</v>
      </c>
      <c r="C179" s="195">
        <v>43598</v>
      </c>
      <c r="D179" s="76" t="s">
        <v>1889</v>
      </c>
      <c r="E179" s="76" t="s">
        <v>2500</v>
      </c>
      <c r="F179" s="75" t="s">
        <v>2501</v>
      </c>
      <c r="G179" s="192" t="s">
        <v>1942</v>
      </c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</row>
    <row r="180" spans="1:26" ht="12.75" x14ac:dyDescent="0.2">
      <c r="A180" s="62" t="s">
        <v>808</v>
      </c>
      <c r="B180" s="75" t="s">
        <v>2422</v>
      </c>
      <c r="C180" s="193">
        <v>43696</v>
      </c>
      <c r="D180" s="76" t="s">
        <v>1891</v>
      </c>
      <c r="E180" s="76" t="s">
        <v>2502</v>
      </c>
      <c r="F180" s="75" t="s">
        <v>2503</v>
      </c>
      <c r="G180" s="192" t="s">
        <v>1942</v>
      </c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</row>
    <row r="181" spans="1:26" ht="12.75" x14ac:dyDescent="0.2">
      <c r="A181" s="62" t="s">
        <v>811</v>
      </c>
      <c r="B181" s="75" t="s">
        <v>2422</v>
      </c>
      <c r="C181" s="191">
        <v>43648</v>
      </c>
      <c r="D181" s="76" t="s">
        <v>1894</v>
      </c>
      <c r="E181" s="76" t="s">
        <v>2504</v>
      </c>
      <c r="F181" s="75" t="s">
        <v>2505</v>
      </c>
      <c r="G181" s="192" t="s">
        <v>1942</v>
      </c>
      <c r="H181" s="75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</row>
    <row r="182" spans="1:26" ht="12.75" x14ac:dyDescent="0.2">
      <c r="A182" s="62" t="s">
        <v>812</v>
      </c>
      <c r="B182" s="75" t="s">
        <v>2422</v>
      </c>
      <c r="C182" s="193">
        <v>43656</v>
      </c>
      <c r="D182" s="76" t="s">
        <v>1895</v>
      </c>
      <c r="E182" s="76" t="s">
        <v>2506</v>
      </c>
      <c r="F182" s="75" t="s">
        <v>2507</v>
      </c>
      <c r="G182" s="192" t="s">
        <v>1942</v>
      </c>
      <c r="H182" s="75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</row>
    <row r="183" spans="1:26" ht="12.75" x14ac:dyDescent="0.2">
      <c r="A183" s="62" t="s">
        <v>813</v>
      </c>
      <c r="B183" s="75" t="s">
        <v>2422</v>
      </c>
      <c r="C183" s="191">
        <v>43655</v>
      </c>
      <c r="D183" s="76" t="s">
        <v>1896</v>
      </c>
      <c r="E183" s="76" t="s">
        <v>2508</v>
      </c>
      <c r="F183" s="75" t="s">
        <v>2509</v>
      </c>
      <c r="G183" s="192" t="s">
        <v>1942</v>
      </c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</row>
    <row r="184" spans="1:26" ht="12.75" x14ac:dyDescent="0.2">
      <c r="A184" s="62" t="s">
        <v>815</v>
      </c>
      <c r="B184" s="75" t="s">
        <v>2422</v>
      </c>
      <c r="C184" s="193">
        <v>43697</v>
      </c>
      <c r="D184" s="76" t="s">
        <v>1898</v>
      </c>
      <c r="E184" s="76" t="s">
        <v>2510</v>
      </c>
      <c r="F184" s="75" t="s">
        <v>2511</v>
      </c>
      <c r="G184" s="192" t="s">
        <v>1942</v>
      </c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</row>
    <row r="185" spans="1:26" ht="12.75" x14ac:dyDescent="0.2">
      <c r="A185" s="62" t="s">
        <v>868</v>
      </c>
      <c r="B185" s="75" t="s">
        <v>2422</v>
      </c>
      <c r="C185" s="195">
        <v>43614</v>
      </c>
      <c r="D185" s="76" t="s">
        <v>1900</v>
      </c>
      <c r="E185" s="76" t="s">
        <v>2512</v>
      </c>
      <c r="F185" s="75" t="s">
        <v>2513</v>
      </c>
      <c r="G185" s="192" t="s">
        <v>1942</v>
      </c>
      <c r="H185" s="75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</row>
    <row r="186" spans="1:26" ht="12.75" x14ac:dyDescent="0.2">
      <c r="A186" s="62" t="s">
        <v>817</v>
      </c>
      <c r="B186" s="75" t="s">
        <v>2422</v>
      </c>
      <c r="C186" s="191">
        <v>43623</v>
      </c>
      <c r="D186" s="76" t="s">
        <v>1901</v>
      </c>
      <c r="E186" s="76" t="s">
        <v>2514</v>
      </c>
      <c r="F186" s="75" t="s">
        <v>2515</v>
      </c>
      <c r="G186" s="192" t="s">
        <v>1942</v>
      </c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</row>
    <row r="187" spans="1:26" ht="12.75" x14ac:dyDescent="0.2">
      <c r="A187" s="62" t="s">
        <v>819</v>
      </c>
      <c r="B187" s="75" t="s">
        <v>2422</v>
      </c>
      <c r="C187" s="193">
        <v>43861</v>
      </c>
      <c r="D187" s="76" t="s">
        <v>1904</v>
      </c>
      <c r="E187" s="76" t="s">
        <v>2516</v>
      </c>
      <c r="F187" s="75" t="s">
        <v>2517</v>
      </c>
      <c r="G187" s="192" t="s">
        <v>1942</v>
      </c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</row>
    <row r="188" spans="1:26" ht="12.75" x14ac:dyDescent="0.2">
      <c r="A188" s="62" t="s">
        <v>820</v>
      </c>
      <c r="B188" s="75" t="s">
        <v>2422</v>
      </c>
      <c r="C188" s="191">
        <v>43838</v>
      </c>
      <c r="D188" s="76" t="s">
        <v>1905</v>
      </c>
      <c r="E188" s="76" t="s">
        <v>2518</v>
      </c>
      <c r="F188" s="75" t="s">
        <v>2519</v>
      </c>
      <c r="G188" s="192" t="s">
        <v>1942</v>
      </c>
      <c r="H188" s="75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</row>
    <row r="189" spans="1:26" ht="12.75" x14ac:dyDescent="0.2">
      <c r="A189" s="62" t="s">
        <v>821</v>
      </c>
      <c r="B189" s="75" t="s">
        <v>2422</v>
      </c>
      <c r="C189" s="191">
        <v>43865</v>
      </c>
      <c r="D189" s="76" t="s">
        <v>1906</v>
      </c>
      <c r="E189" s="76" t="s">
        <v>2520</v>
      </c>
      <c r="F189" s="75" t="s">
        <v>2521</v>
      </c>
      <c r="G189" s="192" t="s">
        <v>1942</v>
      </c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</row>
    <row r="190" spans="1:26" ht="12.75" x14ac:dyDescent="0.2">
      <c r="A190" s="62" t="s">
        <v>822</v>
      </c>
      <c r="B190" s="75" t="s">
        <v>2422</v>
      </c>
      <c r="C190" s="193">
        <v>44007</v>
      </c>
      <c r="D190" s="76" t="s">
        <v>1907</v>
      </c>
      <c r="E190" s="76" t="s">
        <v>2522</v>
      </c>
      <c r="F190" s="75" t="s">
        <v>2523</v>
      </c>
      <c r="G190" s="192" t="s">
        <v>1942</v>
      </c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</row>
    <row r="191" spans="1:26" ht="12.75" x14ac:dyDescent="0.2">
      <c r="A191" s="62" t="s">
        <v>824</v>
      </c>
      <c r="B191" s="75" t="s">
        <v>2422</v>
      </c>
      <c r="C191" s="193">
        <v>44098</v>
      </c>
      <c r="D191" s="76" t="s">
        <v>1909</v>
      </c>
      <c r="E191" s="76" t="s">
        <v>2524</v>
      </c>
      <c r="F191" s="75" t="s">
        <v>1943</v>
      </c>
      <c r="G191" s="192" t="s">
        <v>1942</v>
      </c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</row>
    <row r="192" spans="1:26" ht="12.75" x14ac:dyDescent="0.2">
      <c r="A192" s="62" t="s">
        <v>825</v>
      </c>
      <c r="B192" s="75" t="s">
        <v>2422</v>
      </c>
      <c r="C192" s="193">
        <v>44125</v>
      </c>
      <c r="D192" s="76" t="s">
        <v>1910</v>
      </c>
      <c r="E192" s="76" t="s">
        <v>2525</v>
      </c>
      <c r="F192" s="75" t="s">
        <v>1943</v>
      </c>
      <c r="G192" s="192" t="s">
        <v>1942</v>
      </c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</row>
    <row r="193" spans="1:26" ht="12.75" x14ac:dyDescent="0.2">
      <c r="A193" s="62" t="s">
        <v>826</v>
      </c>
      <c r="B193" s="75" t="s">
        <v>2422</v>
      </c>
      <c r="C193" s="193">
        <v>43844</v>
      </c>
      <c r="D193" s="76" t="s">
        <v>1911</v>
      </c>
      <c r="E193" s="76" t="s">
        <v>2526</v>
      </c>
      <c r="F193" s="75" t="s">
        <v>2527</v>
      </c>
      <c r="G193" s="192" t="s">
        <v>1942</v>
      </c>
      <c r="H193" s="75" t="s">
        <v>2431</v>
      </c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</row>
    <row r="194" spans="1:26" ht="12.75" x14ac:dyDescent="0.2">
      <c r="A194" s="62" t="s">
        <v>827</v>
      </c>
      <c r="B194" s="75" t="s">
        <v>2422</v>
      </c>
      <c r="C194" s="193">
        <v>43859</v>
      </c>
      <c r="D194" s="76" t="s">
        <v>1912</v>
      </c>
      <c r="E194" s="76" t="s">
        <v>2528</v>
      </c>
      <c r="F194" s="75" t="s">
        <v>2529</v>
      </c>
      <c r="G194" s="192" t="s">
        <v>1942</v>
      </c>
      <c r="H194" s="75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</row>
    <row r="195" spans="1:26" ht="12.75" x14ac:dyDescent="0.2">
      <c r="A195" s="62" t="s">
        <v>828</v>
      </c>
      <c r="B195" s="75" t="s">
        <v>2422</v>
      </c>
      <c r="C195" s="193">
        <v>43879</v>
      </c>
      <c r="D195" s="76" t="s">
        <v>1913</v>
      </c>
      <c r="E195" s="76" t="s">
        <v>2530</v>
      </c>
      <c r="F195" s="75" t="s">
        <v>2531</v>
      </c>
      <c r="G195" s="192" t="s">
        <v>1942</v>
      </c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</row>
    <row r="196" spans="1:26" ht="12.75" x14ac:dyDescent="0.2">
      <c r="A196" s="62" t="s">
        <v>829</v>
      </c>
      <c r="B196" s="75" t="s">
        <v>2422</v>
      </c>
      <c r="C196" s="191">
        <v>43896</v>
      </c>
      <c r="D196" s="76" t="s">
        <v>1914</v>
      </c>
      <c r="E196" s="76" t="s">
        <v>2532</v>
      </c>
      <c r="F196" s="75" t="s">
        <v>2533</v>
      </c>
      <c r="G196" s="192" t="s">
        <v>1942</v>
      </c>
      <c r="H196" s="75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</row>
    <row r="197" spans="1:26" ht="12.75" x14ac:dyDescent="0.2">
      <c r="A197" s="62" t="s">
        <v>831</v>
      </c>
      <c r="B197" s="75" t="s">
        <v>2422</v>
      </c>
      <c r="C197" s="193">
        <v>44060</v>
      </c>
      <c r="D197" s="76" t="s">
        <v>1916</v>
      </c>
      <c r="E197" s="76" t="s">
        <v>2534</v>
      </c>
      <c r="F197" s="75" t="s">
        <v>2535</v>
      </c>
      <c r="G197" s="75" t="s">
        <v>1942</v>
      </c>
      <c r="H197" s="75" t="s">
        <v>2536</v>
      </c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</row>
    <row r="198" spans="1:26" ht="12.75" x14ac:dyDescent="0.2">
      <c r="A198" s="62" t="s">
        <v>832</v>
      </c>
      <c r="B198" s="75" t="s">
        <v>2422</v>
      </c>
      <c r="C198" s="191">
        <v>44110</v>
      </c>
      <c r="D198" s="76" t="s">
        <v>1917</v>
      </c>
      <c r="E198" s="76" t="s">
        <v>2537</v>
      </c>
      <c r="F198" s="75" t="s">
        <v>1943</v>
      </c>
      <c r="G198" s="192" t="s">
        <v>1942</v>
      </c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</row>
    <row r="199" spans="1:26" ht="12.75" x14ac:dyDescent="0.2">
      <c r="A199" s="62" t="s">
        <v>833</v>
      </c>
      <c r="B199" s="75" t="s">
        <v>2422</v>
      </c>
      <c r="C199" s="193">
        <v>43903</v>
      </c>
      <c r="D199" s="76" t="s">
        <v>1918</v>
      </c>
      <c r="E199" s="76" t="s">
        <v>2538</v>
      </c>
      <c r="F199" s="75" t="s">
        <v>2539</v>
      </c>
      <c r="G199" s="192" t="s">
        <v>1942</v>
      </c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</row>
    <row r="200" spans="1:26" ht="12.75" x14ac:dyDescent="0.2">
      <c r="A200" s="62" t="s">
        <v>1938</v>
      </c>
      <c r="B200" s="75" t="s">
        <v>2422</v>
      </c>
      <c r="C200" s="193">
        <v>44005</v>
      </c>
      <c r="D200" s="76" t="s">
        <v>2540</v>
      </c>
      <c r="E200" s="76" t="s">
        <v>2541</v>
      </c>
      <c r="F200" s="75" t="s">
        <v>2542</v>
      </c>
      <c r="G200" s="192" t="s">
        <v>1942</v>
      </c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</row>
    <row r="201" spans="1:26" ht="12.75" x14ac:dyDescent="0.2">
      <c r="A201" s="62" t="s">
        <v>834</v>
      </c>
      <c r="B201" s="75" t="s">
        <v>2422</v>
      </c>
      <c r="C201" s="193">
        <v>44036</v>
      </c>
      <c r="D201" s="76" t="s">
        <v>1920</v>
      </c>
      <c r="E201" s="76" t="s">
        <v>2543</v>
      </c>
      <c r="F201" s="75" t="s">
        <v>2544</v>
      </c>
      <c r="G201" s="192" t="s">
        <v>1942</v>
      </c>
      <c r="H201" s="75" t="s">
        <v>2545</v>
      </c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</row>
    <row r="202" spans="1:26" ht="12.75" x14ac:dyDescent="0.2">
      <c r="A202" s="62" t="s">
        <v>1939</v>
      </c>
      <c r="B202" s="75" t="s">
        <v>2422</v>
      </c>
      <c r="C202" s="193">
        <v>44004</v>
      </c>
      <c r="D202" s="76" t="s">
        <v>2546</v>
      </c>
      <c r="E202" s="76" t="s">
        <v>2547</v>
      </c>
      <c r="F202" s="75" t="s">
        <v>2548</v>
      </c>
      <c r="G202" s="192" t="s">
        <v>1942</v>
      </c>
      <c r="H202" s="75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</row>
    <row r="203" spans="1:26" ht="12.75" x14ac:dyDescent="0.2">
      <c r="A203" s="62" t="s">
        <v>835</v>
      </c>
      <c r="B203" s="75" t="s">
        <v>2422</v>
      </c>
      <c r="C203" s="193">
        <v>44070</v>
      </c>
      <c r="D203" s="76" t="s">
        <v>1921</v>
      </c>
      <c r="E203" s="76" t="s">
        <v>2549</v>
      </c>
      <c r="F203" s="75" t="s">
        <v>2550</v>
      </c>
      <c r="G203" s="192" t="s">
        <v>1942</v>
      </c>
      <c r="H203" s="75" t="s">
        <v>2551</v>
      </c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</row>
    <row r="204" spans="1:26" ht="12.75" x14ac:dyDescent="0.2">
      <c r="A204" s="62" t="s">
        <v>836</v>
      </c>
      <c r="B204" s="75" t="s">
        <v>2422</v>
      </c>
      <c r="C204" s="191">
        <v>44111</v>
      </c>
      <c r="D204" s="76" t="s">
        <v>1922</v>
      </c>
      <c r="E204" s="76" t="s">
        <v>2552</v>
      </c>
      <c r="F204" s="75" t="s">
        <v>1943</v>
      </c>
      <c r="G204" s="192" t="s">
        <v>1942</v>
      </c>
      <c r="H204" s="75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</row>
    <row r="205" spans="1:26" ht="12.75" x14ac:dyDescent="0.2">
      <c r="A205" s="62" t="s">
        <v>837</v>
      </c>
      <c r="B205" s="75" t="s">
        <v>2422</v>
      </c>
      <c r="C205" s="191">
        <v>44083</v>
      </c>
      <c r="D205" s="76" t="s">
        <v>1923</v>
      </c>
      <c r="E205" s="76" t="s">
        <v>2553</v>
      </c>
      <c r="F205" s="75" t="s">
        <v>2554</v>
      </c>
      <c r="G205" s="192" t="s">
        <v>1942</v>
      </c>
      <c r="H205" s="75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</row>
    <row r="206" spans="1:26" ht="12.75" x14ac:dyDescent="0.2">
      <c r="A206" s="62" t="s">
        <v>838</v>
      </c>
      <c r="B206" s="75" t="s">
        <v>2422</v>
      </c>
      <c r="C206" s="193">
        <v>44117</v>
      </c>
      <c r="D206" s="76" t="s">
        <v>1924</v>
      </c>
      <c r="E206" s="76" t="s">
        <v>2555</v>
      </c>
      <c r="F206" s="75" t="s">
        <v>1943</v>
      </c>
      <c r="G206" s="192" t="s">
        <v>1942</v>
      </c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</row>
    <row r="207" spans="1:26" ht="12.75" x14ac:dyDescent="0.2">
      <c r="A207" s="62" t="s">
        <v>839</v>
      </c>
      <c r="B207" s="75" t="s">
        <v>2422</v>
      </c>
      <c r="C207" s="193">
        <v>44119</v>
      </c>
      <c r="D207" s="76" t="s">
        <v>1925</v>
      </c>
      <c r="E207" s="76" t="s">
        <v>2556</v>
      </c>
      <c r="F207" s="75" t="s">
        <v>1943</v>
      </c>
      <c r="G207" s="192" t="s">
        <v>1942</v>
      </c>
      <c r="H207" s="75" t="s">
        <v>2557</v>
      </c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</row>
    <row r="208" spans="1:26" ht="12.75" x14ac:dyDescent="0.2">
      <c r="A208" s="62" t="s">
        <v>841</v>
      </c>
      <c r="B208" s="75" t="s">
        <v>2422</v>
      </c>
      <c r="C208" s="193">
        <v>43145</v>
      </c>
      <c r="D208" s="76" t="s">
        <v>1733</v>
      </c>
      <c r="E208" s="76" t="s">
        <v>2558</v>
      </c>
      <c r="F208" s="75" t="s">
        <v>2559</v>
      </c>
      <c r="G208" s="192" t="s">
        <v>1942</v>
      </c>
      <c r="H208" s="75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</row>
    <row r="209" spans="1:26" ht="12.75" x14ac:dyDescent="0.2">
      <c r="A209" s="62" t="s">
        <v>843</v>
      </c>
      <c r="B209" s="75" t="s">
        <v>2422</v>
      </c>
      <c r="C209" s="193">
        <v>43635</v>
      </c>
      <c r="D209" s="76" t="s">
        <v>1744</v>
      </c>
      <c r="E209" s="76" t="s">
        <v>2560</v>
      </c>
      <c r="F209" s="75" t="s">
        <v>2561</v>
      </c>
      <c r="G209" s="192" t="s">
        <v>1942</v>
      </c>
      <c r="H209" s="75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</row>
    <row r="210" spans="1:26" ht="12.75" x14ac:dyDescent="0.2">
      <c r="A210" s="62" t="s">
        <v>848</v>
      </c>
      <c r="B210" s="75" t="s">
        <v>2422</v>
      </c>
      <c r="C210" s="191">
        <v>43556</v>
      </c>
      <c r="D210" s="76" t="s">
        <v>1785</v>
      </c>
      <c r="E210" s="76" t="s">
        <v>2562</v>
      </c>
      <c r="F210" s="75" t="s">
        <v>2563</v>
      </c>
      <c r="G210" s="192" t="s">
        <v>1942</v>
      </c>
      <c r="H210" s="75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</row>
    <row r="211" spans="1:26" ht="12.75" x14ac:dyDescent="0.2">
      <c r="A211" s="62" t="s">
        <v>850</v>
      </c>
      <c r="B211" s="75" t="s">
        <v>2422</v>
      </c>
      <c r="C211" s="191">
        <v>43808</v>
      </c>
      <c r="D211" s="76" t="s">
        <v>1818</v>
      </c>
      <c r="E211" s="76" t="s">
        <v>2564</v>
      </c>
      <c r="F211" s="75" t="s">
        <v>2565</v>
      </c>
      <c r="G211" s="192" t="s">
        <v>1942</v>
      </c>
      <c r="H211" s="75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</row>
    <row r="212" spans="1:26" ht="12.75" x14ac:dyDescent="0.2">
      <c r="A212" s="62" t="s">
        <v>873</v>
      </c>
      <c r="B212" s="75" t="s">
        <v>2422</v>
      </c>
      <c r="C212" s="193">
        <v>43522</v>
      </c>
      <c r="D212" s="76" t="s">
        <v>1826</v>
      </c>
      <c r="E212" s="76" t="s">
        <v>2566</v>
      </c>
      <c r="F212" s="75" t="s">
        <v>2567</v>
      </c>
      <c r="G212" s="192" t="s">
        <v>1942</v>
      </c>
      <c r="H212" s="75" t="s">
        <v>2568</v>
      </c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</row>
    <row r="213" spans="1:26" ht="12.75" x14ac:dyDescent="0.2">
      <c r="A213" s="62" t="s">
        <v>853</v>
      </c>
      <c r="B213" s="75" t="s">
        <v>2422</v>
      </c>
      <c r="C213" s="191">
        <v>43777</v>
      </c>
      <c r="D213" s="76" t="s">
        <v>1854</v>
      </c>
      <c r="E213" s="76" t="s">
        <v>2569</v>
      </c>
      <c r="F213" s="75" t="s">
        <v>2570</v>
      </c>
      <c r="G213" s="192" t="s">
        <v>1942</v>
      </c>
      <c r="H213" s="75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</row>
    <row r="214" spans="1:26" ht="12.75" x14ac:dyDescent="0.2">
      <c r="A214" s="62" t="s">
        <v>854</v>
      </c>
      <c r="B214" s="75" t="s">
        <v>2422</v>
      </c>
      <c r="C214" s="193">
        <v>43663</v>
      </c>
      <c r="D214" s="76" t="s">
        <v>1858</v>
      </c>
      <c r="E214" s="76" t="s">
        <v>2571</v>
      </c>
      <c r="F214" s="75" t="s">
        <v>2572</v>
      </c>
      <c r="G214" s="192" t="s">
        <v>1942</v>
      </c>
      <c r="H214" s="75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</row>
    <row r="215" spans="1:26" ht="12.75" x14ac:dyDescent="0.2">
      <c r="A215" s="62" t="s">
        <v>856</v>
      </c>
      <c r="B215" s="75" t="s">
        <v>2422</v>
      </c>
      <c r="C215" s="193">
        <v>43796</v>
      </c>
      <c r="D215" s="76" t="s">
        <v>1867</v>
      </c>
      <c r="E215" s="76" t="s">
        <v>2573</v>
      </c>
      <c r="F215" s="75" t="s">
        <v>2574</v>
      </c>
      <c r="G215" s="192" t="s">
        <v>1942</v>
      </c>
      <c r="H215" s="75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</row>
    <row r="216" spans="1:26" ht="12.75" x14ac:dyDescent="0.2">
      <c r="A216" s="62" t="s">
        <v>857</v>
      </c>
      <c r="B216" s="75" t="s">
        <v>2422</v>
      </c>
      <c r="C216" s="193">
        <v>44130</v>
      </c>
      <c r="D216" s="76" t="s">
        <v>1902</v>
      </c>
      <c r="E216" s="76" t="s">
        <v>2575</v>
      </c>
      <c r="F216" s="75" t="s">
        <v>2576</v>
      </c>
      <c r="G216" s="192" t="s">
        <v>1942</v>
      </c>
      <c r="H216" s="75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</row>
    <row r="217" spans="1:26" ht="12.75" x14ac:dyDescent="0.2">
      <c r="A217" s="62" t="s">
        <v>858</v>
      </c>
      <c r="B217" s="75" t="s">
        <v>2422</v>
      </c>
      <c r="C217" s="191">
        <v>43987</v>
      </c>
      <c r="D217" s="76" t="s">
        <v>1919</v>
      </c>
      <c r="E217" s="76" t="s">
        <v>2577</v>
      </c>
      <c r="F217" s="75" t="s">
        <v>2578</v>
      </c>
      <c r="G217" s="192" t="s">
        <v>1942</v>
      </c>
      <c r="H217" s="75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</row>
    <row r="218" spans="1:26" ht="15.75" customHeight="1" x14ac:dyDescent="0.25">
      <c r="A218" s="61"/>
      <c r="B218" s="76"/>
      <c r="C218" s="196"/>
      <c r="D218" s="76"/>
      <c r="E218" s="76"/>
      <c r="F218" s="75"/>
      <c r="G218" s="17"/>
    </row>
    <row r="219" spans="1:26" ht="15.75" customHeight="1" x14ac:dyDescent="0.25">
      <c r="A219" s="61"/>
      <c r="B219" s="76"/>
      <c r="C219" s="197"/>
      <c r="D219" s="76"/>
      <c r="E219" s="76"/>
      <c r="F219" s="75"/>
      <c r="G219" s="17"/>
    </row>
    <row r="220" spans="1:26" ht="15.75" customHeight="1" x14ac:dyDescent="0.25">
      <c r="A220" s="61"/>
      <c r="B220" s="76"/>
      <c r="C220" s="198"/>
      <c r="D220" s="76"/>
      <c r="E220" s="76"/>
      <c r="F220" s="75"/>
      <c r="G220" s="17"/>
    </row>
    <row r="221" spans="1:26" ht="15.75" customHeight="1" x14ac:dyDescent="0.25">
      <c r="A221" s="61"/>
      <c r="B221" s="76"/>
      <c r="C221" s="197"/>
      <c r="D221" s="76"/>
      <c r="E221" s="76"/>
      <c r="F221" s="75"/>
      <c r="G221" s="17"/>
    </row>
    <row r="222" spans="1:26" ht="15.75" customHeight="1" x14ac:dyDescent="0.25">
      <c r="A222" s="61"/>
      <c r="B222" s="76"/>
      <c r="C222" s="199"/>
      <c r="D222" s="76"/>
      <c r="E222" s="76"/>
      <c r="F222" s="75"/>
      <c r="G222" s="17"/>
    </row>
    <row r="223" spans="1:26" ht="15.75" customHeight="1" x14ac:dyDescent="0.25">
      <c r="A223" s="61"/>
      <c r="B223" s="76"/>
      <c r="C223" s="199"/>
      <c r="D223" s="76"/>
      <c r="E223" s="76"/>
      <c r="F223" s="75"/>
      <c r="G223" s="17"/>
    </row>
    <row r="224" spans="1:26" ht="15.75" customHeight="1" x14ac:dyDescent="0.25">
      <c r="A224" s="61"/>
      <c r="B224" s="76"/>
      <c r="C224" s="199"/>
      <c r="D224" s="76"/>
      <c r="E224" s="76"/>
      <c r="F224" s="75"/>
      <c r="G224" s="17"/>
    </row>
    <row r="225" spans="1:7" ht="15.75" customHeight="1" x14ac:dyDescent="0.25">
      <c r="A225" s="61"/>
      <c r="B225" s="76"/>
      <c r="C225" s="197"/>
      <c r="D225" s="76"/>
      <c r="E225" s="76"/>
      <c r="F225" s="75"/>
      <c r="G225" s="17"/>
    </row>
    <row r="226" spans="1:7" ht="15.75" customHeight="1" x14ac:dyDescent="0.25">
      <c r="A226" s="61"/>
      <c r="B226" s="76"/>
      <c r="C226" s="197"/>
      <c r="D226" s="76"/>
      <c r="E226" s="76"/>
      <c r="F226" s="75"/>
      <c r="G226" s="17"/>
    </row>
    <row r="227" spans="1:7" ht="15.75" customHeight="1" x14ac:dyDescent="0.25">
      <c r="A227" s="61"/>
      <c r="B227" s="76"/>
      <c r="C227" s="199"/>
      <c r="D227" s="76"/>
      <c r="E227" s="76"/>
      <c r="F227" s="75"/>
      <c r="G227" s="17"/>
    </row>
    <row r="228" spans="1:7" ht="15.75" customHeight="1" x14ac:dyDescent="0.25">
      <c r="A228" s="61"/>
      <c r="B228" s="76"/>
      <c r="C228" s="199"/>
      <c r="D228" s="76"/>
      <c r="E228" s="76"/>
      <c r="F228" s="75"/>
      <c r="G228" s="17"/>
    </row>
    <row r="229" spans="1:7" ht="15.75" customHeight="1" x14ac:dyDescent="0.25">
      <c r="A229" s="61"/>
      <c r="B229" s="76"/>
      <c r="C229" s="197"/>
      <c r="D229" s="76"/>
      <c r="E229" s="76"/>
      <c r="F229" s="75"/>
      <c r="G229" s="17"/>
    </row>
    <row r="230" spans="1:7" ht="15.75" customHeight="1" x14ac:dyDescent="0.25">
      <c r="A230" s="61"/>
      <c r="B230" s="76"/>
      <c r="C230" s="197"/>
      <c r="D230" s="76"/>
      <c r="E230" s="76"/>
      <c r="F230" s="75"/>
      <c r="G230" s="17"/>
    </row>
    <row r="231" spans="1:7" ht="15.75" customHeight="1" x14ac:dyDescent="0.25">
      <c r="A231" s="61"/>
      <c r="B231" s="76"/>
      <c r="C231" s="199"/>
      <c r="D231" s="76"/>
      <c r="E231" s="76"/>
      <c r="F231" s="75"/>
      <c r="G231" s="17"/>
    </row>
    <row r="232" spans="1:7" ht="15.75" customHeight="1" x14ac:dyDescent="0.25">
      <c r="A232" s="61"/>
      <c r="B232" s="76"/>
      <c r="C232" s="199"/>
      <c r="D232" s="76"/>
      <c r="E232" s="76"/>
      <c r="F232" s="75"/>
      <c r="G232" s="17"/>
    </row>
    <row r="233" spans="1:7" ht="15.75" customHeight="1" x14ac:dyDescent="0.25">
      <c r="A233" s="61"/>
      <c r="B233" s="76"/>
      <c r="C233" s="197"/>
      <c r="D233" s="76"/>
      <c r="E233" s="76"/>
      <c r="F233" s="75"/>
      <c r="G233" s="17"/>
    </row>
    <row r="234" spans="1:7" ht="15.75" customHeight="1" x14ac:dyDescent="0.25">
      <c r="A234" s="61"/>
      <c r="B234" s="76"/>
      <c r="C234" s="199"/>
      <c r="D234" s="76"/>
      <c r="E234" s="76"/>
      <c r="F234" s="75"/>
      <c r="G234" s="17"/>
    </row>
    <row r="235" spans="1:7" ht="15.75" customHeight="1" x14ac:dyDescent="0.25">
      <c r="A235" s="61"/>
      <c r="B235" s="76"/>
      <c r="C235" s="199"/>
      <c r="D235" s="76"/>
      <c r="E235" s="76"/>
      <c r="F235" s="75"/>
      <c r="G235" s="17"/>
    </row>
    <row r="236" spans="1:7" ht="15.75" customHeight="1" x14ac:dyDescent="0.25">
      <c r="A236" s="61"/>
      <c r="B236" s="76"/>
      <c r="C236" s="199"/>
      <c r="D236" s="76"/>
      <c r="E236" s="76"/>
      <c r="F236" s="75"/>
      <c r="G236" s="17"/>
    </row>
    <row r="237" spans="1:7" ht="15.75" customHeight="1" x14ac:dyDescent="0.25">
      <c r="A237" s="61"/>
      <c r="B237" s="76"/>
      <c r="C237" s="197"/>
      <c r="D237" s="76"/>
      <c r="E237" s="76"/>
      <c r="F237" s="75"/>
      <c r="G237" s="17"/>
    </row>
    <row r="238" spans="1:7" ht="15.75" customHeight="1" x14ac:dyDescent="0.25">
      <c r="A238" s="61"/>
      <c r="B238" s="76"/>
      <c r="C238" s="199"/>
      <c r="D238" s="76"/>
      <c r="E238" s="76"/>
      <c r="F238" s="75"/>
      <c r="G238" s="17"/>
    </row>
    <row r="239" spans="1:7" ht="15.75" customHeight="1" x14ac:dyDescent="0.25">
      <c r="A239" s="61"/>
      <c r="B239" s="76"/>
      <c r="C239" s="199"/>
      <c r="D239" s="76"/>
      <c r="E239" s="76"/>
      <c r="F239" s="75"/>
      <c r="G239" s="17"/>
    </row>
    <row r="240" spans="1:7" ht="15.75" customHeight="1" x14ac:dyDescent="0.25">
      <c r="A240" s="61"/>
      <c r="B240" s="76"/>
      <c r="C240" s="199"/>
      <c r="D240" s="76"/>
      <c r="E240" s="76"/>
      <c r="F240" s="75"/>
      <c r="G240" s="17"/>
    </row>
    <row r="241" spans="1:7" ht="15.75" customHeight="1" x14ac:dyDescent="0.25">
      <c r="A241" s="61"/>
      <c r="B241" s="76"/>
      <c r="C241" s="199"/>
      <c r="D241" s="76"/>
      <c r="E241" s="76"/>
      <c r="F241" s="75"/>
      <c r="G241" s="17"/>
    </row>
    <row r="242" spans="1:7" ht="15.75" customHeight="1" x14ac:dyDescent="0.25">
      <c r="A242" s="61"/>
      <c r="B242" s="76"/>
      <c r="C242" s="199"/>
      <c r="D242" s="76"/>
      <c r="E242" s="76"/>
      <c r="F242" s="75"/>
      <c r="G242" s="17"/>
    </row>
    <row r="243" spans="1:7" ht="15.75" customHeight="1" x14ac:dyDescent="0.25">
      <c r="A243" s="61"/>
      <c r="B243" s="76"/>
      <c r="C243" s="197"/>
      <c r="D243" s="76"/>
      <c r="E243" s="76"/>
      <c r="F243" s="75"/>
      <c r="G243" s="17"/>
    </row>
    <row r="244" spans="1:7" ht="15.75" customHeight="1" x14ac:dyDescent="0.25">
      <c r="A244" s="61"/>
      <c r="B244" s="76"/>
      <c r="C244" s="198"/>
      <c r="D244" s="76"/>
      <c r="E244" s="76"/>
      <c r="F244" s="75"/>
      <c r="G244" s="17"/>
    </row>
    <row r="245" spans="1:7" ht="15.75" customHeight="1" x14ac:dyDescent="0.25">
      <c r="A245" s="61"/>
      <c r="B245" s="76"/>
      <c r="C245" s="199"/>
      <c r="D245" s="76"/>
      <c r="E245" s="76"/>
      <c r="F245" s="75"/>
      <c r="G245" s="17"/>
    </row>
    <row r="246" spans="1:7" ht="15.75" customHeight="1" x14ac:dyDescent="0.25">
      <c r="A246" s="61"/>
      <c r="B246" s="76"/>
      <c r="C246" s="199"/>
      <c r="D246" s="76"/>
      <c r="E246" s="76"/>
      <c r="F246" s="75"/>
      <c r="G246" s="17"/>
    </row>
    <row r="247" spans="1:7" ht="15.75" customHeight="1" x14ac:dyDescent="0.25">
      <c r="A247" s="61"/>
      <c r="B247" s="76"/>
      <c r="C247" s="196"/>
      <c r="D247" s="76"/>
      <c r="E247" s="76"/>
      <c r="F247" s="75"/>
      <c r="G247" s="17"/>
    </row>
    <row r="248" spans="1:7" ht="15.75" customHeight="1" x14ac:dyDescent="0.25">
      <c r="A248" s="61"/>
      <c r="B248" s="76"/>
      <c r="C248" s="199"/>
      <c r="D248" s="76"/>
      <c r="E248" s="76"/>
      <c r="F248" s="75"/>
      <c r="G248" s="17"/>
    </row>
    <row r="249" spans="1:7" ht="15.75" customHeight="1" x14ac:dyDescent="0.25">
      <c r="A249" s="61"/>
      <c r="B249" s="76"/>
      <c r="C249" s="199"/>
      <c r="D249" s="76"/>
      <c r="E249" s="76"/>
      <c r="F249" s="75"/>
      <c r="G249" s="17"/>
    </row>
    <row r="250" spans="1:7" ht="15.75" customHeight="1" x14ac:dyDescent="0.25">
      <c r="A250" s="61"/>
      <c r="B250" s="76"/>
      <c r="C250" s="197"/>
      <c r="D250" s="76"/>
      <c r="E250" s="76"/>
      <c r="F250" s="75"/>
      <c r="G250" s="17"/>
    </row>
    <row r="251" spans="1:7" ht="15.75" customHeight="1" x14ac:dyDescent="0.25">
      <c r="A251" s="61"/>
      <c r="B251" s="76"/>
      <c r="C251" s="199"/>
      <c r="D251" s="76"/>
      <c r="E251" s="76"/>
      <c r="F251" s="75"/>
      <c r="G251" s="17"/>
    </row>
    <row r="252" spans="1:7" ht="15.75" customHeight="1" x14ac:dyDescent="0.25">
      <c r="A252" s="61"/>
      <c r="B252" s="76"/>
      <c r="C252" s="197"/>
      <c r="D252" s="76"/>
      <c r="E252" s="76"/>
      <c r="F252" s="75"/>
      <c r="G252" s="17"/>
    </row>
    <row r="253" spans="1:7" ht="15.75" customHeight="1" x14ac:dyDescent="0.25">
      <c r="A253" s="61"/>
      <c r="B253" s="76"/>
      <c r="C253" s="199"/>
      <c r="D253" s="76"/>
      <c r="E253" s="76"/>
      <c r="F253" s="75"/>
      <c r="G253" s="17"/>
    </row>
    <row r="254" spans="1:7" ht="15.75" customHeight="1" x14ac:dyDescent="0.25">
      <c r="A254" s="61"/>
      <c r="B254" s="76"/>
      <c r="C254" s="199"/>
      <c r="D254" s="76"/>
      <c r="E254" s="76"/>
      <c r="F254" s="75"/>
      <c r="G254" s="17"/>
    </row>
    <row r="255" spans="1:7" ht="15.75" customHeight="1" x14ac:dyDescent="0.25">
      <c r="A255" s="61"/>
      <c r="B255" s="76"/>
      <c r="C255" s="196"/>
      <c r="D255" s="76"/>
      <c r="E255" s="76"/>
      <c r="F255" s="75"/>
      <c r="G255" s="17"/>
    </row>
    <row r="256" spans="1:7" ht="15.75" customHeight="1" x14ac:dyDescent="0.25">
      <c r="A256" s="61"/>
      <c r="B256" s="76"/>
      <c r="C256" s="199"/>
      <c r="D256" s="76"/>
      <c r="E256" s="76"/>
      <c r="F256" s="75"/>
      <c r="G256" s="17"/>
    </row>
    <row r="257" spans="1:7" ht="15.75" customHeight="1" x14ac:dyDescent="0.25">
      <c r="A257" s="61"/>
      <c r="B257" s="76"/>
      <c r="C257" s="197"/>
      <c r="D257" s="76"/>
      <c r="E257" s="76"/>
      <c r="F257" s="75"/>
      <c r="G257" s="17"/>
    </row>
    <row r="258" spans="1:7" ht="15.75" customHeight="1" x14ac:dyDescent="0.25">
      <c r="A258" s="61"/>
      <c r="B258" s="76"/>
      <c r="C258" s="197"/>
      <c r="D258" s="76"/>
      <c r="E258" s="76"/>
      <c r="F258" s="75"/>
      <c r="G258" s="17"/>
    </row>
    <row r="259" spans="1:7" ht="15.75" customHeight="1" x14ac:dyDescent="0.25">
      <c r="A259" s="61"/>
      <c r="B259" s="76"/>
      <c r="C259" s="196"/>
      <c r="D259" s="76"/>
      <c r="E259" s="76"/>
      <c r="F259" s="75"/>
      <c r="G259" s="17"/>
    </row>
    <row r="260" spans="1:7" ht="15.75" customHeight="1" x14ac:dyDescent="0.25">
      <c r="A260" s="61"/>
      <c r="B260" s="76"/>
      <c r="C260" s="199"/>
      <c r="D260" s="76"/>
      <c r="E260" s="76"/>
      <c r="F260" s="75"/>
      <c r="G260" s="17"/>
    </row>
    <row r="261" spans="1:7" ht="15.75" customHeight="1" x14ac:dyDescent="0.25">
      <c r="A261" s="61"/>
      <c r="B261" s="76"/>
      <c r="C261" s="197"/>
      <c r="D261" s="76"/>
      <c r="E261" s="76"/>
      <c r="F261" s="75"/>
      <c r="G261" s="17"/>
    </row>
    <row r="262" spans="1:7" ht="15.75" customHeight="1" x14ac:dyDescent="0.25">
      <c r="A262" s="61"/>
      <c r="B262" s="76"/>
      <c r="C262" s="199"/>
      <c r="D262" s="76"/>
      <c r="E262" s="76"/>
      <c r="F262" s="75"/>
      <c r="G262" s="17"/>
    </row>
    <row r="263" spans="1:7" ht="15.75" customHeight="1" x14ac:dyDescent="0.25">
      <c r="A263" s="61"/>
      <c r="B263" s="76"/>
      <c r="C263" s="199"/>
      <c r="D263" s="76"/>
      <c r="E263" s="76"/>
      <c r="F263" s="75"/>
      <c r="G263" s="17"/>
    </row>
    <row r="264" spans="1:7" ht="15.75" customHeight="1" x14ac:dyDescent="0.25">
      <c r="A264" s="61"/>
      <c r="B264" s="76"/>
      <c r="C264" s="199"/>
      <c r="D264" s="76"/>
      <c r="E264" s="76"/>
      <c r="F264" s="75"/>
      <c r="G264" s="17"/>
    </row>
    <row r="265" spans="1:7" ht="15.75" customHeight="1" x14ac:dyDescent="0.25">
      <c r="A265" s="61"/>
      <c r="B265" s="76"/>
      <c r="C265" s="197"/>
      <c r="D265" s="76"/>
      <c r="E265" s="76"/>
      <c r="F265" s="75"/>
      <c r="G265" s="17"/>
    </row>
    <row r="266" spans="1:7" ht="15.75" customHeight="1" x14ac:dyDescent="0.25">
      <c r="A266" s="61"/>
      <c r="B266" s="76"/>
      <c r="C266" s="199"/>
      <c r="D266" s="76"/>
      <c r="E266" s="76"/>
      <c r="F266" s="75"/>
      <c r="G266" s="17"/>
    </row>
    <row r="267" spans="1:7" ht="15.75" customHeight="1" x14ac:dyDescent="0.25">
      <c r="A267" s="61"/>
      <c r="B267" s="76"/>
      <c r="C267" s="197"/>
      <c r="D267" s="76"/>
      <c r="E267" s="76"/>
      <c r="F267" s="75"/>
      <c r="G267" s="17"/>
    </row>
    <row r="268" spans="1:7" ht="15.75" customHeight="1" x14ac:dyDescent="0.25">
      <c r="A268" s="61"/>
      <c r="B268" s="76"/>
      <c r="C268" s="199"/>
      <c r="D268" s="76"/>
      <c r="E268" s="76"/>
      <c r="F268" s="75"/>
      <c r="G268" s="17"/>
    </row>
    <row r="269" spans="1:7" ht="15.75" customHeight="1" x14ac:dyDescent="0.25">
      <c r="A269" s="61"/>
      <c r="B269" s="76"/>
      <c r="C269" s="199"/>
      <c r="D269" s="76"/>
      <c r="E269" s="76"/>
      <c r="F269" s="75"/>
      <c r="G269" s="17"/>
    </row>
    <row r="270" spans="1:7" ht="15.75" customHeight="1" x14ac:dyDescent="0.25">
      <c r="A270" s="61"/>
      <c r="B270" s="76"/>
      <c r="C270" s="197"/>
      <c r="D270" s="76"/>
      <c r="E270" s="76"/>
      <c r="F270" s="75"/>
      <c r="G270" s="17"/>
    </row>
    <row r="271" spans="1:7" ht="15.75" customHeight="1" x14ac:dyDescent="0.25">
      <c r="A271" s="61"/>
      <c r="B271" s="76"/>
      <c r="C271" s="199"/>
      <c r="D271" s="76"/>
      <c r="E271" s="76"/>
      <c r="F271" s="75"/>
      <c r="G271" s="17"/>
    </row>
    <row r="272" spans="1:7" ht="15.75" customHeight="1" x14ac:dyDescent="0.25">
      <c r="A272" s="61"/>
      <c r="B272" s="76"/>
      <c r="C272" s="199"/>
      <c r="D272" s="76"/>
      <c r="E272" s="76"/>
      <c r="F272" s="75"/>
      <c r="G272" s="17"/>
    </row>
    <row r="273" spans="1:7" ht="15.75" customHeight="1" x14ac:dyDescent="0.25">
      <c r="A273" s="61"/>
      <c r="B273" s="76"/>
      <c r="C273" s="199"/>
      <c r="D273" s="76"/>
      <c r="E273" s="76"/>
      <c r="F273" s="75"/>
      <c r="G273" s="17"/>
    </row>
    <row r="274" spans="1:7" ht="15.75" customHeight="1" x14ac:dyDescent="0.25">
      <c r="A274" s="61"/>
      <c r="B274" s="76"/>
      <c r="C274" s="199"/>
      <c r="D274" s="76"/>
      <c r="E274" s="76"/>
      <c r="F274" s="75"/>
      <c r="G274" s="17"/>
    </row>
    <row r="275" spans="1:7" ht="15.75" customHeight="1" x14ac:dyDescent="0.25">
      <c r="A275" s="61"/>
      <c r="B275" s="76"/>
      <c r="C275" s="199"/>
      <c r="D275" s="76"/>
      <c r="E275" s="76"/>
      <c r="F275" s="75"/>
      <c r="G275" s="17"/>
    </row>
    <row r="276" spans="1:7" ht="15.75" customHeight="1" x14ac:dyDescent="0.25">
      <c r="A276" s="61"/>
      <c r="B276" s="76"/>
      <c r="C276" s="199"/>
      <c r="D276" s="76"/>
      <c r="E276" s="76"/>
      <c r="F276" s="75"/>
      <c r="G276" s="17"/>
    </row>
    <row r="277" spans="1:7" ht="15.75" customHeight="1" x14ac:dyDescent="0.25">
      <c r="A277" s="61"/>
      <c r="B277" s="76"/>
      <c r="C277" s="199"/>
      <c r="D277" s="76"/>
      <c r="E277" s="76"/>
      <c r="F277" s="75"/>
      <c r="G277" s="17"/>
    </row>
    <row r="278" spans="1:7" ht="15.75" customHeight="1" x14ac:dyDescent="0.25">
      <c r="A278" s="61"/>
      <c r="B278" s="76"/>
      <c r="C278" s="197"/>
      <c r="D278" s="76"/>
      <c r="E278" s="76"/>
      <c r="F278" s="75"/>
      <c r="G278" s="17"/>
    </row>
    <row r="279" spans="1:7" ht="15.75" customHeight="1" x14ac:dyDescent="0.25">
      <c r="A279" s="61"/>
      <c r="B279" s="76"/>
      <c r="C279" s="199"/>
      <c r="D279" s="76"/>
      <c r="E279" s="76"/>
      <c r="F279" s="75"/>
      <c r="G279" s="17"/>
    </row>
    <row r="280" spans="1:7" ht="15.75" customHeight="1" x14ac:dyDescent="0.25">
      <c r="A280" s="61"/>
      <c r="B280" s="76"/>
      <c r="C280" s="199"/>
      <c r="D280" s="76"/>
      <c r="E280" s="76"/>
      <c r="F280" s="75"/>
      <c r="G280" s="17"/>
    </row>
    <row r="281" spans="1:7" ht="15.75" customHeight="1" x14ac:dyDescent="0.25">
      <c r="A281" s="61"/>
      <c r="B281" s="76"/>
      <c r="C281" s="197"/>
      <c r="D281" s="76"/>
      <c r="E281" s="76"/>
      <c r="F281" s="75"/>
      <c r="G281" s="17"/>
    </row>
    <row r="282" spans="1:7" ht="15.75" customHeight="1" x14ac:dyDescent="0.25">
      <c r="A282" s="61"/>
      <c r="B282" s="76"/>
      <c r="C282" s="197"/>
      <c r="D282" s="76"/>
      <c r="E282" s="76"/>
      <c r="F282" s="75"/>
      <c r="G282" s="17"/>
    </row>
    <row r="283" spans="1:7" ht="15.75" customHeight="1" x14ac:dyDescent="0.25">
      <c r="A283" s="61"/>
      <c r="B283" s="76"/>
      <c r="C283" s="199"/>
      <c r="D283" s="76"/>
      <c r="E283" s="76"/>
      <c r="F283" s="75"/>
      <c r="G283" s="17"/>
    </row>
    <row r="284" spans="1:7" ht="15.75" customHeight="1" x14ac:dyDescent="0.25">
      <c r="A284" s="61"/>
      <c r="B284" s="76"/>
      <c r="C284" s="199"/>
      <c r="D284" s="76"/>
      <c r="E284" s="76"/>
      <c r="F284" s="75"/>
      <c r="G284" s="17"/>
    </row>
    <row r="285" spans="1:7" ht="15.75" customHeight="1" x14ac:dyDescent="0.25">
      <c r="A285" s="61"/>
      <c r="B285" s="76"/>
      <c r="C285" s="199"/>
      <c r="D285" s="76"/>
      <c r="E285" s="76"/>
      <c r="F285" s="75"/>
      <c r="G285" s="17"/>
    </row>
    <row r="286" spans="1:7" ht="15.75" customHeight="1" x14ac:dyDescent="0.25">
      <c r="A286" s="61"/>
      <c r="B286" s="76"/>
      <c r="C286" s="199"/>
      <c r="D286" s="76"/>
      <c r="E286" s="76"/>
      <c r="F286" s="75"/>
      <c r="G286" s="17"/>
    </row>
    <row r="287" spans="1:7" ht="15.75" customHeight="1" x14ac:dyDescent="0.25">
      <c r="A287" s="61"/>
      <c r="B287" s="76"/>
      <c r="C287" s="199"/>
      <c r="D287" s="76"/>
      <c r="E287" s="76"/>
      <c r="F287" s="75"/>
      <c r="G287" s="17"/>
    </row>
    <row r="288" spans="1:7" ht="15.75" customHeight="1" x14ac:dyDescent="0.25">
      <c r="A288" s="61"/>
      <c r="B288" s="76"/>
      <c r="C288" s="197"/>
      <c r="D288" s="76"/>
      <c r="E288" s="76"/>
      <c r="F288" s="75"/>
      <c r="G288" s="17"/>
    </row>
    <row r="289" spans="1:7" ht="15.75" customHeight="1" x14ac:dyDescent="0.25">
      <c r="A289" s="61"/>
      <c r="B289" s="76"/>
      <c r="C289" s="196"/>
      <c r="D289" s="76"/>
      <c r="E289" s="76"/>
      <c r="F289" s="75"/>
      <c r="G289" s="17"/>
    </row>
    <row r="290" spans="1:7" ht="15.75" customHeight="1" x14ac:dyDescent="0.25">
      <c r="A290" s="61"/>
      <c r="B290" s="76"/>
      <c r="C290" s="199"/>
      <c r="D290" s="76"/>
      <c r="E290" s="76"/>
      <c r="F290" s="75"/>
      <c r="G290" s="17"/>
    </row>
    <row r="291" spans="1:7" ht="15.75" customHeight="1" x14ac:dyDescent="0.25">
      <c r="A291" s="61"/>
      <c r="B291" s="76"/>
      <c r="C291" s="199"/>
      <c r="D291" s="76"/>
      <c r="E291" s="76"/>
      <c r="F291" s="75"/>
      <c r="G291" s="17"/>
    </row>
    <row r="292" spans="1:7" ht="15.75" customHeight="1" x14ac:dyDescent="0.25">
      <c r="A292" s="61"/>
      <c r="B292" s="76"/>
      <c r="C292" s="198"/>
      <c r="D292" s="76"/>
      <c r="E292" s="76"/>
      <c r="F292" s="75"/>
      <c r="G292" s="17"/>
    </row>
    <row r="293" spans="1:7" ht="15.75" customHeight="1" x14ac:dyDescent="0.25">
      <c r="A293" s="61"/>
      <c r="B293" s="76"/>
      <c r="C293" s="196"/>
      <c r="D293" s="76"/>
      <c r="E293" s="76"/>
      <c r="F293" s="75"/>
      <c r="G293" s="17"/>
    </row>
    <row r="294" spans="1:7" ht="15.75" customHeight="1" x14ac:dyDescent="0.25">
      <c r="A294" s="61"/>
      <c r="B294" s="76"/>
      <c r="C294" s="199"/>
      <c r="D294" s="76"/>
      <c r="E294" s="76"/>
      <c r="F294" s="75"/>
      <c r="G294" s="17"/>
    </row>
    <row r="295" spans="1:7" ht="15.75" customHeight="1" x14ac:dyDescent="0.25">
      <c r="A295" s="61"/>
      <c r="B295" s="76"/>
      <c r="C295" s="199"/>
      <c r="D295" s="76"/>
      <c r="E295" s="76"/>
      <c r="F295" s="75"/>
      <c r="G295" s="17"/>
    </row>
    <row r="296" spans="1:7" ht="15.75" customHeight="1" x14ac:dyDescent="0.25">
      <c r="A296" s="61"/>
      <c r="B296" s="76"/>
      <c r="C296" s="199"/>
      <c r="D296" s="76"/>
      <c r="E296" s="76"/>
      <c r="F296" s="75"/>
      <c r="G296" s="17"/>
    </row>
    <row r="297" spans="1:7" ht="15.75" customHeight="1" x14ac:dyDescent="0.25">
      <c r="A297" s="61"/>
      <c r="B297" s="76"/>
      <c r="C297" s="197"/>
      <c r="D297" s="76"/>
      <c r="E297" s="76"/>
      <c r="F297" s="75"/>
      <c r="G297" s="17"/>
    </row>
    <row r="298" spans="1:7" ht="15.75" customHeight="1" x14ac:dyDescent="0.25">
      <c r="A298" s="61"/>
      <c r="B298" s="76"/>
      <c r="C298" s="199"/>
      <c r="D298" s="76"/>
      <c r="E298" s="76"/>
      <c r="F298" s="75"/>
      <c r="G298" s="17"/>
    </row>
    <row r="299" spans="1:7" ht="15.75" customHeight="1" x14ac:dyDescent="0.25">
      <c r="A299" s="61"/>
      <c r="B299" s="76"/>
      <c r="C299" s="199"/>
      <c r="D299" s="76"/>
      <c r="E299" s="76"/>
      <c r="F299" s="75"/>
      <c r="G299" s="17"/>
    </row>
    <row r="300" spans="1:7" ht="15.75" customHeight="1" x14ac:dyDescent="0.25">
      <c r="A300" s="61"/>
      <c r="B300" s="76"/>
      <c r="C300" s="199"/>
      <c r="D300" s="76"/>
      <c r="E300" s="76"/>
      <c r="F300" s="75"/>
      <c r="G300" s="17"/>
    </row>
    <row r="301" spans="1:7" ht="15.75" customHeight="1" x14ac:dyDescent="0.25">
      <c r="A301" s="61"/>
      <c r="B301" s="76"/>
      <c r="C301" s="199"/>
      <c r="D301" s="76"/>
      <c r="E301" s="76"/>
      <c r="F301" s="75"/>
      <c r="G301" s="17"/>
    </row>
    <row r="302" spans="1:7" ht="15.75" customHeight="1" x14ac:dyDescent="0.25">
      <c r="A302" s="61"/>
      <c r="B302" s="76"/>
      <c r="C302" s="199"/>
      <c r="D302" s="76"/>
      <c r="E302" s="76"/>
      <c r="F302" s="75"/>
      <c r="G302" s="17"/>
    </row>
    <row r="303" spans="1:7" ht="15.75" customHeight="1" x14ac:dyDescent="0.25">
      <c r="A303" s="61"/>
      <c r="B303" s="76"/>
      <c r="C303" s="197"/>
      <c r="D303" s="76"/>
      <c r="E303" s="76"/>
      <c r="F303" s="75"/>
      <c r="G303" s="17"/>
    </row>
    <row r="304" spans="1:7" ht="15.75" customHeight="1" x14ac:dyDescent="0.25">
      <c r="A304" s="61"/>
      <c r="B304" s="76"/>
      <c r="C304" s="199"/>
      <c r="D304" s="76"/>
      <c r="E304" s="76"/>
      <c r="F304" s="75"/>
      <c r="G304" s="17"/>
    </row>
    <row r="305" spans="1:7" ht="15.75" customHeight="1" x14ac:dyDescent="0.25">
      <c r="A305" s="61"/>
      <c r="B305" s="76"/>
      <c r="C305" s="199"/>
      <c r="D305" s="76"/>
      <c r="E305" s="76"/>
      <c r="F305" s="75"/>
      <c r="G305" s="17"/>
    </row>
    <row r="306" spans="1:7" ht="15.75" customHeight="1" x14ac:dyDescent="0.25">
      <c r="A306" s="61"/>
      <c r="B306" s="76"/>
      <c r="C306" s="197"/>
      <c r="D306" s="76"/>
      <c r="E306" s="76"/>
      <c r="F306" s="75"/>
      <c r="G306" s="17"/>
    </row>
    <row r="307" spans="1:7" ht="15.75" customHeight="1" x14ac:dyDescent="0.25">
      <c r="A307" s="61"/>
      <c r="B307" s="76"/>
      <c r="C307" s="199"/>
      <c r="D307" s="76"/>
      <c r="E307" s="76"/>
      <c r="F307" s="75"/>
      <c r="G307" s="17"/>
    </row>
    <row r="308" spans="1:7" ht="15.75" customHeight="1" x14ac:dyDescent="0.25">
      <c r="A308" s="61"/>
      <c r="B308" s="76"/>
      <c r="C308" s="199"/>
      <c r="D308" s="76"/>
      <c r="E308" s="76"/>
      <c r="F308" s="75"/>
      <c r="G308" s="17"/>
    </row>
    <row r="309" spans="1:7" ht="15.75" customHeight="1" x14ac:dyDescent="0.25">
      <c r="A309" s="61"/>
      <c r="B309" s="76"/>
      <c r="C309" s="197"/>
      <c r="D309" s="76"/>
      <c r="E309" s="76"/>
      <c r="F309" s="75"/>
      <c r="G309" s="17"/>
    </row>
    <row r="310" spans="1:7" ht="15.75" customHeight="1" x14ac:dyDescent="0.25">
      <c r="A310" s="61"/>
      <c r="B310" s="76"/>
      <c r="C310" s="199"/>
      <c r="D310" s="76"/>
      <c r="E310" s="76"/>
      <c r="F310" s="75"/>
      <c r="G310" s="17"/>
    </row>
    <row r="311" spans="1:7" ht="15.75" customHeight="1" x14ac:dyDescent="0.25">
      <c r="A311" s="61"/>
      <c r="B311" s="76"/>
      <c r="C311" s="197"/>
      <c r="D311" s="76"/>
      <c r="E311" s="76"/>
      <c r="F311" s="75"/>
      <c r="G311" s="17"/>
    </row>
    <row r="312" spans="1:7" ht="15.75" customHeight="1" x14ac:dyDescent="0.25">
      <c r="A312" s="61"/>
      <c r="B312" s="76"/>
      <c r="C312" s="197"/>
      <c r="D312" s="76"/>
      <c r="E312" s="76"/>
      <c r="F312" s="75"/>
      <c r="G312" s="17"/>
    </row>
    <row r="313" spans="1:7" ht="15.75" customHeight="1" x14ac:dyDescent="0.25">
      <c r="A313" s="61"/>
      <c r="B313" s="76"/>
      <c r="C313" s="199"/>
      <c r="D313" s="76"/>
      <c r="E313" s="76"/>
      <c r="F313" s="75"/>
      <c r="G313" s="17"/>
    </row>
    <row r="314" spans="1:7" ht="15.75" customHeight="1" x14ac:dyDescent="0.25">
      <c r="A314" s="61"/>
      <c r="B314" s="76"/>
      <c r="C314" s="199"/>
      <c r="D314" s="76"/>
      <c r="E314" s="76"/>
      <c r="F314" s="75"/>
      <c r="G314" s="17"/>
    </row>
    <row r="315" spans="1:7" ht="15.75" customHeight="1" x14ac:dyDescent="0.25">
      <c r="A315" s="61"/>
      <c r="B315" s="76"/>
      <c r="C315" s="196"/>
      <c r="D315" s="76"/>
      <c r="E315" s="76"/>
      <c r="F315" s="75"/>
      <c r="G315" s="17"/>
    </row>
    <row r="316" spans="1:7" ht="15.75" customHeight="1" x14ac:dyDescent="0.25">
      <c r="A316" s="61"/>
      <c r="B316" s="76"/>
      <c r="C316" s="199"/>
      <c r="D316" s="76"/>
      <c r="E316" s="76"/>
      <c r="F316" s="75"/>
      <c r="G316" s="17"/>
    </row>
    <row r="317" spans="1:7" ht="15.75" customHeight="1" x14ac:dyDescent="0.25">
      <c r="A317" s="61"/>
      <c r="B317" s="76"/>
      <c r="C317" s="199"/>
      <c r="D317" s="76"/>
      <c r="E317" s="76"/>
      <c r="F317" s="75"/>
      <c r="G317" s="17"/>
    </row>
    <row r="318" spans="1:7" ht="15.75" customHeight="1" x14ac:dyDescent="0.25">
      <c r="A318" s="61"/>
      <c r="B318" s="76"/>
      <c r="C318" s="197"/>
      <c r="D318" s="76"/>
      <c r="E318" s="76"/>
      <c r="F318" s="75"/>
      <c r="G318" s="17"/>
    </row>
    <row r="319" spans="1:7" ht="15.75" customHeight="1" x14ac:dyDescent="0.25">
      <c r="A319" s="61"/>
      <c r="B319" s="76"/>
      <c r="C319" s="199"/>
      <c r="D319" s="76"/>
      <c r="E319" s="76"/>
      <c r="F319" s="75"/>
      <c r="G319" s="17"/>
    </row>
    <row r="320" spans="1:7" ht="15.75" customHeight="1" x14ac:dyDescent="0.25">
      <c r="A320" s="61"/>
      <c r="B320" s="76"/>
      <c r="C320" s="197"/>
      <c r="D320" s="76"/>
      <c r="E320" s="76"/>
      <c r="F320" s="75"/>
      <c r="G320" s="17"/>
    </row>
    <row r="321" spans="1:7" ht="15.75" customHeight="1" x14ac:dyDescent="0.25">
      <c r="A321" s="61"/>
      <c r="B321" s="76"/>
      <c r="C321" s="199"/>
      <c r="D321" s="76"/>
      <c r="E321" s="76"/>
      <c r="F321" s="75"/>
      <c r="G321" s="17"/>
    </row>
    <row r="322" spans="1:7" ht="15.75" customHeight="1" x14ac:dyDescent="0.25">
      <c r="A322" s="61"/>
      <c r="B322" s="76"/>
      <c r="C322" s="199"/>
      <c r="D322" s="76"/>
      <c r="E322" s="76"/>
      <c r="F322" s="75"/>
      <c r="G322" s="17"/>
    </row>
    <row r="323" spans="1:7" ht="15.75" customHeight="1" x14ac:dyDescent="0.25">
      <c r="A323" s="61"/>
      <c r="B323" s="76"/>
      <c r="C323" s="199"/>
      <c r="D323" s="76"/>
      <c r="E323" s="76"/>
      <c r="F323" s="75"/>
      <c r="G323" s="17"/>
    </row>
    <row r="324" spans="1:7" ht="15.75" customHeight="1" x14ac:dyDescent="0.25">
      <c r="A324" s="61"/>
      <c r="B324" s="76"/>
      <c r="C324" s="199"/>
      <c r="D324" s="76"/>
      <c r="E324" s="76"/>
      <c r="F324" s="75"/>
      <c r="G324" s="17"/>
    </row>
    <row r="325" spans="1:7" ht="15.75" customHeight="1" x14ac:dyDescent="0.25">
      <c r="A325" s="61"/>
      <c r="B325" s="76"/>
      <c r="C325" s="199"/>
      <c r="D325" s="76"/>
      <c r="E325" s="76"/>
      <c r="F325" s="75"/>
      <c r="G325" s="17"/>
    </row>
    <row r="326" spans="1:7" ht="15.75" customHeight="1" x14ac:dyDescent="0.25">
      <c r="A326" s="61"/>
      <c r="B326" s="76"/>
      <c r="C326" s="197"/>
      <c r="D326" s="76"/>
      <c r="E326" s="76"/>
      <c r="F326" s="75"/>
      <c r="G326" s="17"/>
    </row>
    <row r="327" spans="1:7" ht="15.75" customHeight="1" x14ac:dyDescent="0.25">
      <c r="A327" s="61"/>
      <c r="B327" s="76"/>
      <c r="C327" s="199"/>
      <c r="D327" s="76"/>
      <c r="E327" s="76"/>
      <c r="F327" s="75"/>
      <c r="G327" s="17"/>
    </row>
    <row r="328" spans="1:7" ht="15.75" customHeight="1" x14ac:dyDescent="0.25">
      <c r="A328" s="61"/>
      <c r="B328" s="76"/>
      <c r="C328" s="199"/>
      <c r="D328" s="76"/>
      <c r="E328" s="76"/>
      <c r="F328" s="75"/>
      <c r="G328" s="17"/>
    </row>
    <row r="329" spans="1:7" ht="15.75" customHeight="1" x14ac:dyDescent="0.25">
      <c r="A329" s="61"/>
      <c r="B329" s="76"/>
      <c r="C329" s="199"/>
      <c r="D329" s="76"/>
      <c r="E329" s="76"/>
      <c r="F329" s="75"/>
      <c r="G329" s="17"/>
    </row>
    <row r="330" spans="1:7" ht="15.75" customHeight="1" x14ac:dyDescent="0.25">
      <c r="A330" s="61"/>
      <c r="B330" s="76"/>
      <c r="C330" s="197"/>
      <c r="D330" s="76"/>
      <c r="E330" s="76"/>
      <c r="F330" s="75"/>
      <c r="G330" s="17"/>
    </row>
    <row r="331" spans="1:7" ht="15.75" customHeight="1" x14ac:dyDescent="0.25">
      <c r="A331" s="61"/>
      <c r="B331" s="76"/>
      <c r="C331" s="199"/>
      <c r="D331" s="76"/>
      <c r="E331" s="76"/>
      <c r="F331" s="75"/>
      <c r="G331" s="17"/>
    </row>
    <row r="332" spans="1:7" ht="15.75" customHeight="1" x14ac:dyDescent="0.25">
      <c r="A332" s="61"/>
      <c r="B332" s="76"/>
      <c r="C332" s="199"/>
      <c r="D332" s="76"/>
      <c r="E332" s="76"/>
      <c r="F332" s="75"/>
      <c r="G332" s="17"/>
    </row>
    <row r="333" spans="1:7" ht="15.75" customHeight="1" x14ac:dyDescent="0.25">
      <c r="A333" s="61"/>
      <c r="B333" s="76"/>
      <c r="C333" s="199"/>
      <c r="D333" s="76"/>
      <c r="E333" s="76"/>
      <c r="F333" s="75"/>
      <c r="G333" s="17"/>
    </row>
    <row r="334" spans="1:7" ht="15.75" customHeight="1" x14ac:dyDescent="0.25">
      <c r="A334" s="61"/>
      <c r="B334" s="76"/>
      <c r="C334" s="197"/>
      <c r="D334" s="76"/>
      <c r="E334" s="76"/>
      <c r="F334" s="75"/>
      <c r="G334" s="17"/>
    </row>
    <row r="335" spans="1:7" ht="15.75" customHeight="1" x14ac:dyDescent="0.25">
      <c r="A335" s="61"/>
      <c r="B335" s="76"/>
      <c r="C335" s="199"/>
      <c r="D335" s="76"/>
      <c r="E335" s="76"/>
      <c r="F335" s="75"/>
      <c r="G335" s="17"/>
    </row>
    <row r="336" spans="1:7" ht="15.75" customHeight="1" x14ac:dyDescent="0.25">
      <c r="A336" s="61"/>
      <c r="B336" s="76"/>
      <c r="C336" s="199"/>
      <c r="D336" s="76"/>
      <c r="E336" s="76"/>
      <c r="F336" s="75"/>
      <c r="G336" s="17"/>
    </row>
    <row r="337" spans="1:7" ht="15.75" customHeight="1" x14ac:dyDescent="0.25">
      <c r="A337" s="61"/>
      <c r="B337" s="76"/>
      <c r="C337" s="199"/>
      <c r="D337" s="76"/>
      <c r="E337" s="76"/>
      <c r="F337" s="75"/>
      <c r="G337" s="17"/>
    </row>
    <row r="338" spans="1:7" ht="15.75" customHeight="1" x14ac:dyDescent="0.25">
      <c r="A338" s="61"/>
      <c r="B338" s="76"/>
      <c r="C338" s="196"/>
      <c r="D338" s="76"/>
      <c r="E338" s="76"/>
      <c r="F338" s="75"/>
      <c r="G338" s="17"/>
    </row>
    <row r="339" spans="1:7" ht="15.75" customHeight="1" x14ac:dyDescent="0.25">
      <c r="A339" s="61"/>
      <c r="B339" s="76"/>
      <c r="C339" s="199"/>
      <c r="D339" s="76"/>
      <c r="E339" s="76"/>
      <c r="F339" s="75"/>
      <c r="G339" s="17"/>
    </row>
    <row r="340" spans="1:7" ht="15.75" customHeight="1" x14ac:dyDescent="0.25">
      <c r="A340" s="61"/>
      <c r="B340" s="76"/>
      <c r="C340" s="199"/>
      <c r="D340" s="76"/>
      <c r="E340" s="76"/>
      <c r="F340" s="75"/>
      <c r="G340" s="17"/>
    </row>
    <row r="341" spans="1:7" ht="15.75" customHeight="1" x14ac:dyDescent="0.25">
      <c r="A341" s="61"/>
      <c r="B341" s="76"/>
      <c r="C341" s="199"/>
      <c r="D341" s="76"/>
      <c r="E341" s="76"/>
      <c r="F341" s="75"/>
      <c r="G341" s="17"/>
    </row>
    <row r="342" spans="1:7" ht="15.75" customHeight="1" x14ac:dyDescent="0.25">
      <c r="A342" s="61"/>
      <c r="B342" s="76"/>
      <c r="C342" s="199"/>
      <c r="D342" s="76"/>
      <c r="E342" s="76"/>
      <c r="F342" s="75"/>
      <c r="G342" s="17"/>
    </row>
    <row r="343" spans="1:7" ht="15.75" customHeight="1" x14ac:dyDescent="0.25">
      <c r="A343" s="61"/>
      <c r="B343" s="76"/>
      <c r="C343" s="199"/>
      <c r="D343" s="76"/>
      <c r="E343" s="76"/>
      <c r="F343" s="75"/>
      <c r="G343" s="17"/>
    </row>
    <row r="344" spans="1:7" ht="15.75" customHeight="1" x14ac:dyDescent="0.25">
      <c r="A344" s="61"/>
      <c r="B344" s="76"/>
      <c r="C344" s="196"/>
      <c r="D344" s="76"/>
      <c r="E344" s="76"/>
      <c r="F344" s="75"/>
      <c r="G344" s="17"/>
    </row>
    <row r="345" spans="1:7" ht="15.75" customHeight="1" x14ac:dyDescent="0.25">
      <c r="A345" s="61"/>
      <c r="B345" s="76"/>
      <c r="C345" s="199"/>
      <c r="D345" s="76"/>
      <c r="E345" s="76"/>
      <c r="F345" s="75"/>
      <c r="G345" s="17"/>
    </row>
    <row r="346" spans="1:7" ht="15.75" customHeight="1" x14ac:dyDescent="0.25">
      <c r="A346" s="61"/>
      <c r="B346" s="76"/>
      <c r="C346" s="199"/>
      <c r="D346" s="76"/>
      <c r="E346" s="76"/>
      <c r="F346" s="75"/>
      <c r="G346" s="17"/>
    </row>
    <row r="347" spans="1:7" ht="15.75" customHeight="1" x14ac:dyDescent="0.25">
      <c r="A347" s="61"/>
      <c r="B347" s="76"/>
      <c r="C347" s="199"/>
      <c r="D347" s="76"/>
      <c r="E347" s="76"/>
      <c r="F347" s="75"/>
      <c r="G347" s="17"/>
    </row>
    <row r="348" spans="1:7" ht="15.75" customHeight="1" x14ac:dyDescent="0.25">
      <c r="A348" s="61"/>
      <c r="B348" s="76"/>
      <c r="C348" s="197"/>
      <c r="D348" s="76"/>
      <c r="E348" s="76"/>
      <c r="F348" s="75"/>
      <c r="G348" s="17"/>
    </row>
    <row r="349" spans="1:7" ht="15.75" customHeight="1" x14ac:dyDescent="0.25">
      <c r="A349" s="61"/>
      <c r="B349" s="76"/>
      <c r="C349" s="199"/>
      <c r="D349" s="76"/>
      <c r="E349" s="76"/>
      <c r="F349" s="75"/>
      <c r="G349" s="17"/>
    </row>
    <row r="350" spans="1:7" ht="15.75" customHeight="1" x14ac:dyDescent="0.25">
      <c r="A350" s="61"/>
      <c r="B350" s="76"/>
      <c r="C350" s="198"/>
      <c r="D350" s="76"/>
      <c r="E350" s="76"/>
      <c r="F350" s="75"/>
      <c r="G350" s="17"/>
    </row>
    <row r="351" spans="1:7" ht="15.75" customHeight="1" x14ac:dyDescent="0.25">
      <c r="A351" s="61"/>
      <c r="B351" s="76"/>
      <c r="C351" s="197"/>
      <c r="D351" s="76"/>
      <c r="E351" s="76"/>
      <c r="F351" s="75"/>
      <c r="G351" s="17"/>
    </row>
    <row r="352" spans="1:7" ht="15.75" customHeight="1" x14ac:dyDescent="0.25">
      <c r="A352" s="61"/>
      <c r="B352" s="76"/>
      <c r="C352" s="197"/>
      <c r="D352" s="76"/>
      <c r="E352" s="76"/>
      <c r="F352" s="75"/>
      <c r="G352" s="17"/>
    </row>
    <row r="353" spans="1:7" ht="15.75" customHeight="1" x14ac:dyDescent="0.25">
      <c r="A353" s="61"/>
      <c r="B353" s="76"/>
      <c r="C353" s="199"/>
      <c r="D353" s="76"/>
      <c r="E353" s="76"/>
      <c r="F353" s="75"/>
      <c r="G353" s="17"/>
    </row>
    <row r="354" spans="1:7" ht="15.75" customHeight="1" x14ac:dyDescent="0.25">
      <c r="A354" s="61"/>
      <c r="B354" s="76"/>
      <c r="C354" s="199"/>
      <c r="D354" s="76"/>
      <c r="E354" s="76"/>
      <c r="F354" s="75"/>
      <c r="G354" s="17"/>
    </row>
    <row r="355" spans="1:7" ht="15.75" customHeight="1" x14ac:dyDescent="0.25">
      <c r="A355" s="61"/>
      <c r="B355" s="76"/>
      <c r="C355" s="198"/>
      <c r="D355" s="76"/>
      <c r="E355" s="76"/>
      <c r="F355" s="75"/>
      <c r="G355" s="17"/>
    </row>
    <row r="356" spans="1:7" ht="15.75" customHeight="1" x14ac:dyDescent="0.25">
      <c r="A356" s="61"/>
      <c r="B356" s="76"/>
      <c r="C356" s="199"/>
      <c r="D356" s="76"/>
      <c r="E356" s="76"/>
      <c r="F356" s="75"/>
      <c r="G356" s="17"/>
    </row>
    <row r="357" spans="1:7" ht="15.75" customHeight="1" x14ac:dyDescent="0.25">
      <c r="A357" s="61"/>
      <c r="B357" s="76"/>
      <c r="C357" s="197"/>
      <c r="D357" s="76"/>
      <c r="E357" s="76"/>
      <c r="F357" s="75"/>
      <c r="G357" s="17"/>
    </row>
    <row r="358" spans="1:7" ht="15.75" customHeight="1" x14ac:dyDescent="0.25">
      <c r="A358" s="61"/>
      <c r="B358" s="76"/>
      <c r="C358" s="199"/>
      <c r="D358" s="76"/>
      <c r="E358" s="76"/>
      <c r="F358" s="75"/>
      <c r="G358" s="17"/>
    </row>
    <row r="359" spans="1:7" ht="15.75" customHeight="1" x14ac:dyDescent="0.25">
      <c r="A359" s="61"/>
      <c r="B359" s="76"/>
      <c r="C359" s="199"/>
      <c r="D359" s="76"/>
      <c r="E359" s="76"/>
      <c r="F359" s="75"/>
      <c r="G359" s="17"/>
    </row>
    <row r="360" spans="1:7" ht="15.75" customHeight="1" x14ac:dyDescent="0.25">
      <c r="A360" s="61"/>
      <c r="B360" s="76"/>
      <c r="C360" s="197"/>
      <c r="D360" s="76"/>
      <c r="E360" s="76"/>
      <c r="F360" s="75"/>
      <c r="G360" s="17"/>
    </row>
    <row r="361" spans="1:7" ht="15.75" customHeight="1" x14ac:dyDescent="0.25">
      <c r="A361" s="61"/>
      <c r="B361" s="76"/>
      <c r="C361" s="197"/>
      <c r="D361" s="76"/>
      <c r="E361" s="76"/>
      <c r="F361" s="75"/>
      <c r="G361" s="17"/>
    </row>
    <row r="362" spans="1:7" ht="15.75" customHeight="1" x14ac:dyDescent="0.25">
      <c r="A362" s="61"/>
      <c r="B362" s="76"/>
      <c r="C362" s="199"/>
      <c r="D362" s="76"/>
      <c r="E362" s="76"/>
      <c r="F362" s="75"/>
      <c r="G362" s="17"/>
    </row>
    <row r="363" spans="1:7" ht="15.75" customHeight="1" x14ac:dyDescent="0.25">
      <c r="A363" s="61"/>
      <c r="B363" s="76"/>
      <c r="C363" s="199"/>
      <c r="D363" s="76"/>
      <c r="E363" s="76"/>
      <c r="F363" s="75"/>
      <c r="G363" s="17"/>
    </row>
    <row r="364" spans="1:7" ht="15.75" customHeight="1" x14ac:dyDescent="0.25">
      <c r="A364" s="61"/>
      <c r="B364" s="76"/>
      <c r="C364" s="199"/>
      <c r="D364" s="76"/>
      <c r="E364" s="76"/>
      <c r="F364" s="75"/>
      <c r="G364" s="17"/>
    </row>
    <row r="365" spans="1:7" ht="15.75" customHeight="1" x14ac:dyDescent="0.25">
      <c r="A365" s="61"/>
      <c r="B365" s="76"/>
      <c r="C365" s="199"/>
      <c r="D365" s="76"/>
      <c r="E365" s="76"/>
      <c r="F365" s="75"/>
      <c r="G365" s="17"/>
    </row>
    <row r="366" spans="1:7" ht="15.75" customHeight="1" x14ac:dyDescent="0.25">
      <c r="A366" s="61"/>
      <c r="B366" s="76"/>
      <c r="C366" s="199"/>
      <c r="D366" s="76"/>
      <c r="E366" s="76"/>
      <c r="F366" s="75"/>
      <c r="G366" s="17"/>
    </row>
    <row r="367" spans="1:7" ht="15.75" customHeight="1" x14ac:dyDescent="0.25">
      <c r="A367" s="61"/>
      <c r="B367" s="76"/>
      <c r="C367" s="199"/>
      <c r="D367" s="76"/>
      <c r="E367" s="76"/>
      <c r="F367" s="75"/>
      <c r="G367" s="17"/>
    </row>
    <row r="368" spans="1:7" ht="15.75" customHeight="1" x14ac:dyDescent="0.25">
      <c r="A368" s="61"/>
      <c r="B368" s="76"/>
      <c r="C368" s="197"/>
      <c r="D368" s="76"/>
      <c r="E368" s="76"/>
      <c r="F368" s="75"/>
      <c r="G368" s="17"/>
    </row>
    <row r="369" spans="1:7" ht="15.75" customHeight="1" x14ac:dyDescent="0.25">
      <c r="A369" s="61"/>
      <c r="B369" s="76"/>
      <c r="C369" s="199"/>
      <c r="D369" s="76"/>
      <c r="E369" s="76"/>
      <c r="F369" s="75"/>
      <c r="G369" s="17"/>
    </row>
    <row r="370" spans="1:7" ht="15.75" customHeight="1" x14ac:dyDescent="0.25">
      <c r="A370" s="61"/>
      <c r="B370" s="76"/>
      <c r="C370" s="199"/>
      <c r="D370" s="76"/>
      <c r="E370" s="76"/>
      <c r="F370" s="75"/>
      <c r="G370" s="17"/>
    </row>
    <row r="371" spans="1:7" ht="15.75" customHeight="1" x14ac:dyDescent="0.25">
      <c r="A371" s="61"/>
      <c r="B371" s="76"/>
      <c r="C371" s="199"/>
      <c r="D371" s="76"/>
      <c r="E371" s="76"/>
      <c r="F371" s="75"/>
      <c r="G371" s="17"/>
    </row>
    <row r="372" spans="1:7" ht="15.75" customHeight="1" x14ac:dyDescent="0.25">
      <c r="A372" s="61"/>
      <c r="B372" s="76"/>
      <c r="C372" s="199"/>
      <c r="D372" s="76"/>
      <c r="E372" s="76"/>
      <c r="F372" s="75"/>
      <c r="G372" s="17"/>
    </row>
    <row r="373" spans="1:7" ht="15.75" customHeight="1" x14ac:dyDescent="0.25">
      <c r="A373" s="61"/>
      <c r="B373" s="76"/>
      <c r="C373" s="199"/>
      <c r="D373" s="76"/>
      <c r="E373" s="76"/>
      <c r="F373" s="75"/>
      <c r="G373" s="17"/>
    </row>
    <row r="374" spans="1:7" ht="15.75" customHeight="1" x14ac:dyDescent="0.25">
      <c r="A374" s="61"/>
      <c r="B374" s="76"/>
      <c r="C374" s="198"/>
      <c r="D374" s="76"/>
      <c r="E374" s="76"/>
      <c r="F374" s="75"/>
      <c r="G374" s="17"/>
    </row>
    <row r="375" spans="1:7" ht="15.75" customHeight="1" x14ac:dyDescent="0.25">
      <c r="A375" s="61"/>
      <c r="B375" s="76"/>
      <c r="C375" s="199"/>
      <c r="D375" s="76"/>
      <c r="E375" s="76"/>
      <c r="F375" s="75"/>
      <c r="G375" s="17"/>
    </row>
    <row r="376" spans="1:7" ht="15.75" customHeight="1" x14ac:dyDescent="0.25">
      <c r="A376" s="61"/>
      <c r="B376" s="76"/>
      <c r="C376" s="199"/>
      <c r="D376" s="76"/>
      <c r="E376" s="76"/>
      <c r="F376" s="75"/>
      <c r="G376" s="17"/>
    </row>
    <row r="377" spans="1:7" ht="15.75" customHeight="1" x14ac:dyDescent="0.25">
      <c r="A377" s="61"/>
      <c r="B377" s="76"/>
      <c r="C377" s="197"/>
      <c r="D377" s="76"/>
      <c r="E377" s="76"/>
      <c r="F377" s="75"/>
      <c r="G377" s="17"/>
    </row>
    <row r="378" spans="1:7" ht="15.75" customHeight="1" x14ac:dyDescent="0.25">
      <c r="A378" s="61"/>
      <c r="B378" s="76"/>
      <c r="C378" s="199"/>
      <c r="D378" s="76"/>
      <c r="E378" s="76"/>
      <c r="F378" s="75"/>
      <c r="G378" s="17"/>
    </row>
    <row r="379" spans="1:7" ht="15.75" customHeight="1" x14ac:dyDescent="0.25">
      <c r="A379" s="61"/>
      <c r="B379" s="76"/>
      <c r="C379" s="197"/>
      <c r="D379" s="76"/>
      <c r="E379" s="76"/>
      <c r="F379" s="75"/>
      <c r="G379" s="17"/>
    </row>
    <row r="380" spans="1:7" ht="15.75" customHeight="1" x14ac:dyDescent="0.25">
      <c r="A380" s="61"/>
      <c r="B380" s="76"/>
      <c r="C380" s="199"/>
      <c r="D380" s="76"/>
      <c r="E380" s="76"/>
      <c r="F380" s="75"/>
      <c r="G380" s="17"/>
    </row>
    <row r="381" spans="1:7" ht="15.75" customHeight="1" x14ac:dyDescent="0.25">
      <c r="A381" s="61"/>
      <c r="B381" s="76"/>
      <c r="C381" s="199"/>
      <c r="D381" s="76"/>
      <c r="E381" s="76"/>
      <c r="F381" s="75"/>
      <c r="G381" s="17"/>
    </row>
    <row r="382" spans="1:7" ht="15.75" customHeight="1" x14ac:dyDescent="0.25">
      <c r="A382" s="61"/>
      <c r="B382" s="76"/>
      <c r="C382" s="197"/>
      <c r="D382" s="76"/>
      <c r="E382" s="76"/>
      <c r="F382" s="75"/>
      <c r="G382" s="17"/>
    </row>
    <row r="383" spans="1:7" ht="15.75" customHeight="1" x14ac:dyDescent="0.25">
      <c r="A383" s="61"/>
      <c r="B383" s="76"/>
      <c r="C383" s="199"/>
      <c r="D383" s="76"/>
      <c r="E383" s="76"/>
      <c r="F383" s="75"/>
      <c r="G383" s="17"/>
    </row>
    <row r="384" spans="1:7" ht="15.75" customHeight="1" x14ac:dyDescent="0.25">
      <c r="A384" s="61"/>
      <c r="B384" s="76"/>
      <c r="C384" s="199"/>
      <c r="D384" s="76"/>
      <c r="E384" s="76"/>
      <c r="F384" s="75"/>
      <c r="G384" s="17"/>
    </row>
    <row r="385" spans="1:7" ht="15.75" customHeight="1" x14ac:dyDescent="0.25">
      <c r="A385" s="61"/>
      <c r="B385" s="76"/>
      <c r="C385" s="197"/>
      <c r="D385" s="76"/>
      <c r="E385" s="76"/>
      <c r="F385" s="75"/>
      <c r="G385" s="17"/>
    </row>
    <row r="386" spans="1:7" ht="15.75" customHeight="1" x14ac:dyDescent="0.25">
      <c r="A386" s="61"/>
      <c r="B386" s="76"/>
      <c r="C386" s="199"/>
      <c r="D386" s="76"/>
      <c r="E386" s="76"/>
      <c r="F386" s="75"/>
      <c r="G386" s="17"/>
    </row>
    <row r="387" spans="1:7" ht="15.75" customHeight="1" x14ac:dyDescent="0.25">
      <c r="A387" s="61"/>
      <c r="B387" s="76"/>
      <c r="C387" s="198"/>
      <c r="D387" s="76"/>
      <c r="E387" s="76"/>
      <c r="F387" s="75"/>
      <c r="G387" s="17"/>
    </row>
    <row r="388" spans="1:7" ht="15.75" customHeight="1" x14ac:dyDescent="0.25">
      <c r="A388" s="61"/>
      <c r="B388" s="76"/>
      <c r="C388" s="197"/>
      <c r="D388" s="76"/>
      <c r="E388" s="76"/>
      <c r="F388" s="75"/>
      <c r="G388" s="17"/>
    </row>
    <row r="389" spans="1:7" ht="15.75" customHeight="1" x14ac:dyDescent="0.25">
      <c r="A389" s="61"/>
      <c r="B389" s="76"/>
      <c r="C389" s="197"/>
      <c r="D389" s="76"/>
      <c r="E389" s="76"/>
      <c r="F389" s="75"/>
      <c r="G389" s="17"/>
    </row>
    <row r="390" spans="1:7" ht="15.75" customHeight="1" x14ac:dyDescent="0.25">
      <c r="A390" s="61"/>
      <c r="B390" s="76"/>
      <c r="C390" s="199"/>
      <c r="D390" s="76"/>
      <c r="E390" s="76"/>
      <c r="F390" s="75"/>
      <c r="G390" s="17"/>
    </row>
    <row r="391" spans="1:7" ht="15.75" customHeight="1" x14ac:dyDescent="0.25">
      <c r="A391" s="61"/>
      <c r="B391" s="76"/>
      <c r="C391" s="199"/>
      <c r="D391" s="76"/>
      <c r="E391" s="76"/>
      <c r="F391" s="75"/>
      <c r="G391" s="17"/>
    </row>
    <row r="392" spans="1:7" ht="15.75" customHeight="1" x14ac:dyDescent="0.25">
      <c r="A392" s="61"/>
      <c r="B392" s="76"/>
      <c r="C392" s="199"/>
      <c r="D392" s="76"/>
      <c r="E392" s="76"/>
      <c r="F392" s="75"/>
      <c r="G392" s="17"/>
    </row>
    <row r="393" spans="1:7" ht="15.75" customHeight="1" x14ac:dyDescent="0.25">
      <c r="A393" s="61"/>
      <c r="B393" s="76"/>
      <c r="C393" s="197"/>
      <c r="D393" s="76"/>
      <c r="E393" s="76"/>
      <c r="F393" s="75"/>
      <c r="G393" s="17"/>
    </row>
    <row r="394" spans="1:7" ht="15.75" customHeight="1" x14ac:dyDescent="0.25">
      <c r="A394" s="61"/>
      <c r="B394" s="76"/>
      <c r="C394" s="199"/>
      <c r="D394" s="76"/>
      <c r="E394" s="76"/>
      <c r="F394" s="75"/>
      <c r="G394" s="17"/>
    </row>
    <row r="395" spans="1:7" ht="15.75" customHeight="1" x14ac:dyDescent="0.25">
      <c r="A395" s="61"/>
      <c r="B395" s="76"/>
      <c r="C395" s="196"/>
      <c r="D395" s="76"/>
      <c r="E395" s="76"/>
      <c r="F395" s="75"/>
      <c r="G395" s="17"/>
    </row>
    <row r="396" spans="1:7" ht="15.75" customHeight="1" x14ac:dyDescent="0.25">
      <c r="A396" s="61"/>
      <c r="B396" s="76"/>
      <c r="C396" s="199"/>
      <c r="D396" s="76"/>
      <c r="E396" s="76"/>
      <c r="F396" s="75"/>
      <c r="G396" s="17"/>
    </row>
    <row r="397" spans="1:7" ht="15.75" customHeight="1" x14ac:dyDescent="0.25">
      <c r="A397" s="61"/>
      <c r="B397" s="76"/>
      <c r="C397" s="199"/>
      <c r="D397" s="76"/>
      <c r="E397" s="76"/>
      <c r="F397" s="75"/>
      <c r="G397" s="17"/>
    </row>
    <row r="398" spans="1:7" ht="15.75" customHeight="1" x14ac:dyDescent="0.25">
      <c r="A398" s="61"/>
      <c r="B398" s="76"/>
      <c r="C398" s="199"/>
      <c r="D398" s="76"/>
      <c r="E398" s="76"/>
      <c r="F398" s="75"/>
      <c r="G398" s="17"/>
    </row>
    <row r="399" spans="1:7" ht="15.75" customHeight="1" x14ac:dyDescent="0.25">
      <c r="A399" s="61"/>
      <c r="B399" s="76"/>
      <c r="C399" s="198"/>
      <c r="D399" s="76"/>
      <c r="E399" s="76"/>
      <c r="F399" s="75"/>
      <c r="G399" s="17"/>
    </row>
    <row r="400" spans="1:7" ht="15.75" customHeight="1" x14ac:dyDescent="0.25">
      <c r="A400" s="61"/>
      <c r="B400" s="76"/>
      <c r="C400" s="199"/>
      <c r="D400" s="76"/>
      <c r="E400" s="76"/>
      <c r="F400" s="75"/>
      <c r="G400" s="17"/>
    </row>
    <row r="401" spans="1:7" ht="15.75" customHeight="1" x14ac:dyDescent="0.25">
      <c r="A401" s="61"/>
      <c r="B401" s="76"/>
      <c r="C401" s="196"/>
      <c r="D401" s="76"/>
      <c r="E401" s="76"/>
      <c r="F401" s="75"/>
      <c r="G401" s="17"/>
    </row>
    <row r="402" spans="1:7" ht="15.75" customHeight="1" x14ac:dyDescent="0.25">
      <c r="A402" s="61"/>
      <c r="B402" s="76"/>
      <c r="C402" s="197"/>
      <c r="D402" s="76"/>
      <c r="E402" s="76"/>
      <c r="F402" s="75"/>
      <c r="G402" s="17"/>
    </row>
    <row r="403" spans="1:7" ht="15.75" customHeight="1" x14ac:dyDescent="0.25">
      <c r="A403" s="61"/>
      <c r="B403" s="76"/>
      <c r="C403" s="199"/>
      <c r="D403" s="76"/>
      <c r="E403" s="76"/>
      <c r="F403" s="75"/>
      <c r="G403" s="17"/>
    </row>
    <row r="404" spans="1:7" ht="15.75" customHeight="1" x14ac:dyDescent="0.25">
      <c r="A404" s="61"/>
      <c r="B404" s="76"/>
      <c r="C404" s="199"/>
      <c r="D404" s="76"/>
      <c r="E404" s="76"/>
      <c r="F404" s="75"/>
      <c r="G404" s="17"/>
    </row>
    <row r="405" spans="1:7" ht="15.75" customHeight="1" x14ac:dyDescent="0.25">
      <c r="A405" s="61"/>
      <c r="B405" s="76"/>
      <c r="C405" s="197"/>
      <c r="D405" s="76"/>
      <c r="E405" s="76"/>
      <c r="F405" s="75"/>
      <c r="G405" s="17"/>
    </row>
    <row r="406" spans="1:7" ht="15.75" customHeight="1" x14ac:dyDescent="0.25">
      <c r="A406" s="61"/>
      <c r="B406" s="76"/>
      <c r="C406" s="199"/>
      <c r="D406" s="76"/>
      <c r="E406" s="76"/>
      <c r="F406" s="75"/>
      <c r="G406" s="17"/>
    </row>
    <row r="407" spans="1:7" ht="15.75" customHeight="1" x14ac:dyDescent="0.25">
      <c r="A407" s="61"/>
      <c r="B407" s="76"/>
      <c r="C407" s="199"/>
      <c r="D407" s="76"/>
      <c r="E407" s="76"/>
      <c r="F407" s="75"/>
      <c r="G407" s="17"/>
    </row>
    <row r="408" spans="1:7" ht="15.75" customHeight="1" x14ac:dyDescent="0.25">
      <c r="A408" s="61"/>
      <c r="B408" s="76"/>
      <c r="C408" s="197"/>
      <c r="D408" s="76"/>
      <c r="E408" s="76"/>
      <c r="F408" s="75"/>
      <c r="G408" s="17"/>
    </row>
    <row r="409" spans="1:7" ht="15.75" customHeight="1" x14ac:dyDescent="0.25">
      <c r="A409" s="61"/>
      <c r="B409" s="76"/>
      <c r="C409" s="199"/>
      <c r="D409" s="76"/>
      <c r="E409" s="76"/>
      <c r="F409" s="75"/>
      <c r="G409" s="17"/>
    </row>
    <row r="410" spans="1:7" ht="15.75" customHeight="1" x14ac:dyDescent="0.25">
      <c r="A410" s="61"/>
      <c r="B410" s="76"/>
      <c r="C410" s="199"/>
      <c r="D410" s="76"/>
      <c r="E410" s="76"/>
      <c r="F410" s="75"/>
      <c r="G410" s="17"/>
    </row>
    <row r="411" spans="1:7" ht="15.75" customHeight="1" x14ac:dyDescent="0.25">
      <c r="A411" s="61"/>
      <c r="B411" s="76"/>
      <c r="C411" s="197"/>
      <c r="D411" s="76"/>
      <c r="E411" s="76"/>
      <c r="F411" s="75"/>
      <c r="G411" s="17"/>
    </row>
    <row r="412" spans="1:7" ht="15.75" customHeight="1" x14ac:dyDescent="0.25">
      <c r="A412" s="61"/>
      <c r="B412" s="76"/>
      <c r="C412" s="199"/>
      <c r="D412" s="76"/>
      <c r="E412" s="76"/>
      <c r="F412" s="75"/>
      <c r="G412" s="17"/>
    </row>
    <row r="413" spans="1:7" ht="15.75" customHeight="1" x14ac:dyDescent="0.25">
      <c r="A413" s="61"/>
      <c r="B413" s="76"/>
      <c r="C413" s="197"/>
      <c r="D413" s="76"/>
      <c r="E413" s="76"/>
      <c r="F413" s="75"/>
      <c r="G413" s="17"/>
    </row>
    <row r="414" spans="1:7" ht="15.75" customHeight="1" x14ac:dyDescent="0.25">
      <c r="A414" s="61"/>
      <c r="B414" s="76"/>
      <c r="C414" s="197"/>
      <c r="D414" s="76"/>
      <c r="E414" s="76"/>
      <c r="F414" s="75"/>
      <c r="G414" s="17"/>
    </row>
    <row r="415" spans="1:7" ht="15.75" customHeight="1" x14ac:dyDescent="0.25">
      <c r="A415" s="61"/>
      <c r="B415" s="76"/>
      <c r="C415" s="199"/>
      <c r="D415" s="76"/>
      <c r="E415" s="76"/>
      <c r="F415" s="75"/>
      <c r="G415" s="17"/>
    </row>
    <row r="416" spans="1:7" ht="15.75" customHeight="1" x14ac:dyDescent="0.25">
      <c r="A416" s="61"/>
      <c r="B416" s="76"/>
      <c r="C416" s="197"/>
      <c r="D416" s="76"/>
      <c r="E416" s="76"/>
      <c r="F416" s="75"/>
      <c r="G416" s="17"/>
    </row>
    <row r="417" spans="1:7" ht="15.75" customHeight="1" x14ac:dyDescent="0.25">
      <c r="A417" s="61"/>
      <c r="B417" s="76"/>
      <c r="C417" s="199"/>
      <c r="D417" s="76"/>
      <c r="E417" s="76"/>
      <c r="F417" s="75"/>
      <c r="G417" s="17"/>
    </row>
    <row r="418" spans="1:7" ht="15.75" customHeight="1" x14ac:dyDescent="0.25">
      <c r="A418" s="61"/>
      <c r="B418" s="76"/>
      <c r="C418" s="199"/>
      <c r="D418" s="76"/>
      <c r="E418" s="76"/>
      <c r="F418" s="75"/>
      <c r="G418" s="17"/>
    </row>
    <row r="419" spans="1:7" ht="15.75" customHeight="1" x14ac:dyDescent="0.25">
      <c r="A419" s="61"/>
      <c r="B419" s="76"/>
      <c r="C419" s="199"/>
      <c r="D419" s="76"/>
      <c r="E419" s="76"/>
      <c r="F419" s="75"/>
      <c r="G419" s="17"/>
    </row>
    <row r="420" spans="1:7" ht="15.75" customHeight="1" x14ac:dyDescent="0.25">
      <c r="A420" s="61"/>
      <c r="B420" s="76"/>
      <c r="C420" s="197"/>
      <c r="D420" s="76"/>
      <c r="E420" s="76"/>
      <c r="F420" s="75"/>
      <c r="G420" s="17"/>
    </row>
    <row r="421" spans="1:7" ht="15.75" customHeight="1" x14ac:dyDescent="0.25">
      <c r="A421" s="61"/>
      <c r="B421" s="76"/>
      <c r="C421" s="199"/>
      <c r="D421" s="76"/>
      <c r="E421" s="76"/>
      <c r="F421" s="75"/>
      <c r="G421" s="17"/>
    </row>
    <row r="422" spans="1:7" ht="15.75" customHeight="1" x14ac:dyDescent="0.25">
      <c r="A422" s="61"/>
      <c r="B422" s="76"/>
      <c r="C422" s="199"/>
      <c r="D422" s="76"/>
      <c r="E422" s="76"/>
      <c r="F422" s="75"/>
      <c r="G422" s="17"/>
    </row>
    <row r="423" spans="1:7" ht="15.75" customHeight="1" x14ac:dyDescent="0.25">
      <c r="A423" s="61"/>
      <c r="B423" s="76"/>
      <c r="C423" s="199"/>
      <c r="D423" s="76"/>
      <c r="E423" s="76"/>
      <c r="F423" s="75"/>
      <c r="G423" s="17"/>
    </row>
    <row r="424" spans="1:7" ht="15.75" customHeight="1" x14ac:dyDescent="0.25">
      <c r="A424" s="61"/>
      <c r="B424" s="76"/>
      <c r="C424" s="197"/>
      <c r="D424" s="76"/>
      <c r="E424" s="76"/>
      <c r="F424" s="75"/>
      <c r="G424" s="17"/>
    </row>
    <row r="425" spans="1:7" ht="15.75" customHeight="1" x14ac:dyDescent="0.25">
      <c r="A425" s="61"/>
      <c r="B425" s="76"/>
      <c r="C425" s="199"/>
      <c r="D425" s="76"/>
      <c r="E425" s="76"/>
      <c r="F425" s="75"/>
      <c r="G425" s="17"/>
    </row>
    <row r="426" spans="1:7" ht="15.75" customHeight="1" x14ac:dyDescent="0.25">
      <c r="A426" s="61"/>
      <c r="B426" s="76"/>
      <c r="C426" s="197"/>
      <c r="D426" s="76"/>
      <c r="E426" s="76"/>
      <c r="F426" s="75"/>
      <c r="G426" s="17"/>
    </row>
    <row r="427" spans="1:7" ht="15.75" customHeight="1" x14ac:dyDescent="0.25">
      <c r="A427" s="61"/>
      <c r="B427" s="76"/>
      <c r="C427" s="199"/>
      <c r="D427" s="76"/>
      <c r="E427" s="76"/>
      <c r="F427" s="75"/>
      <c r="G427" s="17"/>
    </row>
    <row r="428" spans="1:7" ht="15.75" customHeight="1" x14ac:dyDescent="0.25">
      <c r="A428" s="61"/>
      <c r="B428" s="76"/>
      <c r="C428" s="199"/>
      <c r="D428" s="76"/>
      <c r="E428" s="76"/>
      <c r="F428" s="75"/>
      <c r="G428" s="17"/>
    </row>
    <row r="429" spans="1:7" ht="15.75" customHeight="1" x14ac:dyDescent="0.25">
      <c r="A429" s="61"/>
      <c r="B429" s="76"/>
      <c r="C429" s="197"/>
      <c r="D429" s="76"/>
      <c r="E429" s="76"/>
      <c r="F429" s="75"/>
      <c r="G429" s="17"/>
    </row>
    <row r="430" spans="1:7" ht="15.75" customHeight="1" x14ac:dyDescent="0.25">
      <c r="A430" s="61"/>
      <c r="B430" s="76"/>
      <c r="C430" s="197"/>
      <c r="D430" s="76"/>
      <c r="E430" s="76"/>
      <c r="F430" s="75"/>
      <c r="G430" s="17"/>
    </row>
    <row r="431" spans="1:7" ht="15.75" customHeight="1" x14ac:dyDescent="0.25">
      <c r="A431" s="61"/>
      <c r="B431" s="76"/>
      <c r="C431" s="199"/>
      <c r="D431" s="76"/>
      <c r="E431" s="76"/>
      <c r="F431" s="75"/>
      <c r="G431" s="17"/>
    </row>
    <row r="432" spans="1:7" ht="15.75" customHeight="1" x14ac:dyDescent="0.25">
      <c r="A432" s="61"/>
      <c r="B432" s="76"/>
      <c r="C432" s="199"/>
      <c r="D432" s="76"/>
      <c r="E432" s="76"/>
      <c r="F432" s="75"/>
      <c r="G432" s="17"/>
    </row>
    <row r="433" spans="1:7" ht="15.75" customHeight="1" x14ac:dyDescent="0.25">
      <c r="A433" s="61"/>
      <c r="B433" s="76"/>
      <c r="C433" s="199"/>
      <c r="D433" s="76"/>
      <c r="E433" s="76"/>
      <c r="F433" s="75"/>
      <c r="G433" s="17"/>
    </row>
    <row r="434" spans="1:7" ht="15.75" customHeight="1" x14ac:dyDescent="0.25">
      <c r="A434" s="61"/>
      <c r="B434" s="76"/>
      <c r="C434" s="197"/>
      <c r="D434" s="76"/>
      <c r="E434" s="76"/>
      <c r="F434" s="75"/>
      <c r="G434" s="17"/>
    </row>
    <row r="435" spans="1:7" ht="15.75" customHeight="1" x14ac:dyDescent="0.25">
      <c r="A435" s="61"/>
      <c r="B435" s="76"/>
      <c r="C435" s="197"/>
      <c r="D435" s="76"/>
      <c r="E435" s="76"/>
      <c r="F435" s="75"/>
      <c r="G435" s="17"/>
    </row>
    <row r="436" spans="1:7" ht="15.75" customHeight="1" x14ac:dyDescent="0.25">
      <c r="A436" s="61"/>
      <c r="B436" s="76"/>
      <c r="C436" s="199"/>
      <c r="D436" s="76"/>
      <c r="E436" s="76"/>
      <c r="F436" s="75"/>
      <c r="G436" s="17"/>
    </row>
    <row r="437" spans="1:7" ht="15.75" customHeight="1" x14ac:dyDescent="0.25">
      <c r="A437" s="61"/>
      <c r="B437" s="76"/>
      <c r="C437" s="199"/>
      <c r="D437" s="76"/>
      <c r="E437" s="76"/>
      <c r="F437" s="75"/>
      <c r="G437" s="17"/>
    </row>
    <row r="438" spans="1:7" ht="15.75" customHeight="1" x14ac:dyDescent="0.25">
      <c r="A438" s="61"/>
      <c r="B438" s="76"/>
      <c r="C438" s="199"/>
      <c r="D438" s="76"/>
      <c r="E438" s="76"/>
      <c r="F438" s="75"/>
      <c r="G438" s="17"/>
    </row>
    <row r="439" spans="1:7" ht="15.75" customHeight="1" x14ac:dyDescent="0.25">
      <c r="A439" s="61"/>
      <c r="B439" s="76"/>
      <c r="C439" s="199"/>
      <c r="D439" s="76"/>
      <c r="E439" s="76"/>
      <c r="F439" s="75"/>
      <c r="G439" s="17"/>
    </row>
    <row r="440" spans="1:7" ht="15.75" customHeight="1" x14ac:dyDescent="0.25">
      <c r="A440" s="61"/>
      <c r="B440" s="76"/>
      <c r="C440" s="199"/>
      <c r="D440" s="76"/>
      <c r="E440" s="76"/>
      <c r="F440" s="75"/>
      <c r="G440" s="17"/>
    </row>
    <row r="441" spans="1:7" ht="15.75" customHeight="1" x14ac:dyDescent="0.25">
      <c r="A441" s="61"/>
      <c r="B441" s="76"/>
      <c r="C441" s="199"/>
      <c r="D441" s="76"/>
      <c r="E441" s="76"/>
      <c r="F441" s="75"/>
      <c r="G441" s="17"/>
    </row>
    <row r="442" spans="1:7" ht="15.75" customHeight="1" x14ac:dyDescent="0.25">
      <c r="A442" s="61"/>
      <c r="B442" s="76"/>
      <c r="C442" s="199"/>
      <c r="D442" s="76"/>
      <c r="E442" s="76"/>
      <c r="F442" s="75"/>
      <c r="G442" s="17"/>
    </row>
    <row r="443" spans="1:7" ht="15.75" customHeight="1" x14ac:dyDescent="0.25">
      <c r="A443" s="61"/>
      <c r="B443" s="76"/>
      <c r="C443" s="197"/>
      <c r="D443" s="76"/>
      <c r="E443" s="76"/>
      <c r="F443" s="75"/>
      <c r="G443" s="17"/>
    </row>
    <row r="444" spans="1:7" ht="15.75" customHeight="1" x14ac:dyDescent="0.25">
      <c r="A444" s="61"/>
      <c r="B444" s="76"/>
      <c r="C444" s="196"/>
      <c r="D444" s="76"/>
      <c r="E444" s="76"/>
      <c r="F444" s="75"/>
      <c r="G444" s="17"/>
    </row>
    <row r="445" spans="1:7" ht="15.75" customHeight="1" x14ac:dyDescent="0.25">
      <c r="A445" s="61"/>
      <c r="B445" s="76"/>
      <c r="C445" s="198"/>
      <c r="D445" s="76"/>
      <c r="E445" s="76"/>
      <c r="F445" s="75"/>
      <c r="G445" s="17"/>
    </row>
    <row r="446" spans="1:7" ht="15.75" customHeight="1" x14ac:dyDescent="0.25">
      <c r="A446" s="61"/>
      <c r="B446" s="76"/>
      <c r="C446" s="197"/>
      <c r="D446" s="76"/>
      <c r="E446" s="76"/>
      <c r="F446" s="75"/>
      <c r="G446" s="17"/>
    </row>
    <row r="447" spans="1:7" ht="15.75" customHeight="1" x14ac:dyDescent="0.25">
      <c r="A447" s="61"/>
      <c r="B447" s="76"/>
      <c r="C447" s="199"/>
      <c r="D447" s="76"/>
      <c r="E447" s="76"/>
      <c r="F447" s="75"/>
      <c r="G447" s="17"/>
    </row>
    <row r="448" spans="1:7" ht="15.75" customHeight="1" x14ac:dyDescent="0.25">
      <c r="A448" s="61"/>
      <c r="B448" s="76"/>
      <c r="C448" s="199"/>
      <c r="D448" s="76"/>
      <c r="E448" s="76"/>
      <c r="F448" s="75"/>
      <c r="G448" s="17"/>
    </row>
    <row r="449" spans="1:7" ht="15.75" customHeight="1" x14ac:dyDescent="0.25">
      <c r="A449" s="61"/>
      <c r="B449" s="76"/>
      <c r="C449" s="199"/>
      <c r="D449" s="76"/>
      <c r="E449" s="76"/>
      <c r="F449" s="75"/>
      <c r="G449" s="17"/>
    </row>
    <row r="450" spans="1:7" ht="15.75" customHeight="1" x14ac:dyDescent="0.25">
      <c r="A450" s="61"/>
      <c r="B450" s="76"/>
      <c r="C450" s="199"/>
      <c r="D450" s="76"/>
      <c r="E450" s="76"/>
      <c r="F450" s="75"/>
      <c r="G450" s="17"/>
    </row>
    <row r="451" spans="1:7" ht="15.75" customHeight="1" x14ac:dyDescent="0.25">
      <c r="A451" s="61"/>
      <c r="B451" s="76"/>
      <c r="C451" s="199"/>
      <c r="D451" s="76"/>
      <c r="E451" s="76"/>
      <c r="F451" s="75"/>
      <c r="G451" s="17"/>
    </row>
    <row r="452" spans="1:7" ht="15.75" customHeight="1" x14ac:dyDescent="0.25">
      <c r="A452" s="61"/>
      <c r="B452" s="76"/>
      <c r="C452" s="199"/>
      <c r="D452" s="76"/>
      <c r="E452" s="76"/>
      <c r="F452" s="75"/>
      <c r="G452" s="17"/>
    </row>
    <row r="453" spans="1:7" ht="15.75" customHeight="1" x14ac:dyDescent="0.25">
      <c r="A453" s="61"/>
      <c r="B453" s="76"/>
      <c r="C453" s="196"/>
      <c r="D453" s="76"/>
      <c r="E453" s="76"/>
      <c r="F453" s="75"/>
      <c r="G453" s="17"/>
    </row>
    <row r="454" spans="1:7" ht="15.75" customHeight="1" x14ac:dyDescent="0.25">
      <c r="A454" s="61"/>
      <c r="B454" s="76"/>
      <c r="C454" s="199"/>
      <c r="D454" s="76"/>
      <c r="E454" s="76"/>
      <c r="F454" s="75"/>
      <c r="G454" s="17"/>
    </row>
    <row r="455" spans="1:7" ht="15.75" customHeight="1" x14ac:dyDescent="0.25">
      <c r="A455" s="61"/>
      <c r="B455" s="76"/>
      <c r="C455" s="197"/>
      <c r="D455" s="76"/>
      <c r="E455" s="76"/>
      <c r="F455" s="75"/>
      <c r="G455" s="17"/>
    </row>
    <row r="456" spans="1:7" ht="15.75" customHeight="1" x14ac:dyDescent="0.25">
      <c r="A456" s="61"/>
      <c r="B456" s="76"/>
      <c r="C456" s="199"/>
      <c r="D456" s="76"/>
      <c r="E456" s="76"/>
      <c r="F456" s="75"/>
      <c r="G456" s="17"/>
    </row>
    <row r="457" spans="1:7" ht="15.75" customHeight="1" x14ac:dyDescent="0.25">
      <c r="A457" s="61"/>
      <c r="B457" s="76"/>
      <c r="C457" s="199"/>
      <c r="D457" s="76"/>
      <c r="E457" s="76"/>
      <c r="F457" s="75"/>
      <c r="G457" s="17"/>
    </row>
    <row r="458" spans="1:7" ht="15.75" customHeight="1" x14ac:dyDescent="0.25">
      <c r="A458" s="61"/>
      <c r="B458" s="76"/>
      <c r="C458" s="199"/>
      <c r="D458" s="76"/>
      <c r="E458" s="76"/>
      <c r="F458" s="75"/>
      <c r="G458" s="17"/>
    </row>
    <row r="459" spans="1:7" ht="15.75" customHeight="1" x14ac:dyDescent="0.25">
      <c r="A459" s="61"/>
      <c r="B459" s="76"/>
      <c r="C459" s="199"/>
      <c r="D459" s="76"/>
      <c r="E459" s="76"/>
      <c r="F459" s="75"/>
      <c r="G459" s="17"/>
    </row>
    <row r="460" spans="1:7" ht="15.75" customHeight="1" x14ac:dyDescent="0.25">
      <c r="A460" s="61"/>
      <c r="B460" s="76"/>
      <c r="C460" s="199"/>
      <c r="D460" s="76"/>
      <c r="E460" s="76"/>
      <c r="F460" s="75"/>
      <c r="G460" s="17"/>
    </row>
    <row r="461" spans="1:7" ht="15.75" customHeight="1" x14ac:dyDescent="0.25">
      <c r="A461" s="61"/>
      <c r="B461" s="76"/>
      <c r="C461" s="199"/>
      <c r="D461" s="76"/>
      <c r="E461" s="76"/>
      <c r="F461" s="75"/>
      <c r="G461" s="17"/>
    </row>
    <row r="462" spans="1:7" ht="15.75" customHeight="1" x14ac:dyDescent="0.25">
      <c r="A462" s="61"/>
      <c r="B462" s="76"/>
      <c r="C462" s="197"/>
      <c r="D462" s="76"/>
      <c r="E462" s="76"/>
      <c r="F462" s="75"/>
      <c r="G462" s="17"/>
    </row>
    <row r="463" spans="1:7" ht="15.75" customHeight="1" x14ac:dyDescent="0.25">
      <c r="A463" s="61"/>
      <c r="B463" s="76"/>
      <c r="C463" s="196"/>
      <c r="D463" s="76"/>
      <c r="E463" s="76"/>
      <c r="F463" s="75"/>
      <c r="G463" s="17"/>
    </row>
    <row r="464" spans="1:7" ht="15.75" customHeight="1" x14ac:dyDescent="0.25">
      <c r="A464" s="61"/>
      <c r="B464" s="76"/>
      <c r="C464" s="196"/>
      <c r="D464" s="76"/>
      <c r="E464" s="76"/>
      <c r="F464" s="75"/>
      <c r="G464" s="17"/>
    </row>
    <row r="465" spans="1:7" ht="15.75" customHeight="1" x14ac:dyDescent="0.25">
      <c r="A465" s="61"/>
      <c r="B465" s="76"/>
      <c r="C465" s="199"/>
      <c r="D465" s="76"/>
      <c r="E465" s="76"/>
      <c r="F465" s="75"/>
      <c r="G465" s="17"/>
    </row>
    <row r="466" spans="1:7" ht="15.75" customHeight="1" x14ac:dyDescent="0.25">
      <c r="A466" s="61"/>
      <c r="B466" s="76"/>
      <c r="C466" s="199"/>
      <c r="D466" s="76"/>
      <c r="E466" s="76"/>
      <c r="F466" s="75"/>
      <c r="G466" s="17"/>
    </row>
    <row r="467" spans="1:7" ht="15.75" customHeight="1" x14ac:dyDescent="0.25">
      <c r="A467" s="61"/>
      <c r="B467" s="76"/>
      <c r="C467" s="199"/>
      <c r="D467" s="76"/>
      <c r="E467" s="76"/>
      <c r="F467" s="75"/>
      <c r="G467" s="17"/>
    </row>
    <row r="468" spans="1:7" ht="15.75" customHeight="1" x14ac:dyDescent="0.25">
      <c r="A468" s="61"/>
      <c r="B468" s="76"/>
      <c r="C468" s="199"/>
      <c r="D468" s="76"/>
      <c r="E468" s="76"/>
      <c r="F468" s="75"/>
      <c r="G468" s="17"/>
    </row>
    <row r="469" spans="1:7" ht="15.75" customHeight="1" x14ac:dyDescent="0.25">
      <c r="A469" s="61"/>
      <c r="B469" s="76"/>
      <c r="C469" s="199"/>
      <c r="D469" s="76"/>
      <c r="E469" s="76"/>
      <c r="F469" s="75"/>
      <c r="G469" s="17"/>
    </row>
    <row r="470" spans="1:7" ht="15.75" customHeight="1" x14ac:dyDescent="0.25">
      <c r="A470" s="61"/>
      <c r="B470" s="76"/>
      <c r="C470" s="199"/>
      <c r="D470" s="76"/>
      <c r="E470" s="76"/>
      <c r="F470" s="75"/>
      <c r="G470" s="17"/>
    </row>
    <row r="471" spans="1:7" ht="15.75" customHeight="1" x14ac:dyDescent="0.25">
      <c r="A471" s="61"/>
      <c r="B471" s="76"/>
      <c r="C471" s="199"/>
      <c r="D471" s="76"/>
      <c r="E471" s="76"/>
      <c r="F471" s="75"/>
      <c r="G471" s="17"/>
    </row>
    <row r="472" spans="1:7" ht="15.75" customHeight="1" x14ac:dyDescent="0.25">
      <c r="A472" s="61"/>
      <c r="B472" s="76"/>
      <c r="C472" s="199"/>
      <c r="D472" s="76"/>
      <c r="E472" s="76"/>
      <c r="F472" s="75"/>
      <c r="G472" s="17"/>
    </row>
    <row r="473" spans="1:7" ht="15.75" customHeight="1" x14ac:dyDescent="0.25">
      <c r="A473" s="61"/>
      <c r="B473" s="76"/>
      <c r="C473" s="197"/>
      <c r="D473" s="76"/>
      <c r="E473" s="76"/>
      <c r="F473" s="75"/>
      <c r="G473" s="17"/>
    </row>
    <row r="474" spans="1:7" ht="15.75" customHeight="1" x14ac:dyDescent="0.25">
      <c r="A474" s="61"/>
      <c r="B474" s="76"/>
      <c r="C474" s="197"/>
      <c r="D474" s="76"/>
      <c r="E474" s="76"/>
      <c r="F474" s="75"/>
      <c r="G474" s="17"/>
    </row>
    <row r="475" spans="1:7" ht="15.75" customHeight="1" x14ac:dyDescent="0.25">
      <c r="A475" s="61"/>
      <c r="B475" s="76"/>
      <c r="C475" s="199"/>
      <c r="D475" s="76"/>
      <c r="E475" s="76"/>
      <c r="F475" s="75"/>
      <c r="G475" s="17"/>
    </row>
    <row r="476" spans="1:7" ht="15.75" customHeight="1" x14ac:dyDescent="0.25">
      <c r="A476" s="61"/>
      <c r="B476" s="76"/>
      <c r="C476" s="199"/>
      <c r="D476" s="76"/>
      <c r="E476" s="76"/>
      <c r="F476" s="75"/>
      <c r="G476" s="17"/>
    </row>
    <row r="477" spans="1:7" ht="15.75" customHeight="1" x14ac:dyDescent="0.25">
      <c r="A477" s="61"/>
      <c r="B477" s="76"/>
      <c r="C477" s="199"/>
      <c r="D477" s="76"/>
      <c r="E477" s="76"/>
      <c r="F477" s="75"/>
      <c r="G477" s="17"/>
    </row>
    <row r="478" spans="1:7" ht="15.75" customHeight="1" x14ac:dyDescent="0.25">
      <c r="A478" s="61"/>
      <c r="B478" s="76"/>
      <c r="C478" s="199"/>
      <c r="D478" s="76"/>
      <c r="E478" s="76"/>
      <c r="F478" s="75"/>
      <c r="G478" s="17"/>
    </row>
    <row r="479" spans="1:7" ht="15.75" customHeight="1" x14ac:dyDescent="0.25">
      <c r="A479" s="61"/>
      <c r="B479" s="76"/>
      <c r="C479" s="199"/>
      <c r="D479" s="76"/>
      <c r="E479" s="76"/>
      <c r="F479" s="75"/>
      <c r="G479" s="17"/>
    </row>
    <row r="480" spans="1:7" ht="15.75" customHeight="1" x14ac:dyDescent="0.25">
      <c r="A480" s="61"/>
      <c r="B480" s="76"/>
      <c r="C480" s="199"/>
      <c r="D480" s="76"/>
      <c r="E480" s="76"/>
      <c r="F480" s="75"/>
      <c r="G480" s="17"/>
    </row>
    <row r="481" spans="1:7" ht="15.75" customHeight="1" x14ac:dyDescent="0.25">
      <c r="A481" s="61"/>
      <c r="B481" s="76"/>
      <c r="C481" s="199"/>
      <c r="D481" s="76"/>
      <c r="E481" s="76"/>
      <c r="F481" s="75"/>
      <c r="G481" s="17"/>
    </row>
    <row r="482" spans="1:7" ht="15.75" customHeight="1" x14ac:dyDescent="0.25">
      <c r="A482" s="61"/>
      <c r="B482" s="76"/>
      <c r="C482" s="199"/>
      <c r="D482" s="76"/>
      <c r="E482" s="76"/>
      <c r="F482" s="75"/>
      <c r="G482" s="17"/>
    </row>
    <row r="483" spans="1:7" ht="15.75" customHeight="1" x14ac:dyDescent="0.25">
      <c r="A483" s="61"/>
      <c r="B483" s="76"/>
      <c r="C483" s="196"/>
      <c r="D483" s="76"/>
      <c r="E483" s="76"/>
      <c r="F483" s="75"/>
      <c r="G483" s="17"/>
    </row>
    <row r="484" spans="1:7" ht="15.75" customHeight="1" x14ac:dyDescent="0.25">
      <c r="A484" s="61"/>
      <c r="B484" s="76"/>
      <c r="C484" s="196"/>
      <c r="D484" s="76"/>
      <c r="E484" s="76"/>
      <c r="F484" s="75"/>
      <c r="G484" s="17"/>
    </row>
    <row r="485" spans="1:7" ht="15.75" customHeight="1" x14ac:dyDescent="0.25">
      <c r="A485" s="61"/>
      <c r="B485" s="76"/>
      <c r="C485" s="198"/>
      <c r="D485" s="76"/>
      <c r="E485" s="76"/>
      <c r="F485" s="75"/>
      <c r="G485" s="17"/>
    </row>
    <row r="486" spans="1:7" ht="15.75" customHeight="1" x14ac:dyDescent="0.25">
      <c r="A486" s="61"/>
      <c r="B486" s="76"/>
      <c r="C486" s="198"/>
      <c r="D486" s="76"/>
      <c r="E486" s="76"/>
      <c r="F486" s="75"/>
      <c r="G486" s="17"/>
    </row>
    <row r="487" spans="1:7" ht="15.75" customHeight="1" x14ac:dyDescent="0.25">
      <c r="A487" s="61"/>
      <c r="B487" s="76"/>
      <c r="C487" s="199"/>
      <c r="D487" s="76"/>
      <c r="E487" s="76"/>
      <c r="F487" s="75"/>
      <c r="G487" s="17"/>
    </row>
    <row r="488" spans="1:7" ht="15.75" customHeight="1" x14ac:dyDescent="0.25">
      <c r="A488" s="61"/>
      <c r="B488" s="76"/>
      <c r="C488" s="199"/>
      <c r="D488" s="76"/>
      <c r="E488" s="76"/>
      <c r="F488" s="75"/>
      <c r="G488" s="17"/>
    </row>
    <row r="489" spans="1:7" ht="15.75" customHeight="1" x14ac:dyDescent="0.25">
      <c r="A489" s="61"/>
      <c r="B489" s="76"/>
      <c r="C489" s="197"/>
      <c r="D489" s="76"/>
      <c r="E489" s="76"/>
      <c r="F489" s="75"/>
      <c r="G489" s="17"/>
    </row>
    <row r="490" spans="1:7" ht="15.75" customHeight="1" x14ac:dyDescent="0.25">
      <c r="A490" s="61"/>
      <c r="B490" s="76"/>
      <c r="C490" s="199"/>
      <c r="D490" s="76"/>
      <c r="E490" s="76"/>
      <c r="F490" s="75"/>
      <c r="G490" s="17"/>
    </row>
    <row r="491" spans="1:7" ht="15.75" customHeight="1" x14ac:dyDescent="0.25">
      <c r="A491" s="61"/>
      <c r="B491" s="76"/>
      <c r="C491" s="199"/>
      <c r="D491" s="76"/>
      <c r="E491" s="76"/>
      <c r="F491" s="75"/>
      <c r="G491" s="17"/>
    </row>
    <row r="492" spans="1:7" ht="15.75" customHeight="1" x14ac:dyDescent="0.25">
      <c r="A492" s="61"/>
      <c r="B492" s="76"/>
      <c r="C492" s="199"/>
      <c r="D492" s="76"/>
      <c r="E492" s="76"/>
      <c r="F492" s="75"/>
      <c r="G492" s="17"/>
    </row>
    <row r="493" spans="1:7" ht="15.75" customHeight="1" x14ac:dyDescent="0.25">
      <c r="A493" s="61"/>
      <c r="B493" s="76"/>
      <c r="C493" s="199"/>
      <c r="D493" s="76"/>
      <c r="E493" s="76"/>
      <c r="F493" s="75"/>
      <c r="G493" s="17"/>
    </row>
    <row r="494" spans="1:7" ht="15.75" customHeight="1" x14ac:dyDescent="0.25">
      <c r="A494" s="61"/>
      <c r="B494" s="76"/>
      <c r="C494" s="199"/>
      <c r="D494" s="76"/>
      <c r="E494" s="76"/>
      <c r="F494" s="75"/>
      <c r="G494" s="17"/>
    </row>
    <row r="495" spans="1:7" ht="15.75" customHeight="1" x14ac:dyDescent="0.25">
      <c r="A495" s="61"/>
      <c r="B495" s="76"/>
      <c r="C495" s="199"/>
      <c r="D495" s="76"/>
      <c r="E495" s="76"/>
      <c r="F495" s="75"/>
      <c r="G495" s="17"/>
    </row>
    <row r="496" spans="1:7" ht="15.75" customHeight="1" x14ac:dyDescent="0.25">
      <c r="A496" s="61"/>
      <c r="B496" s="76"/>
      <c r="C496" s="197"/>
      <c r="D496" s="76"/>
      <c r="E496" s="76"/>
      <c r="F496" s="75"/>
      <c r="G496" s="17"/>
    </row>
    <row r="497" spans="1:7" ht="15.75" customHeight="1" x14ac:dyDescent="0.25">
      <c r="A497" s="61"/>
      <c r="B497" s="76"/>
      <c r="C497" s="197"/>
      <c r="D497" s="76"/>
      <c r="E497" s="76"/>
      <c r="F497" s="75"/>
      <c r="G497" s="17"/>
    </row>
    <row r="498" spans="1:7" ht="15.75" customHeight="1" x14ac:dyDescent="0.25">
      <c r="A498" s="61"/>
      <c r="B498" s="76"/>
      <c r="C498" s="199"/>
      <c r="D498" s="76"/>
      <c r="E498" s="76"/>
      <c r="F498" s="75"/>
      <c r="G498" s="17"/>
    </row>
    <row r="499" spans="1:7" ht="15.75" customHeight="1" x14ac:dyDescent="0.25">
      <c r="A499" s="61"/>
      <c r="B499" s="76"/>
      <c r="C499" s="197"/>
      <c r="D499" s="76"/>
      <c r="E499" s="76"/>
      <c r="F499" s="75"/>
      <c r="G499" s="17"/>
    </row>
    <row r="500" spans="1:7" ht="15.75" customHeight="1" x14ac:dyDescent="0.25">
      <c r="A500" s="61"/>
      <c r="B500" s="76"/>
      <c r="C500" s="199"/>
      <c r="D500" s="76"/>
      <c r="E500" s="76"/>
      <c r="F500" s="75"/>
      <c r="G500" s="17"/>
    </row>
    <row r="501" spans="1:7" ht="15.75" customHeight="1" x14ac:dyDescent="0.25">
      <c r="A501" s="61"/>
      <c r="B501" s="76"/>
      <c r="C501" s="199"/>
      <c r="D501" s="76"/>
      <c r="E501" s="76"/>
      <c r="F501" s="75"/>
      <c r="G501" s="17"/>
    </row>
    <row r="502" spans="1:7" ht="15.75" customHeight="1" x14ac:dyDescent="0.25">
      <c r="A502" s="61"/>
      <c r="B502" s="76"/>
      <c r="C502" s="199"/>
      <c r="D502" s="76"/>
      <c r="E502" s="76"/>
      <c r="F502" s="75"/>
      <c r="G502" s="17"/>
    </row>
    <row r="503" spans="1:7" ht="15.75" customHeight="1" x14ac:dyDescent="0.25">
      <c r="A503" s="61"/>
      <c r="B503" s="76"/>
      <c r="C503" s="199"/>
      <c r="D503" s="76"/>
      <c r="E503" s="76"/>
      <c r="F503" s="75"/>
      <c r="G503" s="17"/>
    </row>
    <row r="504" spans="1:7" ht="15.75" customHeight="1" x14ac:dyDescent="0.25">
      <c r="A504" s="61"/>
      <c r="B504" s="76"/>
      <c r="C504" s="199"/>
      <c r="D504" s="76"/>
      <c r="E504" s="76"/>
      <c r="F504" s="75"/>
      <c r="G504" s="17"/>
    </row>
    <row r="505" spans="1:7" ht="15.75" customHeight="1" x14ac:dyDescent="0.25">
      <c r="A505" s="61"/>
      <c r="B505" s="76"/>
      <c r="C505" s="199"/>
      <c r="D505" s="76"/>
      <c r="E505" s="76"/>
      <c r="F505" s="75"/>
      <c r="G505" s="17"/>
    </row>
    <row r="506" spans="1:7" ht="15.75" customHeight="1" x14ac:dyDescent="0.25">
      <c r="A506" s="61"/>
      <c r="B506" s="76"/>
      <c r="C506" s="197"/>
      <c r="D506" s="76"/>
      <c r="E506" s="76"/>
      <c r="F506" s="75"/>
      <c r="G506" s="17"/>
    </row>
    <row r="507" spans="1:7" ht="15.75" customHeight="1" x14ac:dyDescent="0.25">
      <c r="A507" s="61"/>
      <c r="B507" s="76"/>
      <c r="C507" s="199"/>
      <c r="D507" s="76"/>
      <c r="E507" s="76"/>
      <c r="F507" s="75"/>
      <c r="G507" s="17"/>
    </row>
    <row r="508" spans="1:7" ht="15.75" customHeight="1" x14ac:dyDescent="0.25">
      <c r="A508" s="61"/>
      <c r="B508" s="76"/>
      <c r="C508" s="199"/>
      <c r="D508" s="76"/>
      <c r="E508" s="76"/>
      <c r="F508" s="75"/>
      <c r="G508" s="17"/>
    </row>
    <row r="509" spans="1:7" ht="15.75" customHeight="1" x14ac:dyDescent="0.25">
      <c r="A509" s="61"/>
      <c r="B509" s="76"/>
      <c r="C509" s="197"/>
      <c r="D509" s="76"/>
      <c r="E509" s="76"/>
      <c r="F509" s="75"/>
      <c r="G509" s="17"/>
    </row>
    <row r="510" spans="1:7" ht="15.75" customHeight="1" x14ac:dyDescent="0.25">
      <c r="A510" s="61"/>
      <c r="B510" s="76"/>
      <c r="C510" s="199"/>
      <c r="D510" s="76"/>
      <c r="E510" s="76"/>
      <c r="F510" s="75"/>
      <c r="G510" s="17"/>
    </row>
    <row r="511" spans="1:7" ht="15.75" customHeight="1" x14ac:dyDescent="0.25">
      <c r="A511" s="61"/>
      <c r="B511" s="76"/>
      <c r="C511" s="199"/>
      <c r="D511" s="76"/>
      <c r="E511" s="76"/>
      <c r="F511" s="75"/>
      <c r="G511" s="17"/>
    </row>
    <row r="512" spans="1:7" ht="15.75" customHeight="1" x14ac:dyDescent="0.25">
      <c r="A512" s="61"/>
      <c r="B512" s="76"/>
      <c r="C512" s="199"/>
      <c r="D512" s="76"/>
      <c r="E512" s="76"/>
      <c r="F512" s="75"/>
      <c r="G512" s="17"/>
    </row>
    <row r="513" spans="1:7" ht="15.75" customHeight="1" x14ac:dyDescent="0.25">
      <c r="A513" s="61"/>
      <c r="B513" s="76"/>
      <c r="C513" s="197"/>
      <c r="D513" s="76"/>
      <c r="E513" s="76"/>
      <c r="F513" s="75"/>
      <c r="G513" s="17"/>
    </row>
    <row r="514" spans="1:7" ht="15.75" customHeight="1" x14ac:dyDescent="0.25">
      <c r="A514" s="61"/>
      <c r="B514" s="76"/>
      <c r="C514" s="199"/>
      <c r="D514" s="76"/>
      <c r="E514" s="76"/>
      <c r="F514" s="75"/>
      <c r="G514" s="17"/>
    </row>
    <row r="515" spans="1:7" ht="15.75" customHeight="1" x14ac:dyDescent="0.25">
      <c r="A515" s="61"/>
      <c r="B515" s="76"/>
      <c r="C515" s="197"/>
      <c r="D515" s="76"/>
      <c r="E515" s="76"/>
      <c r="F515" s="75"/>
      <c r="G515" s="17"/>
    </row>
    <row r="516" spans="1:7" ht="15.75" customHeight="1" x14ac:dyDescent="0.25">
      <c r="A516" s="61"/>
      <c r="B516" s="76"/>
      <c r="C516" s="199"/>
      <c r="D516" s="76"/>
      <c r="E516" s="76"/>
      <c r="F516" s="75"/>
      <c r="G516" s="17"/>
    </row>
    <row r="517" spans="1:7" ht="15.75" customHeight="1" x14ac:dyDescent="0.25">
      <c r="A517" s="61"/>
      <c r="B517" s="76"/>
      <c r="C517" s="199"/>
      <c r="D517" s="76"/>
      <c r="E517" s="76"/>
      <c r="F517" s="75"/>
      <c r="G517" s="17"/>
    </row>
    <row r="518" spans="1:7" ht="15.75" customHeight="1" x14ac:dyDescent="0.25">
      <c r="A518" s="61"/>
      <c r="B518" s="76"/>
      <c r="C518" s="199"/>
      <c r="D518" s="76"/>
      <c r="E518" s="76"/>
      <c r="F518" s="75"/>
      <c r="G518" s="17"/>
    </row>
    <row r="519" spans="1:7" ht="15.75" customHeight="1" x14ac:dyDescent="0.25">
      <c r="A519" s="61"/>
      <c r="B519" s="76"/>
      <c r="C519" s="199"/>
      <c r="D519" s="76"/>
      <c r="E519" s="76"/>
      <c r="F519" s="75"/>
      <c r="G519" s="17"/>
    </row>
    <row r="520" spans="1:7" ht="15.75" customHeight="1" x14ac:dyDescent="0.25">
      <c r="A520" s="61"/>
      <c r="B520" s="76"/>
      <c r="C520" s="199"/>
      <c r="D520" s="76"/>
      <c r="E520" s="76"/>
      <c r="F520" s="75"/>
      <c r="G520" s="17"/>
    </row>
    <row r="521" spans="1:7" ht="15.75" customHeight="1" x14ac:dyDescent="0.25">
      <c r="A521" s="61"/>
      <c r="B521" s="76"/>
      <c r="C521" s="199"/>
      <c r="D521" s="76"/>
      <c r="E521" s="76"/>
      <c r="F521" s="75"/>
      <c r="G521" s="17"/>
    </row>
    <row r="522" spans="1:7" ht="15.75" customHeight="1" x14ac:dyDescent="0.25">
      <c r="A522" s="61"/>
      <c r="B522" s="76"/>
      <c r="C522" s="199"/>
      <c r="D522" s="76"/>
      <c r="E522" s="76"/>
      <c r="F522" s="75"/>
      <c r="G522" s="17"/>
    </row>
    <row r="523" spans="1:7" ht="15.75" customHeight="1" x14ac:dyDescent="0.25">
      <c r="A523" s="61"/>
      <c r="B523" s="76"/>
      <c r="C523" s="197"/>
      <c r="D523" s="76"/>
      <c r="E523" s="76"/>
      <c r="F523" s="75"/>
      <c r="G523" s="17"/>
    </row>
    <row r="524" spans="1:7" ht="15.75" customHeight="1" x14ac:dyDescent="0.25">
      <c r="A524" s="61"/>
      <c r="B524" s="76"/>
      <c r="C524" s="197"/>
      <c r="D524" s="76"/>
      <c r="E524" s="76"/>
      <c r="F524" s="75"/>
      <c r="G524" s="17"/>
    </row>
    <row r="525" spans="1:7" ht="15.75" customHeight="1" x14ac:dyDescent="0.25">
      <c r="A525" s="61"/>
      <c r="B525" s="76"/>
      <c r="C525" s="199"/>
      <c r="D525" s="76"/>
      <c r="E525" s="76"/>
      <c r="F525" s="75"/>
      <c r="G525" s="17"/>
    </row>
    <row r="526" spans="1:7" ht="15.75" customHeight="1" x14ac:dyDescent="0.25">
      <c r="A526" s="61"/>
      <c r="B526" s="76"/>
      <c r="C526" s="199"/>
      <c r="D526" s="76"/>
      <c r="E526" s="76"/>
      <c r="F526" s="75"/>
      <c r="G526" s="17"/>
    </row>
    <row r="527" spans="1:7" ht="15.75" customHeight="1" x14ac:dyDescent="0.25">
      <c r="A527" s="61"/>
      <c r="B527" s="76"/>
      <c r="C527" s="199"/>
      <c r="D527" s="76"/>
      <c r="E527" s="76"/>
      <c r="F527" s="75"/>
      <c r="G527" s="17"/>
    </row>
    <row r="528" spans="1:7" ht="15.75" customHeight="1" x14ac:dyDescent="0.25">
      <c r="A528" s="61"/>
      <c r="B528" s="76"/>
      <c r="C528" s="199"/>
      <c r="D528" s="76"/>
      <c r="E528" s="76"/>
      <c r="F528" s="75"/>
      <c r="G528" s="17"/>
    </row>
    <row r="529" spans="1:7" ht="15.75" customHeight="1" x14ac:dyDescent="0.25">
      <c r="A529" s="61"/>
      <c r="B529" s="76"/>
      <c r="C529" s="197"/>
      <c r="D529" s="76"/>
      <c r="E529" s="76"/>
      <c r="F529" s="75"/>
      <c r="G529" s="17"/>
    </row>
    <row r="530" spans="1:7" ht="15.75" customHeight="1" x14ac:dyDescent="0.25">
      <c r="A530" s="61"/>
      <c r="B530" s="76"/>
      <c r="C530" s="197"/>
      <c r="D530" s="76"/>
      <c r="E530" s="76"/>
      <c r="F530" s="75"/>
      <c r="G530" s="17"/>
    </row>
    <row r="531" spans="1:7" ht="15.75" customHeight="1" x14ac:dyDescent="0.25">
      <c r="A531" s="61"/>
      <c r="B531" s="76"/>
      <c r="C531" s="197"/>
      <c r="D531" s="76"/>
      <c r="E531" s="76"/>
      <c r="F531" s="75"/>
      <c r="G531" s="17"/>
    </row>
    <row r="532" spans="1:7" ht="15.75" customHeight="1" x14ac:dyDescent="0.25">
      <c r="A532" s="61"/>
      <c r="B532" s="76"/>
      <c r="C532" s="197"/>
      <c r="D532" s="76"/>
      <c r="E532" s="76"/>
      <c r="F532" s="75"/>
      <c r="G532" s="17"/>
    </row>
    <row r="533" spans="1:7" ht="15.75" customHeight="1" x14ac:dyDescent="0.25">
      <c r="A533" s="61"/>
      <c r="B533" s="76"/>
      <c r="C533" s="199"/>
      <c r="D533" s="76"/>
      <c r="E533" s="76"/>
      <c r="F533" s="75"/>
      <c r="G533" s="17"/>
    </row>
    <row r="534" spans="1:7" ht="15.75" customHeight="1" x14ac:dyDescent="0.25">
      <c r="A534" s="61"/>
      <c r="B534" s="76"/>
      <c r="C534" s="199"/>
      <c r="D534" s="76"/>
      <c r="E534" s="76"/>
      <c r="F534" s="75"/>
      <c r="G534" s="17"/>
    </row>
    <row r="535" spans="1:7" ht="15.75" customHeight="1" x14ac:dyDescent="0.25">
      <c r="A535" s="61"/>
      <c r="B535" s="76"/>
      <c r="C535" s="199"/>
      <c r="D535" s="76"/>
      <c r="E535" s="76"/>
      <c r="F535" s="75"/>
      <c r="G535" s="17"/>
    </row>
    <row r="536" spans="1:7" ht="15.75" customHeight="1" x14ac:dyDescent="0.25">
      <c r="A536" s="61"/>
      <c r="B536" s="76"/>
      <c r="C536" s="197"/>
      <c r="D536" s="76"/>
      <c r="E536" s="76"/>
      <c r="F536" s="75"/>
      <c r="G536" s="17"/>
    </row>
    <row r="537" spans="1:7" ht="15.75" customHeight="1" x14ac:dyDescent="0.25">
      <c r="A537" s="61"/>
      <c r="B537" s="76"/>
      <c r="C537" s="199"/>
      <c r="D537" s="76"/>
      <c r="E537" s="76"/>
      <c r="F537" s="75"/>
      <c r="G537" s="17"/>
    </row>
    <row r="538" spans="1:7" ht="15.75" customHeight="1" x14ac:dyDescent="0.25">
      <c r="A538" s="61"/>
      <c r="B538" s="76"/>
      <c r="C538" s="197"/>
      <c r="D538" s="76"/>
      <c r="E538" s="76"/>
      <c r="F538" s="75"/>
      <c r="G538" s="17"/>
    </row>
    <row r="539" spans="1:7" ht="15.75" customHeight="1" x14ac:dyDescent="0.25">
      <c r="A539" s="61"/>
      <c r="B539" s="76"/>
      <c r="C539" s="199"/>
      <c r="D539" s="76"/>
      <c r="E539" s="76"/>
      <c r="F539" s="75"/>
      <c r="G539" s="17"/>
    </row>
    <row r="540" spans="1:7" ht="15.75" customHeight="1" x14ac:dyDescent="0.25">
      <c r="A540" s="61"/>
      <c r="B540" s="76"/>
      <c r="C540" s="199"/>
      <c r="D540" s="76"/>
      <c r="E540" s="76"/>
      <c r="F540" s="75"/>
      <c r="G540" s="17"/>
    </row>
    <row r="541" spans="1:7" ht="15.75" customHeight="1" x14ac:dyDescent="0.25">
      <c r="A541" s="61"/>
      <c r="B541" s="76"/>
      <c r="C541" s="199"/>
      <c r="D541" s="76"/>
      <c r="E541" s="76"/>
      <c r="F541" s="75"/>
      <c r="G541" s="17"/>
    </row>
    <row r="542" spans="1:7" ht="15.75" customHeight="1" x14ac:dyDescent="0.25">
      <c r="A542" s="61"/>
      <c r="B542" s="76"/>
      <c r="C542" s="199"/>
      <c r="D542" s="76"/>
      <c r="E542" s="76"/>
      <c r="F542" s="75"/>
      <c r="G542" s="17"/>
    </row>
    <row r="543" spans="1:7" ht="15.75" customHeight="1" x14ac:dyDescent="0.25">
      <c r="A543" s="61"/>
      <c r="B543" s="76"/>
      <c r="C543" s="199"/>
      <c r="D543" s="76"/>
      <c r="E543" s="76"/>
      <c r="F543" s="75"/>
      <c r="G543" s="17"/>
    </row>
    <row r="544" spans="1:7" ht="15.75" customHeight="1" x14ac:dyDescent="0.25">
      <c r="A544" s="61"/>
      <c r="B544" s="76"/>
      <c r="C544" s="199"/>
      <c r="D544" s="76"/>
      <c r="E544" s="76"/>
      <c r="F544" s="75"/>
      <c r="G544" s="17"/>
    </row>
    <row r="545" spans="1:7" ht="15.75" customHeight="1" x14ac:dyDescent="0.25">
      <c r="A545" s="61"/>
      <c r="B545" s="76"/>
      <c r="C545" s="199"/>
      <c r="D545" s="76"/>
      <c r="E545" s="76"/>
      <c r="F545" s="75"/>
      <c r="G545" s="17"/>
    </row>
    <row r="546" spans="1:7" ht="15.75" customHeight="1" x14ac:dyDescent="0.25">
      <c r="A546" s="61"/>
      <c r="B546" s="76"/>
      <c r="C546" s="197"/>
      <c r="D546" s="76"/>
      <c r="E546" s="76"/>
      <c r="F546" s="75"/>
      <c r="G546" s="17"/>
    </row>
    <row r="547" spans="1:7" ht="15.75" customHeight="1" x14ac:dyDescent="0.25">
      <c r="A547" s="61"/>
      <c r="B547" s="76"/>
      <c r="C547" s="196"/>
      <c r="D547" s="76"/>
      <c r="E547" s="76"/>
      <c r="F547" s="75"/>
      <c r="G547" s="17"/>
    </row>
    <row r="548" spans="1:7" ht="15.75" customHeight="1" x14ac:dyDescent="0.25">
      <c r="A548" s="61"/>
      <c r="B548" s="76"/>
      <c r="C548" s="199"/>
      <c r="D548" s="76"/>
      <c r="E548" s="76"/>
      <c r="F548" s="75"/>
      <c r="G548" s="17"/>
    </row>
    <row r="549" spans="1:7" ht="15.75" customHeight="1" x14ac:dyDescent="0.25">
      <c r="A549" s="61"/>
      <c r="B549" s="76"/>
      <c r="C549" s="199"/>
      <c r="D549" s="76"/>
      <c r="E549" s="76"/>
      <c r="F549" s="75"/>
      <c r="G549" s="17"/>
    </row>
    <row r="550" spans="1:7" ht="15.75" customHeight="1" x14ac:dyDescent="0.25">
      <c r="A550" s="61"/>
      <c r="B550" s="76"/>
      <c r="C550" s="199"/>
      <c r="D550" s="76"/>
      <c r="E550" s="76"/>
      <c r="F550" s="75"/>
      <c r="G550" s="17"/>
    </row>
    <row r="551" spans="1:7" ht="15.75" customHeight="1" x14ac:dyDescent="0.25">
      <c r="A551" s="61"/>
      <c r="B551" s="76"/>
      <c r="C551" s="199"/>
      <c r="D551" s="76"/>
      <c r="E551" s="76"/>
      <c r="F551" s="75"/>
      <c r="G551" s="17"/>
    </row>
    <row r="552" spans="1:7" ht="15.75" customHeight="1" x14ac:dyDescent="0.25">
      <c r="A552" s="61"/>
      <c r="B552" s="76"/>
      <c r="C552" s="197"/>
      <c r="D552" s="76"/>
      <c r="E552" s="76"/>
      <c r="F552" s="75"/>
      <c r="G552" s="17"/>
    </row>
    <row r="553" spans="1:7" ht="15.75" customHeight="1" x14ac:dyDescent="0.25">
      <c r="A553" s="61"/>
      <c r="B553" s="76"/>
      <c r="C553" s="199"/>
      <c r="D553" s="76"/>
      <c r="E553" s="76"/>
      <c r="F553" s="75"/>
      <c r="G553" s="17"/>
    </row>
    <row r="554" spans="1:7" ht="15.75" customHeight="1" x14ac:dyDescent="0.25">
      <c r="A554" s="61"/>
      <c r="B554" s="76"/>
      <c r="C554" s="199"/>
      <c r="D554" s="76"/>
      <c r="E554" s="76"/>
      <c r="F554" s="75"/>
      <c r="G554" s="17"/>
    </row>
    <row r="555" spans="1:7" ht="15.75" customHeight="1" x14ac:dyDescent="0.25">
      <c r="A555" s="61"/>
      <c r="B555" s="76"/>
      <c r="C555" s="199"/>
      <c r="D555" s="76"/>
      <c r="E555" s="76"/>
      <c r="F555" s="75"/>
      <c r="G555" s="17"/>
    </row>
    <row r="556" spans="1:7" ht="15.75" customHeight="1" x14ac:dyDescent="0.25">
      <c r="A556" s="61"/>
      <c r="B556" s="76"/>
      <c r="C556" s="199"/>
      <c r="D556" s="76"/>
      <c r="E556" s="76"/>
      <c r="F556" s="75"/>
      <c r="G556" s="17"/>
    </row>
    <row r="557" spans="1:7" ht="15.75" customHeight="1" x14ac:dyDescent="0.25">
      <c r="A557" s="61"/>
      <c r="B557" s="76"/>
      <c r="C557" s="197"/>
      <c r="D557" s="76"/>
      <c r="E557" s="76"/>
      <c r="F557" s="75"/>
      <c r="G557" s="17"/>
    </row>
    <row r="558" spans="1:7" ht="15.75" customHeight="1" x14ac:dyDescent="0.25">
      <c r="A558" s="61"/>
      <c r="B558" s="76"/>
      <c r="C558" s="199"/>
      <c r="D558" s="76"/>
      <c r="E558" s="76"/>
      <c r="F558" s="75"/>
      <c r="G558" s="17"/>
    </row>
    <row r="559" spans="1:7" ht="15.75" customHeight="1" x14ac:dyDescent="0.25">
      <c r="A559" s="61"/>
      <c r="B559" s="76"/>
      <c r="C559" s="199"/>
      <c r="D559" s="76"/>
      <c r="E559" s="76"/>
      <c r="F559" s="75"/>
      <c r="G559" s="17"/>
    </row>
    <row r="560" spans="1:7" ht="15.75" customHeight="1" x14ac:dyDescent="0.25">
      <c r="A560" s="61"/>
      <c r="B560" s="76"/>
      <c r="C560" s="199"/>
      <c r="D560" s="76"/>
      <c r="E560" s="76"/>
      <c r="F560" s="75"/>
      <c r="G560" s="17"/>
    </row>
    <row r="561" spans="1:7" ht="15.75" customHeight="1" x14ac:dyDescent="0.25">
      <c r="A561" s="61"/>
      <c r="B561" s="76"/>
      <c r="C561" s="199"/>
      <c r="D561" s="76"/>
      <c r="E561" s="76"/>
      <c r="F561" s="75"/>
      <c r="G561" s="17"/>
    </row>
    <row r="562" spans="1:7" ht="15.75" customHeight="1" x14ac:dyDescent="0.25">
      <c r="A562" s="61"/>
      <c r="B562" s="76"/>
      <c r="C562" s="199"/>
      <c r="D562" s="76"/>
      <c r="E562" s="76"/>
      <c r="F562" s="75"/>
      <c r="G562" s="17"/>
    </row>
    <row r="563" spans="1:7" ht="15.75" customHeight="1" x14ac:dyDescent="0.25">
      <c r="A563" s="61"/>
      <c r="B563" s="76"/>
      <c r="C563" s="197"/>
      <c r="D563" s="76"/>
      <c r="E563" s="76"/>
      <c r="F563" s="75"/>
      <c r="G563" s="17"/>
    </row>
    <row r="564" spans="1:7" ht="15.75" customHeight="1" x14ac:dyDescent="0.25">
      <c r="A564" s="61"/>
      <c r="B564" s="76"/>
      <c r="C564" s="197"/>
      <c r="D564" s="76"/>
      <c r="E564" s="76"/>
      <c r="F564" s="75"/>
      <c r="G564" s="17"/>
    </row>
    <row r="565" spans="1:7" ht="15.75" customHeight="1" x14ac:dyDescent="0.25">
      <c r="A565" s="61"/>
      <c r="B565" s="76"/>
      <c r="C565" s="197"/>
      <c r="D565" s="76"/>
      <c r="E565" s="76"/>
      <c r="F565" s="75"/>
      <c r="G565" s="17"/>
    </row>
    <row r="566" spans="1:7" ht="15.75" customHeight="1" x14ac:dyDescent="0.25">
      <c r="A566" s="61"/>
      <c r="B566" s="76"/>
      <c r="C566" s="199"/>
      <c r="D566" s="76"/>
      <c r="E566" s="76"/>
      <c r="F566" s="75"/>
      <c r="G566" s="17"/>
    </row>
    <row r="567" spans="1:7" ht="15.75" customHeight="1" x14ac:dyDescent="0.25">
      <c r="A567" s="61"/>
      <c r="B567" s="76"/>
      <c r="C567" s="199"/>
      <c r="D567" s="76"/>
      <c r="E567" s="76"/>
      <c r="F567" s="75"/>
      <c r="G567" s="17"/>
    </row>
    <row r="568" spans="1:7" ht="15.75" customHeight="1" x14ac:dyDescent="0.25">
      <c r="A568" s="61"/>
      <c r="B568" s="76"/>
      <c r="C568" s="199"/>
      <c r="D568" s="76"/>
      <c r="E568" s="76"/>
      <c r="F568" s="75"/>
      <c r="G568" s="17"/>
    </row>
    <row r="569" spans="1:7" ht="15.75" customHeight="1" x14ac:dyDescent="0.25">
      <c r="A569" s="61"/>
      <c r="B569" s="76"/>
      <c r="C569" s="199"/>
      <c r="D569" s="76"/>
      <c r="E569" s="76"/>
      <c r="F569" s="75"/>
      <c r="G569" s="17"/>
    </row>
    <row r="570" spans="1:7" ht="15.75" customHeight="1" x14ac:dyDescent="0.25">
      <c r="A570" s="61"/>
      <c r="B570" s="76"/>
      <c r="C570" s="199"/>
      <c r="D570" s="76"/>
      <c r="E570" s="76"/>
      <c r="F570" s="75"/>
      <c r="G570" s="17"/>
    </row>
    <row r="571" spans="1:7" ht="15.75" customHeight="1" x14ac:dyDescent="0.25">
      <c r="A571" s="61"/>
      <c r="B571" s="76"/>
      <c r="C571" s="197"/>
      <c r="D571" s="76"/>
      <c r="E571" s="76"/>
      <c r="F571" s="75"/>
      <c r="G571" s="17"/>
    </row>
    <row r="572" spans="1:7" ht="15.75" customHeight="1" x14ac:dyDescent="0.25">
      <c r="A572" s="61"/>
      <c r="B572" s="76"/>
      <c r="C572" s="199"/>
      <c r="D572" s="76"/>
      <c r="E572" s="76"/>
      <c r="F572" s="75"/>
      <c r="G572" s="17"/>
    </row>
    <row r="573" spans="1:7" ht="15.75" customHeight="1" x14ac:dyDescent="0.25">
      <c r="A573" s="61"/>
      <c r="B573" s="76"/>
      <c r="C573" s="197"/>
      <c r="D573" s="76"/>
      <c r="E573" s="76"/>
      <c r="F573" s="75"/>
      <c r="G573" s="17"/>
    </row>
    <row r="574" spans="1:7" ht="15.75" customHeight="1" x14ac:dyDescent="0.25">
      <c r="A574" s="61"/>
      <c r="B574" s="76"/>
      <c r="C574" s="199"/>
      <c r="D574" s="76"/>
      <c r="E574" s="76"/>
      <c r="F574" s="75"/>
      <c r="G574" s="17"/>
    </row>
    <row r="575" spans="1:7" ht="15.75" customHeight="1" x14ac:dyDescent="0.25">
      <c r="A575" s="61"/>
      <c r="B575" s="76"/>
      <c r="C575" s="197"/>
      <c r="D575" s="76"/>
      <c r="E575" s="76"/>
      <c r="F575" s="75"/>
      <c r="G575" s="17"/>
    </row>
    <row r="576" spans="1:7" ht="15.75" customHeight="1" x14ac:dyDescent="0.25">
      <c r="A576" s="61"/>
      <c r="B576" s="76"/>
      <c r="C576" s="199"/>
      <c r="D576" s="76"/>
      <c r="E576" s="76"/>
      <c r="F576" s="75"/>
      <c r="G576" s="17"/>
    </row>
    <row r="577" spans="1:7" ht="15.75" customHeight="1" x14ac:dyDescent="0.25">
      <c r="A577" s="61"/>
      <c r="B577" s="76"/>
      <c r="C577" s="196"/>
      <c r="D577" s="76"/>
      <c r="E577" s="76"/>
      <c r="F577" s="75"/>
      <c r="G577" s="17"/>
    </row>
    <row r="578" spans="1:7" ht="15.75" customHeight="1" x14ac:dyDescent="0.25">
      <c r="A578" s="61"/>
      <c r="B578" s="76"/>
      <c r="C578" s="198"/>
      <c r="D578" s="76"/>
      <c r="E578" s="76"/>
      <c r="F578" s="75"/>
      <c r="G578" s="17"/>
    </row>
    <row r="579" spans="1:7" ht="15.75" customHeight="1" x14ac:dyDescent="0.25">
      <c r="A579" s="61"/>
      <c r="B579" s="76"/>
      <c r="C579" s="199"/>
      <c r="D579" s="76"/>
      <c r="E579" s="76"/>
      <c r="F579" s="75"/>
      <c r="G579" s="17"/>
    </row>
    <row r="580" spans="1:7" ht="15.75" customHeight="1" x14ac:dyDescent="0.25">
      <c r="A580" s="61"/>
      <c r="B580" s="76"/>
      <c r="C580" s="199"/>
      <c r="D580" s="76"/>
      <c r="E580" s="76"/>
      <c r="F580" s="75"/>
      <c r="G580" s="17"/>
    </row>
    <row r="581" spans="1:7" ht="15.75" customHeight="1" x14ac:dyDescent="0.25">
      <c r="A581" s="61"/>
      <c r="B581" s="76"/>
      <c r="C581" s="199"/>
      <c r="D581" s="76"/>
      <c r="E581" s="76"/>
      <c r="F581" s="75"/>
      <c r="G581" s="17"/>
    </row>
    <row r="582" spans="1:7" ht="15.75" customHeight="1" x14ac:dyDescent="0.25">
      <c r="A582" s="61"/>
      <c r="B582" s="76"/>
      <c r="C582" s="199"/>
      <c r="D582" s="76"/>
      <c r="E582" s="76"/>
      <c r="F582" s="75"/>
      <c r="G582" s="17"/>
    </row>
    <row r="583" spans="1:7" ht="15.75" customHeight="1" x14ac:dyDescent="0.25">
      <c r="A583" s="61"/>
      <c r="B583" s="76"/>
      <c r="C583" s="199"/>
      <c r="D583" s="76"/>
      <c r="E583" s="76"/>
      <c r="F583" s="75"/>
      <c r="G583" s="17"/>
    </row>
    <row r="584" spans="1:7" ht="15.75" customHeight="1" x14ac:dyDescent="0.25">
      <c r="A584" s="61"/>
      <c r="B584" s="76"/>
      <c r="C584" s="197"/>
      <c r="D584" s="76"/>
      <c r="E584" s="76"/>
      <c r="F584" s="75"/>
      <c r="G584" s="17"/>
    </row>
    <row r="585" spans="1:7" ht="15.75" customHeight="1" x14ac:dyDescent="0.25">
      <c r="A585" s="61"/>
      <c r="B585" s="76"/>
      <c r="C585" s="197"/>
      <c r="D585" s="76"/>
      <c r="E585" s="76"/>
      <c r="F585" s="75"/>
      <c r="G585" s="17"/>
    </row>
    <row r="586" spans="1:7" ht="15.75" customHeight="1" x14ac:dyDescent="0.25">
      <c r="A586" s="61"/>
      <c r="B586" s="76"/>
      <c r="C586" s="199"/>
      <c r="D586" s="76"/>
      <c r="E586" s="76"/>
      <c r="F586" s="75"/>
      <c r="G586" s="17"/>
    </row>
    <row r="587" spans="1:7" ht="15.75" customHeight="1" x14ac:dyDescent="0.25">
      <c r="A587" s="61"/>
      <c r="B587" s="76"/>
      <c r="C587" s="199"/>
      <c r="D587" s="76"/>
      <c r="E587" s="76"/>
      <c r="F587" s="75"/>
      <c r="G587" s="17"/>
    </row>
    <row r="588" spans="1:7" ht="15.75" customHeight="1" x14ac:dyDescent="0.25">
      <c r="A588" s="61"/>
      <c r="B588" s="76"/>
      <c r="C588" s="197"/>
      <c r="D588" s="76"/>
      <c r="E588" s="76"/>
      <c r="F588" s="75"/>
      <c r="G588" s="17"/>
    </row>
    <row r="589" spans="1:7" ht="15.75" customHeight="1" x14ac:dyDescent="0.25">
      <c r="A589" s="61"/>
      <c r="B589" s="76"/>
      <c r="C589" s="199"/>
      <c r="D589" s="76"/>
      <c r="E589" s="76"/>
      <c r="F589" s="75"/>
      <c r="G589" s="17"/>
    </row>
    <row r="590" spans="1:7" ht="15.75" customHeight="1" x14ac:dyDescent="0.25">
      <c r="A590" s="61"/>
      <c r="B590" s="76"/>
      <c r="C590" s="199"/>
      <c r="D590" s="76"/>
      <c r="E590" s="76"/>
      <c r="F590" s="75"/>
      <c r="G590" s="17"/>
    </row>
    <row r="591" spans="1:7" ht="15.75" customHeight="1" x14ac:dyDescent="0.25">
      <c r="A591" s="61"/>
      <c r="B591" s="76"/>
      <c r="C591" s="197"/>
      <c r="D591" s="76"/>
      <c r="E591" s="76"/>
      <c r="F591" s="75"/>
      <c r="G591" s="17"/>
    </row>
    <row r="592" spans="1:7" ht="15.75" customHeight="1" x14ac:dyDescent="0.25">
      <c r="A592" s="61"/>
      <c r="B592" s="76"/>
      <c r="C592" s="199"/>
      <c r="D592" s="76"/>
      <c r="E592" s="76"/>
      <c r="F592" s="75"/>
      <c r="G592" s="17"/>
    </row>
    <row r="593" spans="1:7" ht="15.75" customHeight="1" x14ac:dyDescent="0.25">
      <c r="A593" s="61"/>
      <c r="B593" s="76"/>
      <c r="C593" s="197"/>
      <c r="D593" s="76"/>
      <c r="E593" s="76"/>
      <c r="F593" s="75"/>
      <c r="G593" s="17"/>
    </row>
    <row r="594" spans="1:7" ht="15.75" customHeight="1" x14ac:dyDescent="0.25">
      <c r="A594" s="61"/>
      <c r="B594" s="76"/>
      <c r="C594" s="197"/>
      <c r="D594" s="76"/>
      <c r="E594" s="76"/>
      <c r="F594" s="75"/>
      <c r="G594" s="17"/>
    </row>
    <row r="595" spans="1:7" ht="15.75" customHeight="1" x14ac:dyDescent="0.25">
      <c r="A595" s="61"/>
      <c r="B595" s="76"/>
      <c r="C595" s="199"/>
      <c r="D595" s="76"/>
      <c r="E595" s="76"/>
      <c r="F595" s="75"/>
      <c r="G595" s="17"/>
    </row>
    <row r="596" spans="1:7" ht="15.75" customHeight="1" x14ac:dyDescent="0.25">
      <c r="A596" s="61"/>
      <c r="B596" s="76"/>
      <c r="C596" s="199"/>
      <c r="D596" s="76"/>
      <c r="E596" s="76"/>
      <c r="F596" s="75"/>
      <c r="G596" s="17"/>
    </row>
    <row r="597" spans="1:7" ht="15.75" customHeight="1" x14ac:dyDescent="0.25">
      <c r="A597" s="61"/>
      <c r="B597" s="76"/>
      <c r="C597" s="199"/>
      <c r="D597" s="76"/>
      <c r="E597" s="76"/>
      <c r="F597" s="75"/>
      <c r="G597" s="17"/>
    </row>
    <row r="598" spans="1:7" ht="15.75" customHeight="1" x14ac:dyDescent="0.25">
      <c r="A598" s="61"/>
      <c r="B598" s="76"/>
      <c r="C598" s="197"/>
      <c r="D598" s="76"/>
      <c r="E598" s="76"/>
      <c r="F598" s="75"/>
      <c r="G598" s="17"/>
    </row>
    <row r="599" spans="1:7" ht="12.75" x14ac:dyDescent="0.2">
      <c r="A599" s="5"/>
    </row>
    <row r="600" spans="1:7" ht="12.75" x14ac:dyDescent="0.2">
      <c r="A600" s="5"/>
    </row>
    <row r="601" spans="1:7" ht="12.75" x14ac:dyDescent="0.2">
      <c r="A601" s="5"/>
    </row>
    <row r="602" spans="1:7" ht="12.75" x14ac:dyDescent="0.2">
      <c r="A602" s="5"/>
    </row>
    <row r="603" spans="1:7" ht="12.75" x14ac:dyDescent="0.2">
      <c r="A603" s="5"/>
    </row>
    <row r="604" spans="1:7" ht="12.75" x14ac:dyDescent="0.2">
      <c r="A604" s="5"/>
    </row>
    <row r="605" spans="1:7" ht="12.75" x14ac:dyDescent="0.2">
      <c r="A605" s="5"/>
    </row>
    <row r="606" spans="1:7" ht="12.75" x14ac:dyDescent="0.2">
      <c r="A606" s="5"/>
    </row>
    <row r="607" spans="1:7" ht="12.75" x14ac:dyDescent="0.2">
      <c r="A607" s="5"/>
    </row>
    <row r="608" spans="1:7" ht="12.75" x14ac:dyDescent="0.2">
      <c r="A608" s="5"/>
    </row>
    <row r="609" spans="1:1" ht="12.75" x14ac:dyDescent="0.2">
      <c r="A609" s="5"/>
    </row>
    <row r="610" spans="1:1" ht="12.75" x14ac:dyDescent="0.2">
      <c r="A610" s="5"/>
    </row>
    <row r="611" spans="1:1" ht="12.75" x14ac:dyDescent="0.2">
      <c r="A611" s="5"/>
    </row>
    <row r="612" spans="1:1" ht="12.75" x14ac:dyDescent="0.2">
      <c r="A612" s="5"/>
    </row>
    <row r="613" spans="1:1" ht="12.75" x14ac:dyDescent="0.2">
      <c r="A613" s="5"/>
    </row>
    <row r="614" spans="1:1" ht="12.75" x14ac:dyDescent="0.2">
      <c r="A614" s="5"/>
    </row>
    <row r="615" spans="1:1" ht="12.75" x14ac:dyDescent="0.2">
      <c r="A615" s="5"/>
    </row>
    <row r="616" spans="1:1" ht="12.75" x14ac:dyDescent="0.2">
      <c r="A616" s="5"/>
    </row>
    <row r="617" spans="1:1" ht="12.75" x14ac:dyDescent="0.2">
      <c r="A617" s="5"/>
    </row>
    <row r="618" spans="1:1" ht="12.75" x14ac:dyDescent="0.2">
      <c r="A618" s="5"/>
    </row>
    <row r="619" spans="1:1" ht="12.75" x14ac:dyDescent="0.2">
      <c r="A619" s="5"/>
    </row>
    <row r="620" spans="1:1" ht="12.75" x14ac:dyDescent="0.2">
      <c r="A620" s="5"/>
    </row>
    <row r="621" spans="1:1" ht="12.75" x14ac:dyDescent="0.2">
      <c r="A621" s="5"/>
    </row>
    <row r="622" spans="1:1" ht="12.75" x14ac:dyDescent="0.2">
      <c r="A622" s="5"/>
    </row>
    <row r="623" spans="1:1" ht="12.75" x14ac:dyDescent="0.2">
      <c r="A623" s="5"/>
    </row>
    <row r="624" spans="1:1" ht="12.75" x14ac:dyDescent="0.2">
      <c r="A624" s="5"/>
    </row>
    <row r="625" spans="1:1" ht="12.75" x14ac:dyDescent="0.2">
      <c r="A625" s="5"/>
    </row>
    <row r="626" spans="1:1" ht="12.75" x14ac:dyDescent="0.2">
      <c r="A626" s="5"/>
    </row>
    <row r="627" spans="1:1" ht="12.75" x14ac:dyDescent="0.2">
      <c r="A627" s="5"/>
    </row>
    <row r="628" spans="1:1" ht="12.75" x14ac:dyDescent="0.2">
      <c r="A628" s="5"/>
    </row>
    <row r="629" spans="1:1" ht="12.75" x14ac:dyDescent="0.2">
      <c r="A629" s="5"/>
    </row>
    <row r="630" spans="1:1" ht="12.75" x14ac:dyDescent="0.2">
      <c r="A630" s="5"/>
    </row>
    <row r="631" spans="1:1" ht="12.75" x14ac:dyDescent="0.2">
      <c r="A631" s="5"/>
    </row>
    <row r="632" spans="1:1" ht="12.75" x14ac:dyDescent="0.2">
      <c r="A632" s="5"/>
    </row>
    <row r="633" spans="1:1" ht="12.75" x14ac:dyDescent="0.2">
      <c r="A633" s="5"/>
    </row>
    <row r="634" spans="1:1" ht="12.75" x14ac:dyDescent="0.2">
      <c r="A634" s="5"/>
    </row>
    <row r="635" spans="1:1" ht="12.75" x14ac:dyDescent="0.2">
      <c r="A635" s="5"/>
    </row>
    <row r="636" spans="1:1" ht="12.75" x14ac:dyDescent="0.2">
      <c r="A636" s="5"/>
    </row>
    <row r="637" spans="1:1" ht="12.75" x14ac:dyDescent="0.2">
      <c r="A637" s="5"/>
    </row>
    <row r="638" spans="1:1" ht="12.75" x14ac:dyDescent="0.2">
      <c r="A638" s="5"/>
    </row>
    <row r="639" spans="1:1" ht="12.75" x14ac:dyDescent="0.2">
      <c r="A639" s="5"/>
    </row>
    <row r="640" spans="1:1" ht="12.75" x14ac:dyDescent="0.2">
      <c r="A640" s="5"/>
    </row>
    <row r="641" spans="1:1" ht="12.75" x14ac:dyDescent="0.2">
      <c r="A641" s="5"/>
    </row>
    <row r="642" spans="1:1" ht="12.75" x14ac:dyDescent="0.2">
      <c r="A642" s="5"/>
    </row>
    <row r="643" spans="1:1" ht="12.75" x14ac:dyDescent="0.2">
      <c r="A643" s="5"/>
    </row>
    <row r="644" spans="1:1" ht="12.75" x14ac:dyDescent="0.2">
      <c r="A644" s="5"/>
    </row>
    <row r="645" spans="1:1" ht="12.75" x14ac:dyDescent="0.2">
      <c r="A645" s="5"/>
    </row>
    <row r="646" spans="1:1" ht="12.75" x14ac:dyDescent="0.2">
      <c r="A646" s="5"/>
    </row>
    <row r="647" spans="1:1" ht="12.75" x14ac:dyDescent="0.2">
      <c r="A647" s="5"/>
    </row>
    <row r="648" spans="1:1" ht="12.75" x14ac:dyDescent="0.2">
      <c r="A648" s="5"/>
    </row>
    <row r="649" spans="1:1" ht="12.75" x14ac:dyDescent="0.2">
      <c r="A649" s="5"/>
    </row>
    <row r="650" spans="1:1" ht="12.75" x14ac:dyDescent="0.2">
      <c r="A650" s="5"/>
    </row>
    <row r="651" spans="1:1" ht="12.75" x14ac:dyDescent="0.2">
      <c r="A651" s="5"/>
    </row>
    <row r="652" spans="1:1" ht="12.75" x14ac:dyDescent="0.2">
      <c r="A652" s="5"/>
    </row>
    <row r="653" spans="1:1" ht="12.75" x14ac:dyDescent="0.2">
      <c r="A653" s="5"/>
    </row>
    <row r="654" spans="1:1" ht="12.75" x14ac:dyDescent="0.2">
      <c r="A654" s="5"/>
    </row>
    <row r="655" spans="1:1" ht="12.75" x14ac:dyDescent="0.2">
      <c r="A655" s="5"/>
    </row>
    <row r="656" spans="1:1" ht="12.75" x14ac:dyDescent="0.2">
      <c r="A656" s="5"/>
    </row>
    <row r="657" spans="1:1" ht="12.75" x14ac:dyDescent="0.2">
      <c r="A657" s="5"/>
    </row>
    <row r="658" spans="1:1" ht="12.75" x14ac:dyDescent="0.2">
      <c r="A658" s="5"/>
    </row>
    <row r="659" spans="1:1" ht="12.75" x14ac:dyDescent="0.2">
      <c r="A659" s="5"/>
    </row>
    <row r="660" spans="1:1" ht="12.75" x14ac:dyDescent="0.2">
      <c r="A660" s="5"/>
    </row>
    <row r="661" spans="1:1" ht="12.75" x14ac:dyDescent="0.2">
      <c r="A661" s="5"/>
    </row>
    <row r="662" spans="1:1" ht="12.75" x14ac:dyDescent="0.2">
      <c r="A662" s="5"/>
    </row>
    <row r="663" spans="1:1" ht="12.75" x14ac:dyDescent="0.2">
      <c r="A663" s="5"/>
    </row>
    <row r="664" spans="1:1" ht="12.75" x14ac:dyDescent="0.2">
      <c r="A664" s="5"/>
    </row>
    <row r="665" spans="1:1" ht="12.75" x14ac:dyDescent="0.2">
      <c r="A665" s="5"/>
    </row>
    <row r="666" spans="1:1" ht="12.75" x14ac:dyDescent="0.2">
      <c r="A666" s="5"/>
    </row>
    <row r="667" spans="1:1" ht="12.75" x14ac:dyDescent="0.2">
      <c r="A667" s="5"/>
    </row>
    <row r="668" spans="1:1" ht="12.75" x14ac:dyDescent="0.2">
      <c r="A668" s="5"/>
    </row>
    <row r="669" spans="1:1" ht="12.75" x14ac:dyDescent="0.2">
      <c r="A669" s="5"/>
    </row>
    <row r="670" spans="1:1" ht="12.75" x14ac:dyDescent="0.2">
      <c r="A670" s="5"/>
    </row>
    <row r="671" spans="1:1" ht="12.75" x14ac:dyDescent="0.2">
      <c r="A671" s="5"/>
    </row>
    <row r="672" spans="1:1" ht="12.75" x14ac:dyDescent="0.2">
      <c r="A672" s="5"/>
    </row>
    <row r="673" spans="1:1" ht="12.75" x14ac:dyDescent="0.2">
      <c r="A673" s="5"/>
    </row>
    <row r="674" spans="1:1" ht="12.75" x14ac:dyDescent="0.2">
      <c r="A674" s="5"/>
    </row>
    <row r="675" spans="1:1" ht="12.75" x14ac:dyDescent="0.2">
      <c r="A675" s="5"/>
    </row>
    <row r="676" spans="1:1" ht="12.75" x14ac:dyDescent="0.2">
      <c r="A676" s="5"/>
    </row>
    <row r="677" spans="1:1" ht="12.75" x14ac:dyDescent="0.2">
      <c r="A677" s="5"/>
    </row>
    <row r="678" spans="1:1" ht="12.75" x14ac:dyDescent="0.2">
      <c r="A678" s="5"/>
    </row>
    <row r="679" spans="1:1" ht="12.75" x14ac:dyDescent="0.2">
      <c r="A679" s="5"/>
    </row>
    <row r="680" spans="1:1" ht="12.75" x14ac:dyDescent="0.2">
      <c r="A680" s="5"/>
    </row>
    <row r="681" spans="1:1" ht="12.75" x14ac:dyDescent="0.2">
      <c r="A681" s="5"/>
    </row>
    <row r="682" spans="1:1" ht="12.75" x14ac:dyDescent="0.2">
      <c r="A682" s="5"/>
    </row>
    <row r="683" spans="1:1" ht="12.75" x14ac:dyDescent="0.2">
      <c r="A683" s="5"/>
    </row>
    <row r="684" spans="1:1" ht="12.75" x14ac:dyDescent="0.2">
      <c r="A684" s="5"/>
    </row>
    <row r="685" spans="1:1" ht="12.75" x14ac:dyDescent="0.2">
      <c r="A685" s="5"/>
    </row>
    <row r="686" spans="1:1" ht="12.75" x14ac:dyDescent="0.2">
      <c r="A686" s="5"/>
    </row>
    <row r="687" spans="1:1" ht="12.75" x14ac:dyDescent="0.2">
      <c r="A687" s="5"/>
    </row>
    <row r="688" spans="1:1" ht="12.75" x14ac:dyDescent="0.2">
      <c r="A688" s="5"/>
    </row>
    <row r="689" spans="1:1" ht="12.75" x14ac:dyDescent="0.2">
      <c r="A689" s="5"/>
    </row>
    <row r="690" spans="1:1" ht="12.75" x14ac:dyDescent="0.2">
      <c r="A690" s="5"/>
    </row>
    <row r="691" spans="1:1" ht="12.75" x14ac:dyDescent="0.2">
      <c r="A691" s="5"/>
    </row>
    <row r="692" spans="1:1" ht="12.75" x14ac:dyDescent="0.2">
      <c r="A692" s="5"/>
    </row>
    <row r="693" spans="1:1" ht="12.75" x14ac:dyDescent="0.2">
      <c r="A693" s="5"/>
    </row>
    <row r="694" spans="1:1" ht="12.75" x14ac:dyDescent="0.2">
      <c r="A694" s="5"/>
    </row>
    <row r="695" spans="1:1" ht="12.75" x14ac:dyDescent="0.2">
      <c r="A695" s="5"/>
    </row>
    <row r="696" spans="1:1" ht="12.75" x14ac:dyDescent="0.2">
      <c r="A696" s="5"/>
    </row>
    <row r="697" spans="1:1" ht="12.75" x14ac:dyDescent="0.2">
      <c r="A697" s="5"/>
    </row>
    <row r="698" spans="1:1" ht="12.75" x14ac:dyDescent="0.2">
      <c r="A698" s="5"/>
    </row>
    <row r="699" spans="1:1" ht="12.75" x14ac:dyDescent="0.2">
      <c r="A699" s="5"/>
    </row>
    <row r="700" spans="1:1" ht="12.75" x14ac:dyDescent="0.2">
      <c r="A700" s="5"/>
    </row>
    <row r="701" spans="1:1" ht="12.75" x14ac:dyDescent="0.2">
      <c r="A701" s="5"/>
    </row>
    <row r="702" spans="1:1" ht="12.75" x14ac:dyDescent="0.2">
      <c r="A702" s="5"/>
    </row>
    <row r="703" spans="1:1" ht="12.75" x14ac:dyDescent="0.2">
      <c r="A703" s="5"/>
    </row>
    <row r="704" spans="1:1" ht="12.75" x14ac:dyDescent="0.2">
      <c r="A704" s="5"/>
    </row>
    <row r="705" spans="1:1" ht="12.75" x14ac:dyDescent="0.2">
      <c r="A705" s="5"/>
    </row>
    <row r="706" spans="1:1" ht="12.75" x14ac:dyDescent="0.2">
      <c r="A706" s="5"/>
    </row>
    <row r="707" spans="1:1" ht="12.75" x14ac:dyDescent="0.2">
      <c r="A707" s="5"/>
    </row>
    <row r="708" spans="1:1" ht="12.75" x14ac:dyDescent="0.2">
      <c r="A708" s="5"/>
    </row>
    <row r="709" spans="1:1" ht="12.75" x14ac:dyDescent="0.2">
      <c r="A709" s="5"/>
    </row>
    <row r="710" spans="1:1" ht="12.75" x14ac:dyDescent="0.2">
      <c r="A710" s="5"/>
    </row>
    <row r="711" spans="1:1" ht="12.75" x14ac:dyDescent="0.2">
      <c r="A711" s="5"/>
    </row>
    <row r="712" spans="1:1" ht="12.75" x14ac:dyDescent="0.2">
      <c r="A712" s="5"/>
    </row>
    <row r="713" spans="1:1" ht="12.75" x14ac:dyDescent="0.2">
      <c r="A713" s="5"/>
    </row>
    <row r="714" spans="1:1" ht="12.75" x14ac:dyDescent="0.2">
      <c r="A714" s="5"/>
    </row>
    <row r="715" spans="1:1" ht="12.75" x14ac:dyDescent="0.2">
      <c r="A715" s="5"/>
    </row>
    <row r="716" spans="1:1" ht="12.75" x14ac:dyDescent="0.2">
      <c r="A716" s="5"/>
    </row>
    <row r="717" spans="1:1" ht="12.75" x14ac:dyDescent="0.2">
      <c r="A717" s="5"/>
    </row>
    <row r="718" spans="1:1" ht="12.75" x14ac:dyDescent="0.2">
      <c r="A718" s="5"/>
    </row>
    <row r="719" spans="1:1" ht="12.75" x14ac:dyDescent="0.2">
      <c r="A719" s="5"/>
    </row>
    <row r="720" spans="1:1" ht="12.75" x14ac:dyDescent="0.2">
      <c r="A720" s="5"/>
    </row>
    <row r="721" spans="1:1" ht="12.75" x14ac:dyDescent="0.2">
      <c r="A721" s="5"/>
    </row>
    <row r="722" spans="1:1" ht="12.75" x14ac:dyDescent="0.2">
      <c r="A722" s="5"/>
    </row>
    <row r="723" spans="1:1" ht="12.75" x14ac:dyDescent="0.2">
      <c r="A723" s="5"/>
    </row>
    <row r="724" spans="1:1" ht="12.75" x14ac:dyDescent="0.2">
      <c r="A724" s="5"/>
    </row>
    <row r="725" spans="1:1" ht="12.75" x14ac:dyDescent="0.2">
      <c r="A725" s="5"/>
    </row>
    <row r="726" spans="1:1" ht="12.75" x14ac:dyDescent="0.2">
      <c r="A726" s="5"/>
    </row>
    <row r="727" spans="1:1" ht="12.75" x14ac:dyDescent="0.2">
      <c r="A727" s="5"/>
    </row>
    <row r="728" spans="1:1" ht="12.75" x14ac:dyDescent="0.2">
      <c r="A728" s="5"/>
    </row>
    <row r="729" spans="1:1" ht="12.75" x14ac:dyDescent="0.2">
      <c r="A729" s="5"/>
    </row>
    <row r="730" spans="1:1" ht="12.75" x14ac:dyDescent="0.2">
      <c r="A730" s="5"/>
    </row>
    <row r="731" spans="1:1" ht="12.75" x14ac:dyDescent="0.2">
      <c r="A731" s="5"/>
    </row>
    <row r="732" spans="1:1" ht="12.75" x14ac:dyDescent="0.2">
      <c r="A732" s="5"/>
    </row>
    <row r="733" spans="1:1" ht="12.75" x14ac:dyDescent="0.2">
      <c r="A733" s="5"/>
    </row>
    <row r="734" spans="1:1" ht="12.75" x14ac:dyDescent="0.2">
      <c r="A734" s="5"/>
    </row>
    <row r="735" spans="1:1" ht="12.75" x14ac:dyDescent="0.2">
      <c r="A735" s="5"/>
    </row>
    <row r="736" spans="1:1" ht="12.75" x14ac:dyDescent="0.2">
      <c r="A736" s="5"/>
    </row>
    <row r="737" spans="1:1" ht="12.75" x14ac:dyDescent="0.2">
      <c r="A737" s="5"/>
    </row>
    <row r="738" spans="1:1" ht="12.75" x14ac:dyDescent="0.2">
      <c r="A738" s="5"/>
    </row>
    <row r="739" spans="1:1" ht="12.75" x14ac:dyDescent="0.2">
      <c r="A739" s="5"/>
    </row>
    <row r="740" spans="1:1" ht="12.75" x14ac:dyDescent="0.2">
      <c r="A740" s="5"/>
    </row>
    <row r="741" spans="1:1" ht="12.75" x14ac:dyDescent="0.2">
      <c r="A741" s="5"/>
    </row>
    <row r="742" spans="1:1" ht="12.75" x14ac:dyDescent="0.2">
      <c r="A742" s="5"/>
    </row>
    <row r="743" spans="1:1" ht="12.75" x14ac:dyDescent="0.2">
      <c r="A743" s="5"/>
    </row>
    <row r="744" spans="1:1" ht="12.75" x14ac:dyDescent="0.2">
      <c r="A744" s="5"/>
    </row>
    <row r="745" spans="1:1" ht="12.75" x14ac:dyDescent="0.2">
      <c r="A745" s="5"/>
    </row>
    <row r="746" spans="1:1" ht="12.75" x14ac:dyDescent="0.2">
      <c r="A746" s="5"/>
    </row>
    <row r="747" spans="1:1" ht="12.75" x14ac:dyDescent="0.2">
      <c r="A747" s="5"/>
    </row>
    <row r="748" spans="1:1" ht="12.75" x14ac:dyDescent="0.2">
      <c r="A748" s="5"/>
    </row>
    <row r="749" spans="1:1" ht="12.75" x14ac:dyDescent="0.2">
      <c r="A749" s="5"/>
    </row>
    <row r="750" spans="1:1" ht="12.75" x14ac:dyDescent="0.2">
      <c r="A750" s="5"/>
    </row>
    <row r="751" spans="1:1" ht="12.75" x14ac:dyDescent="0.2">
      <c r="A751" s="5"/>
    </row>
    <row r="752" spans="1:1" ht="12.75" x14ac:dyDescent="0.2">
      <c r="A752" s="5"/>
    </row>
    <row r="753" spans="1:1" ht="12.75" x14ac:dyDescent="0.2">
      <c r="A753" s="5"/>
    </row>
    <row r="754" spans="1:1" ht="12.75" x14ac:dyDescent="0.2">
      <c r="A754" s="5"/>
    </row>
    <row r="755" spans="1:1" ht="12.75" x14ac:dyDescent="0.2">
      <c r="A755" s="5"/>
    </row>
    <row r="756" spans="1:1" ht="12.75" x14ac:dyDescent="0.2">
      <c r="A756" s="5"/>
    </row>
    <row r="757" spans="1:1" ht="12.75" x14ac:dyDescent="0.2">
      <c r="A757" s="5"/>
    </row>
    <row r="758" spans="1:1" ht="12.75" x14ac:dyDescent="0.2">
      <c r="A758" s="5"/>
    </row>
    <row r="759" spans="1:1" ht="12.75" x14ac:dyDescent="0.2">
      <c r="A759" s="5"/>
    </row>
    <row r="760" spans="1:1" ht="12.75" x14ac:dyDescent="0.2">
      <c r="A760" s="5"/>
    </row>
    <row r="761" spans="1:1" ht="12.75" x14ac:dyDescent="0.2">
      <c r="A761" s="5"/>
    </row>
    <row r="762" spans="1:1" ht="12.75" x14ac:dyDescent="0.2">
      <c r="A762" s="5"/>
    </row>
    <row r="763" spans="1:1" ht="12.75" x14ac:dyDescent="0.2">
      <c r="A763" s="5"/>
    </row>
    <row r="764" spans="1:1" ht="12.75" x14ac:dyDescent="0.2">
      <c r="A764" s="5"/>
    </row>
    <row r="765" spans="1:1" ht="12.75" x14ac:dyDescent="0.2">
      <c r="A765" s="5"/>
    </row>
    <row r="766" spans="1:1" ht="12.75" x14ac:dyDescent="0.2">
      <c r="A766" s="5"/>
    </row>
    <row r="767" spans="1:1" ht="12.75" x14ac:dyDescent="0.2">
      <c r="A767" s="5"/>
    </row>
    <row r="768" spans="1:1" ht="12.75" x14ac:dyDescent="0.2">
      <c r="A768" s="5"/>
    </row>
    <row r="769" spans="1:1" ht="12.75" x14ac:dyDescent="0.2">
      <c r="A769" s="5"/>
    </row>
    <row r="770" spans="1:1" ht="12.75" x14ac:dyDescent="0.2">
      <c r="A770" s="5"/>
    </row>
    <row r="771" spans="1:1" ht="12.75" x14ac:dyDescent="0.2">
      <c r="A771" s="5"/>
    </row>
    <row r="772" spans="1:1" ht="12.75" x14ac:dyDescent="0.2">
      <c r="A772" s="5"/>
    </row>
    <row r="773" spans="1:1" ht="12.75" x14ac:dyDescent="0.2">
      <c r="A773" s="5"/>
    </row>
    <row r="774" spans="1:1" ht="12.75" x14ac:dyDescent="0.2">
      <c r="A774" s="5"/>
    </row>
    <row r="775" spans="1:1" ht="12.75" x14ac:dyDescent="0.2">
      <c r="A775" s="5"/>
    </row>
    <row r="776" spans="1:1" ht="12.75" x14ac:dyDescent="0.2">
      <c r="A776" s="5"/>
    </row>
    <row r="777" spans="1:1" ht="12.75" x14ac:dyDescent="0.2">
      <c r="A777" s="5"/>
    </row>
    <row r="778" spans="1:1" ht="12.75" x14ac:dyDescent="0.2">
      <c r="A778" s="5"/>
    </row>
    <row r="779" spans="1:1" ht="12.75" x14ac:dyDescent="0.2">
      <c r="A779" s="5"/>
    </row>
    <row r="780" spans="1:1" ht="12.75" x14ac:dyDescent="0.2">
      <c r="A780" s="5"/>
    </row>
    <row r="781" spans="1:1" ht="12.75" x14ac:dyDescent="0.2">
      <c r="A781" s="5"/>
    </row>
    <row r="782" spans="1:1" ht="12.75" x14ac:dyDescent="0.2">
      <c r="A782" s="5"/>
    </row>
    <row r="783" spans="1:1" ht="12.75" x14ac:dyDescent="0.2">
      <c r="A783" s="5"/>
    </row>
    <row r="784" spans="1:1" ht="12.75" x14ac:dyDescent="0.2">
      <c r="A784" s="5"/>
    </row>
    <row r="785" spans="1:1" ht="12.75" x14ac:dyDescent="0.2">
      <c r="A785" s="5"/>
    </row>
    <row r="786" spans="1:1" ht="12.75" x14ac:dyDescent="0.2">
      <c r="A786" s="5"/>
    </row>
    <row r="787" spans="1:1" ht="12.75" x14ac:dyDescent="0.2">
      <c r="A787" s="5"/>
    </row>
    <row r="788" spans="1:1" ht="12.75" x14ac:dyDescent="0.2">
      <c r="A788" s="5"/>
    </row>
    <row r="789" spans="1:1" ht="12.75" x14ac:dyDescent="0.2">
      <c r="A789" s="5"/>
    </row>
    <row r="790" spans="1:1" ht="12.75" x14ac:dyDescent="0.2">
      <c r="A790" s="5"/>
    </row>
    <row r="791" spans="1:1" ht="12.75" x14ac:dyDescent="0.2">
      <c r="A791" s="5"/>
    </row>
    <row r="792" spans="1:1" ht="12.75" x14ac:dyDescent="0.2">
      <c r="A792" s="5"/>
    </row>
    <row r="793" spans="1:1" ht="12.75" x14ac:dyDescent="0.2">
      <c r="A793" s="5"/>
    </row>
    <row r="794" spans="1:1" ht="12.75" x14ac:dyDescent="0.2">
      <c r="A794" s="5"/>
    </row>
    <row r="795" spans="1:1" ht="12.75" x14ac:dyDescent="0.2">
      <c r="A795" s="5"/>
    </row>
    <row r="796" spans="1:1" ht="12.75" x14ac:dyDescent="0.2">
      <c r="A796" s="5"/>
    </row>
    <row r="797" spans="1:1" ht="12.75" x14ac:dyDescent="0.2">
      <c r="A797" s="5"/>
    </row>
    <row r="798" spans="1:1" ht="12.75" x14ac:dyDescent="0.2">
      <c r="A798" s="5"/>
    </row>
    <row r="799" spans="1:1" ht="12.75" x14ac:dyDescent="0.2">
      <c r="A799" s="5"/>
    </row>
    <row r="800" spans="1:1" ht="12.75" x14ac:dyDescent="0.2">
      <c r="A800" s="5"/>
    </row>
    <row r="801" spans="1:1" ht="12.75" x14ac:dyDescent="0.2">
      <c r="A801" s="5"/>
    </row>
    <row r="802" spans="1:1" ht="12.75" x14ac:dyDescent="0.2">
      <c r="A802" s="5"/>
    </row>
    <row r="803" spans="1:1" ht="12.75" x14ac:dyDescent="0.2">
      <c r="A803" s="5"/>
    </row>
    <row r="804" spans="1:1" ht="12.75" x14ac:dyDescent="0.2">
      <c r="A804" s="5"/>
    </row>
    <row r="805" spans="1:1" ht="12.75" x14ac:dyDescent="0.2">
      <c r="A805" s="5"/>
    </row>
    <row r="806" spans="1:1" ht="12.75" x14ac:dyDescent="0.2">
      <c r="A806" s="5"/>
    </row>
    <row r="807" spans="1:1" ht="12.75" x14ac:dyDescent="0.2">
      <c r="A807" s="5"/>
    </row>
    <row r="808" spans="1:1" ht="12.75" x14ac:dyDescent="0.2">
      <c r="A808" s="5"/>
    </row>
    <row r="809" spans="1:1" ht="12.75" x14ac:dyDescent="0.2">
      <c r="A809" s="5"/>
    </row>
    <row r="810" spans="1:1" ht="12.75" x14ac:dyDescent="0.2">
      <c r="A810" s="5"/>
    </row>
    <row r="811" spans="1:1" ht="12.75" x14ac:dyDescent="0.2">
      <c r="A811" s="5"/>
    </row>
    <row r="812" spans="1:1" ht="12.75" x14ac:dyDescent="0.2">
      <c r="A812" s="5"/>
    </row>
    <row r="813" spans="1:1" ht="12.75" x14ac:dyDescent="0.2">
      <c r="A813" s="5"/>
    </row>
    <row r="814" spans="1:1" ht="12.75" x14ac:dyDescent="0.2">
      <c r="A814" s="5"/>
    </row>
    <row r="815" spans="1:1" ht="12.75" x14ac:dyDescent="0.2">
      <c r="A815" s="5"/>
    </row>
    <row r="816" spans="1:1" ht="12.75" x14ac:dyDescent="0.2">
      <c r="A816" s="5"/>
    </row>
    <row r="817" spans="1:1" ht="12.75" x14ac:dyDescent="0.2">
      <c r="A817" s="5"/>
    </row>
    <row r="818" spans="1:1" ht="12.75" x14ac:dyDescent="0.2">
      <c r="A818" s="5"/>
    </row>
    <row r="819" spans="1:1" ht="12.75" x14ac:dyDescent="0.2">
      <c r="A819" s="5"/>
    </row>
    <row r="820" spans="1:1" ht="12.75" x14ac:dyDescent="0.2">
      <c r="A820" s="5"/>
    </row>
    <row r="821" spans="1:1" ht="12.75" x14ac:dyDescent="0.2">
      <c r="A821" s="5"/>
    </row>
    <row r="822" spans="1:1" ht="12.75" x14ac:dyDescent="0.2">
      <c r="A822" s="5"/>
    </row>
    <row r="823" spans="1:1" ht="12.75" x14ac:dyDescent="0.2">
      <c r="A823" s="5"/>
    </row>
    <row r="824" spans="1:1" ht="12.75" x14ac:dyDescent="0.2">
      <c r="A824" s="5"/>
    </row>
    <row r="825" spans="1:1" ht="12.75" x14ac:dyDescent="0.2">
      <c r="A825" s="5"/>
    </row>
    <row r="826" spans="1:1" ht="12.75" x14ac:dyDescent="0.2">
      <c r="A826" s="5"/>
    </row>
    <row r="827" spans="1:1" ht="12.75" x14ac:dyDescent="0.2">
      <c r="A827" s="5"/>
    </row>
    <row r="828" spans="1:1" ht="12.75" x14ac:dyDescent="0.2">
      <c r="A828" s="5"/>
    </row>
    <row r="829" spans="1:1" ht="12.75" x14ac:dyDescent="0.2">
      <c r="A829" s="5"/>
    </row>
    <row r="830" spans="1:1" ht="12.75" x14ac:dyDescent="0.2">
      <c r="A830" s="5"/>
    </row>
    <row r="831" spans="1:1" ht="12.75" x14ac:dyDescent="0.2">
      <c r="A831" s="5"/>
    </row>
    <row r="832" spans="1:1" ht="12.75" x14ac:dyDescent="0.2">
      <c r="A832" s="5"/>
    </row>
    <row r="833" spans="1:1" ht="12.75" x14ac:dyDescent="0.2">
      <c r="A833" s="5"/>
    </row>
    <row r="834" spans="1:1" ht="12.75" x14ac:dyDescent="0.2">
      <c r="A834" s="5"/>
    </row>
    <row r="835" spans="1:1" ht="12.75" x14ac:dyDescent="0.2">
      <c r="A835" s="5"/>
    </row>
    <row r="836" spans="1:1" ht="12.75" x14ac:dyDescent="0.2">
      <c r="A836" s="5"/>
    </row>
    <row r="837" spans="1:1" ht="12.75" x14ac:dyDescent="0.2">
      <c r="A837" s="5"/>
    </row>
    <row r="838" spans="1:1" ht="12.75" x14ac:dyDescent="0.2">
      <c r="A838" s="5"/>
    </row>
    <row r="839" spans="1:1" ht="12.75" x14ac:dyDescent="0.2">
      <c r="A839" s="5"/>
    </row>
    <row r="840" spans="1:1" ht="12.75" x14ac:dyDescent="0.2">
      <c r="A840" s="5"/>
    </row>
    <row r="841" spans="1:1" ht="12.75" x14ac:dyDescent="0.2">
      <c r="A841" s="5"/>
    </row>
    <row r="842" spans="1:1" ht="12.75" x14ac:dyDescent="0.2">
      <c r="A842" s="5"/>
    </row>
    <row r="843" spans="1:1" ht="12.75" x14ac:dyDescent="0.2">
      <c r="A843" s="5"/>
    </row>
    <row r="844" spans="1:1" ht="12.75" x14ac:dyDescent="0.2">
      <c r="A844" s="5"/>
    </row>
    <row r="845" spans="1:1" ht="12.75" x14ac:dyDescent="0.2">
      <c r="A845" s="5"/>
    </row>
    <row r="846" spans="1:1" ht="12.75" x14ac:dyDescent="0.2">
      <c r="A846" s="5"/>
    </row>
    <row r="847" spans="1:1" ht="12.75" x14ac:dyDescent="0.2">
      <c r="A847" s="5"/>
    </row>
    <row r="848" spans="1:1" ht="12.75" x14ac:dyDescent="0.2">
      <c r="A848" s="5"/>
    </row>
    <row r="849" spans="1:1" ht="12.75" x14ac:dyDescent="0.2">
      <c r="A849" s="5"/>
    </row>
    <row r="850" spans="1:1" ht="12.75" x14ac:dyDescent="0.2">
      <c r="A850" s="5"/>
    </row>
    <row r="851" spans="1:1" ht="12.75" x14ac:dyDescent="0.2">
      <c r="A851" s="5"/>
    </row>
    <row r="852" spans="1:1" ht="12.75" x14ac:dyDescent="0.2">
      <c r="A852" s="5"/>
    </row>
    <row r="853" spans="1:1" ht="12.75" x14ac:dyDescent="0.2">
      <c r="A853" s="5"/>
    </row>
    <row r="854" spans="1:1" ht="12.75" x14ac:dyDescent="0.2">
      <c r="A854" s="5"/>
    </row>
    <row r="855" spans="1:1" ht="12.75" x14ac:dyDescent="0.2">
      <c r="A855" s="5"/>
    </row>
    <row r="856" spans="1:1" ht="12.75" x14ac:dyDescent="0.2">
      <c r="A856" s="5"/>
    </row>
    <row r="857" spans="1:1" ht="12.75" x14ac:dyDescent="0.2">
      <c r="A857" s="5"/>
    </row>
    <row r="858" spans="1:1" ht="12.75" x14ac:dyDescent="0.2">
      <c r="A858" s="5"/>
    </row>
    <row r="859" spans="1:1" ht="12.75" x14ac:dyDescent="0.2">
      <c r="A859" s="5"/>
    </row>
    <row r="860" spans="1:1" ht="12.75" x14ac:dyDescent="0.2">
      <c r="A860" s="5"/>
    </row>
    <row r="861" spans="1:1" ht="12.75" x14ac:dyDescent="0.2">
      <c r="A861" s="5"/>
    </row>
    <row r="862" spans="1:1" ht="12.75" x14ac:dyDescent="0.2">
      <c r="A862" s="5"/>
    </row>
    <row r="863" spans="1:1" ht="12.75" x14ac:dyDescent="0.2">
      <c r="A863" s="5"/>
    </row>
    <row r="864" spans="1:1" ht="12.75" x14ac:dyDescent="0.2">
      <c r="A864" s="5"/>
    </row>
    <row r="865" spans="1:1" ht="12.75" x14ac:dyDescent="0.2">
      <c r="A865" s="5"/>
    </row>
    <row r="866" spans="1:1" ht="12.75" x14ac:dyDescent="0.2">
      <c r="A866" s="5"/>
    </row>
    <row r="867" spans="1:1" ht="12.75" x14ac:dyDescent="0.2">
      <c r="A867" s="5"/>
    </row>
    <row r="868" spans="1:1" ht="12.75" x14ac:dyDescent="0.2">
      <c r="A868" s="5"/>
    </row>
    <row r="869" spans="1:1" ht="12.75" x14ac:dyDescent="0.2">
      <c r="A869" s="5"/>
    </row>
    <row r="870" spans="1:1" ht="12.75" x14ac:dyDescent="0.2">
      <c r="A870" s="5"/>
    </row>
    <row r="871" spans="1:1" ht="12.75" x14ac:dyDescent="0.2">
      <c r="A871" s="5"/>
    </row>
    <row r="872" spans="1:1" ht="12.75" x14ac:dyDescent="0.2">
      <c r="A872" s="5"/>
    </row>
    <row r="873" spans="1:1" ht="12.75" x14ac:dyDescent="0.2">
      <c r="A873" s="5"/>
    </row>
    <row r="874" spans="1:1" ht="12.75" x14ac:dyDescent="0.2">
      <c r="A874" s="5"/>
    </row>
    <row r="875" spans="1:1" ht="12.75" x14ac:dyDescent="0.2">
      <c r="A875" s="5"/>
    </row>
    <row r="876" spans="1:1" ht="12.75" x14ac:dyDescent="0.2">
      <c r="A876" s="5"/>
    </row>
    <row r="877" spans="1:1" ht="12.75" x14ac:dyDescent="0.2">
      <c r="A877" s="5"/>
    </row>
    <row r="878" spans="1:1" ht="12.75" x14ac:dyDescent="0.2">
      <c r="A878" s="5"/>
    </row>
    <row r="879" spans="1:1" ht="12.75" x14ac:dyDescent="0.2">
      <c r="A879" s="5"/>
    </row>
    <row r="880" spans="1:1" ht="12.75" x14ac:dyDescent="0.2">
      <c r="A880" s="5"/>
    </row>
    <row r="881" spans="1:1" ht="12.75" x14ac:dyDescent="0.2">
      <c r="A881" s="5"/>
    </row>
    <row r="882" spans="1:1" ht="12.75" x14ac:dyDescent="0.2">
      <c r="A882" s="5"/>
    </row>
    <row r="883" spans="1:1" ht="12.75" x14ac:dyDescent="0.2">
      <c r="A883" s="5"/>
    </row>
    <row r="884" spans="1:1" ht="12.75" x14ac:dyDescent="0.2">
      <c r="A884" s="5"/>
    </row>
    <row r="885" spans="1:1" ht="12.75" x14ac:dyDescent="0.2">
      <c r="A885" s="5"/>
    </row>
    <row r="886" spans="1:1" ht="12.75" x14ac:dyDescent="0.2">
      <c r="A886" s="5"/>
    </row>
    <row r="887" spans="1:1" ht="12.75" x14ac:dyDescent="0.2">
      <c r="A887" s="5"/>
    </row>
    <row r="888" spans="1:1" ht="12.75" x14ac:dyDescent="0.2">
      <c r="A888" s="5"/>
    </row>
    <row r="889" spans="1:1" ht="12.75" x14ac:dyDescent="0.2">
      <c r="A889" s="5"/>
    </row>
    <row r="890" spans="1:1" ht="12.75" x14ac:dyDescent="0.2">
      <c r="A890" s="5"/>
    </row>
    <row r="891" spans="1:1" ht="12.75" x14ac:dyDescent="0.2">
      <c r="A891" s="5"/>
    </row>
    <row r="892" spans="1:1" ht="12.75" x14ac:dyDescent="0.2">
      <c r="A892" s="5"/>
    </row>
    <row r="893" spans="1:1" ht="12.75" x14ac:dyDescent="0.2">
      <c r="A893" s="5"/>
    </row>
    <row r="894" spans="1:1" ht="12.75" x14ac:dyDescent="0.2">
      <c r="A894" s="5"/>
    </row>
    <row r="895" spans="1:1" ht="12.75" x14ac:dyDescent="0.2">
      <c r="A895" s="5"/>
    </row>
    <row r="896" spans="1:1" ht="12.75" x14ac:dyDescent="0.2">
      <c r="A896" s="5"/>
    </row>
    <row r="897" spans="1:1" ht="12.75" x14ac:dyDescent="0.2">
      <c r="A897" s="5"/>
    </row>
    <row r="898" spans="1:1" ht="12.75" x14ac:dyDescent="0.2">
      <c r="A898" s="5"/>
    </row>
    <row r="899" spans="1:1" ht="12.75" x14ac:dyDescent="0.2">
      <c r="A899" s="5"/>
    </row>
    <row r="900" spans="1:1" ht="12.75" x14ac:dyDescent="0.2">
      <c r="A900" s="5"/>
    </row>
    <row r="901" spans="1:1" ht="12.75" x14ac:dyDescent="0.2">
      <c r="A901" s="5"/>
    </row>
    <row r="902" spans="1:1" ht="12.75" x14ac:dyDescent="0.2">
      <c r="A902" s="5"/>
    </row>
    <row r="903" spans="1:1" ht="12.75" x14ac:dyDescent="0.2">
      <c r="A903" s="5"/>
    </row>
    <row r="904" spans="1:1" ht="12.75" x14ac:dyDescent="0.2">
      <c r="A904" s="5"/>
    </row>
    <row r="905" spans="1:1" ht="12.75" x14ac:dyDescent="0.2">
      <c r="A905" s="5"/>
    </row>
    <row r="906" spans="1:1" ht="12.75" x14ac:dyDescent="0.2">
      <c r="A906" s="5"/>
    </row>
    <row r="907" spans="1:1" ht="12.75" x14ac:dyDescent="0.2">
      <c r="A907" s="5"/>
    </row>
    <row r="908" spans="1:1" ht="12.75" x14ac:dyDescent="0.2">
      <c r="A908" s="5"/>
    </row>
    <row r="909" spans="1:1" ht="12.75" x14ac:dyDescent="0.2">
      <c r="A909" s="5"/>
    </row>
    <row r="910" spans="1:1" ht="12.75" x14ac:dyDescent="0.2">
      <c r="A910" s="5"/>
    </row>
    <row r="911" spans="1:1" ht="12.75" x14ac:dyDescent="0.2">
      <c r="A911" s="5"/>
    </row>
    <row r="912" spans="1:1" ht="12.75" x14ac:dyDescent="0.2">
      <c r="A912" s="5"/>
    </row>
    <row r="913" spans="1:1" ht="12.75" x14ac:dyDescent="0.2">
      <c r="A913" s="5"/>
    </row>
    <row r="914" spans="1:1" ht="12.75" x14ac:dyDescent="0.2">
      <c r="A914" s="5"/>
    </row>
    <row r="915" spans="1:1" ht="12.75" x14ac:dyDescent="0.2">
      <c r="A915" s="5"/>
    </row>
    <row r="916" spans="1:1" ht="12.75" x14ac:dyDescent="0.2">
      <c r="A916" s="5"/>
    </row>
    <row r="917" spans="1:1" ht="12.75" x14ac:dyDescent="0.2">
      <c r="A917" s="5"/>
    </row>
    <row r="918" spans="1:1" ht="12.75" x14ac:dyDescent="0.2">
      <c r="A918" s="5"/>
    </row>
    <row r="919" spans="1:1" ht="12.75" x14ac:dyDescent="0.2">
      <c r="A919" s="5"/>
    </row>
    <row r="920" spans="1:1" ht="12.75" x14ac:dyDescent="0.2">
      <c r="A920" s="5"/>
    </row>
    <row r="921" spans="1:1" ht="12.75" x14ac:dyDescent="0.2">
      <c r="A921" s="5"/>
    </row>
    <row r="922" spans="1:1" ht="12.75" x14ac:dyDescent="0.2">
      <c r="A922" s="5"/>
    </row>
    <row r="923" spans="1:1" ht="12.75" x14ac:dyDescent="0.2">
      <c r="A923" s="5"/>
    </row>
    <row r="924" spans="1:1" ht="12.75" x14ac:dyDescent="0.2">
      <c r="A924" s="5"/>
    </row>
    <row r="925" spans="1:1" ht="12.75" x14ac:dyDescent="0.2">
      <c r="A925" s="5"/>
    </row>
    <row r="926" spans="1:1" ht="12.75" x14ac:dyDescent="0.2">
      <c r="A926" s="5"/>
    </row>
    <row r="927" spans="1:1" ht="12.75" x14ac:dyDescent="0.2">
      <c r="A927" s="5"/>
    </row>
    <row r="928" spans="1:1" ht="12.75" x14ac:dyDescent="0.2">
      <c r="A928" s="5"/>
    </row>
    <row r="929" spans="1:1" ht="12.75" x14ac:dyDescent="0.2">
      <c r="A929" s="5"/>
    </row>
    <row r="930" spans="1:1" ht="12.75" x14ac:dyDescent="0.2">
      <c r="A930" s="5"/>
    </row>
    <row r="931" spans="1:1" ht="12.75" x14ac:dyDescent="0.2">
      <c r="A931" s="5"/>
    </row>
    <row r="932" spans="1:1" ht="12.75" x14ac:dyDescent="0.2">
      <c r="A932" s="5"/>
    </row>
    <row r="933" spans="1:1" ht="12.75" x14ac:dyDescent="0.2">
      <c r="A933" s="5"/>
    </row>
    <row r="934" spans="1:1" ht="12.75" x14ac:dyDescent="0.2">
      <c r="A934" s="5"/>
    </row>
    <row r="935" spans="1:1" ht="12.75" x14ac:dyDescent="0.2">
      <c r="A935" s="5"/>
    </row>
    <row r="936" spans="1:1" ht="12.75" x14ac:dyDescent="0.2">
      <c r="A936" s="5"/>
    </row>
    <row r="937" spans="1:1" ht="12.75" x14ac:dyDescent="0.2">
      <c r="A937" s="5"/>
    </row>
    <row r="938" spans="1:1" ht="12.75" x14ac:dyDescent="0.2">
      <c r="A938" s="5"/>
    </row>
    <row r="939" spans="1:1" ht="12.75" x14ac:dyDescent="0.2">
      <c r="A939" s="5"/>
    </row>
    <row r="940" spans="1:1" ht="12.75" x14ac:dyDescent="0.2">
      <c r="A940" s="5"/>
    </row>
    <row r="941" spans="1:1" ht="12.75" x14ac:dyDescent="0.2">
      <c r="A941" s="5"/>
    </row>
    <row r="942" spans="1:1" ht="12.75" x14ac:dyDescent="0.2">
      <c r="A942" s="5"/>
    </row>
    <row r="943" spans="1:1" ht="12.75" x14ac:dyDescent="0.2">
      <c r="A943" s="5"/>
    </row>
    <row r="944" spans="1:1" ht="12.75" x14ac:dyDescent="0.2">
      <c r="A944" s="5"/>
    </row>
    <row r="945" spans="1:1" ht="12.75" x14ac:dyDescent="0.2">
      <c r="A945" s="5"/>
    </row>
    <row r="946" spans="1:1" ht="12.75" x14ac:dyDescent="0.2">
      <c r="A946" s="5"/>
    </row>
    <row r="947" spans="1:1" ht="12.75" x14ac:dyDescent="0.2">
      <c r="A947" s="5"/>
    </row>
    <row r="948" spans="1:1" ht="12.75" x14ac:dyDescent="0.2">
      <c r="A948" s="5"/>
    </row>
    <row r="949" spans="1:1" ht="12.75" x14ac:dyDescent="0.2">
      <c r="A949" s="5"/>
    </row>
    <row r="950" spans="1:1" ht="12.75" x14ac:dyDescent="0.2">
      <c r="A950" s="5"/>
    </row>
    <row r="951" spans="1:1" ht="12.75" x14ac:dyDescent="0.2">
      <c r="A951" s="5"/>
    </row>
    <row r="952" spans="1:1" ht="12.75" x14ac:dyDescent="0.2">
      <c r="A952" s="5"/>
    </row>
    <row r="953" spans="1:1" ht="12.75" x14ac:dyDescent="0.2">
      <c r="A953" s="5"/>
    </row>
    <row r="954" spans="1:1" ht="12.75" x14ac:dyDescent="0.2">
      <c r="A954" s="5"/>
    </row>
    <row r="955" spans="1:1" ht="12.75" x14ac:dyDescent="0.2">
      <c r="A955" s="5"/>
    </row>
    <row r="956" spans="1:1" ht="12.75" x14ac:dyDescent="0.2">
      <c r="A956" s="5"/>
    </row>
    <row r="957" spans="1:1" ht="12.75" x14ac:dyDescent="0.2">
      <c r="A957" s="5"/>
    </row>
    <row r="958" spans="1:1" ht="12.75" x14ac:dyDescent="0.2">
      <c r="A958" s="5"/>
    </row>
    <row r="959" spans="1:1" ht="12.75" x14ac:dyDescent="0.2">
      <c r="A959" s="5"/>
    </row>
    <row r="960" spans="1:1" ht="12.75" x14ac:dyDescent="0.2">
      <c r="A960" s="5"/>
    </row>
    <row r="961" spans="1:1" ht="12.75" x14ac:dyDescent="0.2">
      <c r="A961" s="5"/>
    </row>
    <row r="962" spans="1:1" ht="12.75" x14ac:dyDescent="0.2">
      <c r="A962" s="5"/>
    </row>
    <row r="963" spans="1:1" ht="12.75" x14ac:dyDescent="0.2">
      <c r="A963" s="5"/>
    </row>
    <row r="964" spans="1:1" ht="12.75" x14ac:dyDescent="0.2">
      <c r="A964" s="5"/>
    </row>
    <row r="965" spans="1:1" ht="12.75" x14ac:dyDescent="0.2">
      <c r="A965" s="5"/>
    </row>
    <row r="966" spans="1:1" ht="12.75" x14ac:dyDescent="0.2">
      <c r="A966" s="5"/>
    </row>
    <row r="967" spans="1:1" ht="12.75" x14ac:dyDescent="0.2">
      <c r="A967" s="5"/>
    </row>
    <row r="968" spans="1:1" ht="12.75" x14ac:dyDescent="0.2">
      <c r="A968" s="5"/>
    </row>
    <row r="969" spans="1:1" ht="12.75" x14ac:dyDescent="0.2">
      <c r="A969" s="5"/>
    </row>
    <row r="970" spans="1:1" ht="12.75" x14ac:dyDescent="0.2">
      <c r="A970" s="5"/>
    </row>
    <row r="971" spans="1:1" ht="12.75" x14ac:dyDescent="0.2">
      <c r="A971" s="5"/>
    </row>
    <row r="972" spans="1:1" ht="12.75" x14ac:dyDescent="0.2">
      <c r="A972" s="5"/>
    </row>
    <row r="973" spans="1:1" ht="12.75" x14ac:dyDescent="0.2">
      <c r="A973" s="5"/>
    </row>
    <row r="974" spans="1:1" ht="12.75" x14ac:dyDescent="0.2">
      <c r="A974" s="5"/>
    </row>
    <row r="975" spans="1:1" ht="12.75" x14ac:dyDescent="0.2">
      <c r="A975" s="5"/>
    </row>
    <row r="976" spans="1:1" ht="12.75" x14ac:dyDescent="0.2">
      <c r="A976" s="5"/>
    </row>
    <row r="977" spans="1:1" ht="12.75" x14ac:dyDescent="0.2">
      <c r="A977" s="5"/>
    </row>
    <row r="978" spans="1:1" ht="12.75" x14ac:dyDescent="0.2">
      <c r="A978" s="5"/>
    </row>
    <row r="979" spans="1:1" ht="12.75" x14ac:dyDescent="0.2">
      <c r="A979" s="5"/>
    </row>
    <row r="980" spans="1:1" ht="12.75" x14ac:dyDescent="0.2">
      <c r="A980" s="5"/>
    </row>
    <row r="981" spans="1:1" ht="12.75" x14ac:dyDescent="0.2">
      <c r="A981" s="5"/>
    </row>
    <row r="982" spans="1:1" ht="12.75" x14ac:dyDescent="0.2">
      <c r="A982" s="5"/>
    </row>
    <row r="983" spans="1:1" ht="12.75" x14ac:dyDescent="0.2">
      <c r="A983" s="5"/>
    </row>
    <row r="984" spans="1:1" ht="12.75" x14ac:dyDescent="0.2">
      <c r="A984" s="5"/>
    </row>
    <row r="985" spans="1:1" ht="12.75" x14ac:dyDescent="0.2">
      <c r="A985" s="5"/>
    </row>
    <row r="986" spans="1:1" ht="12.75" x14ac:dyDescent="0.2">
      <c r="A986" s="5"/>
    </row>
    <row r="987" spans="1:1" ht="12.75" x14ac:dyDescent="0.2">
      <c r="A987" s="5"/>
    </row>
    <row r="988" spans="1:1" ht="12.75" x14ac:dyDescent="0.2">
      <c r="A988" s="5"/>
    </row>
    <row r="989" spans="1:1" ht="12.75" x14ac:dyDescent="0.2">
      <c r="A989" s="5"/>
    </row>
    <row r="990" spans="1:1" ht="12.75" x14ac:dyDescent="0.2">
      <c r="A990" s="5"/>
    </row>
    <row r="991" spans="1:1" ht="12.75" x14ac:dyDescent="0.2">
      <c r="A991" s="5"/>
    </row>
    <row r="992" spans="1:1" ht="12.75" x14ac:dyDescent="0.2">
      <c r="A992" s="5"/>
    </row>
    <row r="993" spans="1:1" ht="12.75" x14ac:dyDescent="0.2">
      <c r="A993" s="5"/>
    </row>
    <row r="994" spans="1:1" ht="12.75" x14ac:dyDescent="0.2">
      <c r="A994" s="5"/>
    </row>
    <row r="995" spans="1:1" ht="12.75" x14ac:dyDescent="0.2">
      <c r="A995" s="5"/>
    </row>
    <row r="996" spans="1:1" ht="12.75" x14ac:dyDescent="0.2">
      <c r="A996" s="5"/>
    </row>
    <row r="997" spans="1:1" ht="12.75" x14ac:dyDescent="0.2">
      <c r="A997" s="5"/>
    </row>
    <row r="998" spans="1:1" ht="12.75" x14ac:dyDescent="0.2">
      <c r="A998" s="5"/>
    </row>
    <row r="999" spans="1:1" ht="12.75" x14ac:dyDescent="0.2">
      <c r="A999" s="5"/>
    </row>
    <row r="1000" spans="1:1" ht="12.75" x14ac:dyDescent="0.2">
      <c r="A1000" s="5"/>
    </row>
  </sheetData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outlinePr summaryBelow="0" summaryRight="0"/>
  </sheetPr>
  <dimension ref="A1:Z1000"/>
  <sheetViews>
    <sheetView workbookViewId="0"/>
  </sheetViews>
  <sheetFormatPr defaultColWidth="12.42578125" defaultRowHeight="15.75" customHeight="1" x14ac:dyDescent="0.2"/>
  <cols>
    <col min="2" max="2" width="18.42578125" customWidth="1"/>
    <col min="3" max="3" width="16" customWidth="1"/>
    <col min="4" max="4" width="37.42578125" customWidth="1"/>
    <col min="5" max="5" width="47.140625" customWidth="1"/>
    <col min="6" max="6" width="36" customWidth="1"/>
    <col min="8" max="8" width="17.140625" customWidth="1"/>
    <col min="9" max="9" width="17.85546875" customWidth="1"/>
    <col min="10" max="10" width="37.28515625" customWidth="1"/>
    <col min="11" max="11" width="20.28515625" customWidth="1"/>
    <col min="12" max="12" width="21.42578125" customWidth="1"/>
    <col min="13" max="13" width="21.85546875" customWidth="1"/>
  </cols>
  <sheetData>
    <row r="1" spans="1:26" ht="12.75" x14ac:dyDescent="0.2">
      <c r="A1" s="3" t="s">
        <v>1706</v>
      </c>
      <c r="B1" s="3" t="s">
        <v>582</v>
      </c>
      <c r="C1" s="3" t="s">
        <v>2086</v>
      </c>
      <c r="D1" s="3" t="s">
        <v>2418</v>
      </c>
      <c r="E1" s="3" t="s">
        <v>2419</v>
      </c>
      <c r="F1" s="3" t="s">
        <v>2420</v>
      </c>
      <c r="G1" s="3" t="s">
        <v>2421</v>
      </c>
      <c r="H1" s="3" t="s">
        <v>0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25">
      <c r="A2" s="17" t="s">
        <v>859</v>
      </c>
      <c r="B2" s="17" t="s">
        <v>1927</v>
      </c>
      <c r="C2" s="78">
        <v>42935</v>
      </c>
      <c r="D2" s="17" t="s">
        <v>1726</v>
      </c>
      <c r="E2" s="17" t="s">
        <v>2134</v>
      </c>
      <c r="G2" s="17" t="s">
        <v>1942</v>
      </c>
      <c r="H2" s="63"/>
      <c r="I2" s="70"/>
    </row>
    <row r="3" spans="1:26" ht="15.75" customHeight="1" x14ac:dyDescent="0.25">
      <c r="A3" s="17" t="s">
        <v>860</v>
      </c>
      <c r="B3" s="17" t="s">
        <v>1927</v>
      </c>
      <c r="C3" s="80">
        <v>42873</v>
      </c>
      <c r="D3" s="17" t="s">
        <v>1747</v>
      </c>
      <c r="E3" s="17" t="s">
        <v>2174</v>
      </c>
      <c r="G3" s="17" t="s">
        <v>1942</v>
      </c>
      <c r="H3" s="66"/>
    </row>
    <row r="4" spans="1:26" ht="15.75" customHeight="1" x14ac:dyDescent="0.25">
      <c r="A4" s="17" t="s">
        <v>861</v>
      </c>
      <c r="B4" s="17" t="s">
        <v>1927</v>
      </c>
      <c r="C4" s="79">
        <v>43076</v>
      </c>
      <c r="D4" s="17" t="s">
        <v>1760</v>
      </c>
      <c r="E4" s="17" t="s">
        <v>2201</v>
      </c>
      <c r="G4" s="17" t="s">
        <v>1942</v>
      </c>
      <c r="H4" s="5"/>
    </row>
    <row r="5" spans="1:26" ht="15.75" customHeight="1" x14ac:dyDescent="0.25">
      <c r="A5" s="17" t="s">
        <v>862</v>
      </c>
      <c r="B5" s="17" t="s">
        <v>1927</v>
      </c>
      <c r="C5" s="78">
        <v>43292</v>
      </c>
      <c r="D5" s="17" t="s">
        <v>1766</v>
      </c>
      <c r="E5" s="17" t="s">
        <v>2220</v>
      </c>
      <c r="G5" s="17" t="s">
        <v>1942</v>
      </c>
      <c r="H5" s="66"/>
    </row>
    <row r="6" spans="1:26" ht="15.75" customHeight="1" x14ac:dyDescent="0.25">
      <c r="A6" s="17" t="s">
        <v>863</v>
      </c>
      <c r="B6" s="17" t="s">
        <v>1927</v>
      </c>
      <c r="C6" s="79">
        <v>43076</v>
      </c>
      <c r="D6" s="17" t="s">
        <v>1797</v>
      </c>
      <c r="E6" s="17" t="s">
        <v>2275</v>
      </c>
      <c r="G6" s="17" t="s">
        <v>1942</v>
      </c>
      <c r="H6" s="63"/>
    </row>
    <row r="7" spans="1:26" ht="15.75" customHeight="1" x14ac:dyDescent="0.25">
      <c r="A7" s="17" t="s">
        <v>864</v>
      </c>
      <c r="B7" s="17" t="s">
        <v>1927</v>
      </c>
      <c r="C7" s="78">
        <v>43206</v>
      </c>
      <c r="D7" s="17" t="s">
        <v>1803</v>
      </c>
      <c r="E7" s="17" t="s">
        <v>2287</v>
      </c>
      <c r="G7" s="17" t="s">
        <v>1942</v>
      </c>
      <c r="H7" s="66"/>
    </row>
    <row r="8" spans="1:26" ht="15.75" customHeight="1" x14ac:dyDescent="0.25">
      <c r="A8" s="17" t="s">
        <v>865</v>
      </c>
      <c r="B8" s="17" t="s">
        <v>1927</v>
      </c>
      <c r="C8" s="78">
        <v>43396</v>
      </c>
      <c r="D8" s="17" t="s">
        <v>1824</v>
      </c>
      <c r="E8" s="17" t="s">
        <v>2327</v>
      </c>
      <c r="G8" s="17" t="s">
        <v>1942</v>
      </c>
      <c r="H8" s="63"/>
    </row>
    <row r="9" spans="1:26" ht="15.75" customHeight="1" x14ac:dyDescent="0.25">
      <c r="A9" s="17" t="s">
        <v>866</v>
      </c>
      <c r="B9" s="17" t="s">
        <v>1927</v>
      </c>
      <c r="C9" s="80">
        <v>43963</v>
      </c>
      <c r="D9" s="17"/>
      <c r="E9" s="17"/>
      <c r="G9" s="17" t="s">
        <v>1943</v>
      </c>
      <c r="H9" s="63"/>
    </row>
    <row r="10" spans="1:26" ht="15.75" customHeight="1" x14ac:dyDescent="0.25">
      <c r="A10" s="17" t="s">
        <v>867</v>
      </c>
      <c r="B10" s="17" t="s">
        <v>1927</v>
      </c>
      <c r="C10" s="78">
        <v>43885</v>
      </c>
      <c r="D10" s="17"/>
      <c r="E10" s="17"/>
      <c r="G10" s="17" t="s">
        <v>1943</v>
      </c>
      <c r="H10" s="63"/>
    </row>
    <row r="11" spans="1:26" ht="15.75" customHeight="1" x14ac:dyDescent="0.25">
      <c r="A11" s="17" t="s">
        <v>868</v>
      </c>
      <c r="B11" s="17" t="s">
        <v>1927</v>
      </c>
      <c r="C11" s="79">
        <v>44235</v>
      </c>
      <c r="D11" s="17"/>
      <c r="E11" s="17"/>
      <c r="G11" s="17" t="s">
        <v>1943</v>
      </c>
      <c r="H11" s="63"/>
      <c r="I11" s="69"/>
    </row>
    <row r="12" spans="1:26" ht="15.75" customHeight="1" x14ac:dyDescent="0.25">
      <c r="A12" s="17" t="s">
        <v>869</v>
      </c>
      <c r="B12" s="17" t="s">
        <v>1927</v>
      </c>
      <c r="C12" s="78">
        <v>43269</v>
      </c>
      <c r="D12" s="17" t="s">
        <v>1712</v>
      </c>
      <c r="E12" s="17" t="s">
        <v>2103</v>
      </c>
      <c r="G12" s="17" t="s">
        <v>1942</v>
      </c>
      <c r="H12" s="63"/>
    </row>
    <row r="13" spans="1:26" ht="15.75" customHeight="1" x14ac:dyDescent="0.25">
      <c r="A13" s="17" t="s">
        <v>870</v>
      </c>
      <c r="B13" s="17" t="s">
        <v>1927</v>
      </c>
      <c r="C13" s="78">
        <v>43304</v>
      </c>
      <c r="D13" s="17" t="s">
        <v>1728</v>
      </c>
      <c r="E13" s="17" t="s">
        <v>2136</v>
      </c>
      <c r="G13" s="17" t="s">
        <v>1942</v>
      </c>
      <c r="H13" s="63"/>
    </row>
    <row r="14" spans="1:26" ht="15.75" customHeight="1" x14ac:dyDescent="0.25">
      <c r="A14" s="17" t="s">
        <v>871</v>
      </c>
      <c r="B14" s="17" t="s">
        <v>1927</v>
      </c>
      <c r="C14" s="78">
        <v>43131</v>
      </c>
      <c r="D14" s="17" t="s">
        <v>1773</v>
      </c>
      <c r="E14" s="17" t="s">
        <v>2233</v>
      </c>
      <c r="G14" s="17" t="s">
        <v>1942</v>
      </c>
      <c r="H14" s="63"/>
    </row>
    <row r="15" spans="1:26" ht="15.75" customHeight="1" x14ac:dyDescent="0.25">
      <c r="A15" s="17" t="s">
        <v>872</v>
      </c>
      <c r="B15" s="17" t="s">
        <v>1927</v>
      </c>
      <c r="C15" s="78">
        <v>43280</v>
      </c>
      <c r="D15" s="17" t="s">
        <v>1790</v>
      </c>
      <c r="E15" s="17" t="s">
        <v>2263</v>
      </c>
      <c r="G15" s="17" t="s">
        <v>1942</v>
      </c>
      <c r="H15" s="5"/>
    </row>
    <row r="16" spans="1:26" ht="15.75" customHeight="1" x14ac:dyDescent="0.25">
      <c r="A16" s="17" t="s">
        <v>873</v>
      </c>
      <c r="B16" s="17" t="s">
        <v>1927</v>
      </c>
      <c r="C16" s="79">
        <v>43619</v>
      </c>
      <c r="D16" s="17" t="s">
        <v>1827</v>
      </c>
      <c r="E16" s="17" t="s">
        <v>2579</v>
      </c>
      <c r="G16" s="17" t="s">
        <v>1942</v>
      </c>
      <c r="H16" s="63"/>
    </row>
    <row r="17" spans="1:26" ht="15.75" customHeight="1" x14ac:dyDescent="0.25">
      <c r="A17" s="17" t="s">
        <v>877</v>
      </c>
      <c r="B17" s="17" t="s">
        <v>1927</v>
      </c>
      <c r="C17" s="79">
        <v>43319</v>
      </c>
      <c r="D17" s="17" t="s">
        <v>1737</v>
      </c>
      <c r="E17" s="17" t="s">
        <v>2156</v>
      </c>
      <c r="G17" s="17" t="s">
        <v>1942</v>
      </c>
      <c r="H17" s="63"/>
      <c r="I17" s="70"/>
    </row>
    <row r="18" spans="1:26" ht="15.75" customHeight="1" x14ac:dyDescent="0.25">
      <c r="A18" s="17" t="s">
        <v>874</v>
      </c>
      <c r="B18" s="17" t="s">
        <v>1927</v>
      </c>
      <c r="C18" s="78">
        <v>43297</v>
      </c>
      <c r="D18" s="17" t="s">
        <v>1754</v>
      </c>
      <c r="E18" s="17" t="s">
        <v>2191</v>
      </c>
      <c r="G18" s="17" t="s">
        <v>1942</v>
      </c>
      <c r="H18" s="5" t="s">
        <v>1750</v>
      </c>
      <c r="I18" s="70"/>
    </row>
    <row r="19" spans="1:26" ht="15.75" customHeight="1" x14ac:dyDescent="0.25">
      <c r="A19" s="17" t="s">
        <v>875</v>
      </c>
      <c r="B19" s="17" t="s">
        <v>1927</v>
      </c>
      <c r="C19" s="78">
        <v>43059</v>
      </c>
      <c r="D19" s="17" t="s">
        <v>1780</v>
      </c>
      <c r="E19" s="17" t="s">
        <v>2244</v>
      </c>
      <c r="G19" s="17" t="s">
        <v>1942</v>
      </c>
      <c r="H19" s="63"/>
      <c r="I19" s="70"/>
    </row>
    <row r="20" spans="1:26" ht="15.75" customHeight="1" x14ac:dyDescent="0.25">
      <c r="A20" s="17" t="s">
        <v>876</v>
      </c>
      <c r="B20" s="17" t="s">
        <v>1927</v>
      </c>
      <c r="C20" s="79">
        <v>43193</v>
      </c>
      <c r="D20" s="17" t="s">
        <v>1730</v>
      </c>
      <c r="E20" s="17" t="s">
        <v>2141</v>
      </c>
      <c r="G20" s="17" t="s">
        <v>1942</v>
      </c>
      <c r="H20" s="63"/>
      <c r="I20" s="70"/>
    </row>
    <row r="21" spans="1:26" ht="15.75" customHeight="1" x14ac:dyDescent="0.25">
      <c r="A21" s="17" t="s">
        <v>878</v>
      </c>
      <c r="B21" s="17" t="s">
        <v>1927</v>
      </c>
      <c r="C21" s="78">
        <v>43705</v>
      </c>
      <c r="D21" s="17" t="s">
        <v>2451</v>
      </c>
      <c r="E21" s="17" t="s">
        <v>2203</v>
      </c>
      <c r="G21" s="17" t="s">
        <v>1942</v>
      </c>
      <c r="H21" s="63"/>
      <c r="I21" s="70"/>
    </row>
    <row r="22" spans="1:26" ht="15.75" customHeight="1" x14ac:dyDescent="0.25">
      <c r="A22" s="17" t="s">
        <v>879</v>
      </c>
      <c r="B22" s="17" t="s">
        <v>1927</v>
      </c>
      <c r="C22" s="79">
        <v>43257</v>
      </c>
      <c r="D22" s="17"/>
      <c r="E22" s="17"/>
      <c r="G22" s="17" t="s">
        <v>1942</v>
      </c>
      <c r="H22" s="62" t="s">
        <v>2580</v>
      </c>
    </row>
    <row r="23" spans="1:26" ht="15.75" customHeight="1" x14ac:dyDescent="0.25">
      <c r="A23" s="17" t="s">
        <v>877</v>
      </c>
      <c r="B23" s="17" t="s">
        <v>2581</v>
      </c>
      <c r="C23" s="79">
        <v>43648</v>
      </c>
      <c r="D23" s="17"/>
      <c r="E23" s="17"/>
      <c r="G23" s="17" t="s">
        <v>1943</v>
      </c>
      <c r="H23" s="63"/>
      <c r="I23" s="69"/>
    </row>
    <row r="24" spans="1:26" ht="15.75" customHeight="1" x14ac:dyDescent="0.25">
      <c r="A24" s="17" t="s">
        <v>874</v>
      </c>
      <c r="B24" s="17" t="s">
        <v>2581</v>
      </c>
      <c r="C24" s="78">
        <v>43535</v>
      </c>
      <c r="D24" s="17"/>
      <c r="E24" s="17"/>
      <c r="G24" s="17" t="s">
        <v>1943</v>
      </c>
      <c r="H24" s="62"/>
      <c r="I24" s="70"/>
    </row>
    <row r="25" spans="1:26" ht="15.75" customHeight="1" x14ac:dyDescent="0.25">
      <c r="A25" s="17" t="s">
        <v>875</v>
      </c>
      <c r="B25" s="17" t="s">
        <v>2581</v>
      </c>
      <c r="C25" s="79">
        <v>43199</v>
      </c>
      <c r="D25" s="17"/>
      <c r="E25" s="17"/>
      <c r="G25" s="17" t="s">
        <v>1942</v>
      </c>
      <c r="H25" s="64" t="s">
        <v>2582</v>
      </c>
      <c r="I25" s="70"/>
    </row>
    <row r="26" spans="1:26" ht="15.75" customHeight="1" x14ac:dyDescent="0.25">
      <c r="A26" s="200" t="s">
        <v>876</v>
      </c>
      <c r="B26" s="200" t="s">
        <v>2581</v>
      </c>
      <c r="C26" s="201">
        <v>43382</v>
      </c>
      <c r="D26" s="200"/>
      <c r="E26" s="200"/>
      <c r="F26" s="202"/>
      <c r="G26" s="200" t="s">
        <v>1943</v>
      </c>
      <c r="H26" s="203" t="s">
        <v>2583</v>
      </c>
      <c r="I26" s="204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W26" s="202"/>
      <c r="X26" s="202"/>
      <c r="Y26" s="202"/>
      <c r="Z26" s="202"/>
    </row>
    <row r="27" spans="1:26" ht="15.75" customHeight="1" x14ac:dyDescent="0.25">
      <c r="A27" s="17" t="s">
        <v>878</v>
      </c>
      <c r="B27" s="17" t="s">
        <v>2581</v>
      </c>
      <c r="C27" s="80">
        <v>43970</v>
      </c>
      <c r="D27" s="17"/>
      <c r="E27" s="17"/>
      <c r="G27" s="17" t="s">
        <v>1943</v>
      </c>
      <c r="H27" s="63"/>
      <c r="I27" s="70"/>
    </row>
    <row r="28" spans="1:26" ht="15.75" customHeight="1" x14ac:dyDescent="0.25">
      <c r="A28" s="17" t="s">
        <v>879</v>
      </c>
      <c r="B28" s="17" t="s">
        <v>2581</v>
      </c>
      <c r="C28" s="79">
        <v>43528</v>
      </c>
      <c r="D28" s="17" t="s">
        <v>1799</v>
      </c>
      <c r="E28" s="17" t="s">
        <v>2281</v>
      </c>
      <c r="G28" s="17" t="s">
        <v>1942</v>
      </c>
      <c r="H28" s="66"/>
      <c r="I28" s="70"/>
    </row>
    <row r="29" spans="1:26" ht="15.75" customHeight="1" x14ac:dyDescent="0.25">
      <c r="A29" s="17" t="s">
        <v>880</v>
      </c>
      <c r="B29" s="17" t="s">
        <v>2581</v>
      </c>
      <c r="C29" s="78">
        <v>43761</v>
      </c>
      <c r="D29" s="17"/>
      <c r="E29" s="17"/>
      <c r="G29" s="17" t="s">
        <v>1943</v>
      </c>
      <c r="H29" s="66"/>
      <c r="I29" s="70"/>
    </row>
    <row r="30" spans="1:26" ht="15.75" customHeight="1" x14ac:dyDescent="0.25">
      <c r="A30" s="17" t="s">
        <v>881</v>
      </c>
      <c r="B30" s="17" t="s">
        <v>2581</v>
      </c>
      <c r="C30" s="79">
        <v>43870</v>
      </c>
      <c r="D30" s="17" t="s">
        <v>1770</v>
      </c>
      <c r="E30" s="17" t="s">
        <v>2226</v>
      </c>
      <c r="G30" s="17" t="s">
        <v>1942</v>
      </c>
      <c r="H30" s="66"/>
      <c r="I30" s="70"/>
    </row>
    <row r="31" spans="1:26" ht="15.75" customHeight="1" x14ac:dyDescent="0.25">
      <c r="A31" s="17" t="s">
        <v>882</v>
      </c>
      <c r="B31" s="17" t="s">
        <v>2581</v>
      </c>
      <c r="C31" s="79">
        <v>43500</v>
      </c>
      <c r="D31" s="17"/>
      <c r="E31" s="17"/>
      <c r="G31" s="17" t="s">
        <v>1943</v>
      </c>
      <c r="H31" s="66"/>
      <c r="I31" s="70"/>
    </row>
    <row r="32" spans="1:26" ht="15.75" customHeight="1" x14ac:dyDescent="0.25">
      <c r="A32" s="17" t="s">
        <v>883</v>
      </c>
      <c r="B32" s="17" t="s">
        <v>2581</v>
      </c>
      <c r="C32" s="79">
        <v>43531</v>
      </c>
      <c r="D32" s="17"/>
      <c r="E32" s="17"/>
      <c r="G32" s="17" t="s">
        <v>1943</v>
      </c>
      <c r="H32" s="66"/>
      <c r="I32" s="70"/>
    </row>
    <row r="33" spans="1:9" ht="15.75" customHeight="1" x14ac:dyDescent="0.25">
      <c r="A33" s="17" t="s">
        <v>884</v>
      </c>
      <c r="B33" s="17" t="s">
        <v>2581</v>
      </c>
      <c r="C33" s="78">
        <v>44056</v>
      </c>
      <c r="D33" s="17" t="s">
        <v>1838</v>
      </c>
      <c r="E33" s="17" t="s">
        <v>2358</v>
      </c>
      <c r="G33" s="17" t="s">
        <v>1942</v>
      </c>
      <c r="H33" s="66"/>
      <c r="I33" s="70"/>
    </row>
    <row r="34" spans="1:9" ht="12.75" x14ac:dyDescent="0.2">
      <c r="B34" s="5"/>
      <c r="C34" s="69"/>
      <c r="H34" s="66"/>
      <c r="I34" s="70"/>
    </row>
    <row r="35" spans="1:9" ht="12.75" x14ac:dyDescent="0.2">
      <c r="B35" s="5"/>
      <c r="C35" s="69"/>
      <c r="H35" s="66"/>
      <c r="I35" s="70"/>
    </row>
    <row r="36" spans="1:9" ht="12.75" x14ac:dyDescent="0.2">
      <c r="B36" s="5"/>
      <c r="C36" s="69"/>
      <c r="H36" s="66"/>
      <c r="I36" s="70"/>
    </row>
    <row r="37" spans="1:9" ht="12.75" x14ac:dyDescent="0.2">
      <c r="B37" s="5"/>
      <c r="C37" s="69"/>
      <c r="H37" s="66"/>
      <c r="I37" s="69"/>
    </row>
    <row r="38" spans="1:9" ht="12.75" x14ac:dyDescent="0.2">
      <c r="B38" s="5"/>
      <c r="C38" s="69"/>
      <c r="H38" s="66"/>
      <c r="I38" s="70"/>
    </row>
    <row r="39" spans="1:9" ht="12.75" x14ac:dyDescent="0.2">
      <c r="B39" s="5"/>
      <c r="C39" s="69"/>
      <c r="H39" s="5"/>
      <c r="I39" s="69"/>
    </row>
    <row r="40" spans="1:9" ht="12.75" x14ac:dyDescent="0.2">
      <c r="B40" s="5"/>
      <c r="C40" s="69"/>
      <c r="H40" s="66"/>
      <c r="I40" s="70"/>
    </row>
    <row r="41" spans="1:9" ht="12.75" x14ac:dyDescent="0.2">
      <c r="B41" s="5"/>
      <c r="C41" s="70"/>
      <c r="H41" s="66"/>
      <c r="I41" s="70"/>
    </row>
    <row r="42" spans="1:9" ht="12.75" x14ac:dyDescent="0.2">
      <c r="B42" s="5"/>
      <c r="C42" s="70"/>
      <c r="H42" s="66"/>
      <c r="I42" s="70"/>
    </row>
    <row r="43" spans="1:9" ht="12.75" x14ac:dyDescent="0.2">
      <c r="B43" s="5"/>
      <c r="C43" s="69"/>
      <c r="H43" s="66"/>
      <c r="I43" s="69"/>
    </row>
    <row r="44" spans="1:9" ht="12.75" x14ac:dyDescent="0.2">
      <c r="B44" s="5"/>
      <c r="C44" s="69"/>
      <c r="H44" s="66"/>
      <c r="I44" s="69"/>
    </row>
    <row r="45" spans="1:9" ht="12.75" x14ac:dyDescent="0.2">
      <c r="B45" s="5"/>
      <c r="C45" s="69"/>
      <c r="H45" s="63"/>
      <c r="I45" s="70"/>
    </row>
    <row r="46" spans="1:9" ht="12.75" x14ac:dyDescent="0.2">
      <c r="B46" s="5"/>
      <c r="C46" s="69"/>
      <c r="H46" s="63"/>
      <c r="I46" s="69"/>
    </row>
    <row r="47" spans="1:9" ht="12.75" x14ac:dyDescent="0.2">
      <c r="B47" s="5"/>
      <c r="C47" s="69"/>
      <c r="H47" s="63"/>
      <c r="I47" s="70"/>
    </row>
    <row r="48" spans="1:9" ht="12.75" x14ac:dyDescent="0.2">
      <c r="B48" s="5"/>
      <c r="C48" s="69"/>
      <c r="H48" s="63"/>
      <c r="I48" s="69"/>
    </row>
    <row r="49" spans="2:9" ht="12.75" x14ac:dyDescent="0.2">
      <c r="B49" s="5"/>
      <c r="C49" s="69"/>
      <c r="H49" s="63"/>
      <c r="I49" s="70"/>
    </row>
    <row r="50" spans="2:9" ht="12.75" x14ac:dyDescent="0.2">
      <c r="B50" s="5"/>
      <c r="C50" s="69"/>
      <c r="H50" s="5"/>
    </row>
    <row r="51" spans="2:9" ht="12.75" x14ac:dyDescent="0.2">
      <c r="B51" s="5"/>
      <c r="C51" s="70"/>
      <c r="H51" s="63"/>
      <c r="I51" s="70"/>
    </row>
    <row r="52" spans="2:9" ht="12.75" x14ac:dyDescent="0.2">
      <c r="B52" s="5"/>
      <c r="C52" s="69"/>
      <c r="H52" s="63"/>
      <c r="I52" s="70"/>
    </row>
    <row r="53" spans="2:9" ht="12.75" x14ac:dyDescent="0.2">
      <c r="B53" s="5"/>
      <c r="C53" s="69"/>
      <c r="H53" s="63"/>
      <c r="I53" s="70"/>
    </row>
    <row r="54" spans="2:9" ht="12.75" x14ac:dyDescent="0.2">
      <c r="B54" s="5"/>
      <c r="C54" s="69"/>
      <c r="H54" s="63"/>
      <c r="I54" s="70"/>
    </row>
    <row r="55" spans="2:9" ht="12.75" x14ac:dyDescent="0.2">
      <c r="B55" s="5"/>
      <c r="C55" s="69"/>
      <c r="H55" s="63"/>
      <c r="I55" s="69"/>
    </row>
    <row r="56" spans="2:9" ht="12.75" x14ac:dyDescent="0.2">
      <c r="B56" s="5"/>
      <c r="C56" s="69"/>
      <c r="H56" s="63"/>
      <c r="I56" s="70"/>
    </row>
    <row r="57" spans="2:9" ht="12.75" x14ac:dyDescent="0.2">
      <c r="B57" s="5"/>
      <c r="C57" s="69"/>
      <c r="H57" s="63"/>
      <c r="I57" s="70"/>
    </row>
    <row r="58" spans="2:9" ht="12.75" x14ac:dyDescent="0.2">
      <c r="B58" s="5"/>
      <c r="C58" s="69"/>
      <c r="H58" s="63"/>
      <c r="I58" s="70"/>
    </row>
    <row r="59" spans="2:9" ht="12.75" x14ac:dyDescent="0.2">
      <c r="B59" s="5"/>
      <c r="C59" s="69"/>
      <c r="H59" s="63"/>
      <c r="I59" s="70"/>
    </row>
    <row r="60" spans="2:9" ht="12.75" x14ac:dyDescent="0.2">
      <c r="B60" s="5"/>
      <c r="C60" s="69"/>
      <c r="H60" s="63"/>
      <c r="I60" s="70"/>
    </row>
    <row r="61" spans="2:9" ht="12.75" x14ac:dyDescent="0.2">
      <c r="B61" s="5"/>
      <c r="C61" s="69"/>
      <c r="H61" s="63"/>
      <c r="I61" s="70"/>
    </row>
    <row r="62" spans="2:9" ht="12.75" x14ac:dyDescent="0.2">
      <c r="B62" s="5"/>
      <c r="C62" s="69"/>
      <c r="H62" s="63"/>
      <c r="I62" s="70"/>
    </row>
    <row r="63" spans="2:9" ht="12.75" x14ac:dyDescent="0.2">
      <c r="B63" s="5"/>
      <c r="C63" s="69"/>
      <c r="H63" s="63"/>
      <c r="I63" s="69"/>
    </row>
    <row r="64" spans="2:9" ht="12.75" x14ac:dyDescent="0.2">
      <c r="B64" s="5"/>
      <c r="C64" s="69"/>
      <c r="H64" s="63"/>
      <c r="I64" s="69"/>
    </row>
    <row r="65" spans="2:9" ht="12.75" x14ac:dyDescent="0.2">
      <c r="B65" s="5"/>
      <c r="C65" s="69"/>
      <c r="H65" s="63"/>
      <c r="I65" s="70"/>
    </row>
    <row r="66" spans="2:9" ht="12.75" x14ac:dyDescent="0.2">
      <c r="B66" s="5"/>
      <c r="C66" s="69"/>
      <c r="H66" s="63"/>
      <c r="I66" s="69"/>
    </row>
    <row r="67" spans="2:9" ht="12.75" x14ac:dyDescent="0.2">
      <c r="B67" s="5"/>
      <c r="C67" s="69"/>
      <c r="H67" s="63"/>
      <c r="I67" s="70"/>
    </row>
    <row r="68" spans="2:9" ht="12.75" x14ac:dyDescent="0.2">
      <c r="B68" s="5"/>
      <c r="C68" s="69"/>
      <c r="H68" s="5"/>
      <c r="I68" s="69"/>
    </row>
    <row r="69" spans="2:9" ht="12.75" x14ac:dyDescent="0.2">
      <c r="B69" s="5"/>
      <c r="C69" s="69"/>
      <c r="H69" s="63"/>
      <c r="I69" s="70"/>
    </row>
    <row r="70" spans="2:9" ht="12.75" x14ac:dyDescent="0.2">
      <c r="B70" s="5"/>
      <c r="C70" s="69"/>
      <c r="H70" s="5"/>
    </row>
    <row r="71" spans="2:9" ht="12.75" x14ac:dyDescent="0.2">
      <c r="B71" s="5"/>
      <c r="C71" s="69"/>
      <c r="H71" s="63"/>
      <c r="I71" s="70"/>
    </row>
    <row r="72" spans="2:9" ht="12.75" x14ac:dyDescent="0.2">
      <c r="B72" s="5"/>
      <c r="C72" s="69"/>
      <c r="H72" s="63"/>
      <c r="I72" s="70"/>
    </row>
    <row r="73" spans="2:9" ht="12.75" x14ac:dyDescent="0.2">
      <c r="B73" s="5"/>
      <c r="C73" s="69"/>
      <c r="H73" s="63"/>
      <c r="I73" s="69"/>
    </row>
    <row r="74" spans="2:9" ht="12.75" x14ac:dyDescent="0.2">
      <c r="B74" s="5"/>
      <c r="C74" s="69"/>
      <c r="H74" s="63"/>
      <c r="I74" s="69"/>
    </row>
    <row r="75" spans="2:9" ht="12.75" x14ac:dyDescent="0.2">
      <c r="B75" s="5"/>
      <c r="C75" s="69"/>
      <c r="H75" s="63"/>
      <c r="I75" s="69"/>
    </row>
    <row r="76" spans="2:9" ht="12.75" x14ac:dyDescent="0.2">
      <c r="B76" s="5"/>
      <c r="C76" s="69"/>
      <c r="H76" s="63"/>
      <c r="I76" s="69"/>
    </row>
    <row r="77" spans="2:9" ht="12.75" x14ac:dyDescent="0.2">
      <c r="B77" s="5"/>
      <c r="C77" s="69"/>
      <c r="H77" s="63"/>
      <c r="I77" s="69"/>
    </row>
    <row r="78" spans="2:9" ht="12.75" x14ac:dyDescent="0.2">
      <c r="B78" s="5"/>
      <c r="C78" s="69"/>
      <c r="H78" s="63"/>
      <c r="I78" s="69"/>
    </row>
    <row r="79" spans="2:9" ht="12.75" x14ac:dyDescent="0.2">
      <c r="B79" s="5"/>
      <c r="C79" s="69"/>
      <c r="H79" s="63"/>
      <c r="I79" s="69"/>
    </row>
    <row r="80" spans="2:9" ht="12.75" x14ac:dyDescent="0.2">
      <c r="B80" s="5"/>
      <c r="C80" s="69"/>
      <c r="H80" s="63"/>
    </row>
    <row r="81" spans="2:9" ht="12.75" x14ac:dyDescent="0.2">
      <c r="B81" s="5"/>
      <c r="C81" s="69"/>
      <c r="H81" s="63"/>
      <c r="I81" s="69"/>
    </row>
    <row r="82" spans="2:9" ht="12.75" x14ac:dyDescent="0.2">
      <c r="B82" s="5"/>
      <c r="C82" s="69"/>
      <c r="H82" s="63"/>
      <c r="I82" s="69"/>
    </row>
    <row r="83" spans="2:9" ht="12.75" x14ac:dyDescent="0.2">
      <c r="B83" s="5"/>
      <c r="C83" s="69"/>
      <c r="H83" s="63"/>
      <c r="I83" s="69"/>
    </row>
    <row r="84" spans="2:9" ht="12.75" x14ac:dyDescent="0.2">
      <c r="B84" s="5"/>
      <c r="C84" s="69"/>
      <c r="H84" s="66"/>
    </row>
    <row r="85" spans="2:9" ht="12.75" x14ac:dyDescent="0.2">
      <c r="B85" s="5"/>
      <c r="C85" s="69"/>
      <c r="H85" s="66"/>
      <c r="I85" s="69"/>
    </row>
    <row r="86" spans="2:9" ht="12.75" x14ac:dyDescent="0.2">
      <c r="B86" s="5"/>
      <c r="C86" s="69"/>
      <c r="H86" s="66"/>
    </row>
    <row r="87" spans="2:9" ht="12.75" x14ac:dyDescent="0.2">
      <c r="B87" s="5"/>
      <c r="C87" s="70"/>
      <c r="H87" s="63"/>
    </row>
    <row r="88" spans="2:9" ht="12.75" x14ac:dyDescent="0.2">
      <c r="B88" s="5"/>
      <c r="C88" s="69"/>
      <c r="H88" s="63"/>
    </row>
    <row r="89" spans="2:9" ht="12.75" x14ac:dyDescent="0.2">
      <c r="B89" s="5"/>
      <c r="C89" s="69"/>
      <c r="H89" s="63"/>
    </row>
    <row r="90" spans="2:9" ht="12.75" x14ac:dyDescent="0.2">
      <c r="B90" s="5"/>
      <c r="C90" s="69"/>
      <c r="H90" s="63"/>
      <c r="I90" s="69"/>
    </row>
    <row r="91" spans="2:9" ht="12.75" x14ac:dyDescent="0.2">
      <c r="B91" s="5"/>
      <c r="C91" s="69"/>
      <c r="H91" s="63"/>
    </row>
    <row r="92" spans="2:9" ht="12.75" x14ac:dyDescent="0.2">
      <c r="B92" s="5"/>
      <c r="C92" s="69"/>
      <c r="H92" s="66"/>
    </row>
    <row r="93" spans="2:9" ht="12.75" x14ac:dyDescent="0.2">
      <c r="B93" s="5"/>
      <c r="C93" s="69"/>
      <c r="H93" s="63"/>
    </row>
    <row r="94" spans="2:9" ht="12.75" x14ac:dyDescent="0.2">
      <c r="B94" s="5"/>
      <c r="C94" s="69"/>
      <c r="H94" s="66"/>
      <c r="I94" s="69"/>
    </row>
    <row r="95" spans="2:9" ht="12.75" x14ac:dyDescent="0.2">
      <c r="B95" s="5"/>
      <c r="C95" s="69"/>
      <c r="H95" s="66"/>
    </row>
    <row r="96" spans="2:9" ht="12.75" x14ac:dyDescent="0.2">
      <c r="B96" s="5"/>
      <c r="C96" s="69"/>
      <c r="H96" s="63"/>
    </row>
    <row r="97" spans="2:9" ht="12.75" x14ac:dyDescent="0.2">
      <c r="B97" s="5"/>
      <c r="C97" s="69"/>
      <c r="H97" s="5"/>
      <c r="I97" s="69"/>
    </row>
    <row r="98" spans="2:9" ht="12.75" x14ac:dyDescent="0.2">
      <c r="B98" s="5"/>
      <c r="C98" s="69"/>
      <c r="H98" s="66"/>
      <c r="I98" s="69"/>
    </row>
    <row r="99" spans="2:9" ht="12.75" x14ac:dyDescent="0.2">
      <c r="B99" s="5"/>
      <c r="C99" s="69"/>
      <c r="H99" s="66"/>
      <c r="I99" s="69"/>
    </row>
    <row r="100" spans="2:9" ht="12.75" x14ac:dyDescent="0.2">
      <c r="B100" s="5"/>
      <c r="C100" s="69"/>
      <c r="H100" s="63"/>
      <c r="I100" s="69"/>
    </row>
    <row r="101" spans="2:9" ht="12.75" x14ac:dyDescent="0.2">
      <c r="B101" s="5"/>
      <c r="C101" s="70"/>
      <c r="H101" s="63"/>
    </row>
    <row r="102" spans="2:9" ht="12.75" x14ac:dyDescent="0.2">
      <c r="B102" s="5"/>
      <c r="C102" s="69"/>
      <c r="H102" s="63"/>
      <c r="I102" s="69"/>
    </row>
    <row r="103" spans="2:9" ht="12.75" x14ac:dyDescent="0.2">
      <c r="B103" s="5"/>
      <c r="C103" s="69"/>
      <c r="H103" s="63"/>
    </row>
    <row r="104" spans="2:9" ht="12.75" x14ac:dyDescent="0.2">
      <c r="B104" s="5"/>
      <c r="C104" s="69"/>
      <c r="H104" s="5"/>
    </row>
    <row r="105" spans="2:9" ht="12.75" x14ac:dyDescent="0.2">
      <c r="B105" s="5"/>
      <c r="C105" s="69"/>
      <c r="H105" s="5"/>
    </row>
    <row r="106" spans="2:9" ht="12.75" x14ac:dyDescent="0.2">
      <c r="B106" s="5"/>
      <c r="C106" s="69"/>
      <c r="H106" s="63"/>
    </row>
    <row r="107" spans="2:9" ht="12.75" x14ac:dyDescent="0.2">
      <c r="B107" s="5"/>
      <c r="C107" s="69"/>
      <c r="H107" s="5"/>
    </row>
    <row r="108" spans="2:9" ht="12.75" x14ac:dyDescent="0.2">
      <c r="B108" s="5"/>
      <c r="C108" s="69"/>
      <c r="H108" s="63"/>
    </row>
    <row r="109" spans="2:9" ht="12.75" x14ac:dyDescent="0.2">
      <c r="B109" s="5"/>
      <c r="C109" s="69"/>
      <c r="H109" s="63"/>
    </row>
    <row r="110" spans="2:9" ht="12.75" x14ac:dyDescent="0.2">
      <c r="B110" s="5"/>
      <c r="C110" s="69"/>
      <c r="H110" s="63"/>
    </row>
    <row r="111" spans="2:9" ht="12.75" x14ac:dyDescent="0.2">
      <c r="B111" s="5"/>
      <c r="C111" s="69"/>
      <c r="H111" s="63"/>
    </row>
    <row r="112" spans="2:9" ht="12.75" x14ac:dyDescent="0.2">
      <c r="B112" s="5"/>
      <c r="C112" s="69"/>
      <c r="H112" s="63"/>
    </row>
    <row r="113" spans="2:9" ht="12.75" x14ac:dyDescent="0.2">
      <c r="B113" s="5"/>
      <c r="C113" s="69"/>
      <c r="H113" s="63"/>
    </row>
    <row r="114" spans="2:9" ht="12.75" x14ac:dyDescent="0.2">
      <c r="B114" s="5"/>
      <c r="C114" s="69"/>
      <c r="H114" s="63"/>
      <c r="I114" s="69"/>
    </row>
    <row r="115" spans="2:9" ht="12.75" x14ac:dyDescent="0.2">
      <c r="B115" s="5"/>
      <c r="C115" s="69"/>
      <c r="H115" s="63"/>
    </row>
    <row r="116" spans="2:9" ht="12.75" x14ac:dyDescent="0.2">
      <c r="B116" s="5"/>
      <c r="C116" s="69"/>
      <c r="H116" s="63"/>
    </row>
    <row r="117" spans="2:9" ht="12.75" x14ac:dyDescent="0.2">
      <c r="B117" s="5"/>
      <c r="C117" s="69"/>
      <c r="H117" s="5"/>
    </row>
    <row r="118" spans="2:9" ht="12.75" x14ac:dyDescent="0.2">
      <c r="B118" s="5"/>
      <c r="C118" s="69"/>
      <c r="H118" s="63"/>
    </row>
    <row r="119" spans="2:9" ht="12.75" x14ac:dyDescent="0.2">
      <c r="B119" s="5"/>
      <c r="C119" s="69"/>
      <c r="H119" s="63"/>
      <c r="I119" s="69"/>
    </row>
    <row r="120" spans="2:9" ht="12.75" x14ac:dyDescent="0.2">
      <c r="B120" s="5"/>
      <c r="C120" s="69"/>
      <c r="H120" s="63"/>
      <c r="I120" s="69"/>
    </row>
    <row r="121" spans="2:9" ht="12.75" x14ac:dyDescent="0.2">
      <c r="B121" s="5"/>
      <c r="C121" s="69"/>
      <c r="H121" s="63"/>
    </row>
    <row r="122" spans="2:9" ht="12.75" x14ac:dyDescent="0.2">
      <c r="B122" s="5"/>
      <c r="C122" s="69"/>
      <c r="H122" s="5"/>
    </row>
    <row r="123" spans="2:9" ht="12.75" x14ac:dyDescent="0.2">
      <c r="B123" s="5"/>
      <c r="C123" s="69"/>
      <c r="H123" s="63"/>
      <c r="I123" s="69"/>
    </row>
    <row r="124" spans="2:9" ht="12.75" x14ac:dyDescent="0.2">
      <c r="B124" s="5"/>
      <c r="C124" s="69"/>
      <c r="H124" s="63"/>
    </row>
    <row r="125" spans="2:9" ht="12.75" x14ac:dyDescent="0.2">
      <c r="B125" s="5"/>
      <c r="C125" s="69"/>
      <c r="H125" s="63"/>
    </row>
    <row r="126" spans="2:9" ht="12.75" x14ac:dyDescent="0.2">
      <c r="B126" s="5"/>
      <c r="C126" s="69"/>
      <c r="H126" s="5"/>
    </row>
    <row r="127" spans="2:9" ht="12.75" x14ac:dyDescent="0.2">
      <c r="B127" s="5"/>
      <c r="C127" s="69"/>
      <c r="H127" s="5"/>
    </row>
    <row r="128" spans="2:9" ht="12.75" x14ac:dyDescent="0.2">
      <c r="B128" s="5"/>
      <c r="C128" s="69"/>
      <c r="H128" s="63"/>
    </row>
    <row r="129" spans="2:9" ht="12.75" x14ac:dyDescent="0.2">
      <c r="B129" s="5"/>
      <c r="C129" s="69"/>
      <c r="H129" s="5"/>
    </row>
    <row r="130" spans="2:9" ht="12.75" x14ac:dyDescent="0.2">
      <c r="B130" s="5"/>
      <c r="C130" s="69"/>
      <c r="H130" s="63"/>
    </row>
    <row r="131" spans="2:9" ht="12.75" x14ac:dyDescent="0.2">
      <c r="B131" s="5"/>
      <c r="C131" s="69"/>
      <c r="H131" s="5"/>
    </row>
    <row r="132" spans="2:9" ht="12.75" x14ac:dyDescent="0.2">
      <c r="B132" s="5"/>
      <c r="C132" s="70"/>
      <c r="H132" s="63"/>
    </row>
    <row r="133" spans="2:9" ht="12.75" x14ac:dyDescent="0.2">
      <c r="B133" s="5"/>
      <c r="C133" s="70"/>
      <c r="H133" s="63"/>
    </row>
    <row r="134" spans="2:9" ht="12.75" x14ac:dyDescent="0.2">
      <c r="B134" s="5"/>
      <c r="C134" s="70"/>
      <c r="H134" s="63"/>
    </row>
    <row r="135" spans="2:9" ht="12.75" x14ac:dyDescent="0.2">
      <c r="B135" s="5"/>
      <c r="C135" s="70"/>
      <c r="H135" s="63"/>
      <c r="I135" s="69"/>
    </row>
    <row r="136" spans="2:9" ht="12.75" x14ac:dyDescent="0.2">
      <c r="B136" s="5"/>
      <c r="C136" s="69"/>
      <c r="H136" s="63"/>
    </row>
    <row r="137" spans="2:9" ht="12.75" x14ac:dyDescent="0.2">
      <c r="B137" s="5"/>
      <c r="C137" s="69"/>
      <c r="H137" s="5"/>
    </row>
    <row r="138" spans="2:9" ht="12.75" x14ac:dyDescent="0.2">
      <c r="B138" s="5"/>
      <c r="C138" s="69"/>
      <c r="H138" s="63"/>
    </row>
    <row r="139" spans="2:9" ht="12.75" x14ac:dyDescent="0.2">
      <c r="B139" s="5"/>
      <c r="C139" s="69"/>
      <c r="H139" s="5"/>
    </row>
    <row r="140" spans="2:9" ht="12.75" x14ac:dyDescent="0.2">
      <c r="B140" s="5"/>
      <c r="C140" s="69"/>
      <c r="H140" s="63"/>
    </row>
    <row r="141" spans="2:9" ht="12.75" x14ac:dyDescent="0.2">
      <c r="B141" s="5"/>
      <c r="C141" s="69"/>
      <c r="H141" s="5"/>
    </row>
    <row r="142" spans="2:9" ht="12.75" x14ac:dyDescent="0.2">
      <c r="B142" s="5"/>
      <c r="C142" s="69"/>
      <c r="H142" s="63"/>
      <c r="I142" s="69"/>
    </row>
    <row r="143" spans="2:9" ht="12.75" x14ac:dyDescent="0.2">
      <c r="B143" s="5"/>
      <c r="C143" s="69"/>
      <c r="H143" s="63"/>
    </row>
    <row r="144" spans="2:9" ht="12.75" x14ac:dyDescent="0.2">
      <c r="B144" s="5"/>
      <c r="C144" s="69"/>
      <c r="H144" s="5"/>
    </row>
    <row r="145" spans="2:9" ht="12.75" x14ac:dyDescent="0.2">
      <c r="B145" s="5"/>
      <c r="C145" s="69"/>
      <c r="H145" s="63"/>
    </row>
    <row r="146" spans="2:9" ht="12.75" x14ac:dyDescent="0.2">
      <c r="B146" s="5"/>
      <c r="C146" s="69"/>
      <c r="H146" s="5"/>
    </row>
    <row r="147" spans="2:9" ht="12.75" x14ac:dyDescent="0.2">
      <c r="B147" s="5"/>
      <c r="C147" s="69"/>
      <c r="H147" s="63"/>
    </row>
    <row r="148" spans="2:9" ht="12.75" x14ac:dyDescent="0.2">
      <c r="B148" s="5"/>
      <c r="C148" s="69"/>
      <c r="H148" s="5"/>
    </row>
    <row r="149" spans="2:9" ht="12.75" x14ac:dyDescent="0.2">
      <c r="B149" s="5"/>
      <c r="C149" s="69"/>
      <c r="H149" s="63"/>
    </row>
    <row r="150" spans="2:9" ht="12.75" x14ac:dyDescent="0.2">
      <c r="B150" s="5"/>
      <c r="C150" s="69"/>
      <c r="H150" s="63"/>
    </row>
    <row r="151" spans="2:9" ht="12.75" x14ac:dyDescent="0.2">
      <c r="B151" s="5"/>
      <c r="C151" s="69"/>
      <c r="H151" s="63"/>
    </row>
    <row r="152" spans="2:9" ht="12.75" x14ac:dyDescent="0.2">
      <c r="B152" s="5"/>
      <c r="C152" s="69"/>
      <c r="H152" s="63"/>
    </row>
    <row r="153" spans="2:9" ht="12.75" x14ac:dyDescent="0.2">
      <c r="B153" s="5"/>
      <c r="C153" s="69"/>
      <c r="H153" s="5"/>
    </row>
    <row r="154" spans="2:9" ht="12.75" x14ac:dyDescent="0.2">
      <c r="B154" s="5"/>
      <c r="C154" s="69"/>
      <c r="H154" s="63"/>
      <c r="I154" s="69"/>
    </row>
    <row r="155" spans="2:9" ht="12.75" x14ac:dyDescent="0.2">
      <c r="B155" s="5"/>
      <c r="C155" s="69"/>
      <c r="H155" s="63"/>
    </row>
    <row r="156" spans="2:9" ht="12.75" x14ac:dyDescent="0.2">
      <c r="B156" s="5"/>
      <c r="C156" s="69"/>
      <c r="H156" s="5"/>
    </row>
    <row r="157" spans="2:9" ht="12.75" x14ac:dyDescent="0.2">
      <c r="B157" s="5"/>
      <c r="C157" s="69"/>
      <c r="H157" s="63"/>
    </row>
    <row r="158" spans="2:9" ht="12.75" x14ac:dyDescent="0.2">
      <c r="B158" s="5"/>
      <c r="C158" s="69"/>
      <c r="H158" s="5"/>
    </row>
    <row r="159" spans="2:9" ht="12.75" x14ac:dyDescent="0.2">
      <c r="B159" s="5"/>
      <c r="C159" s="69"/>
      <c r="H159" s="66"/>
    </row>
    <row r="160" spans="2:9" ht="12.75" x14ac:dyDescent="0.2">
      <c r="B160" s="5"/>
      <c r="C160" s="69"/>
      <c r="H160" s="5"/>
    </row>
    <row r="161" spans="2:9" ht="12.75" x14ac:dyDescent="0.2">
      <c r="B161" s="5"/>
      <c r="C161" s="70"/>
      <c r="H161" s="63"/>
    </row>
    <row r="162" spans="2:9" ht="12.75" x14ac:dyDescent="0.2">
      <c r="B162" s="5"/>
      <c r="C162" s="69"/>
      <c r="H162" s="63"/>
      <c r="I162" s="69"/>
    </row>
    <row r="163" spans="2:9" ht="12.75" x14ac:dyDescent="0.2">
      <c r="B163" s="5"/>
      <c r="C163" s="69"/>
      <c r="H163" s="63"/>
    </row>
    <row r="164" spans="2:9" ht="12.75" x14ac:dyDescent="0.2">
      <c r="B164" s="5"/>
      <c r="C164" s="69"/>
      <c r="H164" s="63"/>
      <c r="I164" s="69"/>
    </row>
    <row r="165" spans="2:9" ht="12.75" x14ac:dyDescent="0.2">
      <c r="B165" s="5"/>
      <c r="C165" s="70"/>
      <c r="H165" s="63"/>
      <c r="I165" s="69"/>
    </row>
    <row r="166" spans="2:9" ht="12.75" x14ac:dyDescent="0.2">
      <c r="B166" s="5"/>
      <c r="C166" s="69"/>
      <c r="H166" s="63"/>
    </row>
    <row r="167" spans="2:9" ht="12.75" x14ac:dyDescent="0.2">
      <c r="B167" s="5"/>
      <c r="C167" s="69"/>
      <c r="H167" s="5"/>
    </row>
    <row r="168" spans="2:9" ht="12.75" x14ac:dyDescent="0.2">
      <c r="B168" s="5"/>
      <c r="C168" s="69"/>
      <c r="H168" s="63"/>
    </row>
    <row r="169" spans="2:9" ht="12.75" x14ac:dyDescent="0.2">
      <c r="B169" s="5"/>
      <c r="C169" s="69"/>
      <c r="H169" s="63"/>
      <c r="I169" s="69"/>
    </row>
    <row r="170" spans="2:9" ht="12.75" x14ac:dyDescent="0.2">
      <c r="B170" s="5"/>
      <c r="C170" s="69"/>
      <c r="H170" s="63"/>
      <c r="I170" s="69"/>
    </row>
    <row r="171" spans="2:9" ht="12.75" x14ac:dyDescent="0.2">
      <c r="B171" s="5"/>
      <c r="C171" s="69"/>
      <c r="H171" s="63"/>
    </row>
    <row r="172" spans="2:9" ht="12.75" x14ac:dyDescent="0.2">
      <c r="B172" s="5"/>
      <c r="C172" s="69"/>
      <c r="H172" s="63"/>
      <c r="I172" s="69"/>
    </row>
    <row r="173" spans="2:9" ht="12.75" x14ac:dyDescent="0.2">
      <c r="B173" s="5"/>
      <c r="C173" s="69"/>
      <c r="H173" s="63"/>
    </row>
    <row r="174" spans="2:9" ht="12.75" x14ac:dyDescent="0.2">
      <c r="B174" s="5"/>
      <c r="C174" s="69"/>
      <c r="H174" s="63"/>
      <c r="I174" s="69"/>
    </row>
    <row r="175" spans="2:9" ht="12.75" x14ac:dyDescent="0.2">
      <c r="B175" s="5"/>
      <c r="C175" s="69"/>
      <c r="H175" s="63"/>
    </row>
    <row r="176" spans="2:9" ht="12.75" x14ac:dyDescent="0.2">
      <c r="B176" s="5"/>
      <c r="C176" s="69"/>
      <c r="H176" s="63"/>
    </row>
    <row r="177" spans="2:9" ht="12.75" x14ac:dyDescent="0.2">
      <c r="B177" s="5"/>
      <c r="C177" s="69"/>
      <c r="H177" s="5"/>
    </row>
    <row r="178" spans="2:9" ht="12.75" x14ac:dyDescent="0.2">
      <c r="B178" s="5"/>
      <c r="C178" s="69"/>
      <c r="H178" s="63"/>
    </row>
    <row r="179" spans="2:9" ht="12.75" x14ac:dyDescent="0.2">
      <c r="B179" s="5"/>
      <c r="C179" s="69"/>
      <c r="H179" s="63"/>
    </row>
    <row r="180" spans="2:9" ht="12.75" x14ac:dyDescent="0.2">
      <c r="B180" s="5"/>
      <c r="C180" s="69"/>
      <c r="H180" s="63"/>
      <c r="I180" s="69"/>
    </row>
    <row r="181" spans="2:9" ht="12.75" x14ac:dyDescent="0.2">
      <c r="B181" s="5"/>
      <c r="C181" s="69"/>
      <c r="H181" s="63"/>
    </row>
    <row r="182" spans="2:9" ht="12.75" x14ac:dyDescent="0.2">
      <c r="B182" s="5"/>
      <c r="C182" s="69"/>
      <c r="H182" s="63"/>
    </row>
    <row r="183" spans="2:9" ht="12.75" x14ac:dyDescent="0.2">
      <c r="B183" s="5"/>
      <c r="C183" s="69"/>
      <c r="H183" s="63"/>
      <c r="I183" s="69"/>
    </row>
    <row r="184" spans="2:9" ht="12.75" x14ac:dyDescent="0.2">
      <c r="B184" s="5"/>
      <c r="C184" s="69"/>
      <c r="H184" s="5"/>
    </row>
    <row r="185" spans="2:9" ht="12.75" x14ac:dyDescent="0.2">
      <c r="B185" s="5"/>
      <c r="C185" s="69"/>
      <c r="H185" s="63"/>
    </row>
    <row r="186" spans="2:9" ht="12.75" x14ac:dyDescent="0.2">
      <c r="B186" s="5"/>
      <c r="C186" s="69"/>
      <c r="H186" s="63"/>
    </row>
    <row r="187" spans="2:9" ht="12.75" x14ac:dyDescent="0.2">
      <c r="B187" s="5"/>
      <c r="C187" s="69"/>
      <c r="H187" s="63"/>
    </row>
    <row r="188" spans="2:9" ht="12.75" x14ac:dyDescent="0.2">
      <c r="B188" s="5"/>
      <c r="C188" s="69"/>
      <c r="H188" s="5"/>
    </row>
    <row r="189" spans="2:9" ht="12.75" x14ac:dyDescent="0.2">
      <c r="B189" s="5"/>
      <c r="C189" s="69"/>
      <c r="H189" s="63"/>
      <c r="I189" s="69"/>
    </row>
    <row r="190" spans="2:9" ht="12.75" x14ac:dyDescent="0.2">
      <c r="B190" s="5"/>
      <c r="C190" s="69"/>
      <c r="H190" s="63"/>
    </row>
    <row r="191" spans="2:9" ht="12.75" x14ac:dyDescent="0.2">
      <c r="B191" s="5"/>
      <c r="C191" s="69"/>
      <c r="H191" s="63"/>
    </row>
    <row r="192" spans="2:9" ht="12.75" x14ac:dyDescent="0.2">
      <c r="B192" s="5"/>
      <c r="C192" s="69"/>
      <c r="H192" s="63"/>
    </row>
    <row r="193" spans="2:9" ht="12.75" x14ac:dyDescent="0.2">
      <c r="B193" s="5"/>
      <c r="C193" s="69"/>
      <c r="H193" s="63"/>
    </row>
    <row r="194" spans="2:9" ht="12.75" x14ac:dyDescent="0.2">
      <c r="B194" s="5"/>
      <c r="C194" s="69"/>
      <c r="H194" s="63"/>
    </row>
    <row r="195" spans="2:9" ht="12.75" x14ac:dyDescent="0.2">
      <c r="B195" s="5"/>
      <c r="C195" s="69"/>
      <c r="H195" s="63"/>
    </row>
    <row r="196" spans="2:9" ht="12.75" x14ac:dyDescent="0.2">
      <c r="B196" s="5"/>
      <c r="C196" s="69"/>
      <c r="H196" s="63"/>
    </row>
    <row r="197" spans="2:9" ht="12.75" x14ac:dyDescent="0.2">
      <c r="B197" s="5"/>
      <c r="C197" s="69"/>
      <c r="H197" s="63"/>
    </row>
    <row r="198" spans="2:9" ht="12.75" x14ac:dyDescent="0.2">
      <c r="B198" s="5"/>
      <c r="C198" s="69"/>
      <c r="H198" s="63"/>
    </row>
    <row r="199" spans="2:9" ht="12.75" x14ac:dyDescent="0.2">
      <c r="B199" s="5"/>
      <c r="C199" s="69"/>
      <c r="H199" s="63"/>
      <c r="I199" s="70"/>
    </row>
    <row r="200" spans="2:9" ht="12.75" x14ac:dyDescent="0.2">
      <c r="B200" s="5"/>
      <c r="C200" s="69"/>
      <c r="H200" s="63"/>
    </row>
    <row r="201" spans="2:9" ht="12.75" x14ac:dyDescent="0.2">
      <c r="B201" s="5"/>
      <c r="C201" s="69"/>
      <c r="H201" s="63"/>
      <c r="I201" s="70"/>
    </row>
    <row r="202" spans="2:9" ht="12.75" x14ac:dyDescent="0.2">
      <c r="B202" s="5"/>
      <c r="C202" s="69"/>
      <c r="H202" s="63"/>
    </row>
    <row r="203" spans="2:9" ht="12.75" x14ac:dyDescent="0.2">
      <c r="B203" s="5"/>
      <c r="C203" s="69"/>
      <c r="H203" s="63"/>
      <c r="I203" s="70"/>
    </row>
    <row r="204" spans="2:9" ht="12.75" x14ac:dyDescent="0.2">
      <c r="B204" s="5"/>
      <c r="C204" s="69"/>
      <c r="H204" s="63"/>
    </row>
    <row r="205" spans="2:9" ht="12.75" x14ac:dyDescent="0.2">
      <c r="B205" s="5"/>
      <c r="C205" s="70"/>
      <c r="H205" s="63"/>
    </row>
    <row r="206" spans="2:9" ht="12.75" x14ac:dyDescent="0.2">
      <c r="B206" s="5"/>
      <c r="C206" s="70"/>
      <c r="H206" s="63"/>
      <c r="I206" s="69"/>
    </row>
    <row r="207" spans="2:9" ht="12.75" x14ac:dyDescent="0.2">
      <c r="B207" s="5"/>
      <c r="C207" s="69"/>
      <c r="H207" s="63"/>
    </row>
    <row r="208" spans="2:9" ht="12.75" x14ac:dyDescent="0.2">
      <c r="B208" s="5"/>
      <c r="C208" s="70"/>
      <c r="H208" s="63"/>
    </row>
    <row r="209" spans="2:9" ht="12.75" x14ac:dyDescent="0.2">
      <c r="B209" s="5"/>
      <c r="C209" s="69"/>
      <c r="H209" s="63"/>
    </row>
    <row r="210" spans="2:9" ht="12.75" x14ac:dyDescent="0.2">
      <c r="B210" s="5"/>
      <c r="C210" s="69"/>
      <c r="H210" s="63"/>
      <c r="I210" s="69"/>
    </row>
    <row r="211" spans="2:9" ht="12.75" x14ac:dyDescent="0.2">
      <c r="B211" s="5"/>
      <c r="C211" s="69"/>
      <c r="H211" s="63"/>
      <c r="I211" s="69"/>
    </row>
    <row r="212" spans="2:9" ht="12.75" x14ac:dyDescent="0.2">
      <c r="B212" s="5"/>
      <c r="C212" s="69"/>
      <c r="H212" s="63"/>
    </row>
    <row r="213" spans="2:9" ht="12.75" x14ac:dyDescent="0.2">
      <c r="B213" s="5"/>
      <c r="C213" s="69"/>
      <c r="H213" s="63"/>
    </row>
    <row r="214" spans="2:9" ht="12.75" x14ac:dyDescent="0.2">
      <c r="B214" s="5"/>
      <c r="C214" s="69"/>
      <c r="H214" s="63"/>
    </row>
    <row r="215" spans="2:9" ht="12.75" x14ac:dyDescent="0.2">
      <c r="B215" s="5"/>
      <c r="C215" s="69"/>
      <c r="H215" s="63"/>
    </row>
    <row r="216" spans="2:9" ht="12.75" x14ac:dyDescent="0.2">
      <c r="B216" s="5"/>
      <c r="C216" s="68"/>
      <c r="H216" s="5"/>
    </row>
    <row r="217" spans="2:9" ht="12.75" x14ac:dyDescent="0.2">
      <c r="B217" s="5"/>
      <c r="C217" s="69"/>
      <c r="H217" s="63"/>
      <c r="I217" s="70"/>
    </row>
    <row r="218" spans="2:9" ht="12.75" x14ac:dyDescent="0.2">
      <c r="B218" s="5"/>
      <c r="C218" s="69"/>
      <c r="H218" s="63"/>
      <c r="I218" s="69"/>
    </row>
    <row r="219" spans="2:9" ht="12.75" x14ac:dyDescent="0.2">
      <c r="B219" s="5"/>
      <c r="C219" s="69"/>
      <c r="H219" s="66"/>
      <c r="I219" s="69"/>
    </row>
    <row r="220" spans="2:9" ht="12.75" x14ac:dyDescent="0.2">
      <c r="B220" s="5"/>
      <c r="C220" s="69"/>
      <c r="H220" s="63"/>
      <c r="I220" s="70"/>
    </row>
    <row r="221" spans="2:9" ht="12.75" x14ac:dyDescent="0.2">
      <c r="B221" s="5"/>
      <c r="C221" s="69"/>
      <c r="H221" s="63"/>
      <c r="I221" s="69"/>
    </row>
    <row r="222" spans="2:9" ht="12.75" x14ac:dyDescent="0.2">
      <c r="B222" s="5"/>
      <c r="C222" s="69"/>
      <c r="H222" s="63"/>
      <c r="I222" s="69"/>
    </row>
    <row r="223" spans="2:9" ht="12.75" x14ac:dyDescent="0.2">
      <c r="B223" s="5"/>
      <c r="C223" s="69"/>
      <c r="H223" s="63"/>
    </row>
    <row r="224" spans="2:9" ht="12.75" x14ac:dyDescent="0.2">
      <c r="B224" s="5"/>
      <c r="C224" s="69"/>
      <c r="H224" s="63"/>
    </row>
    <row r="225" spans="2:9" ht="12.75" x14ac:dyDescent="0.2">
      <c r="B225" s="5"/>
      <c r="C225" s="70"/>
      <c r="H225" s="63"/>
      <c r="I225" s="69"/>
    </row>
    <row r="226" spans="2:9" ht="12.75" x14ac:dyDescent="0.2">
      <c r="B226" s="5"/>
      <c r="C226" s="70"/>
      <c r="H226" s="63"/>
    </row>
    <row r="227" spans="2:9" ht="12.75" x14ac:dyDescent="0.2">
      <c r="B227" s="5"/>
      <c r="C227" s="69"/>
      <c r="H227" s="63"/>
      <c r="I227" s="70"/>
    </row>
    <row r="228" spans="2:9" ht="12.75" x14ac:dyDescent="0.2">
      <c r="B228" s="5"/>
      <c r="C228" s="69"/>
      <c r="H228" s="66"/>
    </row>
    <row r="229" spans="2:9" ht="12.75" x14ac:dyDescent="0.2">
      <c r="B229" s="5"/>
      <c r="C229" s="69"/>
      <c r="H229" s="63"/>
      <c r="I229" s="69"/>
    </row>
    <row r="230" spans="2:9" ht="12.75" x14ac:dyDescent="0.2">
      <c r="B230" s="5"/>
      <c r="C230" s="69"/>
      <c r="H230" s="66"/>
      <c r="I230" s="69"/>
    </row>
    <row r="231" spans="2:9" ht="12.75" x14ac:dyDescent="0.2">
      <c r="B231" s="5"/>
      <c r="C231" s="69"/>
      <c r="H231" s="5"/>
    </row>
    <row r="232" spans="2:9" ht="12.75" x14ac:dyDescent="0.2">
      <c r="B232" s="5"/>
      <c r="C232" s="69"/>
      <c r="H232" s="63"/>
    </row>
    <row r="233" spans="2:9" ht="12.75" x14ac:dyDescent="0.2">
      <c r="B233" s="5"/>
      <c r="C233" s="69"/>
      <c r="H233" s="63"/>
      <c r="I233" s="69"/>
    </row>
    <row r="234" spans="2:9" ht="12.75" x14ac:dyDescent="0.2">
      <c r="B234" s="5"/>
      <c r="C234" s="69"/>
      <c r="H234" s="66"/>
      <c r="I234" s="69"/>
    </row>
    <row r="235" spans="2:9" ht="12.75" x14ac:dyDescent="0.2">
      <c r="B235" s="5"/>
      <c r="C235" s="69"/>
      <c r="H235" s="63"/>
      <c r="I235" s="69"/>
    </row>
    <row r="236" spans="2:9" ht="12.75" x14ac:dyDescent="0.2">
      <c r="B236" s="5"/>
      <c r="C236" s="69"/>
      <c r="H236" s="63"/>
      <c r="I236" s="69"/>
    </row>
    <row r="237" spans="2:9" ht="12.75" x14ac:dyDescent="0.2">
      <c r="B237" s="5"/>
      <c r="C237" s="69"/>
      <c r="H237" s="63"/>
      <c r="I237" s="70"/>
    </row>
    <row r="238" spans="2:9" ht="12.75" x14ac:dyDescent="0.2">
      <c r="B238" s="5"/>
      <c r="C238" s="69"/>
      <c r="H238" s="63"/>
      <c r="I238" s="69"/>
    </row>
    <row r="239" spans="2:9" ht="12.75" x14ac:dyDescent="0.2">
      <c r="B239" s="5"/>
      <c r="C239" s="69"/>
      <c r="H239" s="63"/>
      <c r="I239" s="70"/>
    </row>
    <row r="240" spans="2:9" ht="12.75" x14ac:dyDescent="0.2">
      <c r="B240" s="5"/>
      <c r="C240" s="69"/>
      <c r="H240" s="5"/>
    </row>
    <row r="241" spans="2:9" ht="12.75" x14ac:dyDescent="0.2">
      <c r="B241" s="5"/>
      <c r="C241" s="69"/>
      <c r="H241" s="63"/>
      <c r="I241" s="70"/>
    </row>
    <row r="242" spans="2:9" ht="12.75" x14ac:dyDescent="0.2">
      <c r="B242" s="5"/>
      <c r="C242" s="69"/>
      <c r="H242" s="63"/>
      <c r="I242" s="69"/>
    </row>
    <row r="243" spans="2:9" ht="12.75" x14ac:dyDescent="0.2">
      <c r="B243" s="5"/>
      <c r="C243" s="69"/>
      <c r="H243" s="63"/>
      <c r="I243" s="69"/>
    </row>
    <row r="244" spans="2:9" ht="12.75" x14ac:dyDescent="0.2">
      <c r="B244" s="5"/>
      <c r="C244" s="69"/>
      <c r="H244" s="66"/>
    </row>
    <row r="245" spans="2:9" ht="12.75" x14ac:dyDescent="0.2">
      <c r="B245" s="5"/>
      <c r="C245" s="70"/>
      <c r="H245" s="63"/>
    </row>
    <row r="246" spans="2:9" ht="12.75" x14ac:dyDescent="0.2">
      <c r="B246" s="5"/>
      <c r="C246" s="69"/>
      <c r="H246" s="63"/>
      <c r="I246" s="70"/>
    </row>
    <row r="247" spans="2:9" ht="12.75" x14ac:dyDescent="0.2">
      <c r="B247" s="5"/>
      <c r="C247" s="70"/>
      <c r="H247" s="63"/>
      <c r="I247" s="70"/>
    </row>
    <row r="248" spans="2:9" ht="12.75" x14ac:dyDescent="0.2">
      <c r="B248" s="5"/>
      <c r="C248" s="70"/>
      <c r="H248" s="5"/>
    </row>
    <row r="249" spans="2:9" ht="12.75" x14ac:dyDescent="0.2">
      <c r="B249" s="5"/>
      <c r="C249" s="68"/>
      <c r="H249" s="5"/>
    </row>
    <row r="250" spans="2:9" ht="12.75" x14ac:dyDescent="0.2">
      <c r="B250" s="5"/>
      <c r="C250" s="69"/>
      <c r="H250" s="5"/>
    </row>
    <row r="251" spans="2:9" ht="12.75" x14ac:dyDescent="0.2">
      <c r="B251" s="5"/>
      <c r="C251" s="68"/>
      <c r="H251" s="5"/>
    </row>
    <row r="252" spans="2:9" ht="12.75" x14ac:dyDescent="0.2">
      <c r="B252" s="5"/>
      <c r="C252" s="69"/>
      <c r="H252" s="66"/>
      <c r="I252" s="69"/>
    </row>
    <row r="253" spans="2:9" ht="12.75" x14ac:dyDescent="0.2">
      <c r="B253" s="5"/>
      <c r="C253" s="69"/>
      <c r="H253" s="63"/>
    </row>
    <row r="254" spans="2:9" ht="12.75" x14ac:dyDescent="0.2">
      <c r="B254" s="5"/>
      <c r="C254" s="70"/>
      <c r="H254" s="66"/>
    </row>
    <row r="255" spans="2:9" ht="12.75" x14ac:dyDescent="0.2">
      <c r="B255" s="5"/>
      <c r="C255" s="69"/>
      <c r="H255" s="63"/>
    </row>
    <row r="256" spans="2:9" ht="12.75" x14ac:dyDescent="0.2">
      <c r="B256" s="5"/>
      <c r="C256" s="69"/>
      <c r="H256" s="63"/>
    </row>
    <row r="257" spans="2:9" ht="12.75" x14ac:dyDescent="0.2">
      <c r="B257" s="5"/>
      <c r="C257" s="69"/>
      <c r="H257" s="63"/>
    </row>
    <row r="258" spans="2:9" ht="12.75" x14ac:dyDescent="0.2">
      <c r="B258" s="5"/>
      <c r="C258" s="69"/>
      <c r="H258" s="63"/>
    </row>
    <row r="259" spans="2:9" ht="12.75" x14ac:dyDescent="0.2">
      <c r="B259" s="5"/>
      <c r="C259" s="69"/>
      <c r="H259" s="63"/>
    </row>
    <row r="260" spans="2:9" ht="12.75" x14ac:dyDescent="0.2">
      <c r="B260" s="5"/>
      <c r="C260" s="69"/>
      <c r="H260" s="5"/>
    </row>
    <row r="261" spans="2:9" ht="12.75" x14ac:dyDescent="0.2">
      <c r="B261" s="5"/>
      <c r="C261" s="69"/>
      <c r="H261" s="63"/>
    </row>
    <row r="262" spans="2:9" ht="12.75" x14ac:dyDescent="0.2">
      <c r="B262" s="5"/>
      <c r="C262" s="68"/>
      <c r="H262" s="5"/>
    </row>
    <row r="263" spans="2:9" ht="12.75" x14ac:dyDescent="0.2">
      <c r="B263" s="5"/>
      <c r="C263" s="69"/>
      <c r="H263" s="63"/>
      <c r="I263" s="69"/>
    </row>
    <row r="264" spans="2:9" ht="12.75" x14ac:dyDescent="0.2">
      <c r="B264" s="5"/>
      <c r="C264" s="69"/>
      <c r="H264" s="63"/>
    </row>
    <row r="265" spans="2:9" ht="12.75" x14ac:dyDescent="0.2">
      <c r="B265" s="5"/>
      <c r="C265" s="69"/>
      <c r="H265" s="5"/>
    </row>
    <row r="266" spans="2:9" ht="12.75" x14ac:dyDescent="0.2">
      <c r="B266" s="5"/>
      <c r="C266" s="69"/>
      <c r="H266" s="63"/>
      <c r="I266" s="69"/>
    </row>
    <row r="267" spans="2:9" ht="12.75" x14ac:dyDescent="0.2">
      <c r="B267" s="5"/>
      <c r="C267" s="69"/>
      <c r="H267" s="66"/>
    </row>
    <row r="268" spans="2:9" ht="12.75" x14ac:dyDescent="0.2">
      <c r="B268" s="5"/>
      <c r="C268" s="69"/>
      <c r="H268" s="63"/>
      <c r="I268" s="69"/>
    </row>
    <row r="269" spans="2:9" ht="12.75" x14ac:dyDescent="0.2">
      <c r="B269" s="5"/>
      <c r="C269" s="68"/>
      <c r="H269" s="5"/>
    </row>
    <row r="270" spans="2:9" ht="12.75" x14ac:dyDescent="0.2">
      <c r="B270" s="5"/>
      <c r="C270" s="69"/>
      <c r="H270" s="63"/>
    </row>
    <row r="271" spans="2:9" ht="12.75" x14ac:dyDescent="0.2">
      <c r="B271" s="5"/>
      <c r="C271" s="69"/>
      <c r="H271" s="63"/>
    </row>
    <row r="272" spans="2:9" ht="12.75" x14ac:dyDescent="0.2">
      <c r="B272" s="5"/>
      <c r="C272" s="69"/>
      <c r="H272" s="63"/>
    </row>
    <row r="273" spans="1:26" ht="12.75" x14ac:dyDescent="0.2">
      <c r="B273" s="5"/>
      <c r="C273" s="68"/>
      <c r="H273" s="5"/>
    </row>
    <row r="274" spans="1:26" ht="12.75" x14ac:dyDescent="0.2">
      <c r="B274" s="5"/>
      <c r="C274" s="69"/>
      <c r="H274" s="5"/>
    </row>
    <row r="275" spans="1:26" ht="12.75" x14ac:dyDescent="0.2">
      <c r="B275" s="5"/>
      <c r="C275" s="70"/>
      <c r="H275" s="66"/>
    </row>
    <row r="276" spans="1:26" ht="12.75" x14ac:dyDescent="0.2">
      <c r="B276" s="5"/>
      <c r="C276" s="68"/>
      <c r="H276" s="5"/>
    </row>
    <row r="277" spans="1:26" ht="12.75" x14ac:dyDescent="0.2">
      <c r="B277" s="5"/>
      <c r="C277" s="69"/>
      <c r="H277" s="63"/>
    </row>
    <row r="278" spans="1:26" ht="12.75" x14ac:dyDescent="0.2">
      <c r="B278" s="5"/>
      <c r="C278" s="69"/>
      <c r="H278" s="63"/>
      <c r="I278" s="69"/>
    </row>
    <row r="279" spans="1:26" ht="12.75" x14ac:dyDescent="0.2">
      <c r="B279" s="5"/>
      <c r="C279" s="68"/>
      <c r="H279" s="5"/>
    </row>
    <row r="280" spans="1:26" ht="12.75" x14ac:dyDescent="0.2">
      <c r="B280" s="5"/>
      <c r="C280" s="205"/>
      <c r="H280" s="5"/>
    </row>
    <row r="281" spans="1:26" ht="12.75" x14ac:dyDescent="0.2">
      <c r="B281" s="5"/>
      <c r="C281" s="69"/>
      <c r="H281" s="63"/>
      <c r="I281" s="69"/>
    </row>
    <row r="282" spans="1:26" ht="12.75" x14ac:dyDescent="0.2">
      <c r="B282" s="5"/>
      <c r="H282" s="5"/>
    </row>
    <row r="283" spans="1:26" ht="15" x14ac:dyDescent="0.25">
      <c r="A283" s="206" t="s">
        <v>666</v>
      </c>
      <c r="B283" s="206" t="s">
        <v>1707</v>
      </c>
      <c r="C283" s="206" t="s">
        <v>2584</v>
      </c>
      <c r="D283" s="3" t="s">
        <v>2585</v>
      </c>
      <c r="E283" s="3" t="s">
        <v>0</v>
      </c>
      <c r="F283" s="3" t="s">
        <v>2586</v>
      </c>
      <c r="G283" s="3"/>
      <c r="H283" s="67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" x14ac:dyDescent="0.25">
      <c r="A284" s="23" t="s">
        <v>859</v>
      </c>
      <c r="B284" s="207">
        <v>42935</v>
      </c>
      <c r="C284" s="23" t="s">
        <v>2134</v>
      </c>
      <c r="H284" s="5"/>
    </row>
    <row r="285" spans="1:26" ht="15" x14ac:dyDescent="0.25">
      <c r="A285" s="23" t="s">
        <v>860</v>
      </c>
      <c r="B285" s="208">
        <v>42873</v>
      </c>
      <c r="C285" s="23" t="s">
        <v>2174</v>
      </c>
      <c r="H285" s="5"/>
    </row>
    <row r="286" spans="1:26" ht="15" x14ac:dyDescent="0.25">
      <c r="A286" s="23" t="s">
        <v>861</v>
      </c>
      <c r="B286" s="71">
        <v>43076</v>
      </c>
      <c r="C286" s="23" t="s">
        <v>2201</v>
      </c>
      <c r="H286" s="5"/>
    </row>
    <row r="287" spans="1:26" ht="15" x14ac:dyDescent="0.25">
      <c r="A287" s="23" t="s">
        <v>862</v>
      </c>
      <c r="B287" s="207">
        <v>43292</v>
      </c>
      <c r="C287" s="23" t="s">
        <v>2220</v>
      </c>
      <c r="H287" s="5"/>
    </row>
    <row r="288" spans="1:26" ht="15" x14ac:dyDescent="0.25">
      <c r="A288" s="23" t="s">
        <v>863</v>
      </c>
      <c r="B288" s="71">
        <v>43076</v>
      </c>
      <c r="C288" s="23" t="s">
        <v>2275</v>
      </c>
      <c r="H288" s="5"/>
    </row>
    <row r="289" spans="1:8" ht="15" x14ac:dyDescent="0.25">
      <c r="A289" s="23" t="s">
        <v>864</v>
      </c>
      <c r="B289" s="207">
        <v>43206</v>
      </c>
      <c r="C289" s="23" t="s">
        <v>2287</v>
      </c>
      <c r="H289" s="5"/>
    </row>
    <row r="290" spans="1:8" ht="15" x14ac:dyDescent="0.25">
      <c r="A290" s="23" t="s">
        <v>865</v>
      </c>
      <c r="B290" s="207">
        <v>43396</v>
      </c>
      <c r="C290" s="23" t="s">
        <v>2327</v>
      </c>
      <c r="H290" s="5"/>
    </row>
    <row r="291" spans="1:8" ht="15" x14ac:dyDescent="0.25">
      <c r="A291" s="23" t="s">
        <v>866</v>
      </c>
      <c r="B291" s="208">
        <v>43963</v>
      </c>
      <c r="C291" s="23"/>
      <c r="D291" s="1" t="s">
        <v>1942</v>
      </c>
      <c r="H291" s="5"/>
    </row>
    <row r="292" spans="1:8" ht="15" x14ac:dyDescent="0.25">
      <c r="A292" s="23" t="s">
        <v>867</v>
      </c>
      <c r="B292" s="207">
        <v>43885</v>
      </c>
      <c r="C292" s="23"/>
      <c r="D292" s="1" t="s">
        <v>1942</v>
      </c>
      <c r="H292" s="5"/>
    </row>
    <row r="293" spans="1:8" ht="15" x14ac:dyDescent="0.25">
      <c r="A293" s="23" t="s">
        <v>868</v>
      </c>
      <c r="B293" s="71">
        <v>44235</v>
      </c>
      <c r="C293" s="23"/>
      <c r="D293" s="1" t="s">
        <v>1942</v>
      </c>
      <c r="H293" s="5"/>
    </row>
    <row r="294" spans="1:8" ht="15" x14ac:dyDescent="0.25">
      <c r="A294" s="23" t="s">
        <v>869</v>
      </c>
      <c r="B294" s="207">
        <v>43269</v>
      </c>
      <c r="C294" s="23" t="s">
        <v>2103</v>
      </c>
      <c r="H294" s="5"/>
    </row>
    <row r="295" spans="1:8" ht="15" x14ac:dyDescent="0.25">
      <c r="A295" s="23" t="s">
        <v>870</v>
      </c>
      <c r="B295" s="207">
        <v>43304</v>
      </c>
      <c r="C295" s="23" t="s">
        <v>2136</v>
      </c>
      <c r="H295" s="5"/>
    </row>
    <row r="296" spans="1:8" ht="15" x14ac:dyDescent="0.25">
      <c r="A296" s="23" t="s">
        <v>871</v>
      </c>
      <c r="B296" s="207">
        <v>43131</v>
      </c>
      <c r="C296" s="23" t="s">
        <v>2233</v>
      </c>
      <c r="H296" s="5"/>
    </row>
    <row r="297" spans="1:8" ht="15" x14ac:dyDescent="0.25">
      <c r="A297" s="23" t="s">
        <v>872</v>
      </c>
      <c r="B297" s="207">
        <v>43280</v>
      </c>
      <c r="C297" s="23" t="s">
        <v>2263</v>
      </c>
      <c r="H297" s="5"/>
    </row>
    <row r="298" spans="1:8" ht="15" x14ac:dyDescent="0.25">
      <c r="A298" s="23" t="s">
        <v>873</v>
      </c>
      <c r="B298" s="71">
        <v>43619</v>
      </c>
      <c r="C298" s="23" t="s">
        <v>2579</v>
      </c>
      <c r="H298" s="5"/>
    </row>
    <row r="299" spans="1:8" ht="15" x14ac:dyDescent="0.25">
      <c r="A299" s="23" t="s">
        <v>877</v>
      </c>
      <c r="B299" s="71">
        <v>43319</v>
      </c>
      <c r="C299" s="23" t="s">
        <v>2156</v>
      </c>
      <c r="H299" s="5"/>
    </row>
    <row r="300" spans="1:8" ht="15" x14ac:dyDescent="0.25">
      <c r="A300" s="23" t="s">
        <v>874</v>
      </c>
      <c r="B300" s="207">
        <v>43297</v>
      </c>
      <c r="C300" s="23" t="s">
        <v>2191</v>
      </c>
      <c r="H300" s="5"/>
    </row>
    <row r="301" spans="1:8" ht="15" x14ac:dyDescent="0.25">
      <c r="A301" s="23" t="s">
        <v>875</v>
      </c>
      <c r="B301" s="207">
        <v>43059</v>
      </c>
      <c r="C301" s="23" t="s">
        <v>2244</v>
      </c>
      <c r="H301" s="5"/>
    </row>
    <row r="302" spans="1:8" ht="15" x14ac:dyDescent="0.25">
      <c r="A302" s="23" t="s">
        <v>876</v>
      </c>
      <c r="B302" s="71">
        <v>43193</v>
      </c>
      <c r="C302" s="23" t="s">
        <v>2141</v>
      </c>
      <c r="H302" s="5"/>
    </row>
    <row r="303" spans="1:8" ht="15" x14ac:dyDescent="0.25">
      <c r="A303" s="23" t="s">
        <v>878</v>
      </c>
      <c r="B303" s="207">
        <v>43705</v>
      </c>
      <c r="C303" s="23" t="s">
        <v>2203</v>
      </c>
      <c r="H303" s="5"/>
    </row>
    <row r="304" spans="1:8" ht="15" x14ac:dyDescent="0.25">
      <c r="A304" s="23" t="s">
        <v>879</v>
      </c>
      <c r="B304" s="71">
        <v>43257</v>
      </c>
      <c r="C304" s="23"/>
      <c r="D304" s="1" t="s">
        <v>1942</v>
      </c>
      <c r="F304" s="62" t="s">
        <v>2587</v>
      </c>
      <c r="H304" s="5"/>
    </row>
    <row r="305" spans="1:8" ht="15" x14ac:dyDescent="0.25">
      <c r="A305" s="23" t="s">
        <v>877</v>
      </c>
      <c r="B305" s="71">
        <v>43648</v>
      </c>
      <c r="C305" s="23"/>
      <c r="D305" s="1" t="s">
        <v>1942</v>
      </c>
      <c r="H305" s="5"/>
    </row>
    <row r="306" spans="1:8" ht="15" x14ac:dyDescent="0.25">
      <c r="A306" s="23" t="s">
        <v>874</v>
      </c>
      <c r="B306" s="207">
        <v>43535</v>
      </c>
      <c r="C306" s="23"/>
      <c r="D306" s="1" t="s">
        <v>1942</v>
      </c>
      <c r="F306" s="62" t="s">
        <v>2588</v>
      </c>
      <c r="H306" s="5"/>
    </row>
    <row r="307" spans="1:8" ht="15" x14ac:dyDescent="0.25">
      <c r="A307" s="23" t="s">
        <v>875</v>
      </c>
      <c r="B307" s="71">
        <v>43199</v>
      </c>
      <c r="C307" s="23"/>
      <c r="D307" s="1" t="s">
        <v>1942</v>
      </c>
      <c r="F307" s="64" t="s">
        <v>2582</v>
      </c>
      <c r="H307" s="5"/>
    </row>
    <row r="308" spans="1:8" ht="15" x14ac:dyDescent="0.25">
      <c r="A308" s="23" t="s">
        <v>876</v>
      </c>
      <c r="B308" s="71">
        <v>43382</v>
      </c>
      <c r="C308" s="23"/>
      <c r="D308" s="1" t="s">
        <v>2589</v>
      </c>
      <c r="E308" s="1" t="s">
        <v>2590</v>
      </c>
      <c r="H308" s="5"/>
    </row>
    <row r="309" spans="1:8" ht="15" x14ac:dyDescent="0.25">
      <c r="A309" s="23" t="s">
        <v>878</v>
      </c>
      <c r="B309" s="208">
        <v>43970</v>
      </c>
      <c r="C309" s="23"/>
      <c r="D309" s="1" t="s">
        <v>1942</v>
      </c>
      <c r="E309" s="62"/>
      <c r="H309" s="5"/>
    </row>
    <row r="310" spans="1:8" ht="15" x14ac:dyDescent="0.25">
      <c r="A310" s="23" t="s">
        <v>879</v>
      </c>
      <c r="B310" s="71">
        <v>43528</v>
      </c>
      <c r="C310" s="23" t="s">
        <v>2281</v>
      </c>
      <c r="H310" s="5"/>
    </row>
    <row r="311" spans="1:8" ht="15" x14ac:dyDescent="0.25">
      <c r="A311" s="23" t="s">
        <v>880</v>
      </c>
      <c r="B311" s="207">
        <v>43761</v>
      </c>
      <c r="C311" s="23"/>
      <c r="D311" s="1" t="s">
        <v>1942</v>
      </c>
      <c r="H311" s="5"/>
    </row>
    <row r="312" spans="1:8" ht="15" x14ac:dyDescent="0.25">
      <c r="A312" s="23" t="s">
        <v>881</v>
      </c>
      <c r="B312" s="71">
        <v>43870</v>
      </c>
      <c r="C312" s="23" t="s">
        <v>2226</v>
      </c>
      <c r="H312" s="5"/>
    </row>
    <row r="313" spans="1:8" ht="15" x14ac:dyDescent="0.25">
      <c r="A313" s="23" t="s">
        <v>882</v>
      </c>
      <c r="B313" s="71">
        <v>43500</v>
      </c>
      <c r="C313" s="23"/>
      <c r="D313" s="1" t="s">
        <v>1942</v>
      </c>
      <c r="H313" s="5"/>
    </row>
    <row r="314" spans="1:8" ht="15" x14ac:dyDescent="0.25">
      <c r="A314" s="23" t="s">
        <v>883</v>
      </c>
      <c r="B314" s="71">
        <v>43531</v>
      </c>
      <c r="C314" s="23"/>
      <c r="D314" s="1" t="s">
        <v>1942</v>
      </c>
      <c r="H314" s="5"/>
    </row>
    <row r="315" spans="1:8" ht="15" x14ac:dyDescent="0.25">
      <c r="A315" s="23" t="s">
        <v>884</v>
      </c>
      <c r="B315" s="207">
        <v>44056</v>
      </c>
      <c r="C315" s="23" t="s">
        <v>2358</v>
      </c>
      <c r="H315" s="5"/>
    </row>
    <row r="316" spans="1:8" ht="12.75" x14ac:dyDescent="0.2">
      <c r="B316" s="5"/>
      <c r="H316" s="5"/>
    </row>
    <row r="317" spans="1:8" ht="12.75" x14ac:dyDescent="0.2">
      <c r="B317" s="5"/>
      <c r="H317" s="5"/>
    </row>
    <row r="318" spans="1:8" ht="12.75" x14ac:dyDescent="0.2">
      <c r="B318" s="5"/>
      <c r="H318" s="5"/>
    </row>
    <row r="319" spans="1:8" ht="12.75" x14ac:dyDescent="0.2">
      <c r="B319" s="5"/>
      <c r="H319" s="5"/>
    </row>
    <row r="320" spans="1:8" ht="12.75" x14ac:dyDescent="0.2">
      <c r="B320" s="5"/>
      <c r="H320" s="5"/>
    </row>
    <row r="321" spans="2:8" ht="12.75" x14ac:dyDescent="0.2">
      <c r="B321" s="5"/>
      <c r="H321" s="5"/>
    </row>
    <row r="322" spans="2:8" ht="12.75" x14ac:dyDescent="0.2">
      <c r="B322" s="5"/>
      <c r="H322" s="5"/>
    </row>
    <row r="323" spans="2:8" ht="12.75" x14ac:dyDescent="0.2">
      <c r="B323" s="5"/>
      <c r="H323" s="5"/>
    </row>
    <row r="324" spans="2:8" ht="12.75" x14ac:dyDescent="0.2">
      <c r="B324" s="5"/>
      <c r="H324" s="5"/>
    </row>
    <row r="325" spans="2:8" ht="12.75" x14ac:dyDescent="0.2">
      <c r="B325" s="5"/>
      <c r="H325" s="5"/>
    </row>
    <row r="326" spans="2:8" ht="12.75" x14ac:dyDescent="0.2">
      <c r="B326" s="5"/>
      <c r="H326" s="5"/>
    </row>
    <row r="327" spans="2:8" ht="12.75" x14ac:dyDescent="0.2">
      <c r="B327" s="5"/>
      <c r="H327" s="5"/>
    </row>
    <row r="328" spans="2:8" ht="12.75" x14ac:dyDescent="0.2">
      <c r="B328" s="5"/>
      <c r="H328" s="5"/>
    </row>
    <row r="329" spans="2:8" ht="12.75" x14ac:dyDescent="0.2">
      <c r="B329" s="5"/>
      <c r="H329" s="5"/>
    </row>
    <row r="330" spans="2:8" ht="12.75" x14ac:dyDescent="0.2">
      <c r="B330" s="5"/>
      <c r="H330" s="5"/>
    </row>
    <row r="331" spans="2:8" ht="12.75" x14ac:dyDescent="0.2">
      <c r="B331" s="5"/>
      <c r="H331" s="5"/>
    </row>
    <row r="332" spans="2:8" ht="12.75" x14ac:dyDescent="0.2">
      <c r="B332" s="5"/>
      <c r="H332" s="5"/>
    </row>
    <row r="333" spans="2:8" ht="12.75" x14ac:dyDescent="0.2">
      <c r="B333" s="5"/>
      <c r="H333" s="5"/>
    </row>
    <row r="334" spans="2:8" ht="12.75" x14ac:dyDescent="0.2">
      <c r="B334" s="5"/>
      <c r="H334" s="5"/>
    </row>
    <row r="335" spans="2:8" ht="12.75" x14ac:dyDescent="0.2">
      <c r="B335" s="5"/>
      <c r="H335" s="5"/>
    </row>
    <row r="336" spans="2:8" ht="12.75" x14ac:dyDescent="0.2">
      <c r="B336" s="5"/>
      <c r="H336" s="5"/>
    </row>
    <row r="337" spans="2:8" ht="12.75" x14ac:dyDescent="0.2">
      <c r="B337" s="5"/>
      <c r="H337" s="5"/>
    </row>
    <row r="338" spans="2:8" ht="12.75" x14ac:dyDescent="0.2">
      <c r="B338" s="5"/>
      <c r="H338" s="5"/>
    </row>
    <row r="339" spans="2:8" ht="12.75" x14ac:dyDescent="0.2">
      <c r="B339" s="5"/>
      <c r="H339" s="5"/>
    </row>
    <row r="340" spans="2:8" ht="12.75" x14ac:dyDescent="0.2">
      <c r="B340" s="5"/>
      <c r="H340" s="5"/>
    </row>
    <row r="341" spans="2:8" ht="12.75" x14ac:dyDescent="0.2">
      <c r="B341" s="5"/>
      <c r="H341" s="5"/>
    </row>
    <row r="342" spans="2:8" ht="12.75" x14ac:dyDescent="0.2">
      <c r="B342" s="5"/>
      <c r="H342" s="5"/>
    </row>
    <row r="343" spans="2:8" ht="12.75" x14ac:dyDescent="0.2">
      <c r="B343" s="5"/>
      <c r="H343" s="5"/>
    </row>
    <row r="344" spans="2:8" ht="12.75" x14ac:dyDescent="0.2">
      <c r="B344" s="5"/>
      <c r="H344" s="5"/>
    </row>
    <row r="345" spans="2:8" ht="12.75" x14ac:dyDescent="0.2">
      <c r="B345" s="5"/>
      <c r="H345" s="5"/>
    </row>
    <row r="346" spans="2:8" ht="12.75" x14ac:dyDescent="0.2">
      <c r="B346" s="5"/>
      <c r="H346" s="5"/>
    </row>
    <row r="347" spans="2:8" ht="12.75" x14ac:dyDescent="0.2">
      <c r="B347" s="5"/>
      <c r="H347" s="5"/>
    </row>
    <row r="348" spans="2:8" ht="12.75" x14ac:dyDescent="0.2">
      <c r="B348" s="5"/>
      <c r="H348" s="5"/>
    </row>
    <row r="349" spans="2:8" ht="12.75" x14ac:dyDescent="0.2">
      <c r="B349" s="5"/>
      <c r="H349" s="5"/>
    </row>
    <row r="350" spans="2:8" ht="12.75" x14ac:dyDescent="0.2">
      <c r="B350" s="5"/>
      <c r="H350" s="5"/>
    </row>
    <row r="351" spans="2:8" ht="12.75" x14ac:dyDescent="0.2">
      <c r="B351" s="5"/>
      <c r="H351" s="5"/>
    </row>
    <row r="352" spans="2:8" ht="12.75" x14ac:dyDescent="0.2">
      <c r="B352" s="5"/>
      <c r="H352" s="5"/>
    </row>
    <row r="353" spans="2:8" ht="12.75" x14ac:dyDescent="0.2">
      <c r="B353" s="5"/>
      <c r="H353" s="5"/>
    </row>
    <row r="354" spans="2:8" ht="12.75" x14ac:dyDescent="0.2">
      <c r="B354" s="5"/>
      <c r="H354" s="5"/>
    </row>
    <row r="355" spans="2:8" ht="12.75" x14ac:dyDescent="0.2">
      <c r="B355" s="5"/>
      <c r="H355" s="5"/>
    </row>
    <row r="356" spans="2:8" ht="12.75" x14ac:dyDescent="0.2">
      <c r="B356" s="5"/>
      <c r="H356" s="5"/>
    </row>
    <row r="357" spans="2:8" ht="12.75" x14ac:dyDescent="0.2">
      <c r="B357" s="5"/>
      <c r="H357" s="5"/>
    </row>
    <row r="358" spans="2:8" ht="12.75" x14ac:dyDescent="0.2">
      <c r="B358" s="5"/>
      <c r="H358" s="5"/>
    </row>
    <row r="359" spans="2:8" ht="12.75" x14ac:dyDescent="0.2">
      <c r="B359" s="5"/>
      <c r="H359" s="5"/>
    </row>
    <row r="360" spans="2:8" ht="12.75" x14ac:dyDescent="0.2">
      <c r="B360" s="5"/>
      <c r="H360" s="5"/>
    </row>
    <row r="361" spans="2:8" ht="12.75" x14ac:dyDescent="0.2">
      <c r="B361" s="5"/>
      <c r="H361" s="5"/>
    </row>
    <row r="362" spans="2:8" ht="12.75" x14ac:dyDescent="0.2">
      <c r="B362" s="5"/>
      <c r="H362" s="5"/>
    </row>
    <row r="363" spans="2:8" ht="12.75" x14ac:dyDescent="0.2">
      <c r="B363" s="5"/>
      <c r="H363" s="5"/>
    </row>
    <row r="364" spans="2:8" ht="12.75" x14ac:dyDescent="0.2">
      <c r="B364" s="5"/>
      <c r="H364" s="5"/>
    </row>
    <row r="365" spans="2:8" ht="12.75" x14ac:dyDescent="0.2">
      <c r="B365" s="5"/>
      <c r="H365" s="5"/>
    </row>
    <row r="366" spans="2:8" ht="12.75" x14ac:dyDescent="0.2">
      <c r="B366" s="5"/>
      <c r="H366" s="5"/>
    </row>
    <row r="367" spans="2:8" ht="12.75" x14ac:dyDescent="0.2">
      <c r="B367" s="5"/>
      <c r="H367" s="5"/>
    </row>
    <row r="368" spans="2:8" ht="12.75" x14ac:dyDescent="0.2">
      <c r="B368" s="5"/>
      <c r="H368" s="5"/>
    </row>
    <row r="369" spans="2:8" ht="12.75" x14ac:dyDescent="0.2">
      <c r="B369" s="5"/>
      <c r="H369" s="5"/>
    </row>
    <row r="370" spans="2:8" ht="12.75" x14ac:dyDescent="0.2">
      <c r="B370" s="5"/>
      <c r="H370" s="5"/>
    </row>
    <row r="371" spans="2:8" ht="12.75" x14ac:dyDescent="0.2">
      <c r="B371" s="5"/>
      <c r="H371" s="5"/>
    </row>
    <row r="372" spans="2:8" ht="12.75" x14ac:dyDescent="0.2">
      <c r="B372" s="5"/>
      <c r="H372" s="5"/>
    </row>
    <row r="373" spans="2:8" ht="12.75" x14ac:dyDescent="0.2">
      <c r="B373" s="5"/>
      <c r="H373" s="5"/>
    </row>
    <row r="374" spans="2:8" ht="12.75" x14ac:dyDescent="0.2">
      <c r="B374" s="5"/>
      <c r="H374" s="5"/>
    </row>
    <row r="375" spans="2:8" ht="12.75" x14ac:dyDescent="0.2">
      <c r="B375" s="5"/>
      <c r="H375" s="5"/>
    </row>
    <row r="376" spans="2:8" ht="12.75" x14ac:dyDescent="0.2">
      <c r="B376" s="5"/>
      <c r="H376" s="5"/>
    </row>
    <row r="377" spans="2:8" ht="12.75" x14ac:dyDescent="0.2">
      <c r="B377" s="5"/>
      <c r="H377" s="5"/>
    </row>
    <row r="378" spans="2:8" ht="12.75" x14ac:dyDescent="0.2">
      <c r="B378" s="5"/>
      <c r="H378" s="5"/>
    </row>
    <row r="379" spans="2:8" ht="12.75" x14ac:dyDescent="0.2">
      <c r="B379" s="5"/>
      <c r="H379" s="5"/>
    </row>
    <row r="380" spans="2:8" ht="12.75" x14ac:dyDescent="0.2">
      <c r="B380" s="5"/>
      <c r="H380" s="5"/>
    </row>
    <row r="381" spans="2:8" ht="12.75" x14ac:dyDescent="0.2">
      <c r="B381" s="5"/>
      <c r="H381" s="5"/>
    </row>
    <row r="382" spans="2:8" ht="12.75" x14ac:dyDescent="0.2">
      <c r="B382" s="5"/>
      <c r="H382" s="5"/>
    </row>
    <row r="383" spans="2:8" ht="12.75" x14ac:dyDescent="0.2">
      <c r="B383" s="5"/>
      <c r="H383" s="5"/>
    </row>
    <row r="384" spans="2:8" ht="12.75" x14ac:dyDescent="0.2">
      <c r="B384" s="5"/>
      <c r="H384" s="5"/>
    </row>
    <row r="385" spans="2:8" ht="12.75" x14ac:dyDescent="0.2">
      <c r="B385" s="5"/>
      <c r="H385" s="5"/>
    </row>
    <row r="386" spans="2:8" ht="12.75" x14ac:dyDescent="0.2">
      <c r="B386" s="5"/>
      <c r="H386" s="5"/>
    </row>
    <row r="387" spans="2:8" ht="12.75" x14ac:dyDescent="0.2">
      <c r="B387" s="5"/>
      <c r="H387" s="5"/>
    </row>
    <row r="388" spans="2:8" ht="12.75" x14ac:dyDescent="0.2">
      <c r="B388" s="5"/>
      <c r="H388" s="5"/>
    </row>
    <row r="389" spans="2:8" ht="12.75" x14ac:dyDescent="0.2">
      <c r="B389" s="5"/>
      <c r="H389" s="5"/>
    </row>
    <row r="390" spans="2:8" ht="12.75" x14ac:dyDescent="0.2">
      <c r="B390" s="5"/>
      <c r="H390" s="5"/>
    </row>
    <row r="391" spans="2:8" ht="12.75" x14ac:dyDescent="0.2">
      <c r="B391" s="5"/>
      <c r="H391" s="5"/>
    </row>
    <row r="392" spans="2:8" ht="12.75" x14ac:dyDescent="0.2">
      <c r="B392" s="5"/>
      <c r="H392" s="5"/>
    </row>
    <row r="393" spans="2:8" ht="12.75" x14ac:dyDescent="0.2">
      <c r="B393" s="5"/>
      <c r="H393" s="5"/>
    </row>
    <row r="394" spans="2:8" ht="12.75" x14ac:dyDescent="0.2">
      <c r="B394" s="5"/>
      <c r="H394" s="5"/>
    </row>
    <row r="395" spans="2:8" ht="12.75" x14ac:dyDescent="0.2">
      <c r="B395" s="5"/>
      <c r="H395" s="5"/>
    </row>
    <row r="396" spans="2:8" ht="12.75" x14ac:dyDescent="0.2">
      <c r="B396" s="5"/>
      <c r="H396" s="5"/>
    </row>
    <row r="397" spans="2:8" ht="12.75" x14ac:dyDescent="0.2">
      <c r="B397" s="5"/>
      <c r="H397" s="5"/>
    </row>
    <row r="398" spans="2:8" ht="12.75" x14ac:dyDescent="0.2">
      <c r="B398" s="5"/>
      <c r="H398" s="5"/>
    </row>
    <row r="399" spans="2:8" ht="12.75" x14ac:dyDescent="0.2">
      <c r="B399" s="5"/>
      <c r="H399" s="5"/>
    </row>
    <row r="400" spans="2:8" ht="12.75" x14ac:dyDescent="0.2">
      <c r="B400" s="5"/>
      <c r="H400" s="5"/>
    </row>
    <row r="401" spans="2:8" ht="12.75" x14ac:dyDescent="0.2">
      <c r="B401" s="5"/>
      <c r="H401" s="5"/>
    </row>
    <row r="402" spans="2:8" ht="12.75" x14ac:dyDescent="0.2">
      <c r="B402" s="5"/>
      <c r="H402" s="5"/>
    </row>
    <row r="403" spans="2:8" ht="12.75" x14ac:dyDescent="0.2">
      <c r="B403" s="5"/>
      <c r="H403" s="5"/>
    </row>
    <row r="404" spans="2:8" ht="12.75" x14ac:dyDescent="0.2">
      <c r="B404" s="5"/>
      <c r="H404" s="5"/>
    </row>
    <row r="405" spans="2:8" ht="12.75" x14ac:dyDescent="0.2">
      <c r="B405" s="5"/>
      <c r="H405" s="5"/>
    </row>
    <row r="406" spans="2:8" ht="12.75" x14ac:dyDescent="0.2">
      <c r="B406" s="5"/>
      <c r="H406" s="5"/>
    </row>
    <row r="407" spans="2:8" ht="12.75" x14ac:dyDescent="0.2">
      <c r="B407" s="5"/>
      <c r="H407" s="5"/>
    </row>
    <row r="408" spans="2:8" ht="12.75" x14ac:dyDescent="0.2">
      <c r="B408" s="5"/>
      <c r="H408" s="5"/>
    </row>
    <row r="409" spans="2:8" ht="12.75" x14ac:dyDescent="0.2">
      <c r="B409" s="5"/>
      <c r="H409" s="5"/>
    </row>
    <row r="410" spans="2:8" ht="12.75" x14ac:dyDescent="0.2">
      <c r="B410" s="5"/>
      <c r="H410" s="5"/>
    </row>
    <row r="411" spans="2:8" ht="12.75" x14ac:dyDescent="0.2">
      <c r="B411" s="5"/>
      <c r="H411" s="5"/>
    </row>
    <row r="412" spans="2:8" ht="12.75" x14ac:dyDescent="0.2">
      <c r="B412" s="5"/>
      <c r="H412" s="5"/>
    </row>
    <row r="413" spans="2:8" ht="12.75" x14ac:dyDescent="0.2">
      <c r="B413" s="5"/>
      <c r="H413" s="5"/>
    </row>
    <row r="414" spans="2:8" ht="12.75" x14ac:dyDescent="0.2">
      <c r="B414" s="5"/>
      <c r="H414" s="5"/>
    </row>
    <row r="415" spans="2:8" ht="12.75" x14ac:dyDescent="0.2">
      <c r="B415" s="5"/>
      <c r="H415" s="5"/>
    </row>
    <row r="416" spans="2:8" ht="12.75" x14ac:dyDescent="0.2">
      <c r="B416" s="5"/>
      <c r="H416" s="5"/>
    </row>
    <row r="417" spans="2:8" ht="12.75" x14ac:dyDescent="0.2">
      <c r="B417" s="5"/>
      <c r="H417" s="5"/>
    </row>
    <row r="418" spans="2:8" ht="12.75" x14ac:dyDescent="0.2">
      <c r="B418" s="5"/>
      <c r="H418" s="5"/>
    </row>
    <row r="419" spans="2:8" ht="12.75" x14ac:dyDescent="0.2">
      <c r="B419" s="5"/>
      <c r="H419" s="5"/>
    </row>
    <row r="420" spans="2:8" ht="12.75" x14ac:dyDescent="0.2">
      <c r="B420" s="5"/>
      <c r="H420" s="5"/>
    </row>
    <row r="421" spans="2:8" ht="12.75" x14ac:dyDescent="0.2">
      <c r="B421" s="5"/>
      <c r="H421" s="5"/>
    </row>
    <row r="422" spans="2:8" ht="12.75" x14ac:dyDescent="0.2">
      <c r="B422" s="5"/>
      <c r="H422" s="5"/>
    </row>
    <row r="423" spans="2:8" ht="12.75" x14ac:dyDescent="0.2">
      <c r="B423" s="5"/>
      <c r="H423" s="5"/>
    </row>
    <row r="424" spans="2:8" ht="12.75" x14ac:dyDescent="0.2">
      <c r="B424" s="5"/>
      <c r="H424" s="5"/>
    </row>
    <row r="425" spans="2:8" ht="12.75" x14ac:dyDescent="0.2">
      <c r="B425" s="5"/>
      <c r="H425" s="5"/>
    </row>
    <row r="426" spans="2:8" ht="12.75" x14ac:dyDescent="0.2">
      <c r="B426" s="5"/>
      <c r="H426" s="5"/>
    </row>
    <row r="427" spans="2:8" ht="12.75" x14ac:dyDescent="0.2">
      <c r="B427" s="5"/>
      <c r="H427" s="5"/>
    </row>
    <row r="428" spans="2:8" ht="12.75" x14ac:dyDescent="0.2">
      <c r="B428" s="5"/>
      <c r="H428" s="5"/>
    </row>
    <row r="429" spans="2:8" ht="12.75" x14ac:dyDescent="0.2">
      <c r="B429" s="5"/>
      <c r="H429" s="5"/>
    </row>
    <row r="430" spans="2:8" ht="12.75" x14ac:dyDescent="0.2">
      <c r="B430" s="5"/>
      <c r="H430" s="5"/>
    </row>
    <row r="431" spans="2:8" ht="12.75" x14ac:dyDescent="0.2">
      <c r="B431" s="5"/>
      <c r="H431" s="5"/>
    </row>
    <row r="432" spans="2:8" ht="12.75" x14ac:dyDescent="0.2">
      <c r="B432" s="5"/>
      <c r="H432" s="5"/>
    </row>
    <row r="433" spans="2:8" ht="12.75" x14ac:dyDescent="0.2">
      <c r="B433" s="5"/>
      <c r="H433" s="5"/>
    </row>
    <row r="434" spans="2:8" ht="12.75" x14ac:dyDescent="0.2">
      <c r="B434" s="5"/>
      <c r="H434" s="5"/>
    </row>
    <row r="435" spans="2:8" ht="12.75" x14ac:dyDescent="0.2">
      <c r="B435" s="5"/>
      <c r="H435" s="5"/>
    </row>
    <row r="436" spans="2:8" ht="12.75" x14ac:dyDescent="0.2">
      <c r="B436" s="5"/>
      <c r="H436" s="5"/>
    </row>
    <row r="437" spans="2:8" ht="12.75" x14ac:dyDescent="0.2">
      <c r="B437" s="5"/>
      <c r="H437" s="5"/>
    </row>
    <row r="438" spans="2:8" ht="12.75" x14ac:dyDescent="0.2">
      <c r="B438" s="5"/>
      <c r="H438" s="5"/>
    </row>
    <row r="439" spans="2:8" ht="12.75" x14ac:dyDescent="0.2">
      <c r="B439" s="5"/>
      <c r="H439" s="5"/>
    </row>
    <row r="440" spans="2:8" ht="12.75" x14ac:dyDescent="0.2">
      <c r="B440" s="5"/>
      <c r="H440" s="5"/>
    </row>
    <row r="441" spans="2:8" ht="12.75" x14ac:dyDescent="0.2">
      <c r="B441" s="5"/>
      <c r="H441" s="5"/>
    </row>
    <row r="442" spans="2:8" ht="12.75" x14ac:dyDescent="0.2">
      <c r="B442" s="5"/>
      <c r="H442" s="5"/>
    </row>
    <row r="443" spans="2:8" ht="12.75" x14ac:dyDescent="0.2">
      <c r="B443" s="5"/>
      <c r="H443" s="5"/>
    </row>
    <row r="444" spans="2:8" ht="12.75" x14ac:dyDescent="0.2">
      <c r="B444" s="5"/>
      <c r="H444" s="5"/>
    </row>
    <row r="445" spans="2:8" ht="12.75" x14ac:dyDescent="0.2">
      <c r="B445" s="5"/>
      <c r="H445" s="5"/>
    </row>
    <row r="446" spans="2:8" ht="12.75" x14ac:dyDescent="0.2">
      <c r="B446" s="5"/>
      <c r="H446" s="5"/>
    </row>
    <row r="447" spans="2:8" ht="12.75" x14ac:dyDescent="0.2">
      <c r="B447" s="5"/>
      <c r="H447" s="5"/>
    </row>
    <row r="448" spans="2:8" ht="12.75" x14ac:dyDescent="0.2">
      <c r="B448" s="5"/>
      <c r="H448" s="5"/>
    </row>
    <row r="449" spans="2:8" ht="12.75" x14ac:dyDescent="0.2">
      <c r="B449" s="5"/>
      <c r="H449" s="5"/>
    </row>
    <row r="450" spans="2:8" ht="12.75" x14ac:dyDescent="0.2">
      <c r="B450" s="5"/>
      <c r="H450" s="5"/>
    </row>
    <row r="451" spans="2:8" ht="12.75" x14ac:dyDescent="0.2">
      <c r="B451" s="5"/>
      <c r="H451" s="5"/>
    </row>
    <row r="452" spans="2:8" ht="12.75" x14ac:dyDescent="0.2">
      <c r="B452" s="5"/>
      <c r="H452" s="5"/>
    </row>
    <row r="453" spans="2:8" ht="12.75" x14ac:dyDescent="0.2">
      <c r="B453" s="5"/>
      <c r="H453" s="5"/>
    </row>
    <row r="454" spans="2:8" ht="12.75" x14ac:dyDescent="0.2">
      <c r="B454" s="5"/>
      <c r="H454" s="5"/>
    </row>
    <row r="455" spans="2:8" ht="12.75" x14ac:dyDescent="0.2">
      <c r="B455" s="5"/>
      <c r="H455" s="5"/>
    </row>
    <row r="456" spans="2:8" ht="12.75" x14ac:dyDescent="0.2">
      <c r="B456" s="5"/>
      <c r="H456" s="5"/>
    </row>
    <row r="457" spans="2:8" ht="12.75" x14ac:dyDescent="0.2">
      <c r="B457" s="5"/>
      <c r="H457" s="5"/>
    </row>
    <row r="458" spans="2:8" ht="12.75" x14ac:dyDescent="0.2">
      <c r="B458" s="5"/>
      <c r="H458" s="5"/>
    </row>
    <row r="459" spans="2:8" ht="12.75" x14ac:dyDescent="0.2">
      <c r="B459" s="5"/>
      <c r="H459" s="5"/>
    </row>
    <row r="460" spans="2:8" ht="12.75" x14ac:dyDescent="0.2">
      <c r="B460" s="5"/>
      <c r="H460" s="5"/>
    </row>
    <row r="461" spans="2:8" ht="12.75" x14ac:dyDescent="0.2">
      <c r="B461" s="5"/>
      <c r="H461" s="5"/>
    </row>
    <row r="462" spans="2:8" ht="12.75" x14ac:dyDescent="0.2">
      <c r="B462" s="5"/>
      <c r="H462" s="5"/>
    </row>
    <row r="463" spans="2:8" ht="12.75" x14ac:dyDescent="0.2">
      <c r="B463" s="5"/>
      <c r="H463" s="5"/>
    </row>
    <row r="464" spans="2:8" ht="12.75" x14ac:dyDescent="0.2">
      <c r="B464" s="5"/>
      <c r="H464" s="5"/>
    </row>
    <row r="465" spans="2:8" ht="12.75" x14ac:dyDescent="0.2">
      <c r="B465" s="5"/>
      <c r="H465" s="5"/>
    </row>
    <row r="466" spans="2:8" ht="12.75" x14ac:dyDescent="0.2">
      <c r="B466" s="5"/>
      <c r="H466" s="5"/>
    </row>
    <row r="467" spans="2:8" ht="12.75" x14ac:dyDescent="0.2">
      <c r="B467" s="5"/>
      <c r="H467" s="5"/>
    </row>
    <row r="468" spans="2:8" ht="12.75" x14ac:dyDescent="0.2">
      <c r="B468" s="5"/>
      <c r="H468" s="5"/>
    </row>
    <row r="469" spans="2:8" ht="12.75" x14ac:dyDescent="0.2">
      <c r="B469" s="5"/>
      <c r="H469" s="5"/>
    </row>
    <row r="470" spans="2:8" ht="12.75" x14ac:dyDescent="0.2">
      <c r="B470" s="5"/>
      <c r="H470" s="5"/>
    </row>
    <row r="471" spans="2:8" ht="12.75" x14ac:dyDescent="0.2">
      <c r="B471" s="5"/>
      <c r="H471" s="5"/>
    </row>
    <row r="472" spans="2:8" ht="12.75" x14ac:dyDescent="0.2">
      <c r="B472" s="5"/>
      <c r="H472" s="5"/>
    </row>
    <row r="473" spans="2:8" ht="12.75" x14ac:dyDescent="0.2">
      <c r="B473" s="5"/>
      <c r="H473" s="5"/>
    </row>
    <row r="474" spans="2:8" ht="12.75" x14ac:dyDescent="0.2">
      <c r="B474" s="5"/>
      <c r="H474" s="5"/>
    </row>
    <row r="475" spans="2:8" ht="12.75" x14ac:dyDescent="0.2">
      <c r="B475" s="5"/>
      <c r="H475" s="5"/>
    </row>
    <row r="476" spans="2:8" ht="12.75" x14ac:dyDescent="0.2">
      <c r="B476" s="5"/>
      <c r="H476" s="5"/>
    </row>
    <row r="477" spans="2:8" ht="12.75" x14ac:dyDescent="0.2">
      <c r="B477" s="5"/>
      <c r="H477" s="5"/>
    </row>
    <row r="478" spans="2:8" ht="12.75" x14ac:dyDescent="0.2">
      <c r="B478" s="5"/>
      <c r="H478" s="5"/>
    </row>
    <row r="479" spans="2:8" ht="12.75" x14ac:dyDescent="0.2">
      <c r="B479" s="5"/>
      <c r="H479" s="5"/>
    </row>
    <row r="480" spans="2:8" ht="12.75" x14ac:dyDescent="0.2">
      <c r="B480" s="5"/>
      <c r="H480" s="5"/>
    </row>
    <row r="481" spans="2:8" ht="12.75" x14ac:dyDescent="0.2">
      <c r="B481" s="5"/>
      <c r="H481" s="5"/>
    </row>
    <row r="482" spans="2:8" ht="12.75" x14ac:dyDescent="0.2">
      <c r="B482" s="5"/>
      <c r="H482" s="5"/>
    </row>
    <row r="483" spans="2:8" ht="12.75" x14ac:dyDescent="0.2">
      <c r="B483" s="5"/>
      <c r="H483" s="5"/>
    </row>
    <row r="484" spans="2:8" ht="12.75" x14ac:dyDescent="0.2">
      <c r="B484" s="5"/>
      <c r="H484" s="5"/>
    </row>
    <row r="485" spans="2:8" ht="12.75" x14ac:dyDescent="0.2">
      <c r="B485" s="5"/>
      <c r="H485" s="5"/>
    </row>
    <row r="486" spans="2:8" ht="12.75" x14ac:dyDescent="0.2">
      <c r="B486" s="5"/>
      <c r="H486" s="5"/>
    </row>
    <row r="487" spans="2:8" ht="12.75" x14ac:dyDescent="0.2">
      <c r="B487" s="5"/>
      <c r="H487" s="5"/>
    </row>
    <row r="488" spans="2:8" ht="12.75" x14ac:dyDescent="0.2">
      <c r="B488" s="5"/>
      <c r="H488" s="5"/>
    </row>
    <row r="489" spans="2:8" ht="12.75" x14ac:dyDescent="0.2">
      <c r="B489" s="5"/>
      <c r="H489" s="5"/>
    </row>
    <row r="490" spans="2:8" ht="12.75" x14ac:dyDescent="0.2">
      <c r="B490" s="5"/>
      <c r="H490" s="5"/>
    </row>
    <row r="491" spans="2:8" ht="12.75" x14ac:dyDescent="0.2">
      <c r="B491" s="5"/>
      <c r="H491" s="5"/>
    </row>
    <row r="492" spans="2:8" ht="12.75" x14ac:dyDescent="0.2">
      <c r="B492" s="5"/>
      <c r="H492" s="5"/>
    </row>
    <row r="493" spans="2:8" ht="12.75" x14ac:dyDescent="0.2">
      <c r="B493" s="5"/>
      <c r="H493" s="5"/>
    </row>
    <row r="494" spans="2:8" ht="12.75" x14ac:dyDescent="0.2">
      <c r="B494" s="5"/>
      <c r="H494" s="5"/>
    </row>
    <row r="495" spans="2:8" ht="12.75" x14ac:dyDescent="0.2">
      <c r="B495" s="5"/>
      <c r="H495" s="5"/>
    </row>
    <row r="496" spans="2:8" ht="12.75" x14ac:dyDescent="0.2">
      <c r="B496" s="5"/>
      <c r="H496" s="5"/>
    </row>
    <row r="497" spans="2:8" ht="12.75" x14ac:dyDescent="0.2">
      <c r="B497" s="5"/>
      <c r="H497" s="5"/>
    </row>
    <row r="498" spans="2:8" ht="12.75" x14ac:dyDescent="0.2">
      <c r="B498" s="5"/>
      <c r="H498" s="5"/>
    </row>
    <row r="499" spans="2:8" ht="12.75" x14ac:dyDescent="0.2">
      <c r="B499" s="5"/>
      <c r="H499" s="5"/>
    </row>
    <row r="500" spans="2:8" ht="12.75" x14ac:dyDescent="0.2">
      <c r="B500" s="5"/>
      <c r="H500" s="5"/>
    </row>
    <row r="501" spans="2:8" ht="12.75" x14ac:dyDescent="0.2">
      <c r="B501" s="5"/>
      <c r="H501" s="5"/>
    </row>
    <row r="502" spans="2:8" ht="12.75" x14ac:dyDescent="0.2">
      <c r="B502" s="5"/>
      <c r="H502" s="5"/>
    </row>
    <row r="503" spans="2:8" ht="12.75" x14ac:dyDescent="0.2">
      <c r="B503" s="5"/>
      <c r="H503" s="5"/>
    </row>
    <row r="504" spans="2:8" ht="12.75" x14ac:dyDescent="0.2">
      <c r="B504" s="5"/>
      <c r="H504" s="5"/>
    </row>
    <row r="505" spans="2:8" ht="12.75" x14ac:dyDescent="0.2">
      <c r="B505" s="5"/>
      <c r="H505" s="5"/>
    </row>
    <row r="506" spans="2:8" ht="12.75" x14ac:dyDescent="0.2">
      <c r="B506" s="5"/>
      <c r="H506" s="5"/>
    </row>
    <row r="507" spans="2:8" ht="12.75" x14ac:dyDescent="0.2">
      <c r="B507" s="5"/>
      <c r="H507" s="5"/>
    </row>
    <row r="508" spans="2:8" ht="12.75" x14ac:dyDescent="0.2">
      <c r="B508" s="5"/>
      <c r="H508" s="5"/>
    </row>
    <row r="509" spans="2:8" ht="12.75" x14ac:dyDescent="0.2">
      <c r="B509" s="5"/>
      <c r="H509" s="5"/>
    </row>
    <row r="510" spans="2:8" ht="12.75" x14ac:dyDescent="0.2">
      <c r="B510" s="5"/>
      <c r="H510" s="5"/>
    </row>
    <row r="511" spans="2:8" ht="12.75" x14ac:dyDescent="0.2">
      <c r="B511" s="5"/>
      <c r="H511" s="5"/>
    </row>
    <row r="512" spans="2:8" ht="12.75" x14ac:dyDescent="0.2">
      <c r="B512" s="5"/>
      <c r="H512" s="5"/>
    </row>
    <row r="513" spans="2:8" ht="12.75" x14ac:dyDescent="0.2">
      <c r="B513" s="5"/>
      <c r="H513" s="5"/>
    </row>
    <row r="514" spans="2:8" ht="12.75" x14ac:dyDescent="0.2">
      <c r="B514" s="5"/>
      <c r="H514" s="5"/>
    </row>
    <row r="515" spans="2:8" ht="12.75" x14ac:dyDescent="0.2">
      <c r="B515" s="5"/>
      <c r="H515" s="5"/>
    </row>
    <row r="516" spans="2:8" ht="12.75" x14ac:dyDescent="0.2">
      <c r="B516" s="5"/>
      <c r="H516" s="5"/>
    </row>
    <row r="517" spans="2:8" ht="12.75" x14ac:dyDescent="0.2">
      <c r="B517" s="5"/>
      <c r="H517" s="5"/>
    </row>
    <row r="518" spans="2:8" ht="12.75" x14ac:dyDescent="0.2">
      <c r="B518" s="5"/>
      <c r="H518" s="5"/>
    </row>
    <row r="519" spans="2:8" ht="12.75" x14ac:dyDescent="0.2">
      <c r="B519" s="5"/>
      <c r="H519" s="5"/>
    </row>
    <row r="520" spans="2:8" ht="12.75" x14ac:dyDescent="0.2">
      <c r="B520" s="5"/>
      <c r="H520" s="5"/>
    </row>
    <row r="521" spans="2:8" ht="12.75" x14ac:dyDescent="0.2">
      <c r="B521" s="5"/>
      <c r="H521" s="5"/>
    </row>
    <row r="522" spans="2:8" ht="12.75" x14ac:dyDescent="0.2">
      <c r="B522" s="5"/>
      <c r="H522" s="5"/>
    </row>
    <row r="523" spans="2:8" ht="12.75" x14ac:dyDescent="0.2">
      <c r="B523" s="5"/>
      <c r="H523" s="5"/>
    </row>
    <row r="524" spans="2:8" ht="12.75" x14ac:dyDescent="0.2">
      <c r="B524" s="5"/>
      <c r="H524" s="5"/>
    </row>
    <row r="525" spans="2:8" ht="12.75" x14ac:dyDescent="0.2">
      <c r="B525" s="5"/>
      <c r="H525" s="5"/>
    </row>
    <row r="526" spans="2:8" ht="12.75" x14ac:dyDescent="0.2">
      <c r="B526" s="5"/>
      <c r="H526" s="5"/>
    </row>
    <row r="527" spans="2:8" ht="12.75" x14ac:dyDescent="0.2">
      <c r="B527" s="5"/>
      <c r="H527" s="5"/>
    </row>
    <row r="528" spans="2:8" ht="12.75" x14ac:dyDescent="0.2">
      <c r="B528" s="5"/>
      <c r="H528" s="5"/>
    </row>
    <row r="529" spans="2:8" ht="12.75" x14ac:dyDescent="0.2">
      <c r="B529" s="5"/>
      <c r="H529" s="5"/>
    </row>
    <row r="530" spans="2:8" ht="12.75" x14ac:dyDescent="0.2">
      <c r="B530" s="5"/>
      <c r="H530" s="5"/>
    </row>
    <row r="531" spans="2:8" ht="12.75" x14ac:dyDescent="0.2">
      <c r="B531" s="5"/>
      <c r="H531" s="5"/>
    </row>
    <row r="532" spans="2:8" ht="12.75" x14ac:dyDescent="0.2">
      <c r="B532" s="5"/>
      <c r="H532" s="5"/>
    </row>
    <row r="533" spans="2:8" ht="12.75" x14ac:dyDescent="0.2">
      <c r="B533" s="5"/>
      <c r="H533" s="5"/>
    </row>
    <row r="534" spans="2:8" ht="12.75" x14ac:dyDescent="0.2">
      <c r="B534" s="5"/>
      <c r="H534" s="5"/>
    </row>
    <row r="535" spans="2:8" ht="12.75" x14ac:dyDescent="0.2">
      <c r="B535" s="5"/>
      <c r="H535" s="5"/>
    </row>
    <row r="536" spans="2:8" ht="12.75" x14ac:dyDescent="0.2">
      <c r="B536" s="5"/>
      <c r="H536" s="5"/>
    </row>
    <row r="537" spans="2:8" ht="12.75" x14ac:dyDescent="0.2">
      <c r="B537" s="5"/>
      <c r="H537" s="5"/>
    </row>
    <row r="538" spans="2:8" ht="12.75" x14ac:dyDescent="0.2">
      <c r="B538" s="5"/>
      <c r="H538" s="5"/>
    </row>
    <row r="539" spans="2:8" ht="12.75" x14ac:dyDescent="0.2">
      <c r="B539" s="5"/>
      <c r="H539" s="5"/>
    </row>
    <row r="540" spans="2:8" ht="12.75" x14ac:dyDescent="0.2">
      <c r="B540" s="5"/>
      <c r="H540" s="5"/>
    </row>
    <row r="541" spans="2:8" ht="12.75" x14ac:dyDescent="0.2">
      <c r="B541" s="5"/>
      <c r="H541" s="5"/>
    </row>
    <row r="542" spans="2:8" ht="12.75" x14ac:dyDescent="0.2">
      <c r="B542" s="5"/>
      <c r="H542" s="5"/>
    </row>
    <row r="543" spans="2:8" ht="12.75" x14ac:dyDescent="0.2">
      <c r="B543" s="5"/>
      <c r="H543" s="5"/>
    </row>
    <row r="544" spans="2:8" ht="12.75" x14ac:dyDescent="0.2">
      <c r="B544" s="5"/>
      <c r="H544" s="5"/>
    </row>
    <row r="545" spans="2:8" ht="12.75" x14ac:dyDescent="0.2">
      <c r="B545" s="5"/>
      <c r="H545" s="5"/>
    </row>
    <row r="546" spans="2:8" ht="12.75" x14ac:dyDescent="0.2">
      <c r="B546" s="5"/>
      <c r="H546" s="5"/>
    </row>
    <row r="547" spans="2:8" ht="12.75" x14ac:dyDescent="0.2">
      <c r="B547" s="5"/>
      <c r="H547" s="5"/>
    </row>
    <row r="548" spans="2:8" ht="12.75" x14ac:dyDescent="0.2">
      <c r="B548" s="5"/>
      <c r="H548" s="5"/>
    </row>
    <row r="549" spans="2:8" ht="12.75" x14ac:dyDescent="0.2">
      <c r="B549" s="5"/>
      <c r="H549" s="5"/>
    </row>
    <row r="550" spans="2:8" ht="12.75" x14ac:dyDescent="0.2">
      <c r="B550" s="5"/>
      <c r="H550" s="5"/>
    </row>
    <row r="551" spans="2:8" ht="12.75" x14ac:dyDescent="0.2">
      <c r="B551" s="5"/>
      <c r="H551" s="5"/>
    </row>
    <row r="552" spans="2:8" ht="12.75" x14ac:dyDescent="0.2">
      <c r="B552" s="5"/>
      <c r="H552" s="5"/>
    </row>
    <row r="553" spans="2:8" ht="12.75" x14ac:dyDescent="0.2">
      <c r="B553" s="5"/>
      <c r="H553" s="5"/>
    </row>
    <row r="554" spans="2:8" ht="12.75" x14ac:dyDescent="0.2">
      <c r="B554" s="5"/>
      <c r="H554" s="5"/>
    </row>
    <row r="555" spans="2:8" ht="12.75" x14ac:dyDescent="0.2">
      <c r="B555" s="5"/>
      <c r="H555" s="5"/>
    </row>
    <row r="556" spans="2:8" ht="12.75" x14ac:dyDescent="0.2">
      <c r="B556" s="5"/>
      <c r="H556" s="5"/>
    </row>
    <row r="557" spans="2:8" ht="12.75" x14ac:dyDescent="0.2">
      <c r="B557" s="5"/>
      <c r="H557" s="5"/>
    </row>
    <row r="558" spans="2:8" ht="12.75" x14ac:dyDescent="0.2">
      <c r="B558" s="5"/>
      <c r="H558" s="5"/>
    </row>
    <row r="559" spans="2:8" ht="12.75" x14ac:dyDescent="0.2">
      <c r="B559" s="5"/>
      <c r="H559" s="5"/>
    </row>
    <row r="560" spans="2:8" ht="12.75" x14ac:dyDescent="0.2">
      <c r="B560" s="5"/>
      <c r="H560" s="5"/>
    </row>
    <row r="561" spans="2:8" ht="12.75" x14ac:dyDescent="0.2">
      <c r="B561" s="5"/>
      <c r="H561" s="5"/>
    </row>
    <row r="562" spans="2:8" ht="12.75" x14ac:dyDescent="0.2">
      <c r="B562" s="5"/>
      <c r="H562" s="5"/>
    </row>
    <row r="563" spans="2:8" ht="12.75" x14ac:dyDescent="0.2">
      <c r="B563" s="5"/>
      <c r="H563" s="5"/>
    </row>
    <row r="564" spans="2:8" ht="12.75" x14ac:dyDescent="0.2">
      <c r="B564" s="5"/>
      <c r="H564" s="5"/>
    </row>
    <row r="565" spans="2:8" ht="12.75" x14ac:dyDescent="0.2">
      <c r="B565" s="5"/>
      <c r="H565" s="5"/>
    </row>
    <row r="566" spans="2:8" ht="12.75" x14ac:dyDescent="0.2">
      <c r="B566" s="5"/>
      <c r="H566" s="5"/>
    </row>
    <row r="567" spans="2:8" ht="12.75" x14ac:dyDescent="0.2">
      <c r="B567" s="5"/>
      <c r="H567" s="5"/>
    </row>
    <row r="568" spans="2:8" ht="12.75" x14ac:dyDescent="0.2">
      <c r="B568" s="5"/>
      <c r="H568" s="5"/>
    </row>
    <row r="569" spans="2:8" ht="12.75" x14ac:dyDescent="0.2">
      <c r="B569" s="5"/>
      <c r="H569" s="5"/>
    </row>
    <row r="570" spans="2:8" ht="12.75" x14ac:dyDescent="0.2">
      <c r="B570" s="5"/>
      <c r="H570" s="5"/>
    </row>
    <row r="571" spans="2:8" ht="12.75" x14ac:dyDescent="0.2">
      <c r="B571" s="5"/>
      <c r="H571" s="5"/>
    </row>
    <row r="572" spans="2:8" ht="12.75" x14ac:dyDescent="0.2">
      <c r="B572" s="5"/>
      <c r="H572" s="5"/>
    </row>
    <row r="573" spans="2:8" ht="12.75" x14ac:dyDescent="0.2">
      <c r="B573" s="5"/>
      <c r="H573" s="5"/>
    </row>
    <row r="574" spans="2:8" ht="12.75" x14ac:dyDescent="0.2">
      <c r="B574" s="5"/>
      <c r="H574" s="5"/>
    </row>
    <row r="575" spans="2:8" ht="12.75" x14ac:dyDescent="0.2">
      <c r="B575" s="5"/>
      <c r="H575" s="5"/>
    </row>
    <row r="576" spans="2:8" ht="12.75" x14ac:dyDescent="0.2">
      <c r="B576" s="5"/>
      <c r="H576" s="5"/>
    </row>
    <row r="577" spans="2:8" ht="12.75" x14ac:dyDescent="0.2">
      <c r="B577" s="5"/>
      <c r="H577" s="5"/>
    </row>
    <row r="578" spans="2:8" ht="12.75" x14ac:dyDescent="0.2">
      <c r="B578" s="5"/>
      <c r="H578" s="5"/>
    </row>
    <row r="579" spans="2:8" ht="12.75" x14ac:dyDescent="0.2">
      <c r="B579" s="5"/>
      <c r="H579" s="5"/>
    </row>
    <row r="580" spans="2:8" ht="12.75" x14ac:dyDescent="0.2">
      <c r="B580" s="5"/>
      <c r="H580" s="5"/>
    </row>
    <row r="581" spans="2:8" ht="12.75" x14ac:dyDescent="0.2">
      <c r="B581" s="5"/>
      <c r="H581" s="5"/>
    </row>
    <row r="582" spans="2:8" ht="12.75" x14ac:dyDescent="0.2">
      <c r="B582" s="5"/>
      <c r="H582" s="5"/>
    </row>
    <row r="583" spans="2:8" ht="12.75" x14ac:dyDescent="0.2">
      <c r="B583" s="5"/>
      <c r="H583" s="5"/>
    </row>
    <row r="584" spans="2:8" ht="12.75" x14ac:dyDescent="0.2">
      <c r="B584" s="5"/>
      <c r="H584" s="5"/>
    </row>
    <row r="585" spans="2:8" ht="12.75" x14ac:dyDescent="0.2">
      <c r="B585" s="5"/>
      <c r="H585" s="5"/>
    </row>
    <row r="586" spans="2:8" ht="12.75" x14ac:dyDescent="0.2">
      <c r="B586" s="5"/>
      <c r="H586" s="5"/>
    </row>
    <row r="587" spans="2:8" ht="12.75" x14ac:dyDescent="0.2">
      <c r="B587" s="5"/>
      <c r="H587" s="5"/>
    </row>
    <row r="588" spans="2:8" ht="12.75" x14ac:dyDescent="0.2">
      <c r="B588" s="5"/>
      <c r="H588" s="5"/>
    </row>
    <row r="589" spans="2:8" ht="12.75" x14ac:dyDescent="0.2">
      <c r="B589" s="5"/>
      <c r="H589" s="5"/>
    </row>
    <row r="590" spans="2:8" ht="12.75" x14ac:dyDescent="0.2">
      <c r="B590" s="5"/>
      <c r="H590" s="5"/>
    </row>
    <row r="591" spans="2:8" ht="12.75" x14ac:dyDescent="0.2">
      <c r="B591" s="5"/>
      <c r="H591" s="5"/>
    </row>
    <row r="592" spans="2:8" ht="12.75" x14ac:dyDescent="0.2">
      <c r="B592" s="5"/>
      <c r="H592" s="5"/>
    </row>
    <row r="593" spans="2:8" ht="12.75" x14ac:dyDescent="0.2">
      <c r="B593" s="5"/>
      <c r="H593" s="5"/>
    </row>
    <row r="594" spans="2:8" ht="12.75" x14ac:dyDescent="0.2">
      <c r="B594" s="5"/>
      <c r="H594" s="5"/>
    </row>
    <row r="595" spans="2:8" ht="12.75" x14ac:dyDescent="0.2">
      <c r="B595" s="5"/>
      <c r="H595" s="5"/>
    </row>
    <row r="596" spans="2:8" ht="12.75" x14ac:dyDescent="0.2">
      <c r="B596" s="5"/>
      <c r="H596" s="5"/>
    </row>
    <row r="597" spans="2:8" ht="12.75" x14ac:dyDescent="0.2">
      <c r="B597" s="5"/>
      <c r="H597" s="5"/>
    </row>
    <row r="598" spans="2:8" ht="12.75" x14ac:dyDescent="0.2">
      <c r="B598" s="5"/>
      <c r="H598" s="5"/>
    </row>
    <row r="599" spans="2:8" ht="12.75" x14ac:dyDescent="0.2">
      <c r="B599" s="5"/>
      <c r="H599" s="5"/>
    </row>
    <row r="600" spans="2:8" ht="12.75" x14ac:dyDescent="0.2">
      <c r="B600" s="5"/>
      <c r="H600" s="5"/>
    </row>
    <row r="601" spans="2:8" ht="12.75" x14ac:dyDescent="0.2">
      <c r="B601" s="5"/>
      <c r="H601" s="5"/>
    </row>
    <row r="602" spans="2:8" ht="12.75" x14ac:dyDescent="0.2">
      <c r="B602" s="5"/>
      <c r="H602" s="5"/>
    </row>
    <row r="603" spans="2:8" ht="12.75" x14ac:dyDescent="0.2">
      <c r="B603" s="5"/>
      <c r="H603" s="5"/>
    </row>
    <row r="604" spans="2:8" ht="12.75" x14ac:dyDescent="0.2">
      <c r="B604" s="5"/>
      <c r="H604" s="5"/>
    </row>
    <row r="605" spans="2:8" ht="12.75" x14ac:dyDescent="0.2">
      <c r="B605" s="5"/>
      <c r="H605" s="5"/>
    </row>
    <row r="606" spans="2:8" ht="12.75" x14ac:dyDescent="0.2">
      <c r="B606" s="5"/>
      <c r="H606" s="5"/>
    </row>
    <row r="607" spans="2:8" ht="12.75" x14ac:dyDescent="0.2">
      <c r="B607" s="5"/>
      <c r="H607" s="5"/>
    </row>
    <row r="608" spans="2:8" ht="12.75" x14ac:dyDescent="0.2">
      <c r="B608" s="5"/>
      <c r="H608" s="5"/>
    </row>
    <row r="609" spans="2:8" ht="12.75" x14ac:dyDescent="0.2">
      <c r="B609" s="5"/>
      <c r="H609" s="5"/>
    </row>
    <row r="610" spans="2:8" ht="12.75" x14ac:dyDescent="0.2">
      <c r="B610" s="5"/>
      <c r="H610" s="5"/>
    </row>
    <row r="611" spans="2:8" ht="12.75" x14ac:dyDescent="0.2">
      <c r="B611" s="5"/>
      <c r="H611" s="5"/>
    </row>
    <row r="612" spans="2:8" ht="12.75" x14ac:dyDescent="0.2">
      <c r="B612" s="5"/>
      <c r="H612" s="5"/>
    </row>
    <row r="613" spans="2:8" ht="12.75" x14ac:dyDescent="0.2">
      <c r="B613" s="5"/>
      <c r="H613" s="5"/>
    </row>
    <row r="614" spans="2:8" ht="12.75" x14ac:dyDescent="0.2">
      <c r="B614" s="5"/>
      <c r="H614" s="5"/>
    </row>
    <row r="615" spans="2:8" ht="12.75" x14ac:dyDescent="0.2">
      <c r="B615" s="5"/>
      <c r="H615" s="5"/>
    </row>
    <row r="616" spans="2:8" ht="12.75" x14ac:dyDescent="0.2">
      <c r="B616" s="5"/>
      <c r="H616" s="5"/>
    </row>
    <row r="617" spans="2:8" ht="12.75" x14ac:dyDescent="0.2">
      <c r="B617" s="5"/>
      <c r="H617" s="5"/>
    </row>
    <row r="618" spans="2:8" ht="12.75" x14ac:dyDescent="0.2">
      <c r="B618" s="5"/>
      <c r="H618" s="5"/>
    </row>
    <row r="619" spans="2:8" ht="12.75" x14ac:dyDescent="0.2">
      <c r="B619" s="5"/>
      <c r="H619" s="5"/>
    </row>
    <row r="620" spans="2:8" ht="12.75" x14ac:dyDescent="0.2">
      <c r="B620" s="5"/>
      <c r="H620" s="5"/>
    </row>
    <row r="621" spans="2:8" ht="12.75" x14ac:dyDescent="0.2">
      <c r="B621" s="5"/>
      <c r="H621" s="5"/>
    </row>
    <row r="622" spans="2:8" ht="12.75" x14ac:dyDescent="0.2">
      <c r="B622" s="5"/>
      <c r="H622" s="5"/>
    </row>
    <row r="623" spans="2:8" ht="12.75" x14ac:dyDescent="0.2">
      <c r="B623" s="5"/>
      <c r="H623" s="5"/>
    </row>
    <row r="624" spans="2:8" ht="12.75" x14ac:dyDescent="0.2">
      <c r="B624" s="5"/>
      <c r="H624" s="5"/>
    </row>
    <row r="625" spans="2:8" ht="12.75" x14ac:dyDescent="0.2">
      <c r="B625" s="5"/>
      <c r="H625" s="5"/>
    </row>
    <row r="626" spans="2:8" ht="12.75" x14ac:dyDescent="0.2">
      <c r="B626" s="5"/>
      <c r="H626" s="5"/>
    </row>
    <row r="627" spans="2:8" ht="12.75" x14ac:dyDescent="0.2">
      <c r="B627" s="5"/>
      <c r="H627" s="5"/>
    </row>
    <row r="628" spans="2:8" ht="12.75" x14ac:dyDescent="0.2">
      <c r="B628" s="5"/>
      <c r="H628" s="5"/>
    </row>
    <row r="629" spans="2:8" ht="12.75" x14ac:dyDescent="0.2">
      <c r="B629" s="5"/>
      <c r="H629" s="5"/>
    </row>
    <row r="630" spans="2:8" ht="12.75" x14ac:dyDescent="0.2">
      <c r="B630" s="5"/>
      <c r="H630" s="5"/>
    </row>
    <row r="631" spans="2:8" ht="12.75" x14ac:dyDescent="0.2">
      <c r="B631" s="5"/>
      <c r="H631" s="5"/>
    </row>
    <row r="632" spans="2:8" ht="12.75" x14ac:dyDescent="0.2">
      <c r="B632" s="5"/>
      <c r="H632" s="5"/>
    </row>
    <row r="633" spans="2:8" ht="12.75" x14ac:dyDescent="0.2">
      <c r="B633" s="5"/>
      <c r="H633" s="5"/>
    </row>
    <row r="634" spans="2:8" ht="12.75" x14ac:dyDescent="0.2">
      <c r="B634" s="5"/>
      <c r="H634" s="5"/>
    </row>
    <row r="635" spans="2:8" ht="12.75" x14ac:dyDescent="0.2">
      <c r="B635" s="5"/>
      <c r="H635" s="5"/>
    </row>
    <row r="636" spans="2:8" ht="12.75" x14ac:dyDescent="0.2">
      <c r="B636" s="5"/>
      <c r="H636" s="5"/>
    </row>
    <row r="637" spans="2:8" ht="12.75" x14ac:dyDescent="0.2">
      <c r="B637" s="5"/>
      <c r="H637" s="5"/>
    </row>
    <row r="638" spans="2:8" ht="12.75" x14ac:dyDescent="0.2">
      <c r="B638" s="5"/>
      <c r="H638" s="5"/>
    </row>
    <row r="639" spans="2:8" ht="12.75" x14ac:dyDescent="0.2">
      <c r="B639" s="5"/>
      <c r="H639" s="5"/>
    </row>
    <row r="640" spans="2:8" ht="12.75" x14ac:dyDescent="0.2">
      <c r="B640" s="5"/>
      <c r="H640" s="5"/>
    </row>
    <row r="641" spans="2:8" ht="12.75" x14ac:dyDescent="0.2">
      <c r="B641" s="5"/>
      <c r="H641" s="5"/>
    </row>
    <row r="642" spans="2:8" ht="12.75" x14ac:dyDescent="0.2">
      <c r="B642" s="5"/>
      <c r="H642" s="5"/>
    </row>
    <row r="643" spans="2:8" ht="12.75" x14ac:dyDescent="0.2">
      <c r="B643" s="5"/>
      <c r="H643" s="5"/>
    </row>
    <row r="644" spans="2:8" ht="12.75" x14ac:dyDescent="0.2">
      <c r="B644" s="5"/>
      <c r="H644" s="5"/>
    </row>
    <row r="645" spans="2:8" ht="12.75" x14ac:dyDescent="0.2">
      <c r="B645" s="5"/>
      <c r="H645" s="5"/>
    </row>
    <row r="646" spans="2:8" ht="12.75" x14ac:dyDescent="0.2">
      <c r="B646" s="5"/>
      <c r="H646" s="5"/>
    </row>
    <row r="647" spans="2:8" ht="12.75" x14ac:dyDescent="0.2">
      <c r="B647" s="5"/>
      <c r="H647" s="5"/>
    </row>
    <row r="648" spans="2:8" ht="12.75" x14ac:dyDescent="0.2">
      <c r="B648" s="5"/>
      <c r="H648" s="5"/>
    </row>
    <row r="649" spans="2:8" ht="12.75" x14ac:dyDescent="0.2">
      <c r="B649" s="5"/>
      <c r="H649" s="5"/>
    </row>
    <row r="650" spans="2:8" ht="12.75" x14ac:dyDescent="0.2">
      <c r="B650" s="5"/>
      <c r="H650" s="5"/>
    </row>
    <row r="651" spans="2:8" ht="12.75" x14ac:dyDescent="0.2">
      <c r="B651" s="5"/>
      <c r="H651" s="5"/>
    </row>
    <row r="652" spans="2:8" ht="12.75" x14ac:dyDescent="0.2">
      <c r="B652" s="5"/>
      <c r="H652" s="5"/>
    </row>
    <row r="653" spans="2:8" ht="12.75" x14ac:dyDescent="0.2">
      <c r="B653" s="5"/>
      <c r="H653" s="5"/>
    </row>
    <row r="654" spans="2:8" ht="12.75" x14ac:dyDescent="0.2">
      <c r="B654" s="5"/>
      <c r="H654" s="5"/>
    </row>
    <row r="655" spans="2:8" ht="12.75" x14ac:dyDescent="0.2">
      <c r="B655" s="5"/>
      <c r="H655" s="5"/>
    </row>
    <row r="656" spans="2:8" ht="12.75" x14ac:dyDescent="0.2">
      <c r="B656" s="5"/>
      <c r="H656" s="5"/>
    </row>
    <row r="657" spans="2:8" ht="12.75" x14ac:dyDescent="0.2">
      <c r="B657" s="5"/>
      <c r="H657" s="5"/>
    </row>
    <row r="658" spans="2:8" ht="12.75" x14ac:dyDescent="0.2">
      <c r="B658" s="5"/>
      <c r="H658" s="5"/>
    </row>
    <row r="659" spans="2:8" ht="12.75" x14ac:dyDescent="0.2">
      <c r="B659" s="5"/>
      <c r="H659" s="5"/>
    </row>
    <row r="660" spans="2:8" ht="12.75" x14ac:dyDescent="0.2">
      <c r="B660" s="5"/>
      <c r="H660" s="5"/>
    </row>
    <row r="661" spans="2:8" ht="12.75" x14ac:dyDescent="0.2">
      <c r="B661" s="5"/>
      <c r="H661" s="5"/>
    </row>
    <row r="662" spans="2:8" ht="12.75" x14ac:dyDescent="0.2">
      <c r="B662" s="5"/>
      <c r="H662" s="5"/>
    </row>
    <row r="663" spans="2:8" ht="12.75" x14ac:dyDescent="0.2">
      <c r="B663" s="5"/>
      <c r="H663" s="5"/>
    </row>
    <row r="664" spans="2:8" ht="12.75" x14ac:dyDescent="0.2">
      <c r="B664" s="5"/>
      <c r="H664" s="5"/>
    </row>
    <row r="665" spans="2:8" ht="12.75" x14ac:dyDescent="0.2">
      <c r="B665" s="5"/>
      <c r="H665" s="5"/>
    </row>
    <row r="666" spans="2:8" ht="12.75" x14ac:dyDescent="0.2">
      <c r="B666" s="5"/>
      <c r="H666" s="5"/>
    </row>
    <row r="667" spans="2:8" ht="12.75" x14ac:dyDescent="0.2">
      <c r="B667" s="5"/>
      <c r="H667" s="5"/>
    </row>
    <row r="668" spans="2:8" ht="12.75" x14ac:dyDescent="0.2">
      <c r="B668" s="5"/>
      <c r="H668" s="5"/>
    </row>
    <row r="669" spans="2:8" ht="12.75" x14ac:dyDescent="0.2">
      <c r="B669" s="5"/>
      <c r="H669" s="5"/>
    </row>
    <row r="670" spans="2:8" ht="12.75" x14ac:dyDescent="0.2">
      <c r="B670" s="5"/>
      <c r="H670" s="5"/>
    </row>
    <row r="671" spans="2:8" ht="12.75" x14ac:dyDescent="0.2">
      <c r="B671" s="5"/>
      <c r="H671" s="5"/>
    </row>
    <row r="672" spans="2:8" ht="12.75" x14ac:dyDescent="0.2">
      <c r="B672" s="5"/>
      <c r="H672" s="5"/>
    </row>
    <row r="673" spans="2:8" ht="12.75" x14ac:dyDescent="0.2">
      <c r="B673" s="5"/>
      <c r="H673" s="5"/>
    </row>
    <row r="674" spans="2:8" ht="12.75" x14ac:dyDescent="0.2">
      <c r="B674" s="5"/>
      <c r="H674" s="5"/>
    </row>
    <row r="675" spans="2:8" ht="12.75" x14ac:dyDescent="0.2">
      <c r="B675" s="5"/>
      <c r="H675" s="5"/>
    </row>
    <row r="676" spans="2:8" ht="12.75" x14ac:dyDescent="0.2">
      <c r="B676" s="5"/>
      <c r="H676" s="5"/>
    </row>
    <row r="677" spans="2:8" ht="12.75" x14ac:dyDescent="0.2">
      <c r="B677" s="5"/>
      <c r="H677" s="5"/>
    </row>
    <row r="678" spans="2:8" ht="12.75" x14ac:dyDescent="0.2">
      <c r="B678" s="5"/>
      <c r="H678" s="5"/>
    </row>
    <row r="679" spans="2:8" ht="12.75" x14ac:dyDescent="0.2">
      <c r="B679" s="5"/>
      <c r="H679" s="5"/>
    </row>
    <row r="680" spans="2:8" ht="12.75" x14ac:dyDescent="0.2">
      <c r="B680" s="5"/>
      <c r="H680" s="5"/>
    </row>
    <row r="681" spans="2:8" ht="12.75" x14ac:dyDescent="0.2">
      <c r="B681" s="5"/>
      <c r="H681" s="5"/>
    </row>
    <row r="682" spans="2:8" ht="12.75" x14ac:dyDescent="0.2">
      <c r="B682" s="5"/>
      <c r="H682" s="5"/>
    </row>
    <row r="683" spans="2:8" ht="12.75" x14ac:dyDescent="0.2">
      <c r="B683" s="5"/>
      <c r="H683" s="5"/>
    </row>
    <row r="684" spans="2:8" ht="12.75" x14ac:dyDescent="0.2">
      <c r="B684" s="5"/>
      <c r="H684" s="5"/>
    </row>
    <row r="685" spans="2:8" ht="12.75" x14ac:dyDescent="0.2">
      <c r="B685" s="5"/>
      <c r="H685" s="5"/>
    </row>
    <row r="686" spans="2:8" ht="12.75" x14ac:dyDescent="0.2">
      <c r="B686" s="5"/>
      <c r="H686" s="5"/>
    </row>
    <row r="687" spans="2:8" ht="12.75" x14ac:dyDescent="0.2">
      <c r="B687" s="5"/>
      <c r="H687" s="5"/>
    </row>
    <row r="688" spans="2:8" ht="12.75" x14ac:dyDescent="0.2">
      <c r="B688" s="5"/>
      <c r="H688" s="5"/>
    </row>
    <row r="689" spans="2:8" ht="12.75" x14ac:dyDescent="0.2">
      <c r="B689" s="5"/>
      <c r="H689" s="5"/>
    </row>
    <row r="690" spans="2:8" ht="12.75" x14ac:dyDescent="0.2">
      <c r="B690" s="5"/>
      <c r="H690" s="5"/>
    </row>
    <row r="691" spans="2:8" ht="12.75" x14ac:dyDescent="0.2">
      <c r="B691" s="5"/>
      <c r="H691" s="5"/>
    </row>
    <row r="692" spans="2:8" ht="12.75" x14ac:dyDescent="0.2">
      <c r="B692" s="5"/>
      <c r="H692" s="5"/>
    </row>
    <row r="693" spans="2:8" ht="12.75" x14ac:dyDescent="0.2">
      <c r="B693" s="5"/>
      <c r="H693" s="5"/>
    </row>
    <row r="694" spans="2:8" ht="12.75" x14ac:dyDescent="0.2">
      <c r="B694" s="5"/>
      <c r="H694" s="5"/>
    </row>
    <row r="695" spans="2:8" ht="12.75" x14ac:dyDescent="0.2">
      <c r="B695" s="5"/>
      <c r="H695" s="5"/>
    </row>
    <row r="696" spans="2:8" ht="12.75" x14ac:dyDescent="0.2">
      <c r="B696" s="5"/>
      <c r="H696" s="5"/>
    </row>
    <row r="697" spans="2:8" ht="12.75" x14ac:dyDescent="0.2">
      <c r="B697" s="5"/>
      <c r="H697" s="5"/>
    </row>
    <row r="698" spans="2:8" ht="12.75" x14ac:dyDescent="0.2">
      <c r="B698" s="5"/>
      <c r="H698" s="5"/>
    </row>
    <row r="699" spans="2:8" ht="12.75" x14ac:dyDescent="0.2">
      <c r="B699" s="5"/>
      <c r="H699" s="5"/>
    </row>
    <row r="700" spans="2:8" ht="12.75" x14ac:dyDescent="0.2">
      <c r="B700" s="5"/>
      <c r="H700" s="5"/>
    </row>
    <row r="701" spans="2:8" ht="12.75" x14ac:dyDescent="0.2">
      <c r="B701" s="5"/>
      <c r="H701" s="5"/>
    </row>
    <row r="702" spans="2:8" ht="12.75" x14ac:dyDescent="0.2">
      <c r="B702" s="5"/>
      <c r="H702" s="5"/>
    </row>
    <row r="703" spans="2:8" ht="12.75" x14ac:dyDescent="0.2">
      <c r="B703" s="5"/>
      <c r="H703" s="5"/>
    </row>
    <row r="704" spans="2:8" ht="12.75" x14ac:dyDescent="0.2">
      <c r="B704" s="5"/>
      <c r="H704" s="5"/>
    </row>
    <row r="705" spans="2:8" ht="12.75" x14ac:dyDescent="0.2">
      <c r="B705" s="5"/>
      <c r="H705" s="5"/>
    </row>
    <row r="706" spans="2:8" ht="12.75" x14ac:dyDescent="0.2">
      <c r="B706" s="5"/>
      <c r="H706" s="5"/>
    </row>
    <row r="707" spans="2:8" ht="12.75" x14ac:dyDescent="0.2">
      <c r="B707" s="5"/>
      <c r="H707" s="5"/>
    </row>
    <row r="708" spans="2:8" ht="12.75" x14ac:dyDescent="0.2">
      <c r="B708" s="5"/>
      <c r="H708" s="5"/>
    </row>
    <row r="709" spans="2:8" ht="12.75" x14ac:dyDescent="0.2">
      <c r="B709" s="5"/>
      <c r="H709" s="5"/>
    </row>
    <row r="710" spans="2:8" ht="12.75" x14ac:dyDescent="0.2">
      <c r="B710" s="5"/>
      <c r="H710" s="5"/>
    </row>
    <row r="711" spans="2:8" ht="12.75" x14ac:dyDescent="0.2">
      <c r="B711" s="5"/>
      <c r="H711" s="5"/>
    </row>
    <row r="712" spans="2:8" ht="12.75" x14ac:dyDescent="0.2">
      <c r="B712" s="5"/>
      <c r="H712" s="5"/>
    </row>
    <row r="713" spans="2:8" ht="12.75" x14ac:dyDescent="0.2">
      <c r="B713" s="5"/>
      <c r="H713" s="5"/>
    </row>
    <row r="714" spans="2:8" ht="12.75" x14ac:dyDescent="0.2">
      <c r="B714" s="5"/>
      <c r="H714" s="5"/>
    </row>
    <row r="715" spans="2:8" ht="12.75" x14ac:dyDescent="0.2">
      <c r="B715" s="5"/>
      <c r="H715" s="5"/>
    </row>
    <row r="716" spans="2:8" ht="12.75" x14ac:dyDescent="0.2">
      <c r="B716" s="5"/>
      <c r="H716" s="5"/>
    </row>
    <row r="717" spans="2:8" ht="12.75" x14ac:dyDescent="0.2">
      <c r="B717" s="5"/>
      <c r="H717" s="5"/>
    </row>
    <row r="718" spans="2:8" ht="12.75" x14ac:dyDescent="0.2">
      <c r="B718" s="5"/>
      <c r="H718" s="5"/>
    </row>
    <row r="719" spans="2:8" ht="12.75" x14ac:dyDescent="0.2">
      <c r="B719" s="5"/>
      <c r="H719" s="5"/>
    </row>
    <row r="720" spans="2:8" ht="12.75" x14ac:dyDescent="0.2">
      <c r="B720" s="5"/>
      <c r="H720" s="5"/>
    </row>
    <row r="721" spans="2:8" ht="12.75" x14ac:dyDescent="0.2">
      <c r="B721" s="5"/>
      <c r="H721" s="5"/>
    </row>
    <row r="722" spans="2:8" ht="12.75" x14ac:dyDescent="0.2">
      <c r="B722" s="5"/>
      <c r="H722" s="5"/>
    </row>
    <row r="723" spans="2:8" ht="12.75" x14ac:dyDescent="0.2">
      <c r="B723" s="5"/>
      <c r="H723" s="5"/>
    </row>
    <row r="724" spans="2:8" ht="12.75" x14ac:dyDescent="0.2">
      <c r="B724" s="5"/>
      <c r="H724" s="5"/>
    </row>
    <row r="725" spans="2:8" ht="12.75" x14ac:dyDescent="0.2">
      <c r="B725" s="5"/>
      <c r="H725" s="5"/>
    </row>
    <row r="726" spans="2:8" ht="12.75" x14ac:dyDescent="0.2">
      <c r="B726" s="5"/>
      <c r="H726" s="5"/>
    </row>
    <row r="727" spans="2:8" ht="12.75" x14ac:dyDescent="0.2">
      <c r="B727" s="5"/>
      <c r="H727" s="5"/>
    </row>
    <row r="728" spans="2:8" ht="12.75" x14ac:dyDescent="0.2">
      <c r="B728" s="5"/>
      <c r="H728" s="5"/>
    </row>
    <row r="729" spans="2:8" ht="12.75" x14ac:dyDescent="0.2">
      <c r="B729" s="5"/>
      <c r="H729" s="5"/>
    </row>
    <row r="730" spans="2:8" ht="12.75" x14ac:dyDescent="0.2">
      <c r="B730" s="5"/>
      <c r="H730" s="5"/>
    </row>
    <row r="731" spans="2:8" ht="12.75" x14ac:dyDescent="0.2">
      <c r="B731" s="5"/>
      <c r="H731" s="5"/>
    </row>
    <row r="732" spans="2:8" ht="12.75" x14ac:dyDescent="0.2">
      <c r="B732" s="5"/>
      <c r="H732" s="5"/>
    </row>
    <row r="733" spans="2:8" ht="12.75" x14ac:dyDescent="0.2">
      <c r="B733" s="5"/>
      <c r="H733" s="5"/>
    </row>
    <row r="734" spans="2:8" ht="12.75" x14ac:dyDescent="0.2">
      <c r="B734" s="5"/>
      <c r="H734" s="5"/>
    </row>
    <row r="735" spans="2:8" ht="12.75" x14ac:dyDescent="0.2">
      <c r="B735" s="5"/>
      <c r="H735" s="5"/>
    </row>
    <row r="736" spans="2:8" ht="12.75" x14ac:dyDescent="0.2">
      <c r="B736" s="5"/>
      <c r="H736" s="5"/>
    </row>
    <row r="737" spans="2:8" ht="12.75" x14ac:dyDescent="0.2">
      <c r="B737" s="5"/>
      <c r="H737" s="5"/>
    </row>
    <row r="738" spans="2:8" ht="12.75" x14ac:dyDescent="0.2">
      <c r="B738" s="5"/>
      <c r="H738" s="5"/>
    </row>
    <row r="739" spans="2:8" ht="12.75" x14ac:dyDescent="0.2">
      <c r="B739" s="5"/>
      <c r="H739" s="5"/>
    </row>
    <row r="740" spans="2:8" ht="12.75" x14ac:dyDescent="0.2">
      <c r="B740" s="5"/>
      <c r="H740" s="5"/>
    </row>
    <row r="741" spans="2:8" ht="12.75" x14ac:dyDescent="0.2">
      <c r="B741" s="5"/>
      <c r="H741" s="5"/>
    </row>
    <row r="742" spans="2:8" ht="12.75" x14ac:dyDescent="0.2">
      <c r="B742" s="5"/>
      <c r="H742" s="5"/>
    </row>
    <row r="743" spans="2:8" ht="12.75" x14ac:dyDescent="0.2">
      <c r="B743" s="5"/>
      <c r="H743" s="5"/>
    </row>
    <row r="744" spans="2:8" ht="12.75" x14ac:dyDescent="0.2">
      <c r="B744" s="5"/>
      <c r="H744" s="5"/>
    </row>
    <row r="745" spans="2:8" ht="12.75" x14ac:dyDescent="0.2">
      <c r="B745" s="5"/>
      <c r="H745" s="5"/>
    </row>
    <row r="746" spans="2:8" ht="12.75" x14ac:dyDescent="0.2">
      <c r="B746" s="5"/>
      <c r="H746" s="5"/>
    </row>
    <row r="747" spans="2:8" ht="12.75" x14ac:dyDescent="0.2">
      <c r="B747" s="5"/>
      <c r="H747" s="5"/>
    </row>
    <row r="748" spans="2:8" ht="12.75" x14ac:dyDescent="0.2">
      <c r="B748" s="5"/>
      <c r="H748" s="5"/>
    </row>
    <row r="749" spans="2:8" ht="12.75" x14ac:dyDescent="0.2">
      <c r="B749" s="5"/>
      <c r="H749" s="5"/>
    </row>
    <row r="750" spans="2:8" ht="12.75" x14ac:dyDescent="0.2">
      <c r="B750" s="5"/>
      <c r="H750" s="5"/>
    </row>
    <row r="751" spans="2:8" ht="12.75" x14ac:dyDescent="0.2">
      <c r="B751" s="5"/>
      <c r="H751" s="5"/>
    </row>
    <row r="752" spans="2:8" ht="12.75" x14ac:dyDescent="0.2">
      <c r="B752" s="5"/>
      <c r="H752" s="5"/>
    </row>
    <row r="753" spans="2:8" ht="12.75" x14ac:dyDescent="0.2">
      <c r="B753" s="5"/>
      <c r="H753" s="5"/>
    </row>
    <row r="754" spans="2:8" ht="12.75" x14ac:dyDescent="0.2">
      <c r="B754" s="5"/>
      <c r="H754" s="5"/>
    </row>
    <row r="755" spans="2:8" ht="12.75" x14ac:dyDescent="0.2">
      <c r="B755" s="5"/>
      <c r="H755" s="5"/>
    </row>
    <row r="756" spans="2:8" ht="12.75" x14ac:dyDescent="0.2">
      <c r="B756" s="5"/>
      <c r="H756" s="5"/>
    </row>
    <row r="757" spans="2:8" ht="12.75" x14ac:dyDescent="0.2">
      <c r="B757" s="5"/>
      <c r="H757" s="5"/>
    </row>
    <row r="758" spans="2:8" ht="12.75" x14ac:dyDescent="0.2">
      <c r="B758" s="5"/>
      <c r="H758" s="5"/>
    </row>
    <row r="759" spans="2:8" ht="12.75" x14ac:dyDescent="0.2">
      <c r="B759" s="5"/>
      <c r="H759" s="5"/>
    </row>
    <row r="760" spans="2:8" ht="12.75" x14ac:dyDescent="0.2">
      <c r="B760" s="5"/>
      <c r="H760" s="5"/>
    </row>
    <row r="761" spans="2:8" ht="12.75" x14ac:dyDescent="0.2">
      <c r="B761" s="5"/>
      <c r="H761" s="5"/>
    </row>
    <row r="762" spans="2:8" ht="12.75" x14ac:dyDescent="0.2">
      <c r="B762" s="5"/>
      <c r="H762" s="5"/>
    </row>
    <row r="763" spans="2:8" ht="12.75" x14ac:dyDescent="0.2">
      <c r="B763" s="5"/>
      <c r="H763" s="5"/>
    </row>
    <row r="764" spans="2:8" ht="12.75" x14ac:dyDescent="0.2">
      <c r="B764" s="5"/>
      <c r="H764" s="5"/>
    </row>
    <row r="765" spans="2:8" ht="12.75" x14ac:dyDescent="0.2">
      <c r="B765" s="5"/>
      <c r="H765" s="5"/>
    </row>
    <row r="766" spans="2:8" ht="12.75" x14ac:dyDescent="0.2">
      <c r="B766" s="5"/>
      <c r="H766" s="5"/>
    </row>
    <row r="767" spans="2:8" ht="12.75" x14ac:dyDescent="0.2">
      <c r="B767" s="5"/>
      <c r="H767" s="5"/>
    </row>
    <row r="768" spans="2:8" ht="12.75" x14ac:dyDescent="0.2">
      <c r="B768" s="5"/>
      <c r="H768" s="5"/>
    </row>
    <row r="769" spans="2:8" ht="12.75" x14ac:dyDescent="0.2">
      <c r="B769" s="5"/>
      <c r="H769" s="5"/>
    </row>
    <row r="770" spans="2:8" ht="12.75" x14ac:dyDescent="0.2">
      <c r="B770" s="5"/>
      <c r="H770" s="5"/>
    </row>
    <row r="771" spans="2:8" ht="12.75" x14ac:dyDescent="0.2">
      <c r="B771" s="5"/>
      <c r="H771" s="5"/>
    </row>
    <row r="772" spans="2:8" ht="12.75" x14ac:dyDescent="0.2">
      <c r="B772" s="5"/>
      <c r="H772" s="5"/>
    </row>
    <row r="773" spans="2:8" ht="12.75" x14ac:dyDescent="0.2">
      <c r="B773" s="5"/>
      <c r="H773" s="5"/>
    </row>
    <row r="774" spans="2:8" ht="12.75" x14ac:dyDescent="0.2">
      <c r="B774" s="5"/>
      <c r="H774" s="5"/>
    </row>
    <row r="775" spans="2:8" ht="12.75" x14ac:dyDescent="0.2">
      <c r="B775" s="5"/>
      <c r="H775" s="5"/>
    </row>
    <row r="776" spans="2:8" ht="12.75" x14ac:dyDescent="0.2">
      <c r="B776" s="5"/>
      <c r="H776" s="5"/>
    </row>
    <row r="777" spans="2:8" ht="12.75" x14ac:dyDescent="0.2">
      <c r="B777" s="5"/>
      <c r="H777" s="5"/>
    </row>
    <row r="778" spans="2:8" ht="12.75" x14ac:dyDescent="0.2">
      <c r="B778" s="5"/>
      <c r="H778" s="5"/>
    </row>
    <row r="779" spans="2:8" ht="12.75" x14ac:dyDescent="0.2">
      <c r="B779" s="5"/>
      <c r="H779" s="5"/>
    </row>
    <row r="780" spans="2:8" ht="12.75" x14ac:dyDescent="0.2">
      <c r="B780" s="5"/>
      <c r="H780" s="5"/>
    </row>
    <row r="781" spans="2:8" ht="12.75" x14ac:dyDescent="0.2">
      <c r="B781" s="5"/>
      <c r="H781" s="5"/>
    </row>
    <row r="782" spans="2:8" ht="12.75" x14ac:dyDescent="0.2">
      <c r="B782" s="5"/>
      <c r="H782" s="5"/>
    </row>
    <row r="783" spans="2:8" ht="12.75" x14ac:dyDescent="0.2">
      <c r="B783" s="5"/>
      <c r="H783" s="5"/>
    </row>
    <row r="784" spans="2:8" ht="12.75" x14ac:dyDescent="0.2">
      <c r="B784" s="5"/>
      <c r="H784" s="5"/>
    </row>
    <row r="785" spans="2:8" ht="12.75" x14ac:dyDescent="0.2">
      <c r="B785" s="5"/>
      <c r="H785" s="5"/>
    </row>
    <row r="786" spans="2:8" ht="12.75" x14ac:dyDescent="0.2">
      <c r="B786" s="5"/>
      <c r="H786" s="5"/>
    </row>
    <row r="787" spans="2:8" ht="12.75" x14ac:dyDescent="0.2">
      <c r="B787" s="5"/>
      <c r="H787" s="5"/>
    </row>
    <row r="788" spans="2:8" ht="12.75" x14ac:dyDescent="0.2">
      <c r="B788" s="5"/>
      <c r="H788" s="5"/>
    </row>
    <row r="789" spans="2:8" ht="12.75" x14ac:dyDescent="0.2">
      <c r="B789" s="5"/>
      <c r="H789" s="5"/>
    </row>
    <row r="790" spans="2:8" ht="12.75" x14ac:dyDescent="0.2">
      <c r="B790" s="5"/>
      <c r="H790" s="5"/>
    </row>
    <row r="791" spans="2:8" ht="12.75" x14ac:dyDescent="0.2">
      <c r="B791" s="5"/>
      <c r="H791" s="5"/>
    </row>
    <row r="792" spans="2:8" ht="12.75" x14ac:dyDescent="0.2">
      <c r="B792" s="5"/>
      <c r="H792" s="5"/>
    </row>
    <row r="793" spans="2:8" ht="12.75" x14ac:dyDescent="0.2">
      <c r="B793" s="5"/>
      <c r="H793" s="5"/>
    </row>
    <row r="794" spans="2:8" ht="12.75" x14ac:dyDescent="0.2">
      <c r="B794" s="5"/>
      <c r="H794" s="5"/>
    </row>
    <row r="795" spans="2:8" ht="12.75" x14ac:dyDescent="0.2">
      <c r="B795" s="5"/>
      <c r="H795" s="5"/>
    </row>
    <row r="796" spans="2:8" ht="12.75" x14ac:dyDescent="0.2">
      <c r="B796" s="5"/>
      <c r="H796" s="5"/>
    </row>
    <row r="797" spans="2:8" ht="12.75" x14ac:dyDescent="0.2">
      <c r="B797" s="5"/>
      <c r="H797" s="5"/>
    </row>
    <row r="798" spans="2:8" ht="12.75" x14ac:dyDescent="0.2">
      <c r="B798" s="5"/>
      <c r="H798" s="5"/>
    </row>
    <row r="799" spans="2:8" ht="12.75" x14ac:dyDescent="0.2">
      <c r="B799" s="5"/>
      <c r="H799" s="5"/>
    </row>
    <row r="800" spans="2:8" ht="12.75" x14ac:dyDescent="0.2">
      <c r="B800" s="5"/>
      <c r="H800" s="5"/>
    </row>
    <row r="801" spans="2:8" ht="12.75" x14ac:dyDescent="0.2">
      <c r="B801" s="5"/>
      <c r="H801" s="5"/>
    </row>
    <row r="802" spans="2:8" ht="12.75" x14ac:dyDescent="0.2">
      <c r="B802" s="5"/>
      <c r="H802" s="5"/>
    </row>
    <row r="803" spans="2:8" ht="12.75" x14ac:dyDescent="0.2">
      <c r="B803" s="5"/>
      <c r="H803" s="5"/>
    </row>
    <row r="804" spans="2:8" ht="12.75" x14ac:dyDescent="0.2">
      <c r="B804" s="5"/>
      <c r="H804" s="5"/>
    </row>
    <row r="805" spans="2:8" ht="12.75" x14ac:dyDescent="0.2">
      <c r="B805" s="5"/>
      <c r="H805" s="5"/>
    </row>
    <row r="806" spans="2:8" ht="12.75" x14ac:dyDescent="0.2">
      <c r="B806" s="5"/>
      <c r="H806" s="5"/>
    </row>
    <row r="807" spans="2:8" ht="12.75" x14ac:dyDescent="0.2">
      <c r="B807" s="5"/>
      <c r="H807" s="5"/>
    </row>
    <row r="808" spans="2:8" ht="12.75" x14ac:dyDescent="0.2">
      <c r="B808" s="5"/>
      <c r="H808" s="5"/>
    </row>
    <row r="809" spans="2:8" ht="12.75" x14ac:dyDescent="0.2">
      <c r="B809" s="5"/>
      <c r="H809" s="5"/>
    </row>
    <row r="810" spans="2:8" ht="12.75" x14ac:dyDescent="0.2">
      <c r="B810" s="5"/>
      <c r="H810" s="5"/>
    </row>
    <row r="811" spans="2:8" ht="12.75" x14ac:dyDescent="0.2">
      <c r="B811" s="5"/>
      <c r="H811" s="5"/>
    </row>
    <row r="812" spans="2:8" ht="12.75" x14ac:dyDescent="0.2">
      <c r="B812" s="5"/>
      <c r="H812" s="5"/>
    </row>
    <row r="813" spans="2:8" ht="12.75" x14ac:dyDescent="0.2">
      <c r="B813" s="5"/>
      <c r="H813" s="5"/>
    </row>
    <row r="814" spans="2:8" ht="12.75" x14ac:dyDescent="0.2">
      <c r="B814" s="5"/>
      <c r="H814" s="5"/>
    </row>
    <row r="815" spans="2:8" ht="12.75" x14ac:dyDescent="0.2">
      <c r="B815" s="5"/>
      <c r="H815" s="5"/>
    </row>
    <row r="816" spans="2:8" ht="12.75" x14ac:dyDescent="0.2">
      <c r="B816" s="5"/>
      <c r="H816" s="5"/>
    </row>
    <row r="817" spans="2:8" ht="12.75" x14ac:dyDescent="0.2">
      <c r="B817" s="5"/>
      <c r="H817" s="5"/>
    </row>
    <row r="818" spans="2:8" ht="12.75" x14ac:dyDescent="0.2">
      <c r="B818" s="5"/>
      <c r="H818" s="5"/>
    </row>
    <row r="819" spans="2:8" ht="12.75" x14ac:dyDescent="0.2">
      <c r="B819" s="5"/>
      <c r="H819" s="5"/>
    </row>
    <row r="820" spans="2:8" ht="12.75" x14ac:dyDescent="0.2">
      <c r="B820" s="5"/>
      <c r="H820" s="5"/>
    </row>
    <row r="821" spans="2:8" ht="12.75" x14ac:dyDescent="0.2">
      <c r="B821" s="5"/>
      <c r="H821" s="5"/>
    </row>
    <row r="822" spans="2:8" ht="12.75" x14ac:dyDescent="0.2">
      <c r="B822" s="5"/>
      <c r="H822" s="5"/>
    </row>
    <row r="823" spans="2:8" ht="12.75" x14ac:dyDescent="0.2">
      <c r="B823" s="5"/>
      <c r="H823" s="5"/>
    </row>
    <row r="824" spans="2:8" ht="12.75" x14ac:dyDescent="0.2">
      <c r="B824" s="5"/>
      <c r="H824" s="5"/>
    </row>
    <row r="825" spans="2:8" ht="12.75" x14ac:dyDescent="0.2">
      <c r="B825" s="5"/>
      <c r="H825" s="5"/>
    </row>
    <row r="826" spans="2:8" ht="12.75" x14ac:dyDescent="0.2">
      <c r="B826" s="5"/>
      <c r="H826" s="5"/>
    </row>
    <row r="827" spans="2:8" ht="12.75" x14ac:dyDescent="0.2">
      <c r="B827" s="5"/>
      <c r="H827" s="5"/>
    </row>
    <row r="828" spans="2:8" ht="12.75" x14ac:dyDescent="0.2">
      <c r="B828" s="5"/>
      <c r="H828" s="5"/>
    </row>
    <row r="829" spans="2:8" ht="12.75" x14ac:dyDescent="0.2">
      <c r="B829" s="5"/>
      <c r="H829" s="5"/>
    </row>
    <row r="830" spans="2:8" ht="12.75" x14ac:dyDescent="0.2">
      <c r="B830" s="5"/>
      <c r="H830" s="5"/>
    </row>
    <row r="831" spans="2:8" ht="12.75" x14ac:dyDescent="0.2">
      <c r="B831" s="5"/>
      <c r="H831" s="5"/>
    </row>
    <row r="832" spans="2:8" ht="12.75" x14ac:dyDescent="0.2">
      <c r="B832" s="5"/>
      <c r="H832" s="5"/>
    </row>
    <row r="833" spans="2:8" ht="12.75" x14ac:dyDescent="0.2">
      <c r="B833" s="5"/>
      <c r="H833" s="5"/>
    </row>
    <row r="834" spans="2:8" ht="12.75" x14ac:dyDescent="0.2">
      <c r="B834" s="5"/>
      <c r="H834" s="5"/>
    </row>
    <row r="835" spans="2:8" ht="12.75" x14ac:dyDescent="0.2">
      <c r="B835" s="5"/>
      <c r="H835" s="5"/>
    </row>
    <row r="836" spans="2:8" ht="12.75" x14ac:dyDescent="0.2">
      <c r="B836" s="5"/>
      <c r="H836" s="5"/>
    </row>
    <row r="837" spans="2:8" ht="12.75" x14ac:dyDescent="0.2">
      <c r="B837" s="5"/>
      <c r="H837" s="5"/>
    </row>
    <row r="838" spans="2:8" ht="12.75" x14ac:dyDescent="0.2">
      <c r="B838" s="5"/>
      <c r="H838" s="5"/>
    </row>
    <row r="839" spans="2:8" ht="12.75" x14ac:dyDescent="0.2">
      <c r="B839" s="5"/>
      <c r="H839" s="5"/>
    </row>
    <row r="840" spans="2:8" ht="12.75" x14ac:dyDescent="0.2">
      <c r="B840" s="5"/>
      <c r="H840" s="5"/>
    </row>
    <row r="841" spans="2:8" ht="12.75" x14ac:dyDescent="0.2">
      <c r="B841" s="5"/>
      <c r="H841" s="5"/>
    </row>
    <row r="842" spans="2:8" ht="12.75" x14ac:dyDescent="0.2">
      <c r="B842" s="5"/>
      <c r="H842" s="5"/>
    </row>
    <row r="843" spans="2:8" ht="12.75" x14ac:dyDescent="0.2">
      <c r="B843" s="5"/>
      <c r="H843" s="5"/>
    </row>
    <row r="844" spans="2:8" ht="12.75" x14ac:dyDescent="0.2">
      <c r="B844" s="5"/>
      <c r="H844" s="5"/>
    </row>
    <row r="845" spans="2:8" ht="12.75" x14ac:dyDescent="0.2">
      <c r="B845" s="5"/>
      <c r="H845" s="5"/>
    </row>
    <row r="846" spans="2:8" ht="12.75" x14ac:dyDescent="0.2">
      <c r="B846" s="5"/>
      <c r="H846" s="5"/>
    </row>
    <row r="847" spans="2:8" ht="12.75" x14ac:dyDescent="0.2">
      <c r="B847" s="5"/>
      <c r="H847" s="5"/>
    </row>
    <row r="848" spans="2:8" ht="12.75" x14ac:dyDescent="0.2">
      <c r="B848" s="5"/>
      <c r="H848" s="5"/>
    </row>
    <row r="849" spans="2:8" ht="12.75" x14ac:dyDescent="0.2">
      <c r="B849" s="5"/>
      <c r="H849" s="5"/>
    </row>
    <row r="850" spans="2:8" ht="12.75" x14ac:dyDescent="0.2">
      <c r="B850" s="5"/>
      <c r="H850" s="5"/>
    </row>
    <row r="851" spans="2:8" ht="12.75" x14ac:dyDescent="0.2">
      <c r="B851" s="5"/>
      <c r="H851" s="5"/>
    </row>
    <row r="852" spans="2:8" ht="12.75" x14ac:dyDescent="0.2">
      <c r="B852" s="5"/>
      <c r="H852" s="5"/>
    </row>
    <row r="853" spans="2:8" ht="12.75" x14ac:dyDescent="0.2">
      <c r="B853" s="5"/>
      <c r="H853" s="5"/>
    </row>
    <row r="854" spans="2:8" ht="12.75" x14ac:dyDescent="0.2">
      <c r="B854" s="5"/>
      <c r="H854" s="5"/>
    </row>
    <row r="855" spans="2:8" ht="12.75" x14ac:dyDescent="0.2">
      <c r="B855" s="5"/>
      <c r="H855" s="5"/>
    </row>
    <row r="856" spans="2:8" ht="12.75" x14ac:dyDescent="0.2">
      <c r="B856" s="5"/>
      <c r="H856" s="5"/>
    </row>
    <row r="857" spans="2:8" ht="12.75" x14ac:dyDescent="0.2">
      <c r="B857" s="5"/>
      <c r="H857" s="5"/>
    </row>
    <row r="858" spans="2:8" ht="12.75" x14ac:dyDescent="0.2">
      <c r="B858" s="5"/>
      <c r="H858" s="5"/>
    </row>
    <row r="859" spans="2:8" ht="12.75" x14ac:dyDescent="0.2">
      <c r="B859" s="5"/>
      <c r="H859" s="5"/>
    </row>
    <row r="860" spans="2:8" ht="12.75" x14ac:dyDescent="0.2">
      <c r="B860" s="5"/>
      <c r="H860" s="5"/>
    </row>
    <row r="861" spans="2:8" ht="12.75" x14ac:dyDescent="0.2">
      <c r="B861" s="5"/>
      <c r="H861" s="5"/>
    </row>
    <row r="862" spans="2:8" ht="12.75" x14ac:dyDescent="0.2">
      <c r="B862" s="5"/>
      <c r="H862" s="5"/>
    </row>
    <row r="863" spans="2:8" ht="12.75" x14ac:dyDescent="0.2">
      <c r="B863" s="5"/>
      <c r="H863" s="5"/>
    </row>
    <row r="864" spans="2:8" ht="12.75" x14ac:dyDescent="0.2">
      <c r="B864" s="5"/>
      <c r="H864" s="5"/>
    </row>
    <row r="865" spans="2:8" ht="12.75" x14ac:dyDescent="0.2">
      <c r="B865" s="5"/>
      <c r="H865" s="5"/>
    </row>
    <row r="866" spans="2:8" ht="12.75" x14ac:dyDescent="0.2">
      <c r="B866" s="5"/>
      <c r="H866" s="5"/>
    </row>
    <row r="867" spans="2:8" ht="12.75" x14ac:dyDescent="0.2">
      <c r="B867" s="5"/>
      <c r="H867" s="5"/>
    </row>
    <row r="868" spans="2:8" ht="12.75" x14ac:dyDescent="0.2">
      <c r="B868" s="5"/>
      <c r="H868" s="5"/>
    </row>
    <row r="869" spans="2:8" ht="12.75" x14ac:dyDescent="0.2">
      <c r="B869" s="5"/>
      <c r="H869" s="5"/>
    </row>
    <row r="870" spans="2:8" ht="12.75" x14ac:dyDescent="0.2">
      <c r="B870" s="5"/>
      <c r="H870" s="5"/>
    </row>
    <row r="871" spans="2:8" ht="12.75" x14ac:dyDescent="0.2">
      <c r="B871" s="5"/>
      <c r="H871" s="5"/>
    </row>
    <row r="872" spans="2:8" ht="12.75" x14ac:dyDescent="0.2">
      <c r="B872" s="5"/>
      <c r="H872" s="5"/>
    </row>
    <row r="873" spans="2:8" ht="12.75" x14ac:dyDescent="0.2">
      <c r="B873" s="5"/>
      <c r="H873" s="5"/>
    </row>
    <row r="874" spans="2:8" ht="12.75" x14ac:dyDescent="0.2">
      <c r="B874" s="5"/>
      <c r="H874" s="5"/>
    </row>
    <row r="875" spans="2:8" ht="12.75" x14ac:dyDescent="0.2">
      <c r="B875" s="5"/>
      <c r="H875" s="5"/>
    </row>
    <row r="876" spans="2:8" ht="12.75" x14ac:dyDescent="0.2">
      <c r="B876" s="5"/>
      <c r="H876" s="5"/>
    </row>
    <row r="877" spans="2:8" ht="12.75" x14ac:dyDescent="0.2">
      <c r="B877" s="5"/>
      <c r="H877" s="5"/>
    </row>
    <row r="878" spans="2:8" ht="12.75" x14ac:dyDescent="0.2">
      <c r="B878" s="5"/>
      <c r="H878" s="5"/>
    </row>
    <row r="879" spans="2:8" ht="12.75" x14ac:dyDescent="0.2">
      <c r="B879" s="5"/>
      <c r="H879" s="5"/>
    </row>
    <row r="880" spans="2:8" ht="12.75" x14ac:dyDescent="0.2">
      <c r="B880" s="5"/>
      <c r="H880" s="5"/>
    </row>
    <row r="881" spans="2:8" ht="12.75" x14ac:dyDescent="0.2">
      <c r="B881" s="5"/>
      <c r="H881" s="5"/>
    </row>
    <row r="882" spans="2:8" ht="12.75" x14ac:dyDescent="0.2">
      <c r="B882" s="5"/>
      <c r="H882" s="5"/>
    </row>
    <row r="883" spans="2:8" ht="12.75" x14ac:dyDescent="0.2">
      <c r="B883" s="5"/>
      <c r="H883" s="5"/>
    </row>
    <row r="884" spans="2:8" ht="12.75" x14ac:dyDescent="0.2">
      <c r="B884" s="5"/>
      <c r="H884" s="5"/>
    </row>
    <row r="885" spans="2:8" ht="12.75" x14ac:dyDescent="0.2">
      <c r="B885" s="5"/>
      <c r="H885" s="5"/>
    </row>
    <row r="886" spans="2:8" ht="12.75" x14ac:dyDescent="0.2">
      <c r="B886" s="5"/>
      <c r="H886" s="5"/>
    </row>
    <row r="887" spans="2:8" ht="12.75" x14ac:dyDescent="0.2">
      <c r="B887" s="5"/>
      <c r="H887" s="5"/>
    </row>
    <row r="888" spans="2:8" ht="12.75" x14ac:dyDescent="0.2">
      <c r="B888" s="5"/>
      <c r="H888" s="5"/>
    </row>
    <row r="889" spans="2:8" ht="12.75" x14ac:dyDescent="0.2">
      <c r="B889" s="5"/>
      <c r="H889" s="5"/>
    </row>
    <row r="890" spans="2:8" ht="12.75" x14ac:dyDescent="0.2">
      <c r="B890" s="5"/>
      <c r="H890" s="5"/>
    </row>
    <row r="891" spans="2:8" ht="12.75" x14ac:dyDescent="0.2">
      <c r="B891" s="5"/>
      <c r="H891" s="5"/>
    </row>
    <row r="892" spans="2:8" ht="12.75" x14ac:dyDescent="0.2">
      <c r="B892" s="5"/>
      <c r="H892" s="5"/>
    </row>
    <row r="893" spans="2:8" ht="12.75" x14ac:dyDescent="0.2">
      <c r="B893" s="5"/>
      <c r="H893" s="5"/>
    </row>
    <row r="894" spans="2:8" ht="12.75" x14ac:dyDescent="0.2">
      <c r="B894" s="5"/>
      <c r="H894" s="5"/>
    </row>
    <row r="895" spans="2:8" ht="12.75" x14ac:dyDescent="0.2">
      <c r="B895" s="5"/>
      <c r="H895" s="5"/>
    </row>
    <row r="896" spans="2:8" ht="12.75" x14ac:dyDescent="0.2">
      <c r="B896" s="5"/>
      <c r="H896" s="5"/>
    </row>
    <row r="897" spans="2:8" ht="12.75" x14ac:dyDescent="0.2">
      <c r="B897" s="5"/>
      <c r="H897" s="5"/>
    </row>
    <row r="898" spans="2:8" ht="12.75" x14ac:dyDescent="0.2">
      <c r="B898" s="5"/>
      <c r="H898" s="5"/>
    </row>
    <row r="899" spans="2:8" ht="12.75" x14ac:dyDescent="0.2">
      <c r="B899" s="5"/>
      <c r="H899" s="5"/>
    </row>
    <row r="900" spans="2:8" ht="12.75" x14ac:dyDescent="0.2">
      <c r="B900" s="5"/>
      <c r="H900" s="5"/>
    </row>
    <row r="901" spans="2:8" ht="12.75" x14ac:dyDescent="0.2">
      <c r="B901" s="5"/>
      <c r="H901" s="5"/>
    </row>
    <row r="902" spans="2:8" ht="12.75" x14ac:dyDescent="0.2">
      <c r="B902" s="5"/>
      <c r="H902" s="5"/>
    </row>
    <row r="903" spans="2:8" ht="12.75" x14ac:dyDescent="0.2">
      <c r="B903" s="5"/>
      <c r="H903" s="5"/>
    </row>
    <row r="904" spans="2:8" ht="12.75" x14ac:dyDescent="0.2">
      <c r="B904" s="5"/>
      <c r="H904" s="5"/>
    </row>
    <row r="905" spans="2:8" ht="12.75" x14ac:dyDescent="0.2">
      <c r="B905" s="5"/>
      <c r="H905" s="5"/>
    </row>
    <row r="906" spans="2:8" ht="12.75" x14ac:dyDescent="0.2">
      <c r="B906" s="5"/>
      <c r="H906" s="5"/>
    </row>
    <row r="907" spans="2:8" ht="12.75" x14ac:dyDescent="0.2">
      <c r="B907" s="5"/>
      <c r="H907" s="5"/>
    </row>
    <row r="908" spans="2:8" ht="12.75" x14ac:dyDescent="0.2">
      <c r="B908" s="5"/>
      <c r="H908" s="5"/>
    </row>
    <row r="909" spans="2:8" ht="12.75" x14ac:dyDescent="0.2">
      <c r="B909" s="5"/>
      <c r="H909" s="5"/>
    </row>
    <row r="910" spans="2:8" ht="12.75" x14ac:dyDescent="0.2">
      <c r="B910" s="5"/>
      <c r="H910" s="5"/>
    </row>
    <row r="911" spans="2:8" ht="12.75" x14ac:dyDescent="0.2">
      <c r="B911" s="5"/>
      <c r="H911" s="5"/>
    </row>
    <row r="912" spans="2:8" ht="12.75" x14ac:dyDescent="0.2">
      <c r="B912" s="5"/>
      <c r="H912" s="5"/>
    </row>
    <row r="913" spans="2:8" ht="12.75" x14ac:dyDescent="0.2">
      <c r="B913" s="5"/>
      <c r="H913" s="5"/>
    </row>
    <row r="914" spans="2:8" ht="12.75" x14ac:dyDescent="0.2">
      <c r="B914" s="5"/>
      <c r="H914" s="5"/>
    </row>
    <row r="915" spans="2:8" ht="12.75" x14ac:dyDescent="0.2">
      <c r="B915" s="5"/>
      <c r="H915" s="5"/>
    </row>
    <row r="916" spans="2:8" ht="12.75" x14ac:dyDescent="0.2">
      <c r="B916" s="5"/>
      <c r="H916" s="5"/>
    </row>
    <row r="917" spans="2:8" ht="12.75" x14ac:dyDescent="0.2">
      <c r="B917" s="5"/>
      <c r="H917" s="5"/>
    </row>
    <row r="918" spans="2:8" ht="12.75" x14ac:dyDescent="0.2">
      <c r="B918" s="5"/>
      <c r="H918" s="5"/>
    </row>
    <row r="919" spans="2:8" ht="12.75" x14ac:dyDescent="0.2">
      <c r="B919" s="5"/>
      <c r="H919" s="5"/>
    </row>
    <row r="920" spans="2:8" ht="12.75" x14ac:dyDescent="0.2">
      <c r="B920" s="5"/>
      <c r="H920" s="5"/>
    </row>
    <row r="921" spans="2:8" ht="12.75" x14ac:dyDescent="0.2">
      <c r="B921" s="5"/>
      <c r="H921" s="5"/>
    </row>
    <row r="922" spans="2:8" ht="12.75" x14ac:dyDescent="0.2">
      <c r="B922" s="5"/>
      <c r="H922" s="5"/>
    </row>
    <row r="923" spans="2:8" ht="12.75" x14ac:dyDescent="0.2">
      <c r="B923" s="5"/>
      <c r="H923" s="5"/>
    </row>
    <row r="924" spans="2:8" ht="12.75" x14ac:dyDescent="0.2">
      <c r="B924" s="5"/>
      <c r="H924" s="5"/>
    </row>
    <row r="925" spans="2:8" ht="12.75" x14ac:dyDescent="0.2">
      <c r="B925" s="5"/>
      <c r="H925" s="5"/>
    </row>
    <row r="926" spans="2:8" ht="12.75" x14ac:dyDescent="0.2">
      <c r="B926" s="5"/>
      <c r="H926" s="5"/>
    </row>
    <row r="927" spans="2:8" ht="12.75" x14ac:dyDescent="0.2">
      <c r="B927" s="5"/>
      <c r="H927" s="5"/>
    </row>
    <row r="928" spans="2:8" ht="12.75" x14ac:dyDescent="0.2">
      <c r="B928" s="5"/>
      <c r="H928" s="5"/>
    </row>
    <row r="929" spans="2:8" ht="12.75" x14ac:dyDescent="0.2">
      <c r="B929" s="5"/>
      <c r="H929" s="5"/>
    </row>
    <row r="930" spans="2:8" ht="12.75" x14ac:dyDescent="0.2">
      <c r="B930" s="5"/>
      <c r="H930" s="5"/>
    </row>
    <row r="931" spans="2:8" ht="12.75" x14ac:dyDescent="0.2">
      <c r="B931" s="5"/>
      <c r="H931" s="5"/>
    </row>
    <row r="932" spans="2:8" ht="12.75" x14ac:dyDescent="0.2">
      <c r="B932" s="5"/>
      <c r="H932" s="5"/>
    </row>
    <row r="933" spans="2:8" ht="12.75" x14ac:dyDescent="0.2">
      <c r="B933" s="5"/>
      <c r="H933" s="5"/>
    </row>
    <row r="934" spans="2:8" ht="12.75" x14ac:dyDescent="0.2">
      <c r="B934" s="5"/>
      <c r="H934" s="5"/>
    </row>
    <row r="935" spans="2:8" ht="12.75" x14ac:dyDescent="0.2">
      <c r="B935" s="5"/>
      <c r="H935" s="5"/>
    </row>
    <row r="936" spans="2:8" ht="12.75" x14ac:dyDescent="0.2">
      <c r="B936" s="5"/>
      <c r="H936" s="5"/>
    </row>
    <row r="937" spans="2:8" ht="12.75" x14ac:dyDescent="0.2">
      <c r="B937" s="5"/>
      <c r="H937" s="5"/>
    </row>
    <row r="938" spans="2:8" ht="12.75" x14ac:dyDescent="0.2">
      <c r="B938" s="5"/>
      <c r="H938" s="5"/>
    </row>
    <row r="939" spans="2:8" ht="12.75" x14ac:dyDescent="0.2">
      <c r="B939" s="5"/>
      <c r="H939" s="5"/>
    </row>
    <row r="940" spans="2:8" ht="12.75" x14ac:dyDescent="0.2">
      <c r="B940" s="5"/>
      <c r="H940" s="5"/>
    </row>
    <row r="941" spans="2:8" ht="12.75" x14ac:dyDescent="0.2">
      <c r="B941" s="5"/>
      <c r="H941" s="5"/>
    </row>
    <row r="942" spans="2:8" ht="12.75" x14ac:dyDescent="0.2">
      <c r="B942" s="5"/>
      <c r="H942" s="5"/>
    </row>
    <row r="943" spans="2:8" ht="12.75" x14ac:dyDescent="0.2">
      <c r="B943" s="5"/>
      <c r="H943" s="5"/>
    </row>
    <row r="944" spans="2:8" ht="12.75" x14ac:dyDescent="0.2">
      <c r="B944" s="5"/>
      <c r="H944" s="5"/>
    </row>
    <row r="945" spans="2:8" ht="12.75" x14ac:dyDescent="0.2">
      <c r="B945" s="5"/>
      <c r="H945" s="5"/>
    </row>
    <row r="946" spans="2:8" ht="12.75" x14ac:dyDescent="0.2">
      <c r="B946" s="5"/>
      <c r="H946" s="5"/>
    </row>
    <row r="947" spans="2:8" ht="12.75" x14ac:dyDescent="0.2">
      <c r="B947" s="5"/>
      <c r="H947" s="5"/>
    </row>
    <row r="948" spans="2:8" ht="12.75" x14ac:dyDescent="0.2">
      <c r="B948" s="5"/>
      <c r="H948" s="5"/>
    </row>
    <row r="949" spans="2:8" ht="12.75" x14ac:dyDescent="0.2">
      <c r="B949" s="5"/>
      <c r="H949" s="5"/>
    </row>
    <row r="950" spans="2:8" ht="12.75" x14ac:dyDescent="0.2">
      <c r="B950" s="5"/>
      <c r="H950" s="5"/>
    </row>
    <row r="951" spans="2:8" ht="12.75" x14ac:dyDescent="0.2">
      <c r="B951" s="5"/>
      <c r="H951" s="5"/>
    </row>
    <row r="952" spans="2:8" ht="12.75" x14ac:dyDescent="0.2">
      <c r="B952" s="5"/>
      <c r="H952" s="5"/>
    </row>
    <row r="953" spans="2:8" ht="12.75" x14ac:dyDescent="0.2">
      <c r="B953" s="5"/>
      <c r="H953" s="5"/>
    </row>
    <row r="954" spans="2:8" ht="12.75" x14ac:dyDescent="0.2">
      <c r="B954" s="5"/>
      <c r="H954" s="5"/>
    </row>
    <row r="955" spans="2:8" ht="12.75" x14ac:dyDescent="0.2">
      <c r="B955" s="5"/>
      <c r="H955" s="5"/>
    </row>
    <row r="956" spans="2:8" ht="12.75" x14ac:dyDescent="0.2">
      <c r="B956" s="5"/>
      <c r="H956" s="5"/>
    </row>
    <row r="957" spans="2:8" ht="12.75" x14ac:dyDescent="0.2">
      <c r="B957" s="5"/>
      <c r="H957" s="5"/>
    </row>
    <row r="958" spans="2:8" ht="12.75" x14ac:dyDescent="0.2">
      <c r="B958" s="5"/>
      <c r="H958" s="5"/>
    </row>
    <row r="959" spans="2:8" ht="12.75" x14ac:dyDescent="0.2">
      <c r="B959" s="5"/>
      <c r="H959" s="5"/>
    </row>
    <row r="960" spans="2:8" ht="12.75" x14ac:dyDescent="0.2">
      <c r="B960" s="5"/>
      <c r="H960" s="5"/>
    </row>
    <row r="961" spans="2:8" ht="12.75" x14ac:dyDescent="0.2">
      <c r="B961" s="5"/>
      <c r="H961" s="5"/>
    </row>
    <row r="962" spans="2:8" ht="12.75" x14ac:dyDescent="0.2">
      <c r="B962" s="5"/>
      <c r="H962" s="5"/>
    </row>
    <row r="963" spans="2:8" ht="12.75" x14ac:dyDescent="0.2">
      <c r="B963" s="5"/>
      <c r="H963" s="5"/>
    </row>
    <row r="964" spans="2:8" ht="12.75" x14ac:dyDescent="0.2">
      <c r="B964" s="5"/>
      <c r="H964" s="5"/>
    </row>
    <row r="965" spans="2:8" ht="12.75" x14ac:dyDescent="0.2">
      <c r="B965" s="5"/>
      <c r="H965" s="5"/>
    </row>
    <row r="966" spans="2:8" ht="12.75" x14ac:dyDescent="0.2">
      <c r="B966" s="5"/>
      <c r="H966" s="5"/>
    </row>
    <row r="967" spans="2:8" ht="12.75" x14ac:dyDescent="0.2">
      <c r="B967" s="5"/>
      <c r="H967" s="5"/>
    </row>
    <row r="968" spans="2:8" ht="12.75" x14ac:dyDescent="0.2">
      <c r="B968" s="5"/>
      <c r="H968" s="5"/>
    </row>
    <row r="969" spans="2:8" ht="12.75" x14ac:dyDescent="0.2">
      <c r="B969" s="5"/>
      <c r="H969" s="5"/>
    </row>
    <row r="970" spans="2:8" ht="12.75" x14ac:dyDescent="0.2">
      <c r="B970" s="5"/>
      <c r="H970" s="5"/>
    </row>
    <row r="971" spans="2:8" ht="12.75" x14ac:dyDescent="0.2">
      <c r="B971" s="5"/>
      <c r="H971" s="5"/>
    </row>
    <row r="972" spans="2:8" ht="12.75" x14ac:dyDescent="0.2">
      <c r="B972" s="5"/>
      <c r="H972" s="5"/>
    </row>
    <row r="973" spans="2:8" ht="12.75" x14ac:dyDescent="0.2">
      <c r="B973" s="5"/>
      <c r="H973" s="5"/>
    </row>
    <row r="974" spans="2:8" ht="12.75" x14ac:dyDescent="0.2">
      <c r="B974" s="5"/>
      <c r="H974" s="5"/>
    </row>
    <row r="975" spans="2:8" ht="12.75" x14ac:dyDescent="0.2">
      <c r="B975" s="5"/>
      <c r="H975" s="5"/>
    </row>
    <row r="976" spans="2:8" ht="12.75" x14ac:dyDescent="0.2">
      <c r="B976" s="5"/>
      <c r="H976" s="5"/>
    </row>
    <row r="977" spans="2:8" ht="12.75" x14ac:dyDescent="0.2">
      <c r="B977" s="5"/>
      <c r="H977" s="5"/>
    </row>
    <row r="978" spans="2:8" ht="12.75" x14ac:dyDescent="0.2">
      <c r="B978" s="5"/>
      <c r="H978" s="5"/>
    </row>
    <row r="979" spans="2:8" ht="12.75" x14ac:dyDescent="0.2">
      <c r="B979" s="5"/>
      <c r="H979" s="5"/>
    </row>
    <row r="980" spans="2:8" ht="12.75" x14ac:dyDescent="0.2">
      <c r="B980" s="5"/>
      <c r="H980" s="5"/>
    </row>
    <row r="981" spans="2:8" ht="12.75" x14ac:dyDescent="0.2">
      <c r="B981" s="5"/>
      <c r="H981" s="5"/>
    </row>
    <row r="982" spans="2:8" ht="12.75" x14ac:dyDescent="0.2">
      <c r="B982" s="5"/>
      <c r="H982" s="5"/>
    </row>
    <row r="983" spans="2:8" ht="12.75" x14ac:dyDescent="0.2">
      <c r="B983" s="5"/>
      <c r="H983" s="5"/>
    </row>
    <row r="984" spans="2:8" ht="12.75" x14ac:dyDescent="0.2">
      <c r="B984" s="5"/>
      <c r="H984" s="5"/>
    </row>
    <row r="985" spans="2:8" ht="12.75" x14ac:dyDescent="0.2">
      <c r="B985" s="5"/>
      <c r="H985" s="5"/>
    </row>
    <row r="986" spans="2:8" ht="12.75" x14ac:dyDescent="0.2">
      <c r="B986" s="5"/>
      <c r="H986" s="5"/>
    </row>
    <row r="987" spans="2:8" ht="12.75" x14ac:dyDescent="0.2">
      <c r="B987" s="5"/>
      <c r="H987" s="5"/>
    </row>
    <row r="988" spans="2:8" ht="12.75" x14ac:dyDescent="0.2">
      <c r="B988" s="5"/>
      <c r="H988" s="5"/>
    </row>
    <row r="989" spans="2:8" ht="12.75" x14ac:dyDescent="0.2">
      <c r="B989" s="5"/>
      <c r="H989" s="5"/>
    </row>
    <row r="990" spans="2:8" ht="12.75" x14ac:dyDescent="0.2">
      <c r="B990" s="5"/>
      <c r="H990" s="5"/>
    </row>
    <row r="991" spans="2:8" ht="12.75" x14ac:dyDescent="0.2">
      <c r="B991" s="5"/>
      <c r="H991" s="5"/>
    </row>
    <row r="992" spans="2:8" ht="12.75" x14ac:dyDescent="0.2">
      <c r="B992" s="5"/>
      <c r="H992" s="5"/>
    </row>
    <row r="993" spans="2:8" ht="12.75" x14ac:dyDescent="0.2">
      <c r="B993" s="5"/>
      <c r="H993" s="5"/>
    </row>
    <row r="994" spans="2:8" ht="12.75" x14ac:dyDescent="0.2">
      <c r="B994" s="5"/>
      <c r="H994" s="5"/>
    </row>
    <row r="995" spans="2:8" ht="12.75" x14ac:dyDescent="0.2">
      <c r="B995" s="5"/>
      <c r="H995" s="5"/>
    </row>
    <row r="996" spans="2:8" ht="12.75" x14ac:dyDescent="0.2">
      <c r="B996" s="5"/>
      <c r="H996" s="5"/>
    </row>
    <row r="997" spans="2:8" ht="12.75" x14ac:dyDescent="0.2">
      <c r="B997" s="5"/>
      <c r="H997" s="5"/>
    </row>
    <row r="998" spans="2:8" ht="12.75" x14ac:dyDescent="0.2">
      <c r="B998" s="5"/>
      <c r="H998" s="5"/>
    </row>
    <row r="999" spans="2:8" ht="12.75" x14ac:dyDescent="0.2">
      <c r="B999" s="5"/>
      <c r="H999" s="5"/>
    </row>
    <row r="1000" spans="2:8" ht="12.75" x14ac:dyDescent="0.2">
      <c r="B1000" s="5"/>
      <c r="H1000" s="5"/>
    </row>
  </sheetData>
  <customSheetViews>
    <customSheetView guid="{B43191E6-1FA3-4412-A619-ADA7D38BC33F}" filter="1" showAutoFilter="1">
      <pageMargins left="0.7" right="0.7" top="0.75" bottom="0.75" header="0.3" footer="0.3"/>
      <autoFilter ref="A1:Y281" xr:uid="{7FDC7B97-CDCF-45D9-AF44-BBE891BCD22C}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outlinePr summaryBelow="0" summaryRight="0"/>
  </sheetPr>
  <dimension ref="A1:Z78"/>
  <sheetViews>
    <sheetView workbookViewId="0"/>
  </sheetViews>
  <sheetFormatPr defaultColWidth="12.42578125" defaultRowHeight="15.75" customHeight="1" x14ac:dyDescent="0.2"/>
  <cols>
    <col min="1" max="1" width="22.85546875" customWidth="1"/>
    <col min="7" max="7" width="14.7109375" customWidth="1"/>
    <col min="8" max="8" width="17.42578125" customWidth="1"/>
    <col min="11" max="11" width="23" customWidth="1"/>
  </cols>
  <sheetData>
    <row r="1" spans="1:26" ht="15.75" customHeight="1" x14ac:dyDescent="0.2">
      <c r="A1" s="67" t="s">
        <v>2591</v>
      </c>
      <c r="B1" s="67" t="s">
        <v>2592</v>
      </c>
      <c r="C1" s="67" t="s">
        <v>2593</v>
      </c>
      <c r="D1" s="67" t="s">
        <v>2594</v>
      </c>
      <c r="E1" s="67" t="s">
        <v>2595</v>
      </c>
      <c r="F1" s="67" t="s">
        <v>2596</v>
      </c>
      <c r="G1" s="67" t="s">
        <v>2597</v>
      </c>
      <c r="H1" s="67" t="s">
        <v>2598</v>
      </c>
      <c r="I1" s="67" t="s">
        <v>2599</v>
      </c>
      <c r="J1" s="67" t="s">
        <v>2600</v>
      </c>
      <c r="K1" s="67" t="s">
        <v>551</v>
      </c>
      <c r="L1" s="67" t="s">
        <v>2601</v>
      </c>
      <c r="M1" s="67" t="s">
        <v>2602</v>
      </c>
      <c r="N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.75" customHeight="1" x14ac:dyDescent="0.2">
      <c r="A2" s="209">
        <v>0.51104957799999995</v>
      </c>
      <c r="B2" s="209">
        <v>1.6670399650000001</v>
      </c>
      <c r="C2" s="209">
        <v>0.116273996</v>
      </c>
      <c r="D2" s="209">
        <v>0.28315673200000002</v>
      </c>
      <c r="E2" s="209">
        <v>0.73894242300000001</v>
      </c>
      <c r="F2" s="209">
        <v>1.327313178</v>
      </c>
      <c r="G2" s="209">
        <v>2.0937200730000001</v>
      </c>
      <c r="H2" s="209">
        <v>4.3952181330000002</v>
      </c>
      <c r="I2" s="210">
        <v>1.11E-5</v>
      </c>
      <c r="J2" s="209">
        <v>16.463486150000001</v>
      </c>
      <c r="K2" s="211" t="s">
        <v>2603</v>
      </c>
      <c r="L2" s="209" t="s">
        <v>2604</v>
      </c>
      <c r="M2" s="212" t="s">
        <v>2605</v>
      </c>
      <c r="N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.75" customHeight="1" x14ac:dyDescent="0.2">
      <c r="A3" s="5">
        <v>1.48690194020628</v>
      </c>
      <c r="B3" s="213">
        <v>4.4233704033675796</v>
      </c>
      <c r="C3" s="5">
        <v>0.16934399601389999</v>
      </c>
      <c r="D3" s="5">
        <v>1.15499380702094</v>
      </c>
      <c r="E3" s="5">
        <v>1.8188100733916099</v>
      </c>
      <c r="F3" s="5">
        <v>3.1740037609279099</v>
      </c>
      <c r="G3" s="5">
        <v>6.1645187590036503</v>
      </c>
      <c r="H3" s="5">
        <v>8.7803640826110705</v>
      </c>
      <c r="I3" s="214">
        <v>1.62946319327165E-18</v>
      </c>
      <c r="J3" s="5">
        <v>59.090308943489802</v>
      </c>
      <c r="K3" s="215" t="s">
        <v>2606</v>
      </c>
      <c r="L3" s="5" t="s">
        <v>2604</v>
      </c>
      <c r="M3" s="212" t="s">
        <v>2605</v>
      </c>
      <c r="N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.75" customHeight="1" x14ac:dyDescent="0.2">
      <c r="A4" s="209">
        <v>1.3220066637269601</v>
      </c>
      <c r="B4" s="216">
        <v>3.7509407070133198</v>
      </c>
      <c r="C4" s="209">
        <v>0.23496479207635301</v>
      </c>
      <c r="D4" s="209">
        <v>0.86148413362236997</v>
      </c>
      <c r="E4" s="209">
        <v>1.7825291938315599</v>
      </c>
      <c r="F4" s="209">
        <v>2.3666705438454398</v>
      </c>
      <c r="G4" s="209">
        <v>5.9448731569831903</v>
      </c>
      <c r="H4" s="209">
        <v>5.6264032242641999</v>
      </c>
      <c r="I4" s="210">
        <v>1.8400594077621401E-8</v>
      </c>
      <c r="J4" s="209">
        <v>25.6956724135229</v>
      </c>
      <c r="K4" s="211" t="s">
        <v>2606</v>
      </c>
      <c r="L4" s="209" t="s">
        <v>2607</v>
      </c>
      <c r="M4" s="212" t="s">
        <v>2605</v>
      </c>
      <c r="N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.75" customHeight="1" x14ac:dyDescent="0.2">
      <c r="A5" s="209">
        <v>0.70354892390636803</v>
      </c>
      <c r="B5" s="209">
        <v>2.0209120590783098</v>
      </c>
      <c r="C5" s="209">
        <v>0.197562387535239</v>
      </c>
      <c r="D5" s="209">
        <v>0.316333759637553</v>
      </c>
      <c r="E5" s="209">
        <v>1.0907640881751799</v>
      </c>
      <c r="F5" s="209">
        <v>1.3720881268482299</v>
      </c>
      <c r="G5" s="209">
        <v>2.9765475486691502</v>
      </c>
      <c r="H5" s="209">
        <v>3.5611481146980699</v>
      </c>
      <c r="I5" s="209">
        <v>3.6923671111301401E-4</v>
      </c>
      <c r="J5" s="209">
        <v>11.403166380445199</v>
      </c>
      <c r="K5" s="211" t="s">
        <v>2608</v>
      </c>
      <c r="L5" s="209" t="s">
        <v>2607</v>
      </c>
      <c r="M5" s="212" t="s">
        <v>2605</v>
      </c>
      <c r="N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 customHeight="1" x14ac:dyDescent="0.2">
      <c r="A6" s="209">
        <v>-8.6975921699708705E-2</v>
      </c>
      <c r="B6" s="209">
        <v>0.91669916792526096</v>
      </c>
      <c r="C6" s="209">
        <v>0.22947935874288899</v>
      </c>
      <c r="D6" s="209">
        <v>-0.53674720003111798</v>
      </c>
      <c r="E6" s="209">
        <v>0.36279535663170098</v>
      </c>
      <c r="F6" s="209">
        <v>0.58464690216107296</v>
      </c>
      <c r="G6" s="209">
        <v>1.4373416866978399</v>
      </c>
      <c r="H6" s="209">
        <v>-0.37901413955560698</v>
      </c>
      <c r="I6" s="209">
        <v>0.70467736398533198</v>
      </c>
      <c r="J6" s="209">
        <v>0.50496522307608105</v>
      </c>
      <c r="K6" s="211" t="s">
        <v>2609</v>
      </c>
      <c r="L6" s="209" t="s">
        <v>2607</v>
      </c>
      <c r="M6" s="212" t="s">
        <v>2605</v>
      </c>
      <c r="N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75" customHeight="1" x14ac:dyDescent="0.2">
      <c r="A7" s="209">
        <v>-5.3606328357388801E-2</v>
      </c>
      <c r="B7" s="209">
        <v>0.94780515708032598</v>
      </c>
      <c r="C7" s="209">
        <v>0.23637894905648599</v>
      </c>
      <c r="D7" s="209">
        <v>-0.51690055521153</v>
      </c>
      <c r="E7" s="209">
        <v>0.40968789849675202</v>
      </c>
      <c r="F7" s="209">
        <v>0.59636609018489595</v>
      </c>
      <c r="G7" s="209">
        <v>1.50634757839692</v>
      </c>
      <c r="H7" s="209">
        <v>-0.226781312681861</v>
      </c>
      <c r="I7" s="209">
        <v>0.82059379546539002</v>
      </c>
      <c r="J7" s="209">
        <v>0.28525984887669598</v>
      </c>
      <c r="K7" s="211" t="s">
        <v>2610</v>
      </c>
      <c r="L7" s="209" t="s">
        <v>2607</v>
      </c>
      <c r="M7" s="212" t="s">
        <v>2605</v>
      </c>
      <c r="N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customHeight="1" x14ac:dyDescent="0.2">
      <c r="A8" s="209">
        <v>0.37673730618325102</v>
      </c>
      <c r="B8" s="209">
        <v>1.4575213772228901</v>
      </c>
      <c r="C8" s="209">
        <v>0.27260261287030901</v>
      </c>
      <c r="D8" s="209">
        <v>-0.15755399713406801</v>
      </c>
      <c r="E8" s="209">
        <v>0.91102860950057196</v>
      </c>
      <c r="F8" s="209">
        <v>0.85423068635422394</v>
      </c>
      <c r="G8" s="209">
        <v>2.4868792458490798</v>
      </c>
      <c r="H8" s="209">
        <v>1.3820018165507599</v>
      </c>
      <c r="I8" s="209">
        <v>0.16697114333955099</v>
      </c>
      <c r="J8" s="209">
        <v>2.58232930331482</v>
      </c>
      <c r="K8" s="211" t="s">
        <v>2611</v>
      </c>
      <c r="L8" s="209" t="s">
        <v>2607</v>
      </c>
      <c r="M8" s="212" t="s">
        <v>2605</v>
      </c>
      <c r="N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 customHeight="1" x14ac:dyDescent="0.2">
      <c r="A9" s="209">
        <v>0.27680662484945701</v>
      </c>
      <c r="B9" s="209">
        <v>1.3189113017021901</v>
      </c>
      <c r="C9" s="209">
        <v>0.20099435794742501</v>
      </c>
      <c r="D9" s="209">
        <v>-0.117135077823249</v>
      </c>
      <c r="E9" s="209">
        <v>0.67074832752216296</v>
      </c>
      <c r="F9" s="209">
        <v>0.88946503804725197</v>
      </c>
      <c r="G9" s="209">
        <v>1.9557002775249901</v>
      </c>
      <c r="H9" s="209">
        <v>1.37718604480361</v>
      </c>
      <c r="I9" s="209">
        <v>0.168454735267281</v>
      </c>
      <c r="J9" s="209">
        <v>2.56956711166006</v>
      </c>
      <c r="K9" s="211" t="s">
        <v>2612</v>
      </c>
      <c r="L9" s="209" t="s">
        <v>2607</v>
      </c>
      <c r="M9" s="212" t="s">
        <v>2605</v>
      </c>
      <c r="N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customHeight="1" x14ac:dyDescent="0.2">
      <c r="A10" s="209">
        <v>-0.16068237390877599</v>
      </c>
      <c r="B10" s="209">
        <v>0.85156250662660105</v>
      </c>
      <c r="C10" s="209">
        <v>0.26570708152342498</v>
      </c>
      <c r="D10" s="209">
        <v>-0.681458684131938</v>
      </c>
      <c r="E10" s="209">
        <v>0.36009393631438402</v>
      </c>
      <c r="F10" s="209">
        <v>0.50587853691541695</v>
      </c>
      <c r="G10" s="209">
        <v>1.4334640625669099</v>
      </c>
      <c r="H10" s="209">
        <v>-0.60473500739049901</v>
      </c>
      <c r="I10" s="209">
        <v>0.54535508370629404</v>
      </c>
      <c r="J10" s="209">
        <v>0.87473221235081</v>
      </c>
      <c r="K10" s="211" t="s">
        <v>2613</v>
      </c>
      <c r="L10" s="209" t="s">
        <v>2607</v>
      </c>
      <c r="M10" s="212" t="s">
        <v>2605</v>
      </c>
      <c r="N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75" customHeight="1" x14ac:dyDescent="0.2">
      <c r="A11" s="209">
        <v>0.417956041449909</v>
      </c>
      <c r="B11" s="209">
        <v>1.5188539063192099</v>
      </c>
      <c r="C11" s="209">
        <v>0.18617291349325199</v>
      </c>
      <c r="D11" s="209">
        <v>5.3063836106244003E-2</v>
      </c>
      <c r="E11" s="209">
        <v>0.78284824679357501</v>
      </c>
      <c r="F11" s="209">
        <v>1.05449695795068</v>
      </c>
      <c r="G11" s="209">
        <v>2.1876944938982299</v>
      </c>
      <c r="H11" s="209">
        <v>2.2449884551280701</v>
      </c>
      <c r="I11" s="209">
        <v>2.4768873716129101E-2</v>
      </c>
      <c r="J11" s="209">
        <v>5.3353279215577301</v>
      </c>
      <c r="K11" s="211" t="s">
        <v>2614</v>
      </c>
      <c r="L11" s="209" t="s">
        <v>2607</v>
      </c>
      <c r="M11" s="212" t="s">
        <v>2605</v>
      </c>
      <c r="N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75" customHeight="1" x14ac:dyDescent="0.2">
      <c r="A12" s="209">
        <v>-0.20041438258762301</v>
      </c>
      <c r="B12" s="209">
        <v>0.81839155559357302</v>
      </c>
      <c r="C12" s="209">
        <v>0.17833330749774501</v>
      </c>
      <c r="D12" s="209">
        <v>-0.54994124252711096</v>
      </c>
      <c r="E12" s="209">
        <v>0.149112477351863</v>
      </c>
      <c r="F12" s="209">
        <v>0.57698371148928995</v>
      </c>
      <c r="G12" s="209">
        <v>1.16080354597549</v>
      </c>
      <c r="H12" s="209">
        <v>-1.1238191305915</v>
      </c>
      <c r="I12" s="209">
        <v>0.261089763986603</v>
      </c>
      <c r="J12" s="209">
        <v>1.9373821969273</v>
      </c>
      <c r="K12" s="211" t="s">
        <v>2615</v>
      </c>
      <c r="L12" s="209" t="s">
        <v>2607</v>
      </c>
      <c r="M12" s="212" t="s">
        <v>2605</v>
      </c>
      <c r="N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75" customHeight="1" x14ac:dyDescent="0.2">
      <c r="A13" s="5">
        <v>0.90722989799156994</v>
      </c>
      <c r="B13" s="5">
        <v>2.4774502294315202</v>
      </c>
      <c r="C13" s="5">
        <v>0.119501666532462</v>
      </c>
      <c r="D13" s="5">
        <v>0.67301093549542801</v>
      </c>
      <c r="E13" s="5">
        <v>1.14144886048771</v>
      </c>
      <c r="F13" s="5">
        <v>1.96013027034486</v>
      </c>
      <c r="G13" s="5">
        <v>3.1313018997611901</v>
      </c>
      <c r="H13" s="5">
        <v>7.59177611757507</v>
      </c>
      <c r="I13" s="214">
        <v>3.1554989287643702E-14</v>
      </c>
      <c r="J13" s="5">
        <v>44.849125194801303</v>
      </c>
      <c r="K13" s="67" t="s">
        <v>2616</v>
      </c>
      <c r="L13" s="5" t="s">
        <v>2604</v>
      </c>
      <c r="M13" s="212" t="s">
        <v>2605</v>
      </c>
    </row>
    <row r="14" spans="1:26" ht="15.75" customHeight="1" x14ac:dyDescent="0.2">
      <c r="A14" s="209">
        <v>0.68054719492776605</v>
      </c>
      <c r="B14" s="209">
        <v>1.97495812367895</v>
      </c>
      <c r="C14" s="209">
        <v>0.15637390348390701</v>
      </c>
      <c r="D14" s="209">
        <v>0.37405997597736501</v>
      </c>
      <c r="E14" s="209">
        <v>0.98703441387816604</v>
      </c>
      <c r="F14" s="209">
        <v>1.4536243303824099</v>
      </c>
      <c r="G14" s="209">
        <v>2.6832652073588998</v>
      </c>
      <c r="H14" s="209">
        <v>4.3520509481801302</v>
      </c>
      <c r="I14" s="210">
        <v>1.3486990956480899E-5</v>
      </c>
      <c r="J14" s="209">
        <v>16.178071965764801</v>
      </c>
      <c r="K14" s="211" t="s">
        <v>2616</v>
      </c>
      <c r="L14" s="209" t="s">
        <v>2607</v>
      </c>
      <c r="M14" s="212" t="s">
        <v>2605</v>
      </c>
    </row>
    <row r="15" spans="1:26" ht="15.75" customHeight="1" x14ac:dyDescent="0.2">
      <c r="A15" s="209">
        <v>0.38016867439673102</v>
      </c>
      <c r="B15" s="209">
        <v>1.46253126020813</v>
      </c>
      <c r="C15" s="209">
        <v>0.14528684781038201</v>
      </c>
      <c r="D15" s="209">
        <v>9.5411685261030194E-2</v>
      </c>
      <c r="E15" s="209">
        <v>0.66492566353243299</v>
      </c>
      <c r="F15" s="209">
        <v>1.10011166166941</v>
      </c>
      <c r="G15" s="209">
        <v>1.9443459801526599</v>
      </c>
      <c r="H15" s="209">
        <v>2.6166764585112299</v>
      </c>
      <c r="I15" s="209">
        <v>8.8790457571574707E-3</v>
      </c>
      <c r="J15" s="209">
        <v>6.8153796481082001</v>
      </c>
      <c r="K15" s="211" t="s">
        <v>2608</v>
      </c>
      <c r="L15" s="209" t="s">
        <v>2607</v>
      </c>
      <c r="M15" s="212" t="s">
        <v>2605</v>
      </c>
    </row>
    <row r="16" spans="1:26" ht="15.75" customHeight="1" x14ac:dyDescent="0.2">
      <c r="A16" s="209">
        <v>-7.9471430886542793E-2</v>
      </c>
      <c r="B16" s="209">
        <v>0.92360440615075801</v>
      </c>
      <c r="C16" s="209">
        <v>0.16358254991458601</v>
      </c>
      <c r="D16" s="209">
        <v>-0.40008733721835799</v>
      </c>
      <c r="E16" s="209">
        <v>0.24114447544527201</v>
      </c>
      <c r="F16" s="209">
        <v>0.67026150470386403</v>
      </c>
      <c r="G16" s="209">
        <v>1.27270489663282</v>
      </c>
      <c r="H16" s="209">
        <v>-0.48581851137568299</v>
      </c>
      <c r="I16" s="209">
        <v>0.62709584838900301</v>
      </c>
      <c r="J16" s="209">
        <v>0.67324212645771997</v>
      </c>
      <c r="K16" s="211" t="s">
        <v>2609</v>
      </c>
      <c r="L16" s="209" t="s">
        <v>2607</v>
      </c>
      <c r="M16" s="212" t="s">
        <v>2605</v>
      </c>
    </row>
    <row r="17" spans="1:13" ht="15.75" customHeight="1" x14ac:dyDescent="0.2">
      <c r="A17" s="209">
        <v>0.181834571991358</v>
      </c>
      <c r="B17" s="209">
        <v>1.1994157605063001</v>
      </c>
      <c r="C17" s="209">
        <v>0.17138859737679801</v>
      </c>
      <c r="D17" s="209">
        <v>-0.154080906228002</v>
      </c>
      <c r="E17" s="209">
        <v>0.51775005021071996</v>
      </c>
      <c r="F17" s="209">
        <v>0.85720266517156196</v>
      </c>
      <c r="G17" s="209">
        <v>1.67824742619413</v>
      </c>
      <c r="H17" s="209">
        <v>1.06094906414103</v>
      </c>
      <c r="I17" s="209">
        <v>0.288713049957391</v>
      </c>
      <c r="J17" s="209">
        <v>1.79229177538652</v>
      </c>
      <c r="K17" s="211" t="s">
        <v>2610</v>
      </c>
      <c r="L17" s="209" t="s">
        <v>2607</v>
      </c>
      <c r="M17" s="212" t="s">
        <v>2605</v>
      </c>
    </row>
    <row r="18" spans="1:13" ht="15.75" customHeight="1" x14ac:dyDescent="0.2">
      <c r="A18" s="209">
        <v>7.6397707929690098E-2</v>
      </c>
      <c r="B18" s="209">
        <v>1.0793917714707899</v>
      </c>
      <c r="C18" s="209">
        <v>0.19514318781186801</v>
      </c>
      <c r="D18" s="209">
        <v>-0.30607591200990703</v>
      </c>
      <c r="E18" s="209">
        <v>0.45887132786928703</v>
      </c>
      <c r="F18" s="209">
        <v>0.73633072098945695</v>
      </c>
      <c r="G18" s="209">
        <v>1.58228709343167</v>
      </c>
      <c r="H18" s="209">
        <v>0.39149564371851298</v>
      </c>
      <c r="I18" s="209">
        <v>0.69543090805520802</v>
      </c>
      <c r="J18" s="209">
        <v>0.52402090658649103</v>
      </c>
      <c r="K18" s="211" t="s">
        <v>2611</v>
      </c>
      <c r="L18" s="209" t="s">
        <v>2607</v>
      </c>
      <c r="M18" s="212" t="s">
        <v>2605</v>
      </c>
    </row>
    <row r="19" spans="1:13" ht="15.75" customHeight="1" x14ac:dyDescent="0.2">
      <c r="A19" s="209">
        <v>0.32013766940081501</v>
      </c>
      <c r="B19" s="209">
        <v>1.3773173657409701</v>
      </c>
      <c r="C19" s="209">
        <v>0.14350599451842999</v>
      </c>
      <c r="D19" s="209">
        <v>3.8871088579089198E-2</v>
      </c>
      <c r="E19" s="209">
        <v>0.60140425022254096</v>
      </c>
      <c r="F19" s="209">
        <v>1.0396364539988501</v>
      </c>
      <c r="G19" s="209">
        <v>1.82467930849773</v>
      </c>
      <c r="H19" s="209">
        <v>2.2308313354791598</v>
      </c>
      <c r="I19" s="209">
        <v>2.56923034424122E-2</v>
      </c>
      <c r="J19" s="209">
        <v>5.28251994897267</v>
      </c>
      <c r="K19" s="211" t="s">
        <v>2612</v>
      </c>
      <c r="L19" s="209" t="s">
        <v>2607</v>
      </c>
      <c r="M19" s="212" t="s">
        <v>2605</v>
      </c>
    </row>
    <row r="20" spans="1:13" ht="15.75" customHeight="1" x14ac:dyDescent="0.2">
      <c r="A20" s="209">
        <v>-0.25275788336410498</v>
      </c>
      <c r="B20" s="209">
        <v>0.77665590037545595</v>
      </c>
      <c r="C20" s="209">
        <v>0.199377954597144</v>
      </c>
      <c r="D20" s="209">
        <v>-0.64353149368577101</v>
      </c>
      <c r="E20" s="209">
        <v>0.13801572695756001</v>
      </c>
      <c r="F20" s="209">
        <v>0.52543357835975601</v>
      </c>
      <c r="G20" s="209">
        <v>1.1479936045789001</v>
      </c>
      <c r="H20" s="209">
        <v>-1.2677323522293</v>
      </c>
      <c r="I20" s="209">
        <v>0.20489354725032599</v>
      </c>
      <c r="J20" s="209">
        <v>2.2870535448795501</v>
      </c>
      <c r="K20" s="211" t="s">
        <v>2613</v>
      </c>
      <c r="L20" s="209" t="s">
        <v>2607</v>
      </c>
      <c r="M20" s="212" t="s">
        <v>2605</v>
      </c>
    </row>
    <row r="21" spans="1:13" ht="15.75" customHeight="1" x14ac:dyDescent="0.2">
      <c r="A21" s="209">
        <v>0.40084054287358101</v>
      </c>
      <c r="B21" s="209">
        <v>1.49307916740345</v>
      </c>
      <c r="C21" s="209">
        <v>0.14190491913910999</v>
      </c>
      <c r="D21" s="209">
        <v>0.12271201213185599</v>
      </c>
      <c r="E21" s="209">
        <v>0.67896907361530501</v>
      </c>
      <c r="F21" s="209">
        <v>1.13055878684557</v>
      </c>
      <c r="G21" s="209">
        <v>1.9718438581634801</v>
      </c>
      <c r="H21" s="209">
        <v>2.8247121051570701</v>
      </c>
      <c r="I21" s="209">
        <v>4.7323115146428799E-3</v>
      </c>
      <c r="J21" s="209">
        <v>7.72323923933644</v>
      </c>
      <c r="K21" s="211" t="s">
        <v>2614</v>
      </c>
      <c r="L21" s="209" t="s">
        <v>2607</v>
      </c>
      <c r="M21" s="212" t="s">
        <v>2605</v>
      </c>
    </row>
    <row r="22" spans="1:13" ht="15.75" customHeight="1" x14ac:dyDescent="0.2">
      <c r="A22" s="209">
        <v>-8.4733415381729196E-2</v>
      </c>
      <c r="B22" s="209">
        <v>0.91875717828919301</v>
      </c>
      <c r="C22" s="209">
        <v>0.139440551585824</v>
      </c>
      <c r="D22" s="209">
        <v>-0.35803187447434498</v>
      </c>
      <c r="E22" s="209">
        <v>0.188565043710887</v>
      </c>
      <c r="F22" s="209">
        <v>0.69905079277484905</v>
      </c>
      <c r="G22" s="209">
        <v>1.2075156217293499</v>
      </c>
      <c r="H22" s="209">
        <v>-0.607666954971676</v>
      </c>
      <c r="I22" s="209">
        <v>0.54340838393916102</v>
      </c>
      <c r="J22" s="209">
        <v>0.87989127063379702</v>
      </c>
      <c r="K22" s="211" t="s">
        <v>2615</v>
      </c>
      <c r="L22" s="209" t="s">
        <v>2607</v>
      </c>
      <c r="M22" s="212" t="s">
        <v>2605</v>
      </c>
    </row>
    <row r="23" spans="1:13" ht="15.75" customHeight="1" x14ac:dyDescent="0.2">
      <c r="A23" s="5">
        <v>0.73541099042931002</v>
      </c>
      <c r="B23" s="5">
        <v>2.0863392818012199</v>
      </c>
      <c r="C23" s="5">
        <v>0.11950736594535299</v>
      </c>
      <c r="D23" s="5">
        <v>0.50118085728916795</v>
      </c>
      <c r="E23" s="5">
        <v>0.96964112356945098</v>
      </c>
      <c r="F23" s="5">
        <v>1.6506693251912401</v>
      </c>
      <c r="G23" s="5">
        <v>2.6369979331157301</v>
      </c>
      <c r="H23" s="5">
        <v>6.1536875540005402</v>
      </c>
      <c r="I23" s="214">
        <v>7.5701755108925395E-10</v>
      </c>
      <c r="J23" s="5">
        <v>30.2989542000815</v>
      </c>
      <c r="K23" s="67" t="s">
        <v>2603</v>
      </c>
      <c r="L23" s="5" t="s">
        <v>2604</v>
      </c>
      <c r="M23" s="217" t="s">
        <v>614</v>
      </c>
    </row>
    <row r="24" spans="1:13" ht="15.75" customHeight="1" x14ac:dyDescent="0.2">
      <c r="A24" s="209">
        <v>1.56892439629765</v>
      </c>
      <c r="B24" s="216">
        <v>4.8014809246471604</v>
      </c>
      <c r="C24" s="209">
        <v>0.157468750038436</v>
      </c>
      <c r="D24" s="209">
        <v>1.26029131753177</v>
      </c>
      <c r="E24" s="209">
        <v>1.87755747506353</v>
      </c>
      <c r="F24" s="209">
        <v>3.5264486540601299</v>
      </c>
      <c r="G24" s="209">
        <v>6.5375172961067696</v>
      </c>
      <c r="H24" s="209">
        <v>9.9634016013634206</v>
      </c>
      <c r="I24" s="210">
        <v>2.2039028901053099E-23</v>
      </c>
      <c r="J24" s="209">
        <v>75.264285526127296</v>
      </c>
      <c r="K24" s="211" t="s">
        <v>2606</v>
      </c>
      <c r="L24" s="209" t="s">
        <v>2604</v>
      </c>
      <c r="M24" s="217" t="s">
        <v>614</v>
      </c>
    </row>
    <row r="25" spans="1:13" ht="15.75" customHeight="1" x14ac:dyDescent="0.2">
      <c r="A25" s="5">
        <v>1.2087442353739599</v>
      </c>
      <c r="B25" s="213">
        <v>3.3492761081720399</v>
      </c>
      <c r="C25" s="5">
        <v>0.23563342799048601</v>
      </c>
      <c r="D25" s="5">
        <v>0.74691120295890301</v>
      </c>
      <c r="E25" s="5">
        <v>1.67057726778903</v>
      </c>
      <c r="F25" s="5">
        <v>2.1104711216319401</v>
      </c>
      <c r="G25" s="5">
        <v>5.3152352258191202</v>
      </c>
      <c r="H25" s="5">
        <v>5.1297655247063201</v>
      </c>
      <c r="I25" s="214">
        <v>2.9010330243195498E-7</v>
      </c>
      <c r="J25" s="5">
        <v>21.7169299454591</v>
      </c>
      <c r="K25" s="67" t="s">
        <v>2606</v>
      </c>
      <c r="L25" s="1" t="s">
        <v>2607</v>
      </c>
      <c r="M25" s="217" t="s">
        <v>614</v>
      </c>
    </row>
    <row r="26" spans="1:13" ht="15.75" customHeight="1" x14ac:dyDescent="0.2">
      <c r="A26" s="5">
        <v>0.63343550747362198</v>
      </c>
      <c r="B26" s="5">
        <v>1.88407221758993</v>
      </c>
      <c r="C26" s="5">
        <v>0.192211275838233</v>
      </c>
      <c r="D26" s="5">
        <v>0.25670832940819099</v>
      </c>
      <c r="E26" s="5">
        <v>1.01016268553905</v>
      </c>
      <c r="F26" s="5">
        <v>1.2926680385174401</v>
      </c>
      <c r="G26" s="5">
        <v>2.74604772093338</v>
      </c>
      <c r="H26" s="5">
        <v>3.29551689780534</v>
      </c>
      <c r="I26" s="5">
        <v>9.8240795092534891E-4</v>
      </c>
      <c r="J26" s="5">
        <v>9.9913901426258107</v>
      </c>
      <c r="K26" s="67" t="s">
        <v>2608</v>
      </c>
      <c r="L26" s="1" t="s">
        <v>2607</v>
      </c>
      <c r="M26" s="217" t="s">
        <v>614</v>
      </c>
    </row>
    <row r="27" spans="1:13" ht="15.75" customHeight="1" x14ac:dyDescent="0.2">
      <c r="A27" s="5">
        <v>0.12175424395353</v>
      </c>
      <c r="B27" s="5">
        <v>1.1294764919923199</v>
      </c>
      <c r="C27" s="5">
        <v>0.22833307924549501</v>
      </c>
      <c r="D27" s="5">
        <v>-0.32577036784676999</v>
      </c>
      <c r="E27" s="5">
        <v>0.56927885575383197</v>
      </c>
      <c r="F27" s="5">
        <v>0.72197095614330198</v>
      </c>
      <c r="G27" s="5">
        <v>1.7669923355061701</v>
      </c>
      <c r="H27" s="5">
        <v>0.53323085886572297</v>
      </c>
      <c r="I27" s="5">
        <v>0.59387378252263801</v>
      </c>
      <c r="J27" s="5">
        <v>0.75177175086075998</v>
      </c>
      <c r="K27" s="67" t="s">
        <v>2609</v>
      </c>
      <c r="L27" s="1" t="s">
        <v>2607</v>
      </c>
      <c r="M27" s="217" t="s">
        <v>614</v>
      </c>
    </row>
    <row r="28" spans="1:13" ht="15.75" customHeight="1" x14ac:dyDescent="0.2">
      <c r="A28" s="5">
        <v>0.17401049484415701</v>
      </c>
      <c r="B28" s="5">
        <v>1.1900680553336001</v>
      </c>
      <c r="C28" s="5">
        <v>0.245417142730116</v>
      </c>
      <c r="D28" s="5">
        <v>-0.306998266095596</v>
      </c>
      <c r="E28" s="5">
        <v>0.65501925578391196</v>
      </c>
      <c r="F28" s="5">
        <v>0.73565187645617502</v>
      </c>
      <c r="G28" s="5">
        <v>1.9251795878615801</v>
      </c>
      <c r="H28" s="5">
        <v>0.70903969017158697</v>
      </c>
      <c r="I28" s="5">
        <v>0.47829984702698097</v>
      </c>
      <c r="J28" s="5">
        <v>1.0640127649753299</v>
      </c>
      <c r="K28" s="67" t="s">
        <v>2610</v>
      </c>
      <c r="L28" s="1" t="s">
        <v>2607</v>
      </c>
      <c r="M28" s="217" t="s">
        <v>614</v>
      </c>
    </row>
    <row r="29" spans="1:13" ht="15.75" customHeight="1" x14ac:dyDescent="0.2">
      <c r="A29" s="5">
        <v>0.93282640042309095</v>
      </c>
      <c r="B29" s="5">
        <v>2.5416828484873899</v>
      </c>
      <c r="C29" s="5">
        <v>0.25938343118138601</v>
      </c>
      <c r="D29" s="5">
        <v>0.42444421712114999</v>
      </c>
      <c r="E29" s="5">
        <v>1.4412085837250299</v>
      </c>
      <c r="F29" s="5">
        <v>1.5287405356938299</v>
      </c>
      <c r="G29" s="5">
        <v>4.2257999650431204</v>
      </c>
      <c r="H29" s="5">
        <v>3.5963222329755</v>
      </c>
      <c r="I29" s="5">
        <v>3.2274796312546102E-4</v>
      </c>
      <c r="J29" s="5">
        <v>11.597304388890899</v>
      </c>
      <c r="K29" s="67" t="s">
        <v>2611</v>
      </c>
      <c r="L29" s="1" t="s">
        <v>2607</v>
      </c>
      <c r="M29" s="217" t="s">
        <v>614</v>
      </c>
    </row>
    <row r="30" spans="1:13" ht="15.75" customHeight="1" x14ac:dyDescent="0.2">
      <c r="A30" s="5">
        <v>3.6130306234534698E-2</v>
      </c>
      <c r="B30" s="5">
        <v>1.03679093801223</v>
      </c>
      <c r="C30" s="5">
        <v>0.207364994553145</v>
      </c>
      <c r="D30" s="5">
        <v>-0.37029761474397499</v>
      </c>
      <c r="E30" s="5">
        <v>0.442558227213044</v>
      </c>
      <c r="F30" s="5">
        <v>0.69052878850408805</v>
      </c>
      <c r="G30" s="5">
        <v>1.5566844815738099</v>
      </c>
      <c r="H30" s="5">
        <v>0.17423532024965199</v>
      </c>
      <c r="I30" s="5">
        <v>0.86168052850584398</v>
      </c>
      <c r="J30" s="5">
        <v>0.21477501138506799</v>
      </c>
      <c r="K30" s="67" t="s">
        <v>2612</v>
      </c>
      <c r="L30" s="1" t="s">
        <v>2607</v>
      </c>
      <c r="M30" s="217" t="s">
        <v>614</v>
      </c>
    </row>
    <row r="31" spans="1:13" ht="15.75" customHeight="1" x14ac:dyDescent="0.2">
      <c r="A31" s="5">
        <v>0.95622181114766003</v>
      </c>
      <c r="B31" s="5">
        <v>2.6018476080739701</v>
      </c>
      <c r="C31" s="5">
        <v>0.232339267984467</v>
      </c>
      <c r="D31" s="5">
        <v>0.50084521370370405</v>
      </c>
      <c r="E31" s="5">
        <v>1.41159840859161</v>
      </c>
      <c r="F31" s="5">
        <v>1.65011538158953</v>
      </c>
      <c r="G31" s="5">
        <v>4.1025076495676398</v>
      </c>
      <c r="H31" s="5">
        <v>4.1156272008724102</v>
      </c>
      <c r="I31" s="214">
        <v>3.8612797768205401E-5</v>
      </c>
      <c r="J31" s="5">
        <v>14.6605613829883</v>
      </c>
      <c r="K31" s="67" t="s">
        <v>2613</v>
      </c>
      <c r="L31" s="1" t="s">
        <v>2607</v>
      </c>
      <c r="M31" s="217" t="s">
        <v>614</v>
      </c>
    </row>
    <row r="32" spans="1:13" ht="15.75" customHeight="1" x14ac:dyDescent="0.2">
      <c r="A32" s="5">
        <v>0.23203813964976699</v>
      </c>
      <c r="B32" s="5">
        <v>1.26116782841034</v>
      </c>
      <c r="C32" s="5">
        <v>0.1951454024183</v>
      </c>
      <c r="D32" s="5">
        <v>-0.15043982083867699</v>
      </c>
      <c r="E32" s="5">
        <v>0.61451610013821301</v>
      </c>
      <c r="F32" s="5">
        <v>0.86032950235750105</v>
      </c>
      <c r="G32" s="5">
        <v>1.8487617675074599</v>
      </c>
      <c r="H32" s="5">
        <v>1.1890525565772001</v>
      </c>
      <c r="I32" s="5">
        <v>0.23441898610121401</v>
      </c>
      <c r="J32" s="5">
        <v>2.09283867340022</v>
      </c>
      <c r="K32" s="67" t="s">
        <v>2614</v>
      </c>
      <c r="L32" s="1" t="s">
        <v>2607</v>
      </c>
      <c r="M32" s="217" t="s">
        <v>614</v>
      </c>
    </row>
    <row r="33" spans="1:13" ht="15.75" customHeight="1" x14ac:dyDescent="0.2">
      <c r="A33" s="5">
        <v>0.22447497589063201</v>
      </c>
      <c r="B33" s="5">
        <v>1.25166538914452</v>
      </c>
      <c r="C33" s="5">
        <v>0.185108950750001</v>
      </c>
      <c r="D33" s="5">
        <v>-0.138331900795369</v>
      </c>
      <c r="E33" s="5">
        <v>0.58728185257663401</v>
      </c>
      <c r="F33" s="5">
        <v>0.87080962137116003</v>
      </c>
      <c r="G33" s="5">
        <v>1.7990915671274701</v>
      </c>
      <c r="H33" s="5">
        <v>1.2126640823208801</v>
      </c>
      <c r="I33" s="5">
        <v>0.22525827748456301</v>
      </c>
      <c r="J33" s="5">
        <v>2.1503479736808799</v>
      </c>
      <c r="K33" s="67" t="s">
        <v>2615</v>
      </c>
      <c r="L33" s="1" t="s">
        <v>2607</v>
      </c>
      <c r="M33" s="217" t="s">
        <v>614</v>
      </c>
    </row>
    <row r="34" spans="1:13" ht="15.75" customHeight="1" x14ac:dyDescent="0.2">
      <c r="A34" s="209">
        <v>1.0789279128865401</v>
      </c>
      <c r="B34" s="209">
        <v>2.9415242897252898</v>
      </c>
      <c r="C34" s="209">
        <v>0.12168299494146</v>
      </c>
      <c r="D34" s="209">
        <v>0.84043362527030996</v>
      </c>
      <c r="E34" s="209">
        <v>1.31742220050277</v>
      </c>
      <c r="F34" s="209">
        <v>2.3173716298432701</v>
      </c>
      <c r="G34" s="209">
        <v>3.73378401444789</v>
      </c>
      <c r="H34" s="209">
        <v>8.8667106969678997</v>
      </c>
      <c r="I34" s="210">
        <v>7.5338315519002301E-19</v>
      </c>
      <c r="J34" s="209">
        <v>60.203250026271498</v>
      </c>
      <c r="K34" s="211" t="s">
        <v>2616</v>
      </c>
      <c r="L34" s="209" t="s">
        <v>2604</v>
      </c>
      <c r="M34" s="217" t="s">
        <v>614</v>
      </c>
    </row>
    <row r="35" spans="1:13" ht="15.75" customHeight="1" x14ac:dyDescent="0.2">
      <c r="A35" s="5">
        <v>0.72379825562595501</v>
      </c>
      <c r="B35" s="5">
        <v>2.0622513113176502</v>
      </c>
      <c r="C35" s="5">
        <v>0.155828539224556</v>
      </c>
      <c r="D35" s="5">
        <v>0.418379930982336</v>
      </c>
      <c r="E35" s="5">
        <v>1.0292165802695701</v>
      </c>
      <c r="F35" s="5">
        <v>1.5194978690662799</v>
      </c>
      <c r="G35" s="5">
        <v>2.7988722838056699</v>
      </c>
      <c r="H35" s="5">
        <v>4.6448375838454403</v>
      </c>
      <c r="I35" s="214">
        <v>3.4034409974456201E-6</v>
      </c>
      <c r="J35" s="5">
        <v>18.164574470149599</v>
      </c>
      <c r="K35" s="67" t="s">
        <v>2616</v>
      </c>
      <c r="L35" s="1" t="s">
        <v>2607</v>
      </c>
      <c r="M35" s="217" t="s">
        <v>614</v>
      </c>
    </row>
    <row r="36" spans="1:13" ht="15.75" customHeight="1" x14ac:dyDescent="0.2">
      <c r="A36" s="5">
        <v>0.49647272287509497</v>
      </c>
      <c r="B36" s="5">
        <v>1.6429160182626299</v>
      </c>
      <c r="C36" s="5">
        <v>0.144099969441319</v>
      </c>
      <c r="D36" s="5">
        <v>0.21404197259678601</v>
      </c>
      <c r="E36" s="5">
        <v>0.77890347315340303</v>
      </c>
      <c r="F36" s="5">
        <v>1.2386746440937599</v>
      </c>
      <c r="G36" s="5">
        <v>2.1790815335843798</v>
      </c>
      <c r="H36" s="5">
        <v>3.4453353793199</v>
      </c>
      <c r="I36" s="5">
        <v>5.7035125582082804E-4</v>
      </c>
      <c r="J36" s="5">
        <v>10.775861690177299</v>
      </c>
      <c r="K36" s="67" t="s">
        <v>2608</v>
      </c>
      <c r="L36" s="1" t="s">
        <v>2607</v>
      </c>
      <c r="M36" s="217" t="s">
        <v>614</v>
      </c>
    </row>
    <row r="37" spans="1:13" ht="15.75" customHeight="1" x14ac:dyDescent="0.2">
      <c r="A37" s="5">
        <v>0.13224542006576601</v>
      </c>
      <c r="B37" s="5">
        <v>1.14138840451386</v>
      </c>
      <c r="C37" s="5">
        <v>0.15938721145997101</v>
      </c>
      <c r="D37" s="5">
        <v>-0.18014777399204601</v>
      </c>
      <c r="E37" s="5">
        <v>0.44463861412357902</v>
      </c>
      <c r="F37" s="5">
        <v>0.83514678931720598</v>
      </c>
      <c r="G37" s="5">
        <v>1.55992635860314</v>
      </c>
      <c r="H37" s="5">
        <v>0.82971161145496897</v>
      </c>
      <c r="I37" s="5">
        <v>0.4067018548704</v>
      </c>
      <c r="J37" s="5">
        <v>1.2979565242834601</v>
      </c>
      <c r="K37" s="67" t="s">
        <v>2609</v>
      </c>
      <c r="L37" s="1" t="s">
        <v>2607</v>
      </c>
      <c r="M37" s="217" t="s">
        <v>614</v>
      </c>
    </row>
    <row r="38" spans="1:13" ht="15.75" customHeight="1" x14ac:dyDescent="0.2">
      <c r="A38" s="5">
        <v>0.27608348851375603</v>
      </c>
      <c r="B38" s="5">
        <v>1.3179578937798699</v>
      </c>
      <c r="C38" s="5">
        <v>0.176602748585659</v>
      </c>
      <c r="D38" s="5">
        <v>-7.0051538284917406E-2</v>
      </c>
      <c r="E38" s="5">
        <v>0.62221851531243</v>
      </c>
      <c r="F38" s="5">
        <v>0.93234576716589102</v>
      </c>
      <c r="G38" s="5">
        <v>1.8630566802022199</v>
      </c>
      <c r="H38" s="5">
        <v>1.5633023309365099</v>
      </c>
      <c r="I38" s="5">
        <v>0.117981500313513</v>
      </c>
      <c r="J38" s="5">
        <v>3.08336743443849</v>
      </c>
      <c r="K38" s="67" t="s">
        <v>2610</v>
      </c>
      <c r="L38" s="1" t="s">
        <v>2607</v>
      </c>
      <c r="M38" s="217" t="s">
        <v>614</v>
      </c>
    </row>
    <row r="39" spans="1:13" ht="15.75" customHeight="1" x14ac:dyDescent="0.2">
      <c r="A39" s="5">
        <v>0.61854294485572803</v>
      </c>
      <c r="B39" s="5">
        <v>1.85622145348323</v>
      </c>
      <c r="C39" s="5">
        <v>0.18214534650570299</v>
      </c>
      <c r="D39" s="5">
        <v>0.26154462575297999</v>
      </c>
      <c r="E39" s="5">
        <v>0.97554126395847596</v>
      </c>
      <c r="F39" s="5">
        <v>1.2989349062268001</v>
      </c>
      <c r="G39" s="5">
        <v>2.6526025806637001</v>
      </c>
      <c r="H39" s="5">
        <v>3.3958756384498598</v>
      </c>
      <c r="I39" s="5">
        <v>6.8409433690301005E-4</v>
      </c>
      <c r="J39" s="5">
        <v>10.5135170924534</v>
      </c>
      <c r="K39" s="67" t="s">
        <v>2611</v>
      </c>
      <c r="L39" s="1" t="s">
        <v>2607</v>
      </c>
      <c r="M39" s="217" t="s">
        <v>614</v>
      </c>
    </row>
    <row r="40" spans="1:13" ht="15.75" customHeight="1" x14ac:dyDescent="0.2">
      <c r="A40" s="5">
        <v>0.18646360424575101</v>
      </c>
      <c r="B40" s="5">
        <v>1.20498076510379</v>
      </c>
      <c r="C40" s="5">
        <v>0.152124128640682</v>
      </c>
      <c r="D40" s="5">
        <v>-0.111694209069523</v>
      </c>
      <c r="E40" s="5">
        <v>0.484621417561026</v>
      </c>
      <c r="F40" s="5">
        <v>0.89431768993019201</v>
      </c>
      <c r="G40" s="5">
        <v>1.6235602410855401</v>
      </c>
      <c r="H40" s="5">
        <v>1.2257332608042599</v>
      </c>
      <c r="I40" s="5">
        <v>0.22029906934163901</v>
      </c>
      <c r="J40" s="5">
        <v>2.1824646945332602</v>
      </c>
      <c r="K40" s="67" t="s">
        <v>2612</v>
      </c>
      <c r="L40" s="1" t="s">
        <v>2607</v>
      </c>
      <c r="M40" s="217" t="s">
        <v>614</v>
      </c>
    </row>
    <row r="41" spans="1:13" ht="15.75" customHeight="1" x14ac:dyDescent="0.2">
      <c r="A41" s="5">
        <v>0.52066363265567295</v>
      </c>
      <c r="B41" s="5">
        <v>1.68314426864638</v>
      </c>
      <c r="C41" s="5">
        <v>0.178628634324451</v>
      </c>
      <c r="D41" s="5">
        <v>0.17055794277217201</v>
      </c>
      <c r="E41" s="5">
        <v>0.87076932253917305</v>
      </c>
      <c r="F41" s="5">
        <v>1.18596636812207</v>
      </c>
      <c r="G41" s="5">
        <v>2.3887478643792099</v>
      </c>
      <c r="H41" s="5">
        <v>2.9147825858085401</v>
      </c>
      <c r="I41" s="5">
        <v>3.5593640840226801E-3</v>
      </c>
      <c r="J41" s="5">
        <v>8.1341647723401493</v>
      </c>
      <c r="K41" s="67" t="s">
        <v>2613</v>
      </c>
      <c r="L41" s="1" t="s">
        <v>2607</v>
      </c>
      <c r="M41" s="217" t="s">
        <v>614</v>
      </c>
    </row>
    <row r="42" spans="1:13" ht="12.75" x14ac:dyDescent="0.2">
      <c r="A42" s="5">
        <v>0.216564472163466</v>
      </c>
      <c r="B42" s="5">
        <v>1.24180314450833</v>
      </c>
      <c r="C42" s="5">
        <v>0.146135447328928</v>
      </c>
      <c r="D42" s="5">
        <v>-6.9855741465883497E-2</v>
      </c>
      <c r="E42" s="5">
        <v>0.50298468579281597</v>
      </c>
      <c r="F42" s="5">
        <v>0.93252833537389601</v>
      </c>
      <c r="G42" s="5">
        <v>1.6536495366572299</v>
      </c>
      <c r="H42" s="5">
        <v>1.4819434717711699</v>
      </c>
      <c r="I42" s="5">
        <v>0.138355336699097</v>
      </c>
      <c r="J42" s="5">
        <v>2.8535498016382101</v>
      </c>
      <c r="K42" s="67" t="s">
        <v>2614</v>
      </c>
      <c r="L42" s="1" t="s">
        <v>2607</v>
      </c>
      <c r="M42" s="217" t="s">
        <v>614</v>
      </c>
    </row>
    <row r="43" spans="1:13" ht="12.75" x14ac:dyDescent="0.2">
      <c r="A43" s="5">
        <v>0.12648136092683901</v>
      </c>
      <c r="B43" s="5">
        <v>1.1348282988312499</v>
      </c>
      <c r="C43" s="5">
        <v>0.14283508580749801</v>
      </c>
      <c r="D43" s="5">
        <v>-0.153470262984546</v>
      </c>
      <c r="E43" s="5">
        <v>0.40643298483822499</v>
      </c>
      <c r="F43" s="5">
        <v>0.85772627003893898</v>
      </c>
      <c r="G43" s="5">
        <v>1.50145251791084</v>
      </c>
      <c r="H43" s="5">
        <v>0.88550624807479505</v>
      </c>
      <c r="I43" s="5">
        <v>0.375883651257225</v>
      </c>
      <c r="J43" s="5">
        <v>1.4116419269473699</v>
      </c>
      <c r="K43" s="67" t="s">
        <v>2615</v>
      </c>
      <c r="L43" s="1" t="s">
        <v>2607</v>
      </c>
      <c r="M43" s="217" t="s">
        <v>614</v>
      </c>
    </row>
    <row r="44" spans="1:13" ht="12.75" x14ac:dyDescent="0.2">
      <c r="A44" s="209">
        <v>0.32107472573067403</v>
      </c>
      <c r="B44" s="209">
        <v>1.37860859457936</v>
      </c>
      <c r="C44" s="209">
        <v>0.46148064218741602</v>
      </c>
      <c r="D44" s="209">
        <v>-0.58341071251907595</v>
      </c>
      <c r="E44" s="209">
        <v>1.2255601639804199</v>
      </c>
      <c r="F44" s="209">
        <v>0.55799196713543597</v>
      </c>
      <c r="G44" s="209">
        <v>3.4060735081994098</v>
      </c>
      <c r="H44" s="209">
        <v>0.69574906589533503</v>
      </c>
      <c r="I44" s="209">
        <v>0.48658599193924101</v>
      </c>
      <c r="J44" s="209">
        <v>1.03923330697987</v>
      </c>
      <c r="K44" s="211" t="s">
        <v>2617</v>
      </c>
      <c r="L44" s="209" t="s">
        <v>2604</v>
      </c>
      <c r="M44" s="217" t="s">
        <v>614</v>
      </c>
    </row>
    <row r="45" spans="1:13" ht="12.75" x14ac:dyDescent="0.2">
      <c r="A45" s="5">
        <v>1.31122762620496</v>
      </c>
      <c r="B45" s="5">
        <v>3.7107263020470098</v>
      </c>
      <c r="C45" s="5">
        <v>0.57769968424444296</v>
      </c>
      <c r="D45" s="5">
        <v>0.17895705120569899</v>
      </c>
      <c r="E45" s="5">
        <v>2.4434982012042301</v>
      </c>
      <c r="F45" s="5">
        <v>1.1959693776220299</v>
      </c>
      <c r="G45" s="5">
        <v>11.513246029828601</v>
      </c>
      <c r="H45" s="5">
        <v>2.2697392121996498</v>
      </c>
      <c r="I45" s="5">
        <v>2.3223410745806701E-2</v>
      </c>
      <c r="J45" s="5">
        <v>5.4282763181439204</v>
      </c>
      <c r="K45" s="67" t="s">
        <v>2617</v>
      </c>
      <c r="L45" s="1" t="s">
        <v>2607</v>
      </c>
      <c r="M45" s="217" t="s">
        <v>614</v>
      </c>
    </row>
    <row r="46" spans="1:13" ht="12.75" x14ac:dyDescent="0.2">
      <c r="A46" s="5">
        <v>1.09821021686854E-2</v>
      </c>
      <c r="B46" s="5">
        <v>1.01104262681239</v>
      </c>
      <c r="C46" s="5">
        <v>0.29231285944511798</v>
      </c>
      <c r="D46" s="5">
        <v>-0.56194057456166502</v>
      </c>
      <c r="E46" s="5">
        <v>0.58390477889903603</v>
      </c>
      <c r="F46" s="5">
        <v>0.57010166491274195</v>
      </c>
      <c r="G46" s="5">
        <v>1.7930261497976201</v>
      </c>
      <c r="H46" s="5">
        <v>3.7569685403277001E-2</v>
      </c>
      <c r="I46" s="5">
        <v>0.97003077839408103</v>
      </c>
      <c r="J46" s="5">
        <v>4.3897571162803802E-2</v>
      </c>
      <c r="K46" s="67" t="s">
        <v>2608</v>
      </c>
      <c r="L46" s="1" t="s">
        <v>2607</v>
      </c>
      <c r="M46" s="217" t="s">
        <v>614</v>
      </c>
    </row>
    <row r="47" spans="1:13" ht="12.75" x14ac:dyDescent="0.2">
      <c r="A47" s="5">
        <v>0.864850393969954</v>
      </c>
      <c r="B47" s="5">
        <v>2.3746507973225799</v>
      </c>
      <c r="C47" s="5">
        <v>0.30535989908142802</v>
      </c>
      <c r="D47" s="5">
        <v>0.266355989447568</v>
      </c>
      <c r="E47" s="5">
        <v>1.46334479849234</v>
      </c>
      <c r="F47" s="5">
        <v>1.3051996132830499</v>
      </c>
      <c r="G47" s="5">
        <v>4.3203862090034599</v>
      </c>
      <c r="H47" s="5">
        <v>2.8322330357442498</v>
      </c>
      <c r="I47" s="5">
        <v>4.6224147125673602E-3</v>
      </c>
      <c r="J47" s="5">
        <v>7.7571375837219003</v>
      </c>
      <c r="K47" s="67" t="s">
        <v>2609</v>
      </c>
      <c r="L47" s="1" t="s">
        <v>2607</v>
      </c>
      <c r="M47" s="217" t="s">
        <v>614</v>
      </c>
    </row>
    <row r="48" spans="1:13" ht="12.75" x14ac:dyDescent="0.2">
      <c r="A48" s="5">
        <v>0.58467279576044195</v>
      </c>
      <c r="B48" s="5">
        <v>1.7944037530571599</v>
      </c>
      <c r="C48" s="5">
        <v>0.41676956598086001</v>
      </c>
      <c r="D48" s="5">
        <v>-0.232180543414434</v>
      </c>
      <c r="E48" s="5">
        <v>1.4015261349353101</v>
      </c>
      <c r="F48" s="5">
        <v>0.79280297502874697</v>
      </c>
      <c r="G48" s="5">
        <v>4.0613934740455298</v>
      </c>
      <c r="H48" s="5">
        <v>1.4028682597886499</v>
      </c>
      <c r="I48" s="5">
        <v>0.16065612731085799</v>
      </c>
      <c r="J48" s="5">
        <v>2.63795208966213</v>
      </c>
      <c r="K48" s="67" t="s">
        <v>2610</v>
      </c>
      <c r="L48" s="1" t="s">
        <v>2607</v>
      </c>
      <c r="M48" s="217" t="s">
        <v>614</v>
      </c>
    </row>
    <row r="49" spans="1:13" ht="12.75" x14ac:dyDescent="0.2">
      <c r="A49" s="5">
        <v>1.29788988093239</v>
      </c>
      <c r="B49" s="5">
        <v>3.66156217797311</v>
      </c>
      <c r="C49" s="5">
        <v>0.44267987035671202</v>
      </c>
      <c r="D49" s="5">
        <v>0.43025327835237498</v>
      </c>
      <c r="E49" s="5">
        <v>2.1655264835124002</v>
      </c>
      <c r="F49" s="5">
        <v>1.53764692691266</v>
      </c>
      <c r="G49" s="5">
        <v>8.7191912190676195</v>
      </c>
      <c r="H49" s="5">
        <v>2.9318927013476999</v>
      </c>
      <c r="I49" s="5">
        <v>3.3690312455847602E-3</v>
      </c>
      <c r="J49" s="5">
        <v>8.2134504760773996</v>
      </c>
      <c r="K49" s="67" t="s">
        <v>2611</v>
      </c>
      <c r="L49" s="1" t="s">
        <v>2607</v>
      </c>
      <c r="M49" s="217" t="s">
        <v>614</v>
      </c>
    </row>
    <row r="50" spans="1:13" ht="12.75" x14ac:dyDescent="0.2">
      <c r="A50" s="5">
        <v>-0.21992461631797999</v>
      </c>
      <c r="B50" s="5">
        <v>0.80257929706465203</v>
      </c>
      <c r="C50" s="5">
        <v>0.29072734788867299</v>
      </c>
      <c r="D50" s="5">
        <v>-0.78973974750062703</v>
      </c>
      <c r="E50" s="5">
        <v>0.34989051486466499</v>
      </c>
      <c r="F50" s="5">
        <v>0.45396292489575202</v>
      </c>
      <c r="G50" s="5">
        <v>1.41891219029551</v>
      </c>
      <c r="H50" s="5">
        <v>-0.75646346281188204</v>
      </c>
      <c r="I50" s="5">
        <v>0.44937137066125299</v>
      </c>
      <c r="J50" s="5">
        <v>1.15401988118556</v>
      </c>
      <c r="K50" s="67" t="s">
        <v>2612</v>
      </c>
      <c r="L50" s="1" t="s">
        <v>2607</v>
      </c>
      <c r="M50" s="217" t="s">
        <v>614</v>
      </c>
    </row>
    <row r="51" spans="1:13" ht="12.75" x14ac:dyDescent="0.2">
      <c r="A51" s="5">
        <v>0.50655358727745603</v>
      </c>
      <c r="B51" s="5">
        <v>1.6595617927981501</v>
      </c>
      <c r="C51" s="5">
        <v>0.387836247962905</v>
      </c>
      <c r="D51" s="5">
        <v>-0.25359149062898301</v>
      </c>
      <c r="E51" s="5">
        <v>1.2666986651838901</v>
      </c>
      <c r="F51" s="5">
        <v>0.77600874414913401</v>
      </c>
      <c r="G51" s="5">
        <v>3.5491163790109499</v>
      </c>
      <c r="H51" s="5">
        <v>1.30610171158087</v>
      </c>
      <c r="I51" s="5">
        <v>0.19151797100374801</v>
      </c>
      <c r="J51" s="5">
        <v>2.3844483217369099</v>
      </c>
      <c r="K51" s="67" t="s">
        <v>2613</v>
      </c>
      <c r="L51" s="1" t="s">
        <v>2607</v>
      </c>
      <c r="M51" s="217" t="s">
        <v>614</v>
      </c>
    </row>
    <row r="52" spans="1:13" ht="12.75" x14ac:dyDescent="0.2">
      <c r="A52" s="5">
        <v>-9.4566623161963598E-2</v>
      </c>
      <c r="B52" s="5">
        <v>0.90976712104466295</v>
      </c>
      <c r="C52" s="5">
        <v>0.29576185942931699</v>
      </c>
      <c r="D52" s="5">
        <v>-0.67424921564402296</v>
      </c>
      <c r="E52" s="5">
        <v>0.48511596932009599</v>
      </c>
      <c r="F52" s="5">
        <v>0.50953883081872497</v>
      </c>
      <c r="G52" s="5">
        <v>1.6243633742378101</v>
      </c>
      <c r="H52" s="5">
        <v>-0.31973907434999599</v>
      </c>
      <c r="I52" s="5">
        <v>0.74916613638183405</v>
      </c>
      <c r="J52" s="5">
        <v>0.41664240616884402</v>
      </c>
      <c r="K52" s="67" t="s">
        <v>2614</v>
      </c>
      <c r="L52" s="1" t="s">
        <v>2607</v>
      </c>
      <c r="M52" s="217" t="s">
        <v>614</v>
      </c>
    </row>
    <row r="53" spans="1:13" ht="12.75" x14ac:dyDescent="0.2">
      <c r="A53" s="5">
        <v>0.29689776381621302</v>
      </c>
      <c r="B53" s="5">
        <v>1.3456777154609501</v>
      </c>
      <c r="C53" s="5">
        <v>0.25807074585795298</v>
      </c>
      <c r="D53" s="5">
        <v>-0.20891160352876301</v>
      </c>
      <c r="E53" s="5">
        <v>0.80270713116118997</v>
      </c>
      <c r="F53" s="5">
        <v>0.81146696328920798</v>
      </c>
      <c r="G53" s="5">
        <v>2.2315739220584998</v>
      </c>
      <c r="H53" s="5">
        <v>1.1504510626695801</v>
      </c>
      <c r="I53" s="5">
        <v>0.249958139130177</v>
      </c>
      <c r="J53" s="5">
        <v>2.00024159010411</v>
      </c>
      <c r="K53" s="67" t="s">
        <v>2615</v>
      </c>
      <c r="L53" s="1" t="s">
        <v>2607</v>
      </c>
      <c r="M53" s="217" t="s">
        <v>614</v>
      </c>
    </row>
    <row r="54" spans="1:13" ht="12.75" x14ac:dyDescent="0.2">
      <c r="A54" s="209">
        <v>1.30336428948629</v>
      </c>
      <c r="B54" s="209">
        <v>3.6816620324906801</v>
      </c>
      <c r="C54" s="209">
        <v>0.58174314243749303</v>
      </c>
      <c r="D54" s="209">
        <v>0.16316868205565699</v>
      </c>
      <c r="E54" s="209">
        <v>2.4435598969169301</v>
      </c>
      <c r="F54" s="209">
        <v>1.17723525140329</v>
      </c>
      <c r="G54" s="209">
        <v>11.5139563696601</v>
      </c>
      <c r="H54" s="209">
        <v>2.24044633173538</v>
      </c>
      <c r="I54" s="209">
        <v>2.5061961259540699E-2</v>
      </c>
      <c r="J54" s="209">
        <v>5.3183568705380502</v>
      </c>
      <c r="K54" s="211" t="s">
        <v>2617</v>
      </c>
      <c r="L54" s="209" t="s">
        <v>2607</v>
      </c>
      <c r="M54" s="217" t="s">
        <v>614</v>
      </c>
    </row>
    <row r="55" spans="1:13" ht="12.75" x14ac:dyDescent="0.2">
      <c r="A55" s="209">
        <v>2.4960957926867301E-2</v>
      </c>
      <c r="B55" s="209">
        <v>1.02527509087793</v>
      </c>
      <c r="C55" s="209">
        <v>0.29729451335259199</v>
      </c>
      <c r="D55" s="209">
        <v>-0.55772558104557501</v>
      </c>
      <c r="E55" s="209">
        <v>0.60764749689930897</v>
      </c>
      <c r="F55" s="209">
        <v>0.57250971111828797</v>
      </c>
      <c r="G55" s="209">
        <v>1.8361068669411</v>
      </c>
      <c r="H55" s="209">
        <v>8.3960371973846606E-2</v>
      </c>
      <c r="I55" s="209">
        <v>0.93308793905865794</v>
      </c>
      <c r="J55" s="209">
        <v>9.9915040321335399E-2</v>
      </c>
      <c r="K55" s="211" t="s">
        <v>2608</v>
      </c>
      <c r="L55" s="209" t="s">
        <v>2607</v>
      </c>
      <c r="M55" s="217" t="s">
        <v>614</v>
      </c>
    </row>
    <row r="56" spans="1:13" ht="12.75" x14ac:dyDescent="0.2">
      <c r="A56" s="209">
        <v>0.87894144211877601</v>
      </c>
      <c r="B56" s="209">
        <v>2.4083489798161999</v>
      </c>
      <c r="C56" s="209">
        <v>0.30646324624381099</v>
      </c>
      <c r="D56" s="209">
        <v>0.27828451689567602</v>
      </c>
      <c r="E56" s="209">
        <v>1.47959836734187</v>
      </c>
      <c r="F56" s="209">
        <v>1.32086195129436</v>
      </c>
      <c r="G56" s="209">
        <v>4.3911816847308902</v>
      </c>
      <c r="H56" s="209">
        <v>2.8680158318871301</v>
      </c>
      <c r="I56" s="209">
        <v>4.1305486365192101E-3</v>
      </c>
      <c r="J56" s="209">
        <v>7.9194508655798197</v>
      </c>
      <c r="K56" s="211" t="s">
        <v>2609</v>
      </c>
      <c r="L56" s="209" t="s">
        <v>2607</v>
      </c>
      <c r="M56" s="217" t="s">
        <v>614</v>
      </c>
    </row>
    <row r="57" spans="1:13" ht="12.75" x14ac:dyDescent="0.2">
      <c r="A57" s="209">
        <v>0.54823502401556401</v>
      </c>
      <c r="B57" s="209">
        <v>1.73019656599142</v>
      </c>
      <c r="C57" s="209">
        <v>0.417015335981612</v>
      </c>
      <c r="D57" s="209">
        <v>-0.26910001550926599</v>
      </c>
      <c r="E57" s="209">
        <v>1.36557006354039</v>
      </c>
      <c r="F57" s="209">
        <v>0.76406683329310598</v>
      </c>
      <c r="G57" s="209">
        <v>3.9179558993109</v>
      </c>
      <c r="H57" s="209">
        <v>1.3146639384977801</v>
      </c>
      <c r="I57" s="209">
        <v>0.18862287123192301</v>
      </c>
      <c r="J57" s="209">
        <v>2.4064234760729799</v>
      </c>
      <c r="K57" s="211" t="s">
        <v>2610</v>
      </c>
      <c r="L57" s="209" t="s">
        <v>2607</v>
      </c>
      <c r="M57" s="217" t="s">
        <v>614</v>
      </c>
    </row>
    <row r="58" spans="1:13" ht="12.75" x14ac:dyDescent="0.2">
      <c r="A58" s="209">
        <v>1.1989617222015401</v>
      </c>
      <c r="B58" s="209">
        <v>3.3166715080057201</v>
      </c>
      <c r="C58" s="209">
        <v>0.41918074841852598</v>
      </c>
      <c r="D58" s="209">
        <v>0.377382552288687</v>
      </c>
      <c r="E58" s="209">
        <v>2.0205408921144001</v>
      </c>
      <c r="F58" s="209">
        <v>1.45846214069448</v>
      </c>
      <c r="G58" s="209">
        <v>7.5424034570954896</v>
      </c>
      <c r="H58" s="209">
        <v>2.8602499678836701</v>
      </c>
      <c r="I58" s="209">
        <v>4.2330720413430696E-3</v>
      </c>
      <c r="J58" s="209">
        <v>7.88407924301639</v>
      </c>
      <c r="K58" s="211" t="s">
        <v>2611</v>
      </c>
      <c r="L58" s="209" t="s">
        <v>2607</v>
      </c>
      <c r="M58" s="217" t="s">
        <v>614</v>
      </c>
    </row>
    <row r="59" spans="1:13" ht="12.75" x14ac:dyDescent="0.2">
      <c r="A59" s="209">
        <v>-4.4850411736048999E-3</v>
      </c>
      <c r="B59" s="209">
        <v>0.99552500160385904</v>
      </c>
      <c r="C59" s="209">
        <v>1.3382665591347501E-2</v>
      </c>
      <c r="D59" s="209">
        <v>-3.0714583749789501E-2</v>
      </c>
      <c r="E59" s="209">
        <v>2.1744501402579702E-2</v>
      </c>
      <c r="F59" s="209">
        <v>0.96975231665044104</v>
      </c>
      <c r="G59" s="209">
        <v>1.02198263598024</v>
      </c>
      <c r="H59" s="209">
        <v>-0.33513810406386202</v>
      </c>
      <c r="I59" s="209">
        <v>0.73752091035067802</v>
      </c>
      <c r="J59" s="209">
        <v>0.43924414134712197</v>
      </c>
      <c r="K59" s="211" t="s">
        <v>2618</v>
      </c>
      <c r="L59" s="209" t="s">
        <v>2607</v>
      </c>
      <c r="M59" s="217" t="s">
        <v>614</v>
      </c>
    </row>
    <row r="60" spans="1:13" ht="12.75" x14ac:dyDescent="0.2">
      <c r="A60" s="209">
        <v>0.50531461611666095</v>
      </c>
      <c r="B60" s="209">
        <v>1.65750691682621</v>
      </c>
      <c r="C60" s="209">
        <v>0.38737983807610699</v>
      </c>
      <c r="D60" s="209">
        <v>-0.25393591484946598</v>
      </c>
      <c r="E60" s="209">
        <v>1.2645651470827799</v>
      </c>
      <c r="F60" s="209">
        <v>0.77574151396525903</v>
      </c>
      <c r="G60" s="209">
        <v>3.5415523468423902</v>
      </c>
      <c r="H60" s="209">
        <v>1.30444222039605</v>
      </c>
      <c r="I60" s="209">
        <v>0.19208284777010101</v>
      </c>
      <c r="J60" s="209">
        <v>2.3801993970281998</v>
      </c>
      <c r="K60" s="211" t="s">
        <v>2613</v>
      </c>
      <c r="L60" s="209" t="s">
        <v>2607</v>
      </c>
      <c r="M60" s="217" t="s">
        <v>614</v>
      </c>
    </row>
    <row r="61" spans="1:13" ht="12.75" x14ac:dyDescent="0.2">
      <c r="A61" s="209">
        <v>-0.135547606114999</v>
      </c>
      <c r="B61" s="209">
        <v>0.873237590489781</v>
      </c>
      <c r="C61" s="209">
        <v>0.29093041419381899</v>
      </c>
      <c r="D61" s="209">
        <v>-0.70576073994220601</v>
      </c>
      <c r="E61" s="209">
        <v>0.43466552771220801</v>
      </c>
      <c r="F61" s="209">
        <v>0.49373282906822502</v>
      </c>
      <c r="G61" s="209">
        <v>1.5444463980316501</v>
      </c>
      <c r="H61" s="209">
        <v>-0.46591074532584398</v>
      </c>
      <c r="I61" s="209">
        <v>0.64127938942822804</v>
      </c>
      <c r="J61" s="209">
        <v>0.64097505485264095</v>
      </c>
      <c r="K61" s="211" t="s">
        <v>2614</v>
      </c>
      <c r="L61" s="209" t="s">
        <v>2607</v>
      </c>
      <c r="M61" s="217" t="s">
        <v>614</v>
      </c>
    </row>
    <row r="62" spans="1:13" ht="12.75" x14ac:dyDescent="0.2">
      <c r="A62" s="209">
        <v>0.31151992172953102</v>
      </c>
      <c r="B62" s="209">
        <v>1.36549898925441</v>
      </c>
      <c r="C62" s="209">
        <v>0.25803783834500299</v>
      </c>
      <c r="D62" s="209">
        <v>-0.19422494807524401</v>
      </c>
      <c r="E62" s="209">
        <v>0.81726479153430698</v>
      </c>
      <c r="F62" s="209">
        <v>0.82347264484600802</v>
      </c>
      <c r="G62" s="209">
        <v>2.2642980326365501</v>
      </c>
      <c r="H62" s="209">
        <v>1.2072644993755499</v>
      </c>
      <c r="I62" s="209">
        <v>0.227330297815796</v>
      </c>
      <c r="J62" s="209">
        <v>2.1371381203854698</v>
      </c>
      <c r="K62" s="211" t="s">
        <v>2615</v>
      </c>
      <c r="L62" s="209" t="s">
        <v>2607</v>
      </c>
      <c r="M62" s="217" t="s">
        <v>614</v>
      </c>
    </row>
    <row r="64" spans="1:13" ht="12.75" x14ac:dyDescent="0.2">
      <c r="A64" s="252" t="s">
        <v>2619</v>
      </c>
      <c r="B64" s="245"/>
      <c r="C64" s="245"/>
    </row>
    <row r="65" spans="1:4" ht="12.75" x14ac:dyDescent="0.2">
      <c r="A65" s="3" t="s">
        <v>2620</v>
      </c>
      <c r="B65" s="1" t="s">
        <v>2621</v>
      </c>
      <c r="C65" s="1" t="s">
        <v>2622</v>
      </c>
    </row>
    <row r="66" spans="1:4" ht="12.75" x14ac:dyDescent="0.2">
      <c r="A66" s="3" t="s">
        <v>2623</v>
      </c>
      <c r="B66" s="1">
        <v>208</v>
      </c>
      <c r="C66" s="1">
        <v>202</v>
      </c>
    </row>
    <row r="67" spans="1:4" ht="12.75" x14ac:dyDescent="0.2">
      <c r="A67" s="3" t="s">
        <v>2624</v>
      </c>
      <c r="B67" s="1">
        <v>37.590000000000003</v>
      </c>
      <c r="C67" s="1">
        <v>15.87</v>
      </c>
    </row>
    <row r="68" spans="1:4" ht="12.75" x14ac:dyDescent="0.2">
      <c r="A68" s="3" t="s">
        <v>2625</v>
      </c>
      <c r="B68" s="253">
        <v>2.9</v>
      </c>
      <c r="C68" s="245"/>
    </row>
    <row r="69" spans="1:4" ht="12.75" x14ac:dyDescent="0.2">
      <c r="A69" s="3" t="s">
        <v>2626</v>
      </c>
      <c r="B69" s="253">
        <v>410</v>
      </c>
      <c r="C69" s="245"/>
    </row>
    <row r="70" spans="1:4" ht="12.75" x14ac:dyDescent="0.2">
      <c r="A70" s="3"/>
    </row>
    <row r="71" spans="1:4" ht="12.75" x14ac:dyDescent="0.2">
      <c r="A71" s="3" t="s">
        <v>2620</v>
      </c>
      <c r="B71" s="1" t="s">
        <v>2621</v>
      </c>
      <c r="C71" s="1" t="s">
        <v>2622</v>
      </c>
    </row>
    <row r="72" spans="1:4" ht="12.75" x14ac:dyDescent="0.2">
      <c r="A72" s="3" t="s">
        <v>2623</v>
      </c>
      <c r="B72" s="1">
        <v>205</v>
      </c>
      <c r="C72" s="1">
        <v>202</v>
      </c>
    </row>
    <row r="73" spans="1:4" ht="12.75" x14ac:dyDescent="0.2">
      <c r="A73" s="3" t="s">
        <v>2627</v>
      </c>
      <c r="B73" s="1">
        <v>12.8</v>
      </c>
      <c r="C73" s="1">
        <v>5.58</v>
      </c>
    </row>
    <row r="74" spans="1:4" ht="12.75" x14ac:dyDescent="0.2">
      <c r="A74" s="3" t="s">
        <v>2628</v>
      </c>
      <c r="B74" s="253">
        <v>2.4700000000000002</v>
      </c>
      <c r="C74" s="245"/>
    </row>
    <row r="75" spans="1:4" ht="12.75" x14ac:dyDescent="0.2">
      <c r="A75" s="3" t="s">
        <v>2626</v>
      </c>
      <c r="B75" s="253">
        <v>408</v>
      </c>
      <c r="C75" s="245"/>
    </row>
    <row r="77" spans="1:4" ht="12.75" x14ac:dyDescent="0.2">
      <c r="A77" s="1" t="s">
        <v>2629</v>
      </c>
      <c r="B77" s="218">
        <v>0.75960000000000005</v>
      </c>
      <c r="C77" s="218">
        <v>0.62370000000000003</v>
      </c>
      <c r="D77" s="1" t="s">
        <v>2630</v>
      </c>
    </row>
    <row r="78" spans="1:4" ht="12.75" x14ac:dyDescent="0.2">
      <c r="A78" s="1" t="s">
        <v>2631</v>
      </c>
      <c r="B78" s="1" t="s">
        <v>2632</v>
      </c>
      <c r="C78" s="1" t="s">
        <v>2633</v>
      </c>
    </row>
  </sheetData>
  <mergeCells count="5">
    <mergeCell ref="A64:C64"/>
    <mergeCell ref="B68:C68"/>
    <mergeCell ref="B69:C69"/>
    <mergeCell ref="B74:C74"/>
    <mergeCell ref="B75:C75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47"/>
  <sheetViews>
    <sheetView workbookViewId="0">
      <selection activeCell="AA25" sqref="AA25"/>
    </sheetView>
  </sheetViews>
  <sheetFormatPr defaultColWidth="12.42578125" defaultRowHeight="15.75" customHeight="1" x14ac:dyDescent="0.2"/>
  <cols>
    <col min="1" max="1" width="62.85546875" customWidth="1"/>
    <col min="2" max="26" width="12.42578125" hidden="1"/>
  </cols>
  <sheetData>
    <row r="1" spans="1:1" ht="15.75" customHeight="1" x14ac:dyDescent="0.2">
      <c r="A1" s="4" t="s">
        <v>7</v>
      </c>
    </row>
    <row r="2" spans="1:1" ht="15.75" customHeight="1" x14ac:dyDescent="0.2">
      <c r="A2" s="1" t="s">
        <v>8</v>
      </c>
    </row>
    <row r="3" spans="1:1" ht="15.75" customHeight="1" x14ac:dyDescent="0.2">
      <c r="A3" s="1" t="s">
        <v>9</v>
      </c>
    </row>
    <row r="4" spans="1:1" ht="15.75" customHeight="1" x14ac:dyDescent="0.2">
      <c r="A4" s="1"/>
    </row>
    <row r="5" spans="1:1" ht="15.75" customHeight="1" x14ac:dyDescent="0.2">
      <c r="A5" s="4" t="s">
        <v>10</v>
      </c>
    </row>
    <row r="6" spans="1:1" ht="15.75" customHeight="1" x14ac:dyDescent="0.2">
      <c r="A6" s="1" t="s">
        <v>11</v>
      </c>
    </row>
    <row r="7" spans="1:1" ht="15.75" customHeight="1" x14ac:dyDescent="0.2">
      <c r="A7" s="1" t="s">
        <v>12</v>
      </c>
    </row>
    <row r="8" spans="1:1" ht="15.75" customHeight="1" x14ac:dyDescent="0.2">
      <c r="A8" s="1" t="s">
        <v>13</v>
      </c>
    </row>
    <row r="9" spans="1:1" ht="15.75" customHeight="1" x14ac:dyDescent="0.2">
      <c r="A9" s="1" t="s">
        <v>14</v>
      </c>
    </row>
    <row r="10" spans="1:1" ht="15.75" customHeight="1" x14ac:dyDescent="0.2">
      <c r="A10" s="1" t="s">
        <v>15</v>
      </c>
    </row>
    <row r="11" spans="1:1" ht="15.75" customHeight="1" x14ac:dyDescent="0.2">
      <c r="A11" s="1" t="s">
        <v>16</v>
      </c>
    </row>
    <row r="13" spans="1:1" ht="15.75" customHeight="1" x14ac:dyDescent="0.2">
      <c r="A13" s="4" t="s">
        <v>17</v>
      </c>
    </row>
    <row r="14" spans="1:1" ht="15.75" customHeight="1" x14ac:dyDescent="0.2">
      <c r="A14" s="1" t="s">
        <v>11</v>
      </c>
    </row>
    <row r="15" spans="1:1" ht="15.75" customHeight="1" x14ac:dyDescent="0.2">
      <c r="A15" s="1" t="s">
        <v>18</v>
      </c>
    </row>
    <row r="16" spans="1:1" ht="15.75" customHeight="1" x14ac:dyDescent="0.2">
      <c r="A16" s="1" t="s">
        <v>19</v>
      </c>
    </row>
    <row r="17" spans="1:1" ht="15.75" customHeight="1" x14ac:dyDescent="0.2">
      <c r="A17" s="1" t="s">
        <v>20</v>
      </c>
    </row>
    <row r="19" spans="1:1" ht="15.75" customHeight="1" x14ac:dyDescent="0.2">
      <c r="A19" s="4" t="s">
        <v>21</v>
      </c>
    </row>
    <row r="20" spans="1:1" ht="15.75" customHeight="1" x14ac:dyDescent="0.2">
      <c r="A20" s="1" t="s">
        <v>22</v>
      </c>
    </row>
    <row r="21" spans="1:1" ht="15.75" customHeight="1" x14ac:dyDescent="0.2">
      <c r="A21" s="1" t="s">
        <v>23</v>
      </c>
    </row>
    <row r="22" spans="1:1" ht="15.75" customHeight="1" x14ac:dyDescent="0.2">
      <c r="A22" s="1" t="s">
        <v>24</v>
      </c>
    </row>
    <row r="23" spans="1:1" ht="15.75" customHeight="1" x14ac:dyDescent="0.2">
      <c r="A23" s="1" t="s">
        <v>25</v>
      </c>
    </row>
    <row r="24" spans="1:1" ht="15.75" customHeight="1" x14ac:dyDescent="0.2">
      <c r="A24" s="1" t="s">
        <v>26</v>
      </c>
    </row>
    <row r="25" spans="1:1" ht="15.75" customHeight="1" x14ac:dyDescent="0.2">
      <c r="A25" s="1" t="s">
        <v>27</v>
      </c>
    </row>
    <row r="26" spans="1:1" ht="15.75" customHeight="1" x14ac:dyDescent="0.2">
      <c r="A26" s="1" t="s">
        <v>28</v>
      </c>
    </row>
    <row r="27" spans="1:1" ht="15.75" customHeight="1" x14ac:dyDescent="0.2">
      <c r="A27" s="1" t="s">
        <v>29</v>
      </c>
    </row>
    <row r="28" spans="1:1" ht="15.75" customHeight="1" x14ac:dyDescent="0.2">
      <c r="A28" s="1" t="s">
        <v>30</v>
      </c>
    </row>
    <row r="29" spans="1:1" ht="15.75" customHeight="1" x14ac:dyDescent="0.2">
      <c r="A29" s="1" t="s">
        <v>31</v>
      </c>
    </row>
    <row r="30" spans="1:1" ht="15.75" customHeight="1" x14ac:dyDescent="0.2">
      <c r="A30" s="1" t="s">
        <v>32</v>
      </c>
    </row>
    <row r="31" spans="1:1" ht="15.75" customHeight="1" x14ac:dyDescent="0.2">
      <c r="A31" s="1" t="s">
        <v>33</v>
      </c>
    </row>
    <row r="32" spans="1:1" ht="15.75" customHeight="1" x14ac:dyDescent="0.2">
      <c r="A32" s="1" t="s">
        <v>34</v>
      </c>
    </row>
    <row r="33" spans="1:1" ht="15.75" customHeight="1" x14ac:dyDescent="0.2">
      <c r="A33" s="1" t="s">
        <v>35</v>
      </c>
    </row>
    <row r="34" spans="1:1" ht="15.75" customHeight="1" x14ac:dyDescent="0.2">
      <c r="A34" s="1" t="s">
        <v>36</v>
      </c>
    </row>
    <row r="35" spans="1:1" ht="15.75" customHeight="1" x14ac:dyDescent="0.2">
      <c r="A35" s="1" t="s">
        <v>37</v>
      </c>
    </row>
    <row r="36" spans="1:1" ht="15.75" customHeight="1" x14ac:dyDescent="0.2">
      <c r="A36" s="1" t="s">
        <v>38</v>
      </c>
    </row>
    <row r="37" spans="1:1" ht="15.75" customHeight="1" x14ac:dyDescent="0.2">
      <c r="A37" s="1" t="s">
        <v>39</v>
      </c>
    </row>
    <row r="38" spans="1:1" ht="15.75" customHeight="1" x14ac:dyDescent="0.2">
      <c r="A38" s="1" t="s">
        <v>40</v>
      </c>
    </row>
    <row r="39" spans="1:1" ht="15.75" customHeight="1" x14ac:dyDescent="0.2">
      <c r="A39" s="1" t="s">
        <v>41</v>
      </c>
    </row>
    <row r="40" spans="1:1" ht="15.75" customHeight="1" x14ac:dyDescent="0.2">
      <c r="A40" s="1" t="s">
        <v>42</v>
      </c>
    </row>
    <row r="41" spans="1:1" ht="15.75" customHeight="1" x14ac:dyDescent="0.2">
      <c r="A41" s="1" t="s">
        <v>43</v>
      </c>
    </row>
    <row r="42" spans="1:1" ht="15.75" customHeight="1" x14ac:dyDescent="0.2">
      <c r="A42" s="1" t="s">
        <v>44</v>
      </c>
    </row>
    <row r="45" spans="1:1" ht="15.75" customHeight="1" x14ac:dyDescent="0.2">
      <c r="A45" s="4" t="s">
        <v>45</v>
      </c>
    </row>
    <row r="46" spans="1:1" ht="15.75" customHeight="1" x14ac:dyDescent="0.2">
      <c r="A46" s="5" t="s">
        <v>46</v>
      </c>
    </row>
    <row r="47" spans="1:1" ht="15.75" customHeight="1" x14ac:dyDescent="0.2">
      <c r="A47" s="5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L1000"/>
  <sheetViews>
    <sheetView workbookViewId="0">
      <selection activeCell="A739" sqref="A2:C739"/>
    </sheetView>
  </sheetViews>
  <sheetFormatPr defaultColWidth="12.42578125" defaultRowHeight="15.75" customHeight="1" x14ac:dyDescent="0.2"/>
  <cols>
    <col min="1" max="1" width="15.7109375" customWidth="1"/>
    <col min="2" max="2" width="19.85546875" customWidth="1"/>
    <col min="3" max="3" width="15" customWidth="1"/>
    <col min="17" max="17" width="12.42578125" customWidth="1"/>
  </cols>
  <sheetData>
    <row r="1" spans="1:12" ht="15.75" customHeight="1" x14ac:dyDescent="0.2">
      <c r="A1" s="221" t="s">
        <v>2645</v>
      </c>
      <c r="B1" s="221" t="s">
        <v>48</v>
      </c>
      <c r="C1" s="221" t="s">
        <v>575</v>
      </c>
      <c r="E1" s="3"/>
      <c r="F1" s="3"/>
      <c r="G1" s="3"/>
      <c r="H1" s="3"/>
      <c r="I1" s="3"/>
      <c r="J1" s="3"/>
      <c r="K1" s="3"/>
      <c r="L1" s="3"/>
    </row>
    <row r="2" spans="1:12" ht="15.75" customHeight="1" x14ac:dyDescent="0.2">
      <c r="A2" s="222" t="s">
        <v>49</v>
      </c>
      <c r="B2" s="222">
        <v>1</v>
      </c>
      <c r="C2" s="222">
        <v>0</v>
      </c>
    </row>
    <row r="3" spans="1:12" ht="15.75" customHeight="1" x14ac:dyDescent="0.2">
      <c r="A3" s="222" t="s">
        <v>49</v>
      </c>
      <c r="B3" s="222">
        <v>2</v>
      </c>
      <c r="C3" s="222">
        <v>0</v>
      </c>
    </row>
    <row r="4" spans="1:12" ht="15.75" customHeight="1" x14ac:dyDescent="0.2">
      <c r="A4" s="222" t="s">
        <v>50</v>
      </c>
      <c r="B4" s="222">
        <v>1</v>
      </c>
      <c r="C4" s="222">
        <v>0</v>
      </c>
    </row>
    <row r="5" spans="1:12" ht="15.75" customHeight="1" x14ac:dyDescent="0.2">
      <c r="A5" s="222" t="s">
        <v>51</v>
      </c>
      <c r="B5" s="222">
        <v>1</v>
      </c>
      <c r="C5" s="222">
        <v>9.5000000000000001E-2</v>
      </c>
    </row>
    <row r="6" spans="1:12" ht="15.75" customHeight="1" x14ac:dyDescent="0.2">
      <c r="A6" s="222" t="s">
        <v>51</v>
      </c>
      <c r="B6" s="222">
        <v>2</v>
      </c>
      <c r="C6" s="222">
        <v>0</v>
      </c>
    </row>
    <row r="7" spans="1:12" ht="15.75" customHeight="1" x14ac:dyDescent="0.2">
      <c r="A7" s="222" t="s">
        <v>52</v>
      </c>
      <c r="B7" s="222">
        <v>1</v>
      </c>
      <c r="C7" s="222">
        <v>0.05</v>
      </c>
    </row>
    <row r="8" spans="1:12" ht="15.75" customHeight="1" x14ac:dyDescent="0.2">
      <c r="A8" s="222" t="s">
        <v>52</v>
      </c>
      <c r="B8" s="222">
        <v>2</v>
      </c>
      <c r="C8" s="222">
        <v>0.113</v>
      </c>
    </row>
    <row r="9" spans="1:12" ht="15.75" customHeight="1" x14ac:dyDescent="0.2">
      <c r="A9" s="222" t="s">
        <v>53</v>
      </c>
      <c r="B9" s="222">
        <v>1</v>
      </c>
      <c r="C9" s="222">
        <v>0</v>
      </c>
    </row>
    <row r="10" spans="1:12" ht="15.75" customHeight="1" x14ac:dyDescent="0.2">
      <c r="A10" s="222" t="s">
        <v>53</v>
      </c>
      <c r="B10" s="222">
        <v>2</v>
      </c>
      <c r="C10" s="222">
        <v>0</v>
      </c>
    </row>
    <row r="11" spans="1:12" ht="15.75" customHeight="1" x14ac:dyDescent="0.2">
      <c r="A11" s="222" t="s">
        <v>54</v>
      </c>
      <c r="B11" s="222">
        <v>1</v>
      </c>
      <c r="C11" s="222">
        <v>3.9E-2</v>
      </c>
    </row>
    <row r="12" spans="1:12" ht="15.75" customHeight="1" x14ac:dyDescent="0.2">
      <c r="A12" s="222" t="s">
        <v>55</v>
      </c>
      <c r="B12" s="222">
        <v>1</v>
      </c>
      <c r="C12" s="222">
        <v>0</v>
      </c>
    </row>
    <row r="13" spans="1:12" ht="15.75" customHeight="1" x14ac:dyDescent="0.2">
      <c r="A13" s="222" t="s">
        <v>55</v>
      </c>
      <c r="B13" s="222">
        <v>2</v>
      </c>
      <c r="C13" s="222">
        <v>0</v>
      </c>
    </row>
    <row r="14" spans="1:12" ht="15.75" customHeight="1" x14ac:dyDescent="0.2">
      <c r="A14" s="222" t="s">
        <v>56</v>
      </c>
      <c r="B14" s="222">
        <v>1</v>
      </c>
      <c r="C14" s="222">
        <v>0.03</v>
      </c>
    </row>
    <row r="15" spans="1:12" ht="15.75" customHeight="1" x14ac:dyDescent="0.2">
      <c r="A15" s="222" t="s">
        <v>57</v>
      </c>
      <c r="B15" s="222">
        <v>1</v>
      </c>
      <c r="C15" s="222">
        <v>0.05</v>
      </c>
    </row>
    <row r="16" spans="1:12" ht="15.75" customHeight="1" x14ac:dyDescent="0.2">
      <c r="A16" s="222" t="s">
        <v>57</v>
      </c>
      <c r="B16" s="222">
        <v>2</v>
      </c>
      <c r="C16" s="222">
        <v>0.05</v>
      </c>
    </row>
    <row r="17" spans="1:3" ht="15.75" customHeight="1" x14ac:dyDescent="0.2">
      <c r="A17" s="222" t="s">
        <v>58</v>
      </c>
      <c r="B17" s="222">
        <v>1</v>
      </c>
      <c r="C17" s="222">
        <v>0</v>
      </c>
    </row>
    <row r="18" spans="1:3" ht="15.75" customHeight="1" x14ac:dyDescent="0.2">
      <c r="A18" s="222" t="s">
        <v>58</v>
      </c>
      <c r="B18" s="222">
        <v>2</v>
      </c>
      <c r="C18" s="222">
        <v>0</v>
      </c>
    </row>
    <row r="19" spans="1:3" ht="15.75" customHeight="1" x14ac:dyDescent="0.2">
      <c r="A19" s="222" t="s">
        <v>58</v>
      </c>
      <c r="B19" s="222">
        <v>3</v>
      </c>
      <c r="C19" s="222">
        <v>0.05</v>
      </c>
    </row>
    <row r="20" spans="1:3" ht="15.75" customHeight="1" x14ac:dyDescent="0.2">
      <c r="A20" s="222" t="s">
        <v>59</v>
      </c>
      <c r="B20" s="222">
        <v>1</v>
      </c>
      <c r="C20" s="222">
        <v>0</v>
      </c>
    </row>
    <row r="21" spans="1:3" ht="15.75" customHeight="1" x14ac:dyDescent="0.2">
      <c r="A21" s="222" t="s">
        <v>60</v>
      </c>
      <c r="B21" s="222">
        <v>1</v>
      </c>
      <c r="C21" s="222">
        <v>5.8000000000000003E-2</v>
      </c>
    </row>
    <row r="22" spans="1:3" ht="15.75" customHeight="1" x14ac:dyDescent="0.2">
      <c r="A22" s="222" t="s">
        <v>61</v>
      </c>
      <c r="B22" s="222">
        <v>2</v>
      </c>
      <c r="C22" s="222">
        <v>0</v>
      </c>
    </row>
    <row r="23" spans="1:3" ht="15.75" customHeight="1" x14ac:dyDescent="0.2">
      <c r="A23" s="222" t="s">
        <v>61</v>
      </c>
      <c r="B23" s="222">
        <v>1</v>
      </c>
      <c r="C23" s="222">
        <v>0</v>
      </c>
    </row>
    <row r="24" spans="1:3" ht="15.75" customHeight="1" x14ac:dyDescent="0.2">
      <c r="A24" s="222" t="s">
        <v>62</v>
      </c>
      <c r="B24" s="222">
        <v>1</v>
      </c>
      <c r="C24" s="222">
        <v>0</v>
      </c>
    </row>
    <row r="25" spans="1:3" ht="15.75" customHeight="1" x14ac:dyDescent="0.2">
      <c r="A25" s="222" t="s">
        <v>62</v>
      </c>
      <c r="B25" s="222">
        <v>2</v>
      </c>
      <c r="C25" s="222">
        <v>0</v>
      </c>
    </row>
    <row r="26" spans="1:3" ht="15.75" customHeight="1" x14ac:dyDescent="0.2">
      <c r="A26" s="222" t="s">
        <v>62</v>
      </c>
      <c r="B26" s="222">
        <v>3</v>
      </c>
      <c r="C26" s="222">
        <v>0</v>
      </c>
    </row>
    <row r="27" spans="1:3" ht="15.75" customHeight="1" x14ac:dyDescent="0.2">
      <c r="A27" s="222" t="s">
        <v>63</v>
      </c>
      <c r="B27" s="222">
        <v>1</v>
      </c>
      <c r="C27" s="222">
        <v>0.34699999999999998</v>
      </c>
    </row>
    <row r="28" spans="1:3" ht="15.75" customHeight="1" x14ac:dyDescent="0.2">
      <c r="A28" s="222" t="s">
        <v>63</v>
      </c>
      <c r="B28" s="222">
        <v>2</v>
      </c>
      <c r="C28" s="222">
        <v>0.02</v>
      </c>
    </row>
    <row r="29" spans="1:3" ht="15.75" customHeight="1" x14ac:dyDescent="0.2">
      <c r="A29" s="222" t="s">
        <v>63</v>
      </c>
      <c r="B29" s="222">
        <v>3</v>
      </c>
      <c r="C29" s="222">
        <v>0.52400000000000002</v>
      </c>
    </row>
    <row r="30" spans="1:3" ht="15.75" customHeight="1" x14ac:dyDescent="0.2">
      <c r="A30" s="222" t="s">
        <v>64</v>
      </c>
      <c r="B30" s="222">
        <v>1</v>
      </c>
      <c r="C30" s="222">
        <v>0</v>
      </c>
    </row>
    <row r="31" spans="1:3" ht="15.75" customHeight="1" x14ac:dyDescent="0.2">
      <c r="A31" s="222" t="s">
        <v>65</v>
      </c>
      <c r="B31" s="222">
        <v>2</v>
      </c>
      <c r="C31" s="222">
        <v>0</v>
      </c>
    </row>
    <row r="32" spans="1:3" ht="15.75" customHeight="1" x14ac:dyDescent="0.2">
      <c r="A32" s="222" t="s">
        <v>65</v>
      </c>
      <c r="B32" s="222">
        <v>1</v>
      </c>
      <c r="C32" s="222">
        <v>0.05</v>
      </c>
    </row>
    <row r="33" spans="1:3" ht="15.75" customHeight="1" x14ac:dyDescent="0.2">
      <c r="A33" s="222" t="s">
        <v>66</v>
      </c>
      <c r="B33" s="222">
        <v>2</v>
      </c>
      <c r="C33" s="222">
        <v>0.63500000000000001</v>
      </c>
    </row>
    <row r="34" spans="1:3" ht="15.75" customHeight="1" x14ac:dyDescent="0.2">
      <c r="A34" s="222" t="s">
        <v>66</v>
      </c>
      <c r="B34" s="222">
        <v>1</v>
      </c>
      <c r="C34" s="222">
        <v>0.52400000000000002</v>
      </c>
    </row>
    <row r="35" spans="1:3" ht="15.75" customHeight="1" x14ac:dyDescent="0.2">
      <c r="A35" s="222" t="s">
        <v>67</v>
      </c>
      <c r="B35" s="222">
        <v>1</v>
      </c>
      <c r="C35" s="222">
        <v>0</v>
      </c>
    </row>
    <row r="36" spans="1:3" ht="15.75" customHeight="1" x14ac:dyDescent="0.2">
      <c r="A36" s="222" t="s">
        <v>67</v>
      </c>
      <c r="B36" s="222">
        <v>2</v>
      </c>
      <c r="C36" s="222">
        <v>0</v>
      </c>
    </row>
    <row r="37" spans="1:3" ht="15.75" customHeight="1" x14ac:dyDescent="0.2">
      <c r="A37" s="222" t="s">
        <v>68</v>
      </c>
      <c r="B37" s="222">
        <v>1</v>
      </c>
      <c r="C37" s="222">
        <v>0.502</v>
      </c>
    </row>
    <row r="38" spans="1:3" ht="15.75" customHeight="1" x14ac:dyDescent="0.2">
      <c r="A38" s="222" t="s">
        <v>68</v>
      </c>
      <c r="B38" s="222">
        <v>2</v>
      </c>
      <c r="C38" s="222">
        <v>0.03</v>
      </c>
    </row>
    <row r="39" spans="1:3" ht="15.75" customHeight="1" x14ac:dyDescent="0.2">
      <c r="A39" s="222" t="s">
        <v>68</v>
      </c>
      <c r="B39" s="222">
        <v>3</v>
      </c>
      <c r="C39" s="222">
        <v>0.14000000000000001</v>
      </c>
    </row>
    <row r="40" spans="1:3" ht="15.75" customHeight="1" x14ac:dyDescent="0.2">
      <c r="A40" s="222" t="s">
        <v>69</v>
      </c>
      <c r="B40" s="222">
        <v>2</v>
      </c>
      <c r="C40" s="222">
        <v>0</v>
      </c>
    </row>
    <row r="41" spans="1:3" ht="15.75" customHeight="1" x14ac:dyDescent="0.2">
      <c r="A41" s="222" t="s">
        <v>69</v>
      </c>
      <c r="B41" s="222">
        <v>1</v>
      </c>
      <c r="C41" s="222">
        <v>0</v>
      </c>
    </row>
    <row r="42" spans="1:3" ht="15.75" customHeight="1" x14ac:dyDescent="0.2">
      <c r="A42" s="222" t="s">
        <v>70</v>
      </c>
      <c r="B42" s="222">
        <v>1</v>
      </c>
      <c r="C42" s="222">
        <v>0.05</v>
      </c>
    </row>
    <row r="43" spans="1:3" ht="15.75" customHeight="1" x14ac:dyDescent="0.2">
      <c r="A43" s="222" t="s">
        <v>71</v>
      </c>
      <c r="B43" s="222">
        <v>2</v>
      </c>
      <c r="C43" s="222">
        <v>0</v>
      </c>
    </row>
    <row r="44" spans="1:3" ht="15.75" customHeight="1" x14ac:dyDescent="0.2">
      <c r="A44" s="222" t="s">
        <v>71</v>
      </c>
      <c r="B44" s="222">
        <v>1</v>
      </c>
      <c r="C44" s="222">
        <v>0</v>
      </c>
    </row>
    <row r="45" spans="1:3" ht="15.75" customHeight="1" x14ac:dyDescent="0.2">
      <c r="A45" s="222" t="s">
        <v>72</v>
      </c>
      <c r="B45" s="222">
        <v>1</v>
      </c>
      <c r="C45" s="222">
        <v>0</v>
      </c>
    </row>
    <row r="46" spans="1:3" ht="15.75" customHeight="1" x14ac:dyDescent="0.2">
      <c r="A46" s="222" t="s">
        <v>73</v>
      </c>
      <c r="B46" s="222">
        <v>1</v>
      </c>
      <c r="C46" s="222">
        <v>0</v>
      </c>
    </row>
    <row r="47" spans="1:3" ht="15.75" customHeight="1" x14ac:dyDescent="0.2">
      <c r="A47" s="222" t="s">
        <v>74</v>
      </c>
      <c r="B47" s="222">
        <v>1</v>
      </c>
      <c r="C47" s="222">
        <v>0.52900000000000003</v>
      </c>
    </row>
    <row r="48" spans="1:3" ht="15.75" customHeight="1" x14ac:dyDescent="0.2">
      <c r="A48" s="222" t="s">
        <v>74</v>
      </c>
      <c r="B48" s="222">
        <v>2</v>
      </c>
      <c r="C48" s="222">
        <v>0.13100000000000001</v>
      </c>
    </row>
    <row r="49" spans="1:3" ht="15.75" customHeight="1" x14ac:dyDescent="0.2">
      <c r="A49" s="222" t="s">
        <v>75</v>
      </c>
      <c r="B49" s="222">
        <v>1</v>
      </c>
      <c r="C49" s="222">
        <v>0.17399999999999999</v>
      </c>
    </row>
    <row r="50" spans="1:3" ht="15.75" customHeight="1" x14ac:dyDescent="0.2">
      <c r="A50" s="222" t="s">
        <v>75</v>
      </c>
      <c r="B50" s="222">
        <v>2</v>
      </c>
      <c r="C50" s="222">
        <v>0</v>
      </c>
    </row>
    <row r="51" spans="1:3" ht="15.75" customHeight="1" x14ac:dyDescent="0.2">
      <c r="A51" s="222" t="s">
        <v>76</v>
      </c>
      <c r="B51" s="222">
        <v>1</v>
      </c>
      <c r="C51" s="222">
        <v>0.246</v>
      </c>
    </row>
    <row r="52" spans="1:3" ht="15.75" customHeight="1" x14ac:dyDescent="0.2">
      <c r="A52" s="222" t="s">
        <v>76</v>
      </c>
      <c r="B52" s="222">
        <v>2</v>
      </c>
      <c r="C52" s="222">
        <v>0</v>
      </c>
    </row>
    <row r="53" spans="1:3" ht="15.75" customHeight="1" x14ac:dyDescent="0.2">
      <c r="A53" s="222" t="s">
        <v>77</v>
      </c>
      <c r="B53" s="222">
        <v>1</v>
      </c>
      <c r="C53" s="222">
        <v>0</v>
      </c>
    </row>
    <row r="54" spans="1:3" ht="15.75" customHeight="1" x14ac:dyDescent="0.2">
      <c r="A54" s="222" t="s">
        <v>77</v>
      </c>
      <c r="B54" s="222">
        <v>2</v>
      </c>
      <c r="C54" s="222">
        <v>0</v>
      </c>
    </row>
    <row r="55" spans="1:3" ht="15.75" customHeight="1" x14ac:dyDescent="0.2">
      <c r="A55" s="222" t="s">
        <v>77</v>
      </c>
      <c r="B55" s="222">
        <v>3</v>
      </c>
      <c r="C55" s="222">
        <v>0.20599999999999999</v>
      </c>
    </row>
    <row r="56" spans="1:3" ht="15.75" customHeight="1" x14ac:dyDescent="0.2">
      <c r="A56" s="222" t="s">
        <v>78</v>
      </c>
      <c r="B56" s="222">
        <v>3</v>
      </c>
      <c r="C56" s="222">
        <v>0.65300000000000002</v>
      </c>
    </row>
    <row r="57" spans="1:3" ht="15.75" customHeight="1" x14ac:dyDescent="0.2">
      <c r="A57" s="222" t="s">
        <v>78</v>
      </c>
      <c r="B57" s="222">
        <v>2</v>
      </c>
      <c r="C57" s="222">
        <v>0.71</v>
      </c>
    </row>
    <row r="58" spans="1:3" ht="15.75" customHeight="1" x14ac:dyDescent="0.2">
      <c r="A58" s="222" t="s">
        <v>78</v>
      </c>
      <c r="B58" s="222">
        <v>1</v>
      </c>
      <c r="C58" s="222">
        <v>0.89200000000000002</v>
      </c>
    </row>
    <row r="59" spans="1:3" ht="15.75" customHeight="1" x14ac:dyDescent="0.2">
      <c r="A59" s="222" t="s">
        <v>79</v>
      </c>
      <c r="B59" s="222">
        <v>1</v>
      </c>
      <c r="C59" s="222">
        <v>6.8000000000000005E-2</v>
      </c>
    </row>
    <row r="60" spans="1:3" ht="15.75" customHeight="1" x14ac:dyDescent="0.2">
      <c r="A60" s="222" t="s">
        <v>79</v>
      </c>
      <c r="B60" s="222">
        <v>2</v>
      </c>
      <c r="C60" s="222">
        <v>0</v>
      </c>
    </row>
    <row r="61" spans="1:3" ht="15.75" customHeight="1" x14ac:dyDescent="0.2">
      <c r="A61" s="222" t="s">
        <v>80</v>
      </c>
      <c r="B61" s="222">
        <v>1</v>
      </c>
      <c r="C61" s="222">
        <v>0</v>
      </c>
    </row>
    <row r="62" spans="1:3" ht="15.75" customHeight="1" x14ac:dyDescent="0.2">
      <c r="A62" s="222" t="s">
        <v>80</v>
      </c>
      <c r="B62" s="222">
        <v>2</v>
      </c>
      <c r="C62" s="222">
        <v>0</v>
      </c>
    </row>
    <row r="63" spans="1:3" ht="15.75" customHeight="1" x14ac:dyDescent="0.2">
      <c r="A63" s="222" t="s">
        <v>81</v>
      </c>
      <c r="B63" s="222">
        <v>1</v>
      </c>
      <c r="C63" s="222">
        <v>0.29799999999999999</v>
      </c>
    </row>
    <row r="64" spans="1:3" ht="15.75" customHeight="1" x14ac:dyDescent="0.2">
      <c r="A64" s="222" t="s">
        <v>81</v>
      </c>
      <c r="B64" s="222">
        <v>2</v>
      </c>
      <c r="C64" s="222">
        <v>0.113</v>
      </c>
    </row>
    <row r="65" spans="1:3" ht="15.75" customHeight="1" x14ac:dyDescent="0.2">
      <c r="A65" s="222" t="s">
        <v>82</v>
      </c>
      <c r="B65" s="222">
        <v>1</v>
      </c>
      <c r="C65" s="222">
        <v>0</v>
      </c>
    </row>
    <row r="66" spans="1:3" ht="15.75" customHeight="1" x14ac:dyDescent="0.2">
      <c r="A66" s="222" t="s">
        <v>82</v>
      </c>
      <c r="B66" s="222">
        <v>2</v>
      </c>
      <c r="C66" s="222">
        <v>9.5000000000000001E-2</v>
      </c>
    </row>
    <row r="67" spans="1:3" ht="15.75" customHeight="1" x14ac:dyDescent="0.2">
      <c r="A67" s="222" t="s">
        <v>82</v>
      </c>
      <c r="B67" s="222">
        <v>3</v>
      </c>
      <c r="C67" s="222">
        <v>0.29799999999999999</v>
      </c>
    </row>
    <row r="68" spans="1:3" ht="15.75" customHeight="1" x14ac:dyDescent="0.2">
      <c r="A68" s="222" t="s">
        <v>83</v>
      </c>
      <c r="B68" s="222">
        <v>2</v>
      </c>
      <c r="C68" s="222">
        <v>0.30499999999999999</v>
      </c>
    </row>
    <row r="69" spans="1:3" ht="15.75" customHeight="1" x14ac:dyDescent="0.2">
      <c r="A69" s="222" t="s">
        <v>83</v>
      </c>
      <c r="B69" s="222">
        <v>1</v>
      </c>
      <c r="C69" s="222">
        <v>0.45</v>
      </c>
    </row>
    <row r="70" spans="1:3" ht="15.75" customHeight="1" x14ac:dyDescent="0.2">
      <c r="A70" s="222" t="s">
        <v>84</v>
      </c>
      <c r="B70" s="222">
        <v>1</v>
      </c>
      <c r="C70" s="222">
        <v>0</v>
      </c>
    </row>
    <row r="71" spans="1:3" ht="15.75" customHeight="1" x14ac:dyDescent="0.2">
      <c r="A71" s="222" t="s">
        <v>84</v>
      </c>
      <c r="B71" s="222">
        <v>2</v>
      </c>
      <c r="C71" s="222">
        <v>0</v>
      </c>
    </row>
    <row r="72" spans="1:3" ht="15.75" customHeight="1" x14ac:dyDescent="0.2">
      <c r="A72" s="222" t="s">
        <v>84</v>
      </c>
      <c r="B72" s="222">
        <v>3</v>
      </c>
      <c r="C72" s="222">
        <v>0</v>
      </c>
    </row>
    <row r="73" spans="1:3" ht="15.75" customHeight="1" x14ac:dyDescent="0.2">
      <c r="A73" s="222" t="s">
        <v>85</v>
      </c>
      <c r="B73" s="222">
        <v>1</v>
      </c>
      <c r="C73" s="222">
        <v>0.41299999999999998</v>
      </c>
    </row>
    <row r="74" spans="1:3" ht="15.75" customHeight="1" x14ac:dyDescent="0.2">
      <c r="A74" s="222" t="s">
        <v>85</v>
      </c>
      <c r="B74" s="222">
        <v>2</v>
      </c>
      <c r="C74" s="222">
        <v>0</v>
      </c>
    </row>
    <row r="75" spans="1:3" ht="15.75" customHeight="1" x14ac:dyDescent="0.2">
      <c r="A75" s="222" t="s">
        <v>86</v>
      </c>
      <c r="B75" s="222">
        <v>1</v>
      </c>
      <c r="C75" s="222">
        <v>0</v>
      </c>
    </row>
    <row r="76" spans="1:3" ht="15.75" customHeight="1" x14ac:dyDescent="0.2">
      <c r="A76" s="222" t="s">
        <v>87</v>
      </c>
      <c r="B76" s="222">
        <v>1</v>
      </c>
      <c r="C76" s="222">
        <v>0.113</v>
      </c>
    </row>
    <row r="77" spans="1:3" ht="15.75" customHeight="1" x14ac:dyDescent="0.2">
      <c r="A77" s="222" t="s">
        <v>87</v>
      </c>
      <c r="B77" s="222">
        <v>2</v>
      </c>
      <c r="C77" s="222">
        <v>0.113</v>
      </c>
    </row>
    <row r="78" spans="1:3" ht="15.75" customHeight="1" x14ac:dyDescent="0.2">
      <c r="A78" s="222" t="s">
        <v>88</v>
      </c>
      <c r="B78" s="222">
        <v>1</v>
      </c>
      <c r="C78" s="222">
        <v>0</v>
      </c>
    </row>
    <row r="79" spans="1:3" ht="15.75" customHeight="1" x14ac:dyDescent="0.2">
      <c r="A79" s="222" t="s">
        <v>89</v>
      </c>
      <c r="B79" s="222">
        <v>2</v>
      </c>
      <c r="C79" s="222">
        <v>0</v>
      </c>
    </row>
    <row r="80" spans="1:3" ht="15.75" customHeight="1" x14ac:dyDescent="0.2">
      <c r="A80" s="222" t="s">
        <v>89</v>
      </c>
      <c r="B80" s="222">
        <v>1</v>
      </c>
      <c r="C80" s="222">
        <v>0</v>
      </c>
    </row>
    <row r="81" spans="1:3" ht="15.75" customHeight="1" x14ac:dyDescent="0.2">
      <c r="A81" s="222" t="s">
        <v>90</v>
      </c>
      <c r="B81" s="222">
        <v>1</v>
      </c>
      <c r="C81" s="222">
        <v>0.104</v>
      </c>
    </row>
    <row r="82" spans="1:3" ht="15.75" customHeight="1" x14ac:dyDescent="0.2">
      <c r="A82" s="222" t="s">
        <v>90</v>
      </c>
      <c r="B82" s="222">
        <v>2</v>
      </c>
      <c r="C82" s="222">
        <v>0.05</v>
      </c>
    </row>
    <row r="83" spans="1:3" ht="15.75" customHeight="1" x14ac:dyDescent="0.2">
      <c r="A83" s="222" t="s">
        <v>91</v>
      </c>
      <c r="B83" s="222">
        <v>1</v>
      </c>
      <c r="C83" s="222">
        <v>0.34699999999999998</v>
      </c>
    </row>
    <row r="84" spans="1:3" ht="15.75" customHeight="1" x14ac:dyDescent="0.2">
      <c r="A84" s="222" t="s">
        <v>91</v>
      </c>
      <c r="B84" s="222">
        <v>2</v>
      </c>
      <c r="C84" s="222">
        <v>7.6999999999999999E-2</v>
      </c>
    </row>
    <row r="85" spans="1:3" ht="15.75" customHeight="1" x14ac:dyDescent="0.2">
      <c r="A85" s="222" t="s">
        <v>92</v>
      </c>
      <c r="B85" s="222">
        <v>3</v>
      </c>
      <c r="C85" s="222">
        <v>0</v>
      </c>
    </row>
    <row r="86" spans="1:3" ht="15.75" customHeight="1" x14ac:dyDescent="0.2">
      <c r="A86" s="222" t="s">
        <v>92</v>
      </c>
      <c r="B86" s="222">
        <v>1</v>
      </c>
      <c r="C86" s="222">
        <v>0.41899999999999998</v>
      </c>
    </row>
    <row r="87" spans="1:3" ht="15.75" customHeight="1" x14ac:dyDescent="0.2">
      <c r="A87" s="222" t="s">
        <v>92</v>
      </c>
      <c r="B87" s="222">
        <v>2</v>
      </c>
      <c r="C87" s="222">
        <v>0</v>
      </c>
    </row>
    <row r="88" spans="1:3" ht="15.75" customHeight="1" x14ac:dyDescent="0.2">
      <c r="A88" s="222" t="s">
        <v>93</v>
      </c>
      <c r="B88" s="222">
        <v>2</v>
      </c>
      <c r="C88" s="222">
        <v>4.9000000000000002E-2</v>
      </c>
    </row>
    <row r="89" spans="1:3" ht="15.75" customHeight="1" x14ac:dyDescent="0.2">
      <c r="A89" s="222" t="s">
        <v>93</v>
      </c>
      <c r="B89" s="222">
        <v>3</v>
      </c>
      <c r="C89" s="222">
        <v>3.9E-2</v>
      </c>
    </row>
    <row r="90" spans="1:3" ht="15.75" customHeight="1" x14ac:dyDescent="0.2">
      <c r="A90" s="222" t="s">
        <v>93</v>
      </c>
      <c r="B90" s="222">
        <v>1</v>
      </c>
      <c r="C90" s="222">
        <v>5.8000000000000003E-2</v>
      </c>
    </row>
    <row r="91" spans="1:3" ht="15.75" customHeight="1" x14ac:dyDescent="0.2">
      <c r="A91" s="222" t="s">
        <v>94</v>
      </c>
      <c r="B91" s="222">
        <v>3</v>
      </c>
      <c r="C91" s="222">
        <v>0.76500000000000001</v>
      </c>
    </row>
    <row r="92" spans="1:3" ht="15.75" customHeight="1" x14ac:dyDescent="0.2">
      <c r="A92" s="222" t="s">
        <v>94</v>
      </c>
      <c r="B92" s="222">
        <v>2</v>
      </c>
      <c r="C92" s="222">
        <v>0.71399999999999997</v>
      </c>
    </row>
    <row r="93" spans="1:3" ht="15.75" customHeight="1" x14ac:dyDescent="0.2">
      <c r="A93" s="222" t="s">
        <v>94</v>
      </c>
      <c r="B93" s="222">
        <v>1</v>
      </c>
      <c r="C93" s="222">
        <v>0.73799999999999999</v>
      </c>
    </row>
    <row r="94" spans="1:3" ht="15.75" customHeight="1" x14ac:dyDescent="0.2">
      <c r="A94" s="222" t="s">
        <v>95</v>
      </c>
      <c r="B94" s="222">
        <v>1</v>
      </c>
      <c r="C94" s="222">
        <v>0</v>
      </c>
    </row>
    <row r="95" spans="1:3" ht="15.75" customHeight="1" x14ac:dyDescent="0.2">
      <c r="A95" s="222" t="s">
        <v>96</v>
      </c>
      <c r="B95" s="222">
        <v>1</v>
      </c>
      <c r="C95" s="222">
        <v>0.75800000000000001</v>
      </c>
    </row>
    <row r="96" spans="1:3" ht="15.75" customHeight="1" x14ac:dyDescent="0.2">
      <c r="A96" s="222" t="s">
        <v>97</v>
      </c>
      <c r="B96" s="222">
        <v>1</v>
      </c>
      <c r="C96" s="222">
        <v>3.9E-2</v>
      </c>
    </row>
    <row r="97" spans="1:3" ht="15.75" customHeight="1" x14ac:dyDescent="0.2">
      <c r="A97" s="222" t="s">
        <v>98</v>
      </c>
      <c r="B97" s="222">
        <v>1</v>
      </c>
      <c r="C97" s="222">
        <v>0</v>
      </c>
    </row>
    <row r="98" spans="1:3" ht="15.75" customHeight="1" x14ac:dyDescent="0.2">
      <c r="A98" s="222" t="s">
        <v>99</v>
      </c>
      <c r="B98" s="222">
        <v>1</v>
      </c>
      <c r="C98" s="222">
        <v>0.28299999999999997</v>
      </c>
    </row>
    <row r="99" spans="1:3" ht="15.75" customHeight="1" x14ac:dyDescent="0.2">
      <c r="A99" s="222" t="s">
        <v>99</v>
      </c>
      <c r="B99" s="222">
        <v>2</v>
      </c>
      <c r="C99" s="222">
        <v>0.02</v>
      </c>
    </row>
    <row r="100" spans="1:3" ht="15.75" customHeight="1" x14ac:dyDescent="0.2">
      <c r="A100" s="222" t="s">
        <v>100</v>
      </c>
      <c r="B100" s="222">
        <v>1</v>
      </c>
      <c r="C100" s="222">
        <v>0.63</v>
      </c>
    </row>
    <row r="101" spans="1:3" ht="15.75" customHeight="1" x14ac:dyDescent="0.2">
      <c r="A101" s="222" t="s">
        <v>100</v>
      </c>
      <c r="B101" s="222">
        <v>2</v>
      </c>
      <c r="C101" s="222">
        <v>0</v>
      </c>
    </row>
    <row r="102" spans="1:3" ht="15.75" customHeight="1" x14ac:dyDescent="0.2">
      <c r="A102" s="222" t="s">
        <v>100</v>
      </c>
      <c r="B102" s="222">
        <v>3</v>
      </c>
      <c r="C102" s="222">
        <v>9.5000000000000001E-2</v>
      </c>
    </row>
    <row r="103" spans="1:3" ht="15.75" customHeight="1" x14ac:dyDescent="0.2">
      <c r="A103" s="222" t="s">
        <v>101</v>
      </c>
      <c r="B103" s="222">
        <v>1</v>
      </c>
      <c r="C103" s="222">
        <v>0.05</v>
      </c>
    </row>
    <row r="104" spans="1:3" ht="15.75" customHeight="1" x14ac:dyDescent="0.2">
      <c r="A104" s="222" t="s">
        <v>102</v>
      </c>
      <c r="B104" s="222">
        <v>1</v>
      </c>
      <c r="C104" s="222">
        <v>3.9E-2</v>
      </c>
    </row>
    <row r="105" spans="1:3" ht="15.75" customHeight="1" x14ac:dyDescent="0.2">
      <c r="A105" s="222" t="s">
        <v>102</v>
      </c>
      <c r="B105" s="222">
        <v>2</v>
      </c>
      <c r="C105" s="222">
        <v>0</v>
      </c>
    </row>
    <row r="106" spans="1:3" ht="15.75" customHeight="1" x14ac:dyDescent="0.2">
      <c r="A106" s="222" t="s">
        <v>103</v>
      </c>
      <c r="B106" s="222">
        <v>1</v>
      </c>
      <c r="C106" s="222">
        <v>0.31900000000000001</v>
      </c>
    </row>
    <row r="107" spans="1:3" ht="15.75" customHeight="1" x14ac:dyDescent="0.2">
      <c r="A107" s="222" t="s">
        <v>103</v>
      </c>
      <c r="B107" s="222">
        <v>2</v>
      </c>
      <c r="C107" s="222">
        <v>5.8000000000000003E-2</v>
      </c>
    </row>
    <row r="108" spans="1:3" ht="15.75" customHeight="1" x14ac:dyDescent="0.2">
      <c r="A108" s="222" t="s">
        <v>104</v>
      </c>
      <c r="B108" s="222">
        <v>1</v>
      </c>
      <c r="C108" s="222">
        <v>5.8000000000000003E-2</v>
      </c>
    </row>
    <row r="109" spans="1:3" ht="15.75" customHeight="1" x14ac:dyDescent="0.2">
      <c r="A109" s="222" t="s">
        <v>104</v>
      </c>
      <c r="B109" s="222">
        <v>2</v>
      </c>
      <c r="C109" s="222">
        <v>7.6999999999999999E-2</v>
      </c>
    </row>
    <row r="110" spans="1:3" ht="15.75" customHeight="1" x14ac:dyDescent="0.2">
      <c r="A110" s="222" t="s">
        <v>104</v>
      </c>
      <c r="B110" s="222">
        <v>3</v>
      </c>
      <c r="C110" s="222">
        <v>8.5999999999999993E-2</v>
      </c>
    </row>
    <row r="111" spans="1:3" ht="15.75" customHeight="1" x14ac:dyDescent="0.2">
      <c r="A111" s="222" t="s">
        <v>105</v>
      </c>
      <c r="B111" s="222">
        <v>1</v>
      </c>
      <c r="C111" s="222">
        <v>0</v>
      </c>
    </row>
    <row r="112" spans="1:3" ht="15.75" customHeight="1" x14ac:dyDescent="0.2">
      <c r="A112" s="222" t="s">
        <v>106</v>
      </c>
      <c r="B112" s="222">
        <v>1</v>
      </c>
      <c r="C112" s="222">
        <v>0.47299999999999998</v>
      </c>
    </row>
    <row r="113" spans="1:3" ht="15.75" customHeight="1" x14ac:dyDescent="0.2">
      <c r="A113" s="222" t="s">
        <v>107</v>
      </c>
      <c r="B113" s="222">
        <v>1</v>
      </c>
      <c r="C113" s="222">
        <v>0.59199999999999997</v>
      </c>
    </row>
    <row r="114" spans="1:3" ht="15.75" customHeight="1" x14ac:dyDescent="0.2">
      <c r="A114" s="222" t="s">
        <v>108</v>
      </c>
      <c r="B114" s="222">
        <v>3</v>
      </c>
      <c r="C114" s="222">
        <v>0</v>
      </c>
    </row>
    <row r="115" spans="1:3" ht="15.75" customHeight="1" x14ac:dyDescent="0.2">
      <c r="A115" s="222" t="s">
        <v>108</v>
      </c>
      <c r="B115" s="222">
        <v>1</v>
      </c>
      <c r="C115" s="222">
        <v>0</v>
      </c>
    </row>
    <row r="116" spans="1:3" ht="15.75" customHeight="1" x14ac:dyDescent="0.2">
      <c r="A116" s="222" t="s">
        <v>108</v>
      </c>
      <c r="B116" s="222">
        <v>2</v>
      </c>
      <c r="C116" s="222">
        <v>0</v>
      </c>
    </row>
    <row r="117" spans="1:3" ht="15.75" customHeight="1" x14ac:dyDescent="0.2">
      <c r="A117" s="222" t="s">
        <v>109</v>
      </c>
      <c r="B117" s="222">
        <v>1</v>
      </c>
      <c r="C117" s="222">
        <v>0</v>
      </c>
    </row>
    <row r="118" spans="1:3" ht="15.75" customHeight="1" x14ac:dyDescent="0.2">
      <c r="A118" s="222" t="s">
        <v>110</v>
      </c>
      <c r="B118" s="222">
        <v>1</v>
      </c>
      <c r="C118" s="222">
        <v>0.104</v>
      </c>
    </row>
    <row r="119" spans="1:3" ht="15.75" customHeight="1" x14ac:dyDescent="0.2">
      <c r="A119" s="222" t="s">
        <v>110</v>
      </c>
      <c r="B119" s="222">
        <v>2</v>
      </c>
      <c r="C119" s="222">
        <v>0.05</v>
      </c>
    </row>
    <row r="120" spans="1:3" ht="15.75" customHeight="1" x14ac:dyDescent="0.2">
      <c r="A120" s="222" t="s">
        <v>111</v>
      </c>
      <c r="B120" s="222">
        <v>1</v>
      </c>
      <c r="C120" s="222">
        <v>0</v>
      </c>
    </row>
    <row r="121" spans="1:3" ht="15.75" customHeight="1" x14ac:dyDescent="0.2">
      <c r="A121" s="222" t="s">
        <v>112</v>
      </c>
      <c r="B121" s="222">
        <v>1</v>
      </c>
      <c r="C121" s="222">
        <v>0</v>
      </c>
    </row>
    <row r="122" spans="1:3" ht="15.75" customHeight="1" x14ac:dyDescent="0.2">
      <c r="A122" s="222" t="s">
        <v>112</v>
      </c>
      <c r="B122" s="222">
        <v>2</v>
      </c>
      <c r="C122" s="222">
        <v>0</v>
      </c>
    </row>
    <row r="123" spans="1:3" ht="15.75" customHeight="1" x14ac:dyDescent="0.2">
      <c r="A123" s="222" t="s">
        <v>113</v>
      </c>
      <c r="B123" s="222">
        <v>1</v>
      </c>
      <c r="C123" s="222">
        <v>0</v>
      </c>
    </row>
    <row r="124" spans="1:3" ht="15.75" customHeight="1" x14ac:dyDescent="0.2">
      <c r="A124" s="222" t="s">
        <v>113</v>
      </c>
      <c r="B124" s="222">
        <v>2</v>
      </c>
      <c r="C124" s="222">
        <v>0</v>
      </c>
    </row>
    <row r="125" spans="1:3" ht="15.75" customHeight="1" x14ac:dyDescent="0.2">
      <c r="A125" s="222" t="s">
        <v>114</v>
      </c>
      <c r="B125" s="222">
        <v>2</v>
      </c>
      <c r="C125" s="222">
        <v>0</v>
      </c>
    </row>
    <row r="126" spans="1:3" ht="15.75" customHeight="1" x14ac:dyDescent="0.2">
      <c r="A126" s="222" t="s">
        <v>114</v>
      </c>
      <c r="B126" s="222">
        <v>3</v>
      </c>
      <c r="C126" s="222">
        <v>0</v>
      </c>
    </row>
    <row r="127" spans="1:3" ht="15.75" customHeight="1" x14ac:dyDescent="0.2">
      <c r="A127" s="222" t="s">
        <v>114</v>
      </c>
      <c r="B127" s="222">
        <v>1</v>
      </c>
      <c r="C127" s="222">
        <v>0</v>
      </c>
    </row>
    <row r="128" spans="1:3" ht="15.75" customHeight="1" x14ac:dyDescent="0.2">
      <c r="A128" s="222" t="s">
        <v>115</v>
      </c>
      <c r="B128" s="222">
        <v>1</v>
      </c>
      <c r="C128" s="222">
        <v>0.36699999999999999</v>
      </c>
    </row>
    <row r="129" spans="1:3" ht="15.75" customHeight="1" x14ac:dyDescent="0.2">
      <c r="A129" s="222" t="s">
        <v>115</v>
      </c>
      <c r="B129" s="222">
        <v>2</v>
      </c>
      <c r="C129" s="222">
        <v>8.5999999999999993E-2</v>
      </c>
    </row>
    <row r="130" spans="1:3" ht="15.75" customHeight="1" x14ac:dyDescent="0.2">
      <c r="A130" s="222" t="s">
        <v>116</v>
      </c>
      <c r="B130" s="222">
        <v>1</v>
      </c>
      <c r="C130" s="222">
        <v>9.5000000000000001E-2</v>
      </c>
    </row>
    <row r="131" spans="1:3" ht="15.75" customHeight="1" x14ac:dyDescent="0.2">
      <c r="A131" s="222" t="s">
        <v>116</v>
      </c>
      <c r="B131" s="222">
        <v>2</v>
      </c>
      <c r="C131" s="222">
        <v>3.9E-2</v>
      </c>
    </row>
    <row r="132" spans="1:3" ht="15.75" customHeight="1" x14ac:dyDescent="0.2">
      <c r="A132" s="222" t="s">
        <v>116</v>
      </c>
      <c r="B132" s="222">
        <v>3</v>
      </c>
      <c r="C132" s="222">
        <v>0.19800000000000001</v>
      </c>
    </row>
    <row r="133" spans="1:3" ht="15.75" customHeight="1" x14ac:dyDescent="0.2">
      <c r="A133" s="222" t="s">
        <v>117</v>
      </c>
      <c r="B133" s="222">
        <v>1</v>
      </c>
      <c r="C133" s="222">
        <v>0.03</v>
      </c>
    </row>
    <row r="134" spans="1:3" ht="15.75" customHeight="1" x14ac:dyDescent="0.2">
      <c r="A134" s="222" t="s">
        <v>117</v>
      </c>
      <c r="B134" s="222">
        <v>2</v>
      </c>
      <c r="C134" s="222">
        <v>0</v>
      </c>
    </row>
    <row r="135" spans="1:3" ht="15.75" customHeight="1" x14ac:dyDescent="0.2">
      <c r="A135" s="222" t="s">
        <v>118</v>
      </c>
      <c r="B135" s="222">
        <v>1</v>
      </c>
      <c r="C135" s="222">
        <v>0</v>
      </c>
    </row>
    <row r="136" spans="1:3" ht="15.75" customHeight="1" x14ac:dyDescent="0.2">
      <c r="A136" s="222" t="s">
        <v>118</v>
      </c>
      <c r="B136" s="222">
        <v>2</v>
      </c>
      <c r="C136" s="222">
        <v>0</v>
      </c>
    </row>
    <row r="137" spans="1:3" ht="15.75" customHeight="1" x14ac:dyDescent="0.2">
      <c r="A137" s="222" t="s">
        <v>119</v>
      </c>
      <c r="B137" s="222">
        <v>2</v>
      </c>
      <c r="C137" s="222">
        <v>0.13100000000000001</v>
      </c>
    </row>
    <row r="138" spans="1:3" ht="15.75" customHeight="1" x14ac:dyDescent="0.2">
      <c r="A138" s="222" t="s">
        <v>119</v>
      </c>
      <c r="B138" s="222">
        <v>1</v>
      </c>
      <c r="C138" s="222">
        <v>0.60099999999999998</v>
      </c>
    </row>
    <row r="139" spans="1:3" ht="15.75" customHeight="1" x14ac:dyDescent="0.2">
      <c r="A139" s="222" t="s">
        <v>120</v>
      </c>
      <c r="B139" s="222">
        <v>1</v>
      </c>
      <c r="C139" s="222">
        <v>0.43099999999999999</v>
      </c>
    </row>
    <row r="140" spans="1:3" ht="15.75" customHeight="1" x14ac:dyDescent="0.2">
      <c r="A140" s="222" t="s">
        <v>121</v>
      </c>
      <c r="B140" s="222">
        <v>1</v>
      </c>
      <c r="C140" s="222">
        <v>0</v>
      </c>
    </row>
    <row r="141" spans="1:3" ht="15.75" customHeight="1" x14ac:dyDescent="0.2">
      <c r="A141" s="222" t="s">
        <v>121</v>
      </c>
      <c r="B141" s="222">
        <v>2</v>
      </c>
      <c r="C141" s="222">
        <v>0</v>
      </c>
    </row>
    <row r="142" spans="1:3" ht="15.75" customHeight="1" x14ac:dyDescent="0.2">
      <c r="A142" s="222" t="s">
        <v>122</v>
      </c>
      <c r="B142" s="222">
        <v>1</v>
      </c>
      <c r="C142" s="222">
        <v>6.8000000000000005E-2</v>
      </c>
    </row>
    <row r="143" spans="1:3" ht="15.75" customHeight="1" x14ac:dyDescent="0.2">
      <c r="A143" s="222" t="s">
        <v>122</v>
      </c>
      <c r="B143" s="222">
        <v>2</v>
      </c>
      <c r="C143" s="222">
        <v>0.35399999999999998</v>
      </c>
    </row>
    <row r="144" spans="1:3" ht="15.75" customHeight="1" x14ac:dyDescent="0.2">
      <c r="A144" s="222" t="s">
        <v>123</v>
      </c>
      <c r="B144" s="222">
        <v>1</v>
      </c>
      <c r="C144" s="222">
        <v>0.14000000000000001</v>
      </c>
    </row>
    <row r="145" spans="1:3" ht="15.75" customHeight="1" x14ac:dyDescent="0.2">
      <c r="A145" s="222" t="s">
        <v>123</v>
      </c>
      <c r="B145" s="222">
        <v>2</v>
      </c>
      <c r="C145" s="222">
        <v>0.03</v>
      </c>
    </row>
    <row r="146" spans="1:3" ht="15.75" customHeight="1" x14ac:dyDescent="0.2">
      <c r="A146" s="222" t="s">
        <v>124</v>
      </c>
      <c r="B146" s="222">
        <v>1</v>
      </c>
      <c r="C146" s="222">
        <v>0.214</v>
      </c>
    </row>
    <row r="147" spans="1:3" ht="15.75" customHeight="1" x14ac:dyDescent="0.2">
      <c r="A147" s="222" t="s">
        <v>124</v>
      </c>
      <c r="B147" s="222">
        <v>2</v>
      </c>
      <c r="C147" s="222">
        <v>0.03</v>
      </c>
    </row>
    <row r="148" spans="1:3" ht="15.75" customHeight="1" x14ac:dyDescent="0.2">
      <c r="A148" s="222" t="s">
        <v>125</v>
      </c>
      <c r="B148" s="222">
        <v>1</v>
      </c>
      <c r="C148" s="222">
        <v>0.59599999999999997</v>
      </c>
    </row>
    <row r="149" spans="1:3" ht="15.75" customHeight="1" x14ac:dyDescent="0.2">
      <c r="A149" s="222" t="s">
        <v>126</v>
      </c>
      <c r="B149" s="222">
        <v>1</v>
      </c>
      <c r="C149" s="222">
        <v>0</v>
      </c>
    </row>
    <row r="150" spans="1:3" ht="15.75" customHeight="1" x14ac:dyDescent="0.2">
      <c r="A150" s="222" t="s">
        <v>126</v>
      </c>
      <c r="B150" s="222">
        <v>2</v>
      </c>
      <c r="C150" s="222">
        <v>5.8000000000000003E-2</v>
      </c>
    </row>
    <row r="151" spans="1:3" ht="15.75" customHeight="1" x14ac:dyDescent="0.2">
      <c r="A151" s="222" t="s">
        <v>127</v>
      </c>
      <c r="B151" s="222">
        <v>1</v>
      </c>
      <c r="C151" s="222">
        <v>0</v>
      </c>
    </row>
    <row r="152" spans="1:3" ht="15.75" customHeight="1" x14ac:dyDescent="0.2">
      <c r="A152" s="222" t="s">
        <v>127</v>
      </c>
      <c r="B152" s="222">
        <v>2</v>
      </c>
      <c r="C152" s="222">
        <v>0.03</v>
      </c>
    </row>
    <row r="153" spans="1:3" ht="15.75" customHeight="1" x14ac:dyDescent="0.2">
      <c r="A153" s="222" t="s">
        <v>128</v>
      </c>
      <c r="B153" s="222">
        <v>1</v>
      </c>
      <c r="C153" s="222">
        <v>0.182</v>
      </c>
    </row>
    <row r="154" spans="1:3" ht="15.75" customHeight="1" x14ac:dyDescent="0.2">
      <c r="A154" s="222" t="s">
        <v>128</v>
      </c>
      <c r="B154" s="222">
        <v>2</v>
      </c>
      <c r="C154" s="222">
        <v>0</v>
      </c>
    </row>
    <row r="155" spans="1:3" ht="15.75" customHeight="1" x14ac:dyDescent="0.2">
      <c r="A155" s="222" t="s">
        <v>128</v>
      </c>
      <c r="B155" s="222">
        <v>3</v>
      </c>
      <c r="C155" s="222">
        <v>0.03</v>
      </c>
    </row>
    <row r="156" spans="1:3" ht="15.75" customHeight="1" x14ac:dyDescent="0.2">
      <c r="A156" s="222" t="s">
        <v>129</v>
      </c>
      <c r="B156" s="222">
        <v>1</v>
      </c>
      <c r="C156" s="222">
        <v>3.9E-2</v>
      </c>
    </row>
    <row r="157" spans="1:3" ht="15.75" customHeight="1" x14ac:dyDescent="0.2">
      <c r="A157" s="222" t="s">
        <v>129</v>
      </c>
      <c r="B157" s="222">
        <v>2</v>
      </c>
      <c r="C157" s="222">
        <v>0.05</v>
      </c>
    </row>
    <row r="158" spans="1:3" ht="15.75" customHeight="1" x14ac:dyDescent="0.2">
      <c r="A158" s="222" t="s">
        <v>130</v>
      </c>
      <c r="B158" s="222">
        <v>3</v>
      </c>
      <c r="C158" s="222">
        <v>3.9E-2</v>
      </c>
    </row>
    <row r="159" spans="1:3" ht="15.75" customHeight="1" x14ac:dyDescent="0.2">
      <c r="A159" s="222" t="s">
        <v>130</v>
      </c>
      <c r="B159" s="222">
        <v>2</v>
      </c>
      <c r="C159" s="222">
        <v>0</v>
      </c>
    </row>
    <row r="160" spans="1:3" ht="15.75" customHeight="1" x14ac:dyDescent="0.2">
      <c r="A160" s="222" t="s">
        <v>130</v>
      </c>
      <c r="B160" s="222">
        <v>1</v>
      </c>
      <c r="C160" s="222">
        <v>0</v>
      </c>
    </row>
    <row r="161" spans="1:3" ht="15.75" customHeight="1" x14ac:dyDescent="0.2">
      <c r="A161" s="222" t="s">
        <v>131</v>
      </c>
      <c r="B161" s="222">
        <v>1</v>
      </c>
      <c r="C161" s="222">
        <v>0</v>
      </c>
    </row>
    <row r="162" spans="1:3" ht="15.75" customHeight="1" x14ac:dyDescent="0.2">
      <c r="A162" s="222" t="s">
        <v>131</v>
      </c>
      <c r="B162" s="222">
        <v>2</v>
      </c>
      <c r="C162" s="222">
        <v>0.253</v>
      </c>
    </row>
    <row r="163" spans="1:3" ht="15.75" customHeight="1" x14ac:dyDescent="0.2">
      <c r="A163" s="222" t="s">
        <v>132</v>
      </c>
      <c r="B163" s="222">
        <v>1</v>
      </c>
      <c r="C163" s="222">
        <v>0</v>
      </c>
    </row>
    <row r="164" spans="1:3" ht="15.75" customHeight="1" x14ac:dyDescent="0.2">
      <c r="A164" s="222" t="s">
        <v>132</v>
      </c>
      <c r="B164" s="222">
        <v>2</v>
      </c>
      <c r="C164" s="222">
        <v>0.05</v>
      </c>
    </row>
    <row r="165" spans="1:3" ht="15.75" customHeight="1" x14ac:dyDescent="0.2">
      <c r="A165" s="222" t="s">
        <v>133</v>
      </c>
      <c r="B165" s="222">
        <v>1</v>
      </c>
      <c r="C165" s="222">
        <v>0.84699999999999998</v>
      </c>
    </row>
    <row r="166" spans="1:3" ht="15.75" customHeight="1" x14ac:dyDescent="0.2">
      <c r="A166" s="222" t="s">
        <v>134</v>
      </c>
      <c r="B166" s="222">
        <v>1</v>
      </c>
      <c r="C166" s="222">
        <v>9.5000000000000001E-2</v>
      </c>
    </row>
    <row r="167" spans="1:3" ht="15.75" customHeight="1" x14ac:dyDescent="0.2">
      <c r="A167" s="222" t="s">
        <v>134</v>
      </c>
      <c r="B167" s="222">
        <v>2</v>
      </c>
      <c r="C167" s="222">
        <v>0.113</v>
      </c>
    </row>
    <row r="168" spans="1:3" ht="15.75" customHeight="1" x14ac:dyDescent="0.2">
      <c r="A168" s="222" t="s">
        <v>135</v>
      </c>
      <c r="B168" s="222">
        <v>2</v>
      </c>
      <c r="C168" s="222">
        <v>0</v>
      </c>
    </row>
    <row r="169" spans="1:3" ht="15.75" customHeight="1" x14ac:dyDescent="0.2">
      <c r="A169" s="222" t="s">
        <v>135</v>
      </c>
      <c r="B169" s="222">
        <v>3</v>
      </c>
      <c r="C169" s="222">
        <v>0</v>
      </c>
    </row>
    <row r="170" spans="1:3" ht="15.75" customHeight="1" x14ac:dyDescent="0.2">
      <c r="A170" s="222" t="s">
        <v>135</v>
      </c>
      <c r="B170" s="222">
        <v>1</v>
      </c>
      <c r="C170" s="222">
        <v>0.16500000000000001</v>
      </c>
    </row>
    <row r="171" spans="1:3" ht="15.75" customHeight="1" x14ac:dyDescent="0.2">
      <c r="A171" s="222" t="s">
        <v>136</v>
      </c>
      <c r="B171" s="222">
        <v>1</v>
      </c>
      <c r="C171" s="222">
        <v>0.19</v>
      </c>
    </row>
    <row r="172" spans="1:3" ht="15.75" customHeight="1" x14ac:dyDescent="0.2">
      <c r="A172" s="222" t="s">
        <v>137</v>
      </c>
      <c r="B172" s="222">
        <v>1</v>
      </c>
      <c r="C172" s="222">
        <v>0.03</v>
      </c>
    </row>
    <row r="173" spans="1:3" ht="15.75" customHeight="1" x14ac:dyDescent="0.2">
      <c r="A173" s="222" t="s">
        <v>137</v>
      </c>
      <c r="B173" s="222">
        <v>2</v>
      </c>
      <c r="C173" s="222">
        <v>0.14799999999999999</v>
      </c>
    </row>
    <row r="174" spans="1:3" ht="15.75" customHeight="1" x14ac:dyDescent="0.2">
      <c r="A174" s="222" t="s">
        <v>138</v>
      </c>
      <c r="B174" s="222">
        <v>1</v>
      </c>
      <c r="C174" s="222">
        <v>0</v>
      </c>
    </row>
    <row r="175" spans="1:3" ht="15.75" customHeight="1" x14ac:dyDescent="0.2">
      <c r="A175" s="222" t="s">
        <v>138</v>
      </c>
      <c r="B175" s="222">
        <v>2</v>
      </c>
      <c r="C175" s="222">
        <v>9.5000000000000001E-2</v>
      </c>
    </row>
    <row r="176" spans="1:3" ht="15.75" customHeight="1" x14ac:dyDescent="0.2">
      <c r="A176" s="222" t="s">
        <v>139</v>
      </c>
      <c r="B176" s="222">
        <v>1</v>
      </c>
      <c r="C176" s="222">
        <v>0</v>
      </c>
    </row>
    <row r="177" spans="1:3" ht="15.75" customHeight="1" x14ac:dyDescent="0.2">
      <c r="A177" s="222" t="s">
        <v>139</v>
      </c>
      <c r="B177" s="222">
        <v>2</v>
      </c>
      <c r="C177" s="222">
        <v>0</v>
      </c>
    </row>
    <row r="178" spans="1:3" ht="15.75" customHeight="1" x14ac:dyDescent="0.2">
      <c r="A178" s="222" t="s">
        <v>140</v>
      </c>
      <c r="B178" s="222">
        <v>1</v>
      </c>
      <c r="C178" s="222">
        <v>0.88900000000000001</v>
      </c>
    </row>
    <row r="179" spans="1:3" ht="15.75" customHeight="1" x14ac:dyDescent="0.2">
      <c r="A179" s="222" t="s">
        <v>140</v>
      </c>
      <c r="B179" s="222">
        <v>2</v>
      </c>
      <c r="C179" s="222">
        <v>0.64400000000000002</v>
      </c>
    </row>
    <row r="180" spans="1:3" ht="15.75" customHeight="1" x14ac:dyDescent="0.2">
      <c r="A180" s="222" t="s">
        <v>141</v>
      </c>
      <c r="B180" s="222">
        <v>1</v>
      </c>
      <c r="C180" s="222">
        <v>9.5000000000000001E-2</v>
      </c>
    </row>
    <row r="181" spans="1:3" ht="15.75" customHeight="1" x14ac:dyDescent="0.2">
      <c r="A181" s="222" t="s">
        <v>141</v>
      </c>
      <c r="B181" s="222">
        <v>2</v>
      </c>
      <c r="C181" s="222">
        <v>5.8000000000000003E-2</v>
      </c>
    </row>
    <row r="182" spans="1:3" ht="15.75" customHeight="1" x14ac:dyDescent="0.2">
      <c r="A182" s="222" t="s">
        <v>142</v>
      </c>
      <c r="B182" s="222">
        <v>1</v>
      </c>
      <c r="C182" s="222">
        <v>0.82399999999999995</v>
      </c>
    </row>
    <row r="183" spans="1:3" ht="15.75" customHeight="1" x14ac:dyDescent="0.2">
      <c r="A183" s="222" t="s">
        <v>142</v>
      </c>
      <c r="B183" s="222">
        <v>2</v>
      </c>
      <c r="C183" s="222">
        <v>0.19800000000000001</v>
      </c>
    </row>
    <row r="184" spans="1:3" ht="15.75" customHeight="1" x14ac:dyDescent="0.2">
      <c r="A184" s="222" t="s">
        <v>143</v>
      </c>
      <c r="B184" s="222">
        <v>2</v>
      </c>
      <c r="C184" s="222">
        <v>0</v>
      </c>
    </row>
    <row r="185" spans="1:3" ht="15.75" customHeight="1" x14ac:dyDescent="0.2">
      <c r="A185" s="222" t="s">
        <v>143</v>
      </c>
      <c r="B185" s="222">
        <v>1</v>
      </c>
      <c r="C185" s="222">
        <v>0</v>
      </c>
    </row>
    <row r="186" spans="1:3" ht="15.75" customHeight="1" x14ac:dyDescent="0.2">
      <c r="A186" s="222" t="s">
        <v>144</v>
      </c>
      <c r="B186" s="222">
        <v>1</v>
      </c>
      <c r="C186" s="222">
        <v>0.05</v>
      </c>
    </row>
    <row r="187" spans="1:3" ht="15.75" customHeight="1" x14ac:dyDescent="0.2">
      <c r="A187" s="222" t="s">
        <v>144</v>
      </c>
      <c r="B187" s="222">
        <v>2</v>
      </c>
      <c r="C187" s="222">
        <v>0</v>
      </c>
    </row>
    <row r="188" spans="1:3" ht="15.75" customHeight="1" x14ac:dyDescent="0.2">
      <c r="A188" s="222" t="s">
        <v>145</v>
      </c>
      <c r="B188" s="222">
        <v>1</v>
      </c>
      <c r="C188" s="222">
        <v>0</v>
      </c>
    </row>
    <row r="189" spans="1:3" ht="15.75" customHeight="1" x14ac:dyDescent="0.2">
      <c r="A189" s="222" t="s">
        <v>145</v>
      </c>
      <c r="B189" s="222">
        <v>2</v>
      </c>
      <c r="C189" s="222">
        <v>0</v>
      </c>
    </row>
    <row r="190" spans="1:3" ht="15.75" customHeight="1" x14ac:dyDescent="0.2">
      <c r="A190" s="222" t="s">
        <v>146</v>
      </c>
      <c r="B190" s="222">
        <v>1</v>
      </c>
      <c r="C190" s="222">
        <v>0.42499999999999999</v>
      </c>
    </row>
    <row r="191" spans="1:3" ht="15.75" customHeight="1" x14ac:dyDescent="0.2">
      <c r="A191" s="222" t="s">
        <v>147</v>
      </c>
      <c r="B191" s="222">
        <v>1</v>
      </c>
      <c r="C191" s="222">
        <v>0.36699999999999999</v>
      </c>
    </row>
    <row r="192" spans="1:3" ht="15.75" customHeight="1" x14ac:dyDescent="0.2">
      <c r="A192" s="222" t="s">
        <v>147</v>
      </c>
      <c r="B192" s="222">
        <v>2</v>
      </c>
      <c r="C192" s="222">
        <v>0.312</v>
      </c>
    </row>
    <row r="193" spans="1:3" ht="15.75" customHeight="1" x14ac:dyDescent="0.2">
      <c r="A193" s="222" t="s">
        <v>148</v>
      </c>
      <c r="B193" s="222">
        <v>2</v>
      </c>
      <c r="C193" s="222">
        <v>3.9E-2</v>
      </c>
    </row>
    <row r="194" spans="1:3" ht="15.75" customHeight="1" x14ac:dyDescent="0.2">
      <c r="A194" s="222" t="s">
        <v>148</v>
      </c>
      <c r="B194" s="222">
        <v>3</v>
      </c>
      <c r="C194" s="222">
        <v>9.5000000000000001E-2</v>
      </c>
    </row>
    <row r="195" spans="1:3" ht="15.75" customHeight="1" x14ac:dyDescent="0.2">
      <c r="A195" s="222" t="s">
        <v>148</v>
      </c>
      <c r="B195" s="222">
        <v>1</v>
      </c>
      <c r="C195" s="222">
        <v>0</v>
      </c>
    </row>
    <row r="196" spans="1:3" ht="15.75" customHeight="1" x14ac:dyDescent="0.2">
      <c r="A196" s="222" t="s">
        <v>149</v>
      </c>
      <c r="B196" s="222">
        <v>1</v>
      </c>
      <c r="C196" s="222">
        <v>0</v>
      </c>
    </row>
    <row r="197" spans="1:3" ht="15.75" customHeight="1" x14ac:dyDescent="0.2">
      <c r="A197" s="222" t="s">
        <v>149</v>
      </c>
      <c r="B197" s="222">
        <v>2</v>
      </c>
      <c r="C197" s="222">
        <v>0</v>
      </c>
    </row>
    <row r="198" spans="1:3" ht="15.75" customHeight="1" x14ac:dyDescent="0.2">
      <c r="A198" s="222" t="s">
        <v>150</v>
      </c>
      <c r="B198" s="222">
        <v>1</v>
      </c>
      <c r="C198" s="222">
        <v>0.246</v>
      </c>
    </row>
    <row r="199" spans="1:3" ht="15.75" customHeight="1" x14ac:dyDescent="0.2">
      <c r="A199" s="222" t="s">
        <v>151</v>
      </c>
      <c r="B199" s="222">
        <v>1</v>
      </c>
      <c r="C199" s="222">
        <v>0</v>
      </c>
    </row>
    <row r="200" spans="1:3" ht="15.75" customHeight="1" x14ac:dyDescent="0.2">
      <c r="A200" s="222" t="s">
        <v>151</v>
      </c>
      <c r="B200" s="222">
        <v>2</v>
      </c>
      <c r="C200" s="222">
        <v>0</v>
      </c>
    </row>
    <row r="201" spans="1:3" ht="15.75" customHeight="1" x14ac:dyDescent="0.2">
      <c r="A201" s="222" t="s">
        <v>151</v>
      </c>
      <c r="B201" s="222">
        <v>3</v>
      </c>
      <c r="C201" s="222">
        <v>0.19</v>
      </c>
    </row>
    <row r="202" spans="1:3" ht="15.75" customHeight="1" x14ac:dyDescent="0.2">
      <c r="A202" s="222" t="s">
        <v>152</v>
      </c>
      <c r="B202" s="222">
        <v>1</v>
      </c>
      <c r="C202" s="222">
        <v>0.03</v>
      </c>
    </row>
    <row r="203" spans="1:3" ht="15.75" customHeight="1" x14ac:dyDescent="0.2">
      <c r="A203" s="222" t="s">
        <v>152</v>
      </c>
      <c r="B203" s="222">
        <v>2</v>
      </c>
      <c r="C203" s="222">
        <v>0.104</v>
      </c>
    </row>
    <row r="204" spans="1:3" ht="15.75" customHeight="1" x14ac:dyDescent="0.2">
      <c r="A204" s="222" t="s">
        <v>153</v>
      </c>
      <c r="B204" s="222">
        <v>1</v>
      </c>
      <c r="C204" s="222">
        <v>0</v>
      </c>
    </row>
    <row r="205" spans="1:3" ht="15.75" customHeight="1" x14ac:dyDescent="0.2">
      <c r="A205" s="222" t="s">
        <v>154</v>
      </c>
      <c r="B205" s="222">
        <v>2</v>
      </c>
      <c r="C205" s="222">
        <v>0</v>
      </c>
    </row>
    <row r="206" spans="1:3" ht="15.75" customHeight="1" x14ac:dyDescent="0.2">
      <c r="A206" s="222" t="s">
        <v>154</v>
      </c>
      <c r="B206" s="222">
        <v>3</v>
      </c>
      <c r="C206" s="222">
        <v>0</v>
      </c>
    </row>
    <row r="207" spans="1:3" ht="15.75" customHeight="1" x14ac:dyDescent="0.2">
      <c r="A207" s="222" t="s">
        <v>154</v>
      </c>
      <c r="B207" s="222">
        <v>1</v>
      </c>
      <c r="C207" s="222">
        <v>0</v>
      </c>
    </row>
    <row r="208" spans="1:3" ht="15.75" customHeight="1" x14ac:dyDescent="0.2">
      <c r="A208" s="222" t="s">
        <v>155</v>
      </c>
      <c r="B208" s="222">
        <v>1</v>
      </c>
      <c r="C208" s="222">
        <v>0</v>
      </c>
    </row>
    <row r="209" spans="1:3" ht="15.75" customHeight="1" x14ac:dyDescent="0.2">
      <c r="A209" s="222" t="s">
        <v>155</v>
      </c>
      <c r="B209" s="222">
        <v>2</v>
      </c>
      <c r="C209" s="222">
        <v>0</v>
      </c>
    </row>
    <row r="210" spans="1:3" ht="15.75" customHeight="1" x14ac:dyDescent="0.2">
      <c r="A210" s="222" t="s">
        <v>156</v>
      </c>
      <c r="B210" s="222">
        <v>1</v>
      </c>
      <c r="C210" s="222">
        <v>3.9E-2</v>
      </c>
    </row>
    <row r="211" spans="1:3" ht="15.75" customHeight="1" x14ac:dyDescent="0.2">
      <c r="A211" s="222" t="s">
        <v>156</v>
      </c>
      <c r="B211" s="222">
        <v>2</v>
      </c>
      <c r="C211" s="222">
        <v>0</v>
      </c>
    </row>
    <row r="212" spans="1:3" ht="15.75" customHeight="1" x14ac:dyDescent="0.2">
      <c r="A212" s="222" t="s">
        <v>157</v>
      </c>
      <c r="B212" s="222">
        <v>1</v>
      </c>
      <c r="C212" s="222">
        <v>0.43099999999999999</v>
      </c>
    </row>
    <row r="213" spans="1:3" ht="15.75" customHeight="1" x14ac:dyDescent="0.2">
      <c r="A213" s="222" t="s">
        <v>157</v>
      </c>
      <c r="B213" s="222">
        <v>2</v>
      </c>
      <c r="C213" s="222">
        <v>0.69299999999999995</v>
      </c>
    </row>
    <row r="214" spans="1:3" ht="15.75" customHeight="1" x14ac:dyDescent="0.2">
      <c r="A214" s="222" t="s">
        <v>158</v>
      </c>
      <c r="B214" s="222">
        <v>1</v>
      </c>
      <c r="C214" s="222">
        <v>0.30499999999999999</v>
      </c>
    </row>
    <row r="215" spans="1:3" ht="15.75" customHeight="1" x14ac:dyDescent="0.2">
      <c r="A215" s="222" t="s">
        <v>158</v>
      </c>
      <c r="B215" s="222">
        <v>2</v>
      </c>
      <c r="C215" s="222">
        <v>6.8000000000000005E-2</v>
      </c>
    </row>
    <row r="216" spans="1:3" ht="15.75" customHeight="1" x14ac:dyDescent="0.2">
      <c r="A216" s="222" t="s">
        <v>159</v>
      </c>
      <c r="B216" s="222">
        <v>1</v>
      </c>
      <c r="C216" s="222">
        <v>0.63200000000000001</v>
      </c>
    </row>
    <row r="217" spans="1:3" ht="15.75" customHeight="1" x14ac:dyDescent="0.2">
      <c r="A217" s="222" t="s">
        <v>160</v>
      </c>
      <c r="B217" s="222">
        <v>2</v>
      </c>
      <c r="C217" s="222">
        <v>0.46200000000000002</v>
      </c>
    </row>
    <row r="218" spans="1:3" ht="15.75" customHeight="1" x14ac:dyDescent="0.2">
      <c r="A218" s="222" t="s">
        <v>160</v>
      </c>
      <c r="B218" s="222">
        <v>1</v>
      </c>
      <c r="C218" s="222">
        <v>7.6999999999999999E-2</v>
      </c>
    </row>
    <row r="219" spans="1:3" ht="15.75" customHeight="1" x14ac:dyDescent="0.2">
      <c r="A219" s="222" t="s">
        <v>161</v>
      </c>
      <c r="B219" s="222">
        <v>1</v>
      </c>
      <c r="C219" s="222">
        <v>0</v>
      </c>
    </row>
    <row r="220" spans="1:3" ht="15.75" customHeight="1" x14ac:dyDescent="0.2">
      <c r="A220" s="222" t="s">
        <v>161</v>
      </c>
      <c r="B220" s="222">
        <v>2</v>
      </c>
      <c r="C220" s="222">
        <v>0</v>
      </c>
    </row>
    <row r="221" spans="1:3" ht="15.75" customHeight="1" x14ac:dyDescent="0.2">
      <c r="A221" s="222" t="s">
        <v>162</v>
      </c>
      <c r="B221" s="222">
        <v>1</v>
      </c>
      <c r="C221" s="222">
        <v>0.104</v>
      </c>
    </row>
    <row r="222" spans="1:3" ht="15.75" customHeight="1" x14ac:dyDescent="0.2">
      <c r="A222" s="222" t="s">
        <v>162</v>
      </c>
      <c r="B222" s="222">
        <v>2</v>
      </c>
      <c r="C222" s="222">
        <v>0.113</v>
      </c>
    </row>
    <row r="223" spans="1:3" ht="15.75" customHeight="1" x14ac:dyDescent="0.2">
      <c r="A223" s="222" t="s">
        <v>162</v>
      </c>
      <c r="B223" s="222">
        <v>3</v>
      </c>
      <c r="C223" s="222">
        <v>0.253</v>
      </c>
    </row>
    <row r="224" spans="1:3" ht="15.75" customHeight="1" x14ac:dyDescent="0.2">
      <c r="A224" s="222" t="s">
        <v>163</v>
      </c>
      <c r="B224" s="222">
        <v>1</v>
      </c>
      <c r="C224" s="222">
        <v>0</v>
      </c>
    </row>
    <row r="225" spans="1:3" ht="15.75" customHeight="1" x14ac:dyDescent="0.2">
      <c r="A225" s="222" t="s">
        <v>164</v>
      </c>
      <c r="B225" s="222">
        <v>1</v>
      </c>
      <c r="C225" s="222">
        <v>0.03</v>
      </c>
    </row>
    <row r="226" spans="1:3" ht="15.75" customHeight="1" x14ac:dyDescent="0.2">
      <c r="A226" s="222" t="s">
        <v>164</v>
      </c>
      <c r="B226" s="222">
        <v>2</v>
      </c>
      <c r="C226" s="222">
        <v>0</v>
      </c>
    </row>
    <row r="227" spans="1:3" ht="15.75" customHeight="1" x14ac:dyDescent="0.2">
      <c r="A227" s="222" t="s">
        <v>165</v>
      </c>
      <c r="B227" s="222">
        <v>1</v>
      </c>
      <c r="C227" s="222">
        <v>0.27600000000000002</v>
      </c>
    </row>
    <row r="228" spans="1:3" ht="15.75" customHeight="1" x14ac:dyDescent="0.2">
      <c r="A228" s="222" t="s">
        <v>166</v>
      </c>
      <c r="B228" s="222">
        <v>2</v>
      </c>
      <c r="C228" s="222">
        <v>0</v>
      </c>
    </row>
    <row r="229" spans="1:3" ht="15.75" customHeight="1" x14ac:dyDescent="0.2">
      <c r="A229" s="222" t="s">
        <v>166</v>
      </c>
      <c r="B229" s="222">
        <v>1</v>
      </c>
      <c r="C229" s="222">
        <v>8.5999999999999993E-2</v>
      </c>
    </row>
    <row r="230" spans="1:3" ht="15.75" customHeight="1" x14ac:dyDescent="0.2">
      <c r="A230" s="222" t="s">
        <v>167</v>
      </c>
      <c r="B230" s="222">
        <v>2</v>
      </c>
      <c r="C230" s="222">
        <v>0</v>
      </c>
    </row>
    <row r="231" spans="1:3" ht="15.75" customHeight="1" x14ac:dyDescent="0.2">
      <c r="A231" s="222" t="s">
        <v>167</v>
      </c>
      <c r="B231" s="222">
        <v>1</v>
      </c>
      <c r="C231" s="222">
        <v>0</v>
      </c>
    </row>
    <row r="232" spans="1:3" ht="15.75" customHeight="1" x14ac:dyDescent="0.2">
      <c r="A232" s="222" t="s">
        <v>168</v>
      </c>
      <c r="B232" s="222">
        <v>1</v>
      </c>
      <c r="C232" s="222">
        <v>0.182</v>
      </c>
    </row>
    <row r="233" spans="1:3" ht="15.75" customHeight="1" x14ac:dyDescent="0.2">
      <c r="A233" s="222" t="s">
        <v>168</v>
      </c>
      <c r="B233" s="222">
        <v>2</v>
      </c>
      <c r="C233" s="222">
        <v>0.03</v>
      </c>
    </row>
    <row r="234" spans="1:3" ht="15.75" customHeight="1" x14ac:dyDescent="0.2">
      <c r="A234" s="222" t="s">
        <v>168</v>
      </c>
      <c r="B234" s="222">
        <v>3</v>
      </c>
      <c r="C234" s="222">
        <v>0.312</v>
      </c>
    </row>
    <row r="235" spans="1:3" ht="15.75" customHeight="1" x14ac:dyDescent="0.2">
      <c r="A235" s="222" t="s">
        <v>169</v>
      </c>
      <c r="B235" s="222">
        <v>1</v>
      </c>
      <c r="C235" s="222">
        <v>3.9E-2</v>
      </c>
    </row>
    <row r="236" spans="1:3" ht="15.75" customHeight="1" x14ac:dyDescent="0.2">
      <c r="A236" s="222" t="s">
        <v>169</v>
      </c>
      <c r="B236" s="222">
        <v>2</v>
      </c>
      <c r="C236" s="222">
        <v>0</v>
      </c>
    </row>
    <row r="237" spans="1:3" ht="15.75" customHeight="1" x14ac:dyDescent="0.2">
      <c r="A237" s="222" t="s">
        <v>169</v>
      </c>
      <c r="B237" s="222">
        <v>3</v>
      </c>
      <c r="C237" s="222">
        <v>3.9E-2</v>
      </c>
    </row>
    <row r="238" spans="1:3" ht="15.75" customHeight="1" x14ac:dyDescent="0.2">
      <c r="A238" s="222" t="s">
        <v>170</v>
      </c>
      <c r="B238" s="222">
        <v>1</v>
      </c>
      <c r="C238" s="222">
        <v>0</v>
      </c>
    </row>
    <row r="239" spans="1:3" ht="15.75" customHeight="1" x14ac:dyDescent="0.2">
      <c r="A239" s="222" t="s">
        <v>171</v>
      </c>
      <c r="B239" s="222">
        <v>1</v>
      </c>
      <c r="C239" s="222">
        <v>0.42499999999999999</v>
      </c>
    </row>
    <row r="240" spans="1:3" ht="15.75" customHeight="1" x14ac:dyDescent="0.2">
      <c r="A240" s="222" t="s">
        <v>171</v>
      </c>
      <c r="B240" s="222">
        <v>2</v>
      </c>
      <c r="C240" s="222">
        <v>7.6999999999999999E-2</v>
      </c>
    </row>
    <row r="241" spans="1:3" ht="15.75" customHeight="1" x14ac:dyDescent="0.2">
      <c r="A241" s="222" t="s">
        <v>172</v>
      </c>
      <c r="B241" s="222">
        <v>2</v>
      </c>
      <c r="C241" s="222">
        <v>0</v>
      </c>
    </row>
    <row r="242" spans="1:3" ht="15.75" customHeight="1" x14ac:dyDescent="0.2">
      <c r="A242" s="222" t="s">
        <v>172</v>
      </c>
      <c r="B242" s="222">
        <v>1</v>
      </c>
      <c r="C242" s="222">
        <v>4.9000000000000002E-2</v>
      </c>
    </row>
    <row r="243" spans="1:3" ht="15.75" customHeight="1" x14ac:dyDescent="0.2">
      <c r="A243" s="222" t="s">
        <v>173</v>
      </c>
      <c r="B243" s="222">
        <v>1</v>
      </c>
      <c r="C243" s="222">
        <v>0.14799999999999999</v>
      </c>
    </row>
    <row r="244" spans="1:3" ht="15.75" customHeight="1" x14ac:dyDescent="0.2">
      <c r="A244" s="222" t="s">
        <v>174</v>
      </c>
      <c r="B244" s="222">
        <v>1</v>
      </c>
      <c r="C244" s="222">
        <v>4.9000000000000002E-2</v>
      </c>
    </row>
    <row r="245" spans="1:3" ht="15.75" customHeight="1" x14ac:dyDescent="0.2">
      <c r="A245" s="222" t="s">
        <v>174</v>
      </c>
      <c r="B245" s="222">
        <v>2</v>
      </c>
      <c r="C245" s="222">
        <v>0.03</v>
      </c>
    </row>
    <row r="246" spans="1:3" ht="15.75" customHeight="1" x14ac:dyDescent="0.2">
      <c r="A246" s="222" t="s">
        <v>174</v>
      </c>
      <c r="B246" s="222">
        <v>3</v>
      </c>
      <c r="C246" s="222">
        <v>0.182</v>
      </c>
    </row>
    <row r="247" spans="1:3" ht="15.75" customHeight="1" x14ac:dyDescent="0.2">
      <c r="A247" s="222" t="s">
        <v>175</v>
      </c>
      <c r="B247" s="222">
        <v>1</v>
      </c>
      <c r="C247" s="222">
        <v>9.5000000000000001E-2</v>
      </c>
    </row>
    <row r="248" spans="1:3" ht="15.75" customHeight="1" x14ac:dyDescent="0.2">
      <c r="A248" s="222" t="s">
        <v>175</v>
      </c>
      <c r="B248" s="222">
        <v>2</v>
      </c>
      <c r="C248" s="222">
        <v>0.32600000000000001</v>
      </c>
    </row>
    <row r="249" spans="1:3" ht="15.75" customHeight="1" x14ac:dyDescent="0.2">
      <c r="A249" s="222" t="s">
        <v>175</v>
      </c>
      <c r="B249" s="222">
        <v>3</v>
      </c>
      <c r="C249" s="222">
        <v>0.41899999999999998</v>
      </c>
    </row>
    <row r="250" spans="1:3" ht="15.75" customHeight="1" x14ac:dyDescent="0.2">
      <c r="A250" s="222" t="s">
        <v>176</v>
      </c>
      <c r="B250" s="222">
        <v>2</v>
      </c>
      <c r="C250" s="222">
        <v>0.502</v>
      </c>
    </row>
    <row r="251" spans="1:3" ht="15.75" customHeight="1" x14ac:dyDescent="0.2">
      <c r="A251" s="222" t="s">
        <v>176</v>
      </c>
      <c r="B251" s="222">
        <v>1</v>
      </c>
      <c r="C251" s="222">
        <v>0.38700000000000001</v>
      </c>
    </row>
    <row r="252" spans="1:3" ht="15.75" customHeight="1" x14ac:dyDescent="0.2">
      <c r="A252" s="222" t="s">
        <v>177</v>
      </c>
      <c r="B252" s="222">
        <v>2</v>
      </c>
      <c r="C252" s="222">
        <v>0</v>
      </c>
    </row>
    <row r="253" spans="1:3" ht="15.75" customHeight="1" x14ac:dyDescent="0.2">
      <c r="A253" s="222" t="s">
        <v>177</v>
      </c>
      <c r="B253" s="222">
        <v>3</v>
      </c>
      <c r="C253" s="222">
        <v>0.05</v>
      </c>
    </row>
    <row r="254" spans="1:3" ht="15.75" customHeight="1" x14ac:dyDescent="0.2">
      <c r="A254" s="222" t="s">
        <v>177</v>
      </c>
      <c r="B254" s="222">
        <v>1</v>
      </c>
      <c r="C254" s="222">
        <v>0</v>
      </c>
    </row>
    <row r="255" spans="1:3" ht="15.75" customHeight="1" x14ac:dyDescent="0.2">
      <c r="A255" s="222" t="s">
        <v>178</v>
      </c>
      <c r="B255" s="222">
        <v>1</v>
      </c>
      <c r="C255" s="222">
        <v>0.03</v>
      </c>
    </row>
    <row r="256" spans="1:3" ht="15.75" customHeight="1" x14ac:dyDescent="0.2">
      <c r="A256" s="222" t="s">
        <v>178</v>
      </c>
      <c r="B256" s="222">
        <v>2</v>
      </c>
      <c r="C256" s="222">
        <v>0.02</v>
      </c>
    </row>
    <row r="257" spans="1:3" ht="15.75" customHeight="1" x14ac:dyDescent="0.2">
      <c r="A257" s="222" t="s">
        <v>179</v>
      </c>
      <c r="B257" s="222">
        <v>1</v>
      </c>
      <c r="C257" s="222">
        <v>0.312</v>
      </c>
    </row>
    <row r="258" spans="1:3" ht="15.75" customHeight="1" x14ac:dyDescent="0.2">
      <c r="A258" s="222" t="s">
        <v>179</v>
      </c>
      <c r="B258" s="222">
        <v>2</v>
      </c>
      <c r="C258" s="222">
        <v>0.23799999999999999</v>
      </c>
    </row>
    <row r="259" spans="1:3" ht="15.75" customHeight="1" x14ac:dyDescent="0.2">
      <c r="A259" s="222" t="s">
        <v>179</v>
      </c>
      <c r="B259" s="222">
        <v>3</v>
      </c>
      <c r="C259" s="222">
        <v>0.46700000000000003</v>
      </c>
    </row>
    <row r="260" spans="1:3" ht="15.75" customHeight="1" x14ac:dyDescent="0.2">
      <c r="A260" s="222" t="s">
        <v>180</v>
      </c>
      <c r="B260" s="222">
        <v>1</v>
      </c>
      <c r="C260" s="222">
        <v>0</v>
      </c>
    </row>
    <row r="261" spans="1:3" ht="15.75" customHeight="1" x14ac:dyDescent="0.2">
      <c r="A261" s="222" t="s">
        <v>181</v>
      </c>
      <c r="B261" s="222">
        <v>3</v>
      </c>
      <c r="C261" s="222">
        <v>0.113</v>
      </c>
    </row>
    <row r="262" spans="1:3" ht="15.75" customHeight="1" x14ac:dyDescent="0.2">
      <c r="A262" s="222" t="s">
        <v>181</v>
      </c>
      <c r="B262" s="222">
        <v>1</v>
      </c>
      <c r="C262" s="222">
        <v>0.214</v>
      </c>
    </row>
    <row r="263" spans="1:3" ht="15.75" customHeight="1" x14ac:dyDescent="0.2">
      <c r="A263" s="222" t="s">
        <v>181</v>
      </c>
      <c r="B263" s="222">
        <v>2</v>
      </c>
      <c r="C263" s="222">
        <v>0.13100000000000001</v>
      </c>
    </row>
    <row r="264" spans="1:3" ht="15.75" customHeight="1" x14ac:dyDescent="0.2">
      <c r="A264" s="222" t="s">
        <v>182</v>
      </c>
      <c r="B264" s="222">
        <v>2</v>
      </c>
      <c r="C264" s="222">
        <v>0</v>
      </c>
    </row>
    <row r="265" spans="1:3" ht="15.75" customHeight="1" x14ac:dyDescent="0.2">
      <c r="A265" s="222" t="s">
        <v>182</v>
      </c>
      <c r="B265" s="222">
        <v>1</v>
      </c>
      <c r="C265" s="222">
        <v>0</v>
      </c>
    </row>
    <row r="266" spans="1:3" ht="15.75" customHeight="1" x14ac:dyDescent="0.2">
      <c r="A266" s="222" t="s">
        <v>183</v>
      </c>
      <c r="B266" s="222">
        <v>1</v>
      </c>
      <c r="C266" s="222">
        <v>0.35399999999999998</v>
      </c>
    </row>
    <row r="267" spans="1:3" ht="15.75" customHeight="1" x14ac:dyDescent="0.2">
      <c r="A267" s="222" t="s">
        <v>184</v>
      </c>
      <c r="B267" s="222">
        <v>1</v>
      </c>
      <c r="C267" s="222">
        <v>0</v>
      </c>
    </row>
    <row r="268" spans="1:3" ht="15.75" customHeight="1" x14ac:dyDescent="0.2">
      <c r="A268" s="222" t="s">
        <v>184</v>
      </c>
      <c r="B268" s="222">
        <v>2</v>
      </c>
      <c r="C268" s="222">
        <v>0</v>
      </c>
    </row>
    <row r="269" spans="1:3" ht="15.75" customHeight="1" x14ac:dyDescent="0.2">
      <c r="A269" s="222" t="s">
        <v>185</v>
      </c>
      <c r="B269" s="222">
        <v>2</v>
      </c>
      <c r="C269" s="222">
        <v>0</v>
      </c>
    </row>
    <row r="270" spans="1:3" ht="15.75" customHeight="1" x14ac:dyDescent="0.2">
      <c r="A270" s="222" t="s">
        <v>186</v>
      </c>
      <c r="B270" s="222">
        <v>1</v>
      </c>
      <c r="C270" s="222">
        <v>0.02</v>
      </c>
    </row>
    <row r="271" spans="1:3" ht="15.75" customHeight="1" x14ac:dyDescent="0.2">
      <c r="A271" s="222" t="s">
        <v>187</v>
      </c>
      <c r="B271" s="222">
        <v>2</v>
      </c>
      <c r="C271" s="222">
        <v>0.113</v>
      </c>
    </row>
    <row r="272" spans="1:3" ht="15.75" customHeight="1" x14ac:dyDescent="0.2">
      <c r="A272" s="222" t="s">
        <v>187</v>
      </c>
      <c r="B272" s="222">
        <v>1</v>
      </c>
      <c r="C272" s="222">
        <v>0</v>
      </c>
    </row>
    <row r="273" spans="1:3" ht="15.75" customHeight="1" x14ac:dyDescent="0.2">
      <c r="A273" s="222" t="s">
        <v>188</v>
      </c>
      <c r="B273" s="222">
        <v>1</v>
      </c>
      <c r="C273" s="222">
        <v>0</v>
      </c>
    </row>
    <row r="274" spans="1:3" ht="15.75" customHeight="1" x14ac:dyDescent="0.2">
      <c r="A274" s="222" t="s">
        <v>189</v>
      </c>
      <c r="B274" s="222">
        <v>2</v>
      </c>
      <c r="C274" s="222">
        <v>0</v>
      </c>
    </row>
    <row r="275" spans="1:3" ht="15.75" customHeight="1" x14ac:dyDescent="0.2">
      <c r="A275" s="222" t="s">
        <v>189</v>
      </c>
      <c r="B275" s="222">
        <v>1</v>
      </c>
      <c r="C275" s="222">
        <v>0</v>
      </c>
    </row>
    <row r="276" spans="1:3" ht="15.75" customHeight="1" x14ac:dyDescent="0.2">
      <c r="A276" s="222" t="s">
        <v>189</v>
      </c>
      <c r="B276" s="222">
        <v>3</v>
      </c>
      <c r="C276" s="222">
        <v>0</v>
      </c>
    </row>
    <row r="277" spans="1:3" ht="15.75" customHeight="1" x14ac:dyDescent="0.2">
      <c r="A277" s="222" t="s">
        <v>190</v>
      </c>
      <c r="B277" s="222">
        <v>2</v>
      </c>
      <c r="C277" s="222">
        <v>0</v>
      </c>
    </row>
    <row r="278" spans="1:3" ht="15.75" customHeight="1" x14ac:dyDescent="0.2">
      <c r="A278" s="222" t="s">
        <v>191</v>
      </c>
      <c r="B278" s="222">
        <v>1</v>
      </c>
      <c r="C278" s="222">
        <v>0.60599999999999998</v>
      </c>
    </row>
    <row r="279" spans="1:3" ht="15.75" customHeight="1" x14ac:dyDescent="0.2">
      <c r="A279" s="222" t="s">
        <v>192</v>
      </c>
      <c r="B279" s="222">
        <v>1</v>
      </c>
      <c r="C279" s="222">
        <v>0</v>
      </c>
    </row>
    <row r="280" spans="1:3" ht="15.75" customHeight="1" x14ac:dyDescent="0.2">
      <c r="A280" s="222" t="s">
        <v>192</v>
      </c>
      <c r="B280" s="222">
        <v>2</v>
      </c>
      <c r="C280" s="222">
        <v>0</v>
      </c>
    </row>
    <row r="281" spans="1:3" ht="15.75" customHeight="1" x14ac:dyDescent="0.2">
      <c r="A281" s="222" t="s">
        <v>193</v>
      </c>
      <c r="B281" s="222">
        <v>1</v>
      </c>
      <c r="C281" s="222">
        <v>0</v>
      </c>
    </row>
    <row r="282" spans="1:3" ht="15.75" customHeight="1" x14ac:dyDescent="0.2">
      <c r="A282" s="222" t="s">
        <v>193</v>
      </c>
      <c r="B282" s="222">
        <v>2</v>
      </c>
      <c r="C282" s="222">
        <v>0</v>
      </c>
    </row>
    <row r="283" spans="1:3" ht="15.75" customHeight="1" x14ac:dyDescent="0.2">
      <c r="A283" s="222" t="s">
        <v>193</v>
      </c>
      <c r="B283" s="222">
        <v>3</v>
      </c>
      <c r="C283" s="222">
        <v>0.03</v>
      </c>
    </row>
    <row r="284" spans="1:3" ht="15.75" customHeight="1" x14ac:dyDescent="0.2">
      <c r="A284" s="222" t="s">
        <v>194</v>
      </c>
      <c r="B284" s="222">
        <v>1</v>
      </c>
      <c r="C284" s="222">
        <v>0.157</v>
      </c>
    </row>
    <row r="285" spans="1:3" ht="15.75" customHeight="1" x14ac:dyDescent="0.2">
      <c r="A285" s="222" t="s">
        <v>194</v>
      </c>
      <c r="B285" s="222">
        <v>2</v>
      </c>
      <c r="C285" s="222">
        <v>0.29799999999999999</v>
      </c>
    </row>
    <row r="286" spans="1:3" ht="15.75" customHeight="1" x14ac:dyDescent="0.2">
      <c r="A286" s="222" t="s">
        <v>195</v>
      </c>
      <c r="B286" s="222">
        <v>1</v>
      </c>
      <c r="C286" s="222">
        <v>0</v>
      </c>
    </row>
    <row r="287" spans="1:3" ht="15.75" customHeight="1" x14ac:dyDescent="0.2">
      <c r="A287" s="222" t="s">
        <v>195</v>
      </c>
      <c r="B287" s="222">
        <v>2</v>
      </c>
      <c r="C287" s="222">
        <v>0</v>
      </c>
    </row>
    <row r="288" spans="1:3" ht="15.75" customHeight="1" x14ac:dyDescent="0.2">
      <c r="A288" s="222" t="s">
        <v>196</v>
      </c>
      <c r="B288" s="222">
        <v>2</v>
      </c>
      <c r="C288" s="222">
        <v>0.44400000000000001</v>
      </c>
    </row>
    <row r="289" spans="1:3" ht="15.75" customHeight="1" x14ac:dyDescent="0.2">
      <c r="A289" s="222" t="s">
        <v>196</v>
      </c>
      <c r="B289" s="222">
        <v>1</v>
      </c>
      <c r="C289" s="222">
        <v>0.55100000000000005</v>
      </c>
    </row>
    <row r="290" spans="1:3" ht="15.75" customHeight="1" x14ac:dyDescent="0.2">
      <c r="A290" s="222" t="s">
        <v>197</v>
      </c>
      <c r="B290" s="222">
        <v>1</v>
      </c>
      <c r="C290" s="222">
        <v>0</v>
      </c>
    </row>
    <row r="291" spans="1:3" ht="15.75" customHeight="1" x14ac:dyDescent="0.2">
      <c r="A291" s="222" t="s">
        <v>197</v>
      </c>
      <c r="B291" s="222">
        <v>2</v>
      </c>
      <c r="C291" s="222">
        <v>0</v>
      </c>
    </row>
    <row r="292" spans="1:3" ht="15.75" customHeight="1" x14ac:dyDescent="0.2">
      <c r="A292" s="222" t="s">
        <v>198</v>
      </c>
      <c r="B292" s="222">
        <v>1</v>
      </c>
      <c r="C292" s="222">
        <v>7.6999999999999999E-2</v>
      </c>
    </row>
    <row r="293" spans="1:3" ht="15.75" customHeight="1" x14ac:dyDescent="0.2">
      <c r="A293" s="222" t="s">
        <v>198</v>
      </c>
      <c r="B293" s="222">
        <v>2</v>
      </c>
      <c r="C293" s="222">
        <v>0.02</v>
      </c>
    </row>
    <row r="294" spans="1:3" ht="15.75" customHeight="1" x14ac:dyDescent="0.2">
      <c r="A294" s="222" t="s">
        <v>199</v>
      </c>
      <c r="B294" s="222">
        <v>1</v>
      </c>
      <c r="C294" s="222">
        <v>0</v>
      </c>
    </row>
    <row r="295" spans="1:3" ht="15.75" customHeight="1" x14ac:dyDescent="0.2">
      <c r="A295" s="222" t="s">
        <v>199</v>
      </c>
      <c r="B295" s="222">
        <v>2</v>
      </c>
      <c r="C295" s="222">
        <v>0</v>
      </c>
    </row>
    <row r="296" spans="1:3" ht="15.75" customHeight="1" x14ac:dyDescent="0.2">
      <c r="A296" s="222" t="s">
        <v>200</v>
      </c>
      <c r="B296" s="222">
        <v>1</v>
      </c>
      <c r="C296" s="222">
        <v>0.4</v>
      </c>
    </row>
    <row r="297" spans="1:3" ht="15.75" customHeight="1" x14ac:dyDescent="0.2">
      <c r="A297" s="222" t="s">
        <v>200</v>
      </c>
      <c r="B297" s="222">
        <v>2</v>
      </c>
      <c r="C297" s="222">
        <v>0.67500000000000004</v>
      </c>
    </row>
    <row r="298" spans="1:3" ht="15.75" customHeight="1" x14ac:dyDescent="0.2">
      <c r="A298" s="222" t="s">
        <v>201</v>
      </c>
      <c r="B298" s="222">
        <v>1</v>
      </c>
      <c r="C298" s="222">
        <v>0</v>
      </c>
    </row>
    <row r="299" spans="1:3" ht="15.75" customHeight="1" x14ac:dyDescent="0.2">
      <c r="A299" s="222" t="s">
        <v>202</v>
      </c>
      <c r="B299" s="222">
        <v>2</v>
      </c>
      <c r="C299" s="222">
        <v>0</v>
      </c>
    </row>
    <row r="300" spans="1:3" ht="15.75" customHeight="1" x14ac:dyDescent="0.2">
      <c r="A300" s="222" t="s">
        <v>202</v>
      </c>
      <c r="B300" s="222">
        <v>1</v>
      </c>
      <c r="C300" s="222">
        <v>7.6999999999999999E-2</v>
      </c>
    </row>
    <row r="301" spans="1:3" ht="15.75" customHeight="1" x14ac:dyDescent="0.2">
      <c r="A301" s="222" t="s">
        <v>203</v>
      </c>
      <c r="B301" s="222">
        <v>1</v>
      </c>
      <c r="C301" s="222">
        <v>0.113</v>
      </c>
    </row>
    <row r="302" spans="1:3" ht="15.75" customHeight="1" x14ac:dyDescent="0.2">
      <c r="A302" s="222" t="s">
        <v>204</v>
      </c>
      <c r="B302" s="222">
        <v>1</v>
      </c>
      <c r="C302" s="222">
        <v>0.28299999999999997</v>
      </c>
    </row>
    <row r="303" spans="1:3" ht="15.75" customHeight="1" x14ac:dyDescent="0.2">
      <c r="A303" s="222" t="s">
        <v>204</v>
      </c>
      <c r="B303" s="222">
        <v>2</v>
      </c>
      <c r="C303" s="222">
        <v>0.16500000000000001</v>
      </c>
    </row>
    <row r="304" spans="1:3" ht="15.75" customHeight="1" x14ac:dyDescent="0.2">
      <c r="A304" s="222" t="s">
        <v>205</v>
      </c>
      <c r="B304" s="222">
        <v>1</v>
      </c>
      <c r="C304" s="222">
        <v>0.02</v>
      </c>
    </row>
    <row r="305" spans="1:3" ht="15.75" customHeight="1" x14ac:dyDescent="0.2">
      <c r="A305" s="222" t="s">
        <v>206</v>
      </c>
      <c r="B305" s="222">
        <v>1</v>
      </c>
      <c r="C305" s="222">
        <v>0.23799999999999999</v>
      </c>
    </row>
    <row r="306" spans="1:3" ht="15.75" customHeight="1" x14ac:dyDescent="0.2">
      <c r="A306" s="222" t="s">
        <v>207</v>
      </c>
      <c r="B306" s="222">
        <v>1</v>
      </c>
      <c r="C306" s="222">
        <v>8.5999999999999993E-2</v>
      </c>
    </row>
    <row r="307" spans="1:3" ht="15.75" customHeight="1" x14ac:dyDescent="0.2">
      <c r="A307" s="222" t="s">
        <v>207</v>
      </c>
      <c r="B307" s="222">
        <v>2</v>
      </c>
      <c r="C307" s="222">
        <v>0.23799999999999999</v>
      </c>
    </row>
    <row r="308" spans="1:3" ht="15.75" customHeight="1" x14ac:dyDescent="0.2">
      <c r="A308" s="222" t="s">
        <v>208</v>
      </c>
      <c r="B308" s="222">
        <v>2</v>
      </c>
      <c r="C308" s="222">
        <v>0.214</v>
      </c>
    </row>
    <row r="309" spans="1:3" ht="15.75" customHeight="1" x14ac:dyDescent="0.2">
      <c r="A309" s="222" t="s">
        <v>208</v>
      </c>
      <c r="B309" s="222">
        <v>1</v>
      </c>
      <c r="C309" s="222">
        <v>0.122</v>
      </c>
    </row>
    <row r="310" spans="1:3" ht="15.75" customHeight="1" x14ac:dyDescent="0.2">
      <c r="A310" s="222" t="s">
        <v>209</v>
      </c>
      <c r="B310" s="222">
        <v>3</v>
      </c>
      <c r="C310" s="222">
        <v>0.05</v>
      </c>
    </row>
    <row r="311" spans="1:3" ht="15.75" customHeight="1" x14ac:dyDescent="0.2">
      <c r="A311" s="222" t="s">
        <v>209</v>
      </c>
      <c r="B311" s="222">
        <v>2</v>
      </c>
      <c r="C311" s="222">
        <v>0.05</v>
      </c>
    </row>
    <row r="312" spans="1:3" ht="15.75" customHeight="1" x14ac:dyDescent="0.2">
      <c r="A312" s="222" t="s">
        <v>209</v>
      </c>
      <c r="B312" s="222">
        <v>1</v>
      </c>
      <c r="C312" s="222">
        <v>0</v>
      </c>
    </row>
    <row r="313" spans="1:3" ht="15.75" customHeight="1" x14ac:dyDescent="0.2">
      <c r="A313" s="222" t="s">
        <v>210</v>
      </c>
      <c r="B313" s="222">
        <v>1</v>
      </c>
      <c r="C313" s="222">
        <v>0.104</v>
      </c>
    </row>
    <row r="314" spans="1:3" ht="15.75" customHeight="1" x14ac:dyDescent="0.2">
      <c r="A314" s="222" t="s">
        <v>211</v>
      </c>
      <c r="B314" s="222">
        <v>1</v>
      </c>
      <c r="C314" s="222">
        <v>4.9000000000000002E-2</v>
      </c>
    </row>
    <row r="315" spans="1:3" ht="15.75" customHeight="1" x14ac:dyDescent="0.2">
      <c r="A315" s="222" t="s">
        <v>211</v>
      </c>
      <c r="B315" s="222">
        <v>2</v>
      </c>
      <c r="C315" s="222">
        <v>0.122</v>
      </c>
    </row>
    <row r="316" spans="1:3" ht="15.75" customHeight="1" x14ac:dyDescent="0.2">
      <c r="A316" s="222" t="s">
        <v>212</v>
      </c>
      <c r="B316" s="222">
        <v>1</v>
      </c>
      <c r="C316" s="222">
        <v>0.58699999999999997</v>
      </c>
    </row>
    <row r="317" spans="1:3" ht="15.75" customHeight="1" x14ac:dyDescent="0.2">
      <c r="A317" s="222" t="s">
        <v>213</v>
      </c>
      <c r="B317" s="222">
        <v>2</v>
      </c>
      <c r="C317" s="222">
        <v>0</v>
      </c>
    </row>
    <row r="318" spans="1:3" ht="15.75" customHeight="1" x14ac:dyDescent="0.2">
      <c r="A318" s="222" t="s">
        <v>213</v>
      </c>
      <c r="B318" s="222">
        <v>1</v>
      </c>
      <c r="C318" s="222">
        <v>0</v>
      </c>
    </row>
    <row r="319" spans="1:3" ht="15.75" customHeight="1" x14ac:dyDescent="0.2">
      <c r="A319" s="222" t="s">
        <v>213</v>
      </c>
      <c r="B319" s="222">
        <v>3</v>
      </c>
      <c r="C319" s="222">
        <v>0</v>
      </c>
    </row>
    <row r="320" spans="1:3" ht="15.75" customHeight="1" x14ac:dyDescent="0.2">
      <c r="A320" s="222" t="s">
        <v>214</v>
      </c>
      <c r="B320" s="222">
        <v>2</v>
      </c>
      <c r="C320" s="222">
        <v>0</v>
      </c>
    </row>
    <row r="321" spans="1:3" ht="15.75" customHeight="1" x14ac:dyDescent="0.2">
      <c r="A321" s="222" t="s">
        <v>214</v>
      </c>
      <c r="B321" s="222">
        <v>1</v>
      </c>
      <c r="C321" s="222">
        <v>0</v>
      </c>
    </row>
    <row r="322" spans="1:3" ht="15.75" customHeight="1" x14ac:dyDescent="0.2">
      <c r="A322" s="222" t="s">
        <v>215</v>
      </c>
      <c r="B322" s="222">
        <v>2</v>
      </c>
      <c r="C322" s="222">
        <v>0</v>
      </c>
    </row>
    <row r="323" spans="1:3" ht="15.75" customHeight="1" x14ac:dyDescent="0.2">
      <c r="A323" s="222" t="s">
        <v>215</v>
      </c>
      <c r="B323" s="222">
        <v>1</v>
      </c>
      <c r="C323" s="222">
        <v>0</v>
      </c>
    </row>
    <row r="324" spans="1:3" ht="15.75" customHeight="1" x14ac:dyDescent="0.2">
      <c r="A324" s="222" t="s">
        <v>216</v>
      </c>
      <c r="B324" s="222">
        <v>1</v>
      </c>
      <c r="C324" s="222">
        <v>0.38700000000000001</v>
      </c>
    </row>
    <row r="325" spans="1:3" ht="15.75" customHeight="1" x14ac:dyDescent="0.2">
      <c r="A325" s="222" t="s">
        <v>216</v>
      </c>
      <c r="B325" s="222">
        <v>2</v>
      </c>
      <c r="C325" s="222">
        <v>0.23799999999999999</v>
      </c>
    </row>
    <row r="326" spans="1:3" ht="15.75" customHeight="1" x14ac:dyDescent="0.2">
      <c r="A326" s="222" t="s">
        <v>217</v>
      </c>
      <c r="B326" s="222">
        <v>1</v>
      </c>
      <c r="C326" s="222">
        <v>0</v>
      </c>
    </row>
    <row r="327" spans="1:3" ht="15.75" customHeight="1" x14ac:dyDescent="0.2">
      <c r="A327" s="222" t="s">
        <v>217</v>
      </c>
      <c r="B327" s="222">
        <v>2</v>
      </c>
      <c r="C327" s="222">
        <v>0</v>
      </c>
    </row>
    <row r="328" spans="1:3" ht="15.75" customHeight="1" x14ac:dyDescent="0.2">
      <c r="A328" s="222" t="s">
        <v>218</v>
      </c>
      <c r="B328" s="222">
        <v>1</v>
      </c>
      <c r="C328" s="222">
        <v>0.03</v>
      </c>
    </row>
    <row r="329" spans="1:3" ht="15.75" customHeight="1" x14ac:dyDescent="0.2">
      <c r="A329" s="222" t="s">
        <v>219</v>
      </c>
      <c r="B329" s="222">
        <v>1</v>
      </c>
      <c r="C329" s="222">
        <v>0</v>
      </c>
    </row>
    <row r="330" spans="1:3" ht="15.75" customHeight="1" x14ac:dyDescent="0.2">
      <c r="A330" s="222" t="s">
        <v>219</v>
      </c>
      <c r="B330" s="222">
        <v>2</v>
      </c>
      <c r="C330" s="222">
        <v>7.6999999999999999E-2</v>
      </c>
    </row>
    <row r="331" spans="1:3" ht="15.75" customHeight="1" x14ac:dyDescent="0.2">
      <c r="A331" s="222" t="s">
        <v>220</v>
      </c>
      <c r="B331" s="222">
        <v>1</v>
      </c>
      <c r="C331" s="222">
        <v>7.6999999999999999E-2</v>
      </c>
    </row>
    <row r="332" spans="1:3" ht="15.75" customHeight="1" x14ac:dyDescent="0.2">
      <c r="A332" s="222" t="s">
        <v>220</v>
      </c>
      <c r="B332" s="222">
        <v>2</v>
      </c>
      <c r="C332" s="222">
        <v>7.6999999999999999E-2</v>
      </c>
    </row>
    <row r="333" spans="1:3" ht="15.75" customHeight="1" x14ac:dyDescent="0.2">
      <c r="A333" s="222" t="s">
        <v>220</v>
      </c>
      <c r="B333" s="222">
        <v>3</v>
      </c>
      <c r="C333" s="222">
        <v>6.8000000000000005E-2</v>
      </c>
    </row>
    <row r="334" spans="1:3" ht="15.75" customHeight="1" x14ac:dyDescent="0.2">
      <c r="A334" s="222" t="s">
        <v>221</v>
      </c>
      <c r="B334" s="222">
        <v>1</v>
      </c>
      <c r="C334" s="222">
        <v>0.81299999999999994</v>
      </c>
    </row>
    <row r="335" spans="1:3" ht="15.75" customHeight="1" x14ac:dyDescent="0.2">
      <c r="A335" s="222" t="s">
        <v>222</v>
      </c>
      <c r="B335" s="222">
        <v>1</v>
      </c>
      <c r="C335" s="222">
        <v>0</v>
      </c>
    </row>
    <row r="336" spans="1:3" ht="15.75" customHeight="1" x14ac:dyDescent="0.2">
      <c r="A336" s="222" t="s">
        <v>223</v>
      </c>
      <c r="B336" s="222">
        <v>1</v>
      </c>
      <c r="C336" s="222">
        <v>0</v>
      </c>
    </row>
    <row r="337" spans="1:3" ht="15.75" customHeight="1" x14ac:dyDescent="0.2">
      <c r="A337" s="222" t="s">
        <v>223</v>
      </c>
      <c r="B337" s="222">
        <v>2</v>
      </c>
      <c r="C337" s="222">
        <v>0.214</v>
      </c>
    </row>
    <row r="338" spans="1:3" ht="15.75" customHeight="1" x14ac:dyDescent="0.2">
      <c r="A338" s="222" t="s">
        <v>223</v>
      </c>
      <c r="B338" s="222">
        <v>3</v>
      </c>
      <c r="C338" s="222">
        <v>0.122</v>
      </c>
    </row>
    <row r="339" spans="1:3" ht="15.75" customHeight="1" x14ac:dyDescent="0.2">
      <c r="A339" s="222" t="s">
        <v>224</v>
      </c>
      <c r="B339" s="222">
        <v>1</v>
      </c>
      <c r="C339" s="222">
        <v>0.60599999999999998</v>
      </c>
    </row>
    <row r="340" spans="1:3" ht="15.75" customHeight="1" x14ac:dyDescent="0.2">
      <c r="A340" s="222" t="s">
        <v>224</v>
      </c>
      <c r="B340" s="222">
        <v>2</v>
      </c>
      <c r="C340" s="222">
        <v>0.69699999999999995</v>
      </c>
    </row>
    <row r="341" spans="1:3" ht="15.75" customHeight="1" x14ac:dyDescent="0.2">
      <c r="A341" s="222" t="s">
        <v>224</v>
      </c>
      <c r="B341" s="222">
        <v>3</v>
      </c>
      <c r="C341" s="222">
        <v>0.67100000000000004</v>
      </c>
    </row>
    <row r="342" spans="1:3" ht="15.75" customHeight="1" x14ac:dyDescent="0.2">
      <c r="A342" s="222" t="s">
        <v>225</v>
      </c>
      <c r="B342" s="222">
        <v>1</v>
      </c>
      <c r="C342" s="222">
        <v>0</v>
      </c>
    </row>
    <row r="343" spans="1:3" ht="15.75" customHeight="1" x14ac:dyDescent="0.2">
      <c r="A343" s="222" t="s">
        <v>226</v>
      </c>
      <c r="B343" s="222">
        <v>1</v>
      </c>
      <c r="C343" s="222">
        <v>0</v>
      </c>
    </row>
    <row r="344" spans="1:3" ht="15.75" customHeight="1" x14ac:dyDescent="0.2">
      <c r="A344" s="222" t="s">
        <v>226</v>
      </c>
      <c r="B344" s="222">
        <v>2</v>
      </c>
      <c r="C344" s="222">
        <v>0.05</v>
      </c>
    </row>
    <row r="345" spans="1:3" ht="15.75" customHeight="1" x14ac:dyDescent="0.2">
      <c r="A345" s="222" t="s">
        <v>227</v>
      </c>
      <c r="B345" s="222">
        <v>2</v>
      </c>
      <c r="C345" s="222">
        <v>0.20599999999999999</v>
      </c>
    </row>
    <row r="346" spans="1:3" ht="15.75" customHeight="1" x14ac:dyDescent="0.2">
      <c r="A346" s="222" t="s">
        <v>227</v>
      </c>
      <c r="B346" s="222">
        <v>1</v>
      </c>
      <c r="C346" s="222">
        <v>4.9000000000000002E-2</v>
      </c>
    </row>
    <row r="347" spans="1:3" ht="15.75" customHeight="1" x14ac:dyDescent="0.2">
      <c r="A347" s="222" t="s">
        <v>228</v>
      </c>
      <c r="B347" s="222">
        <v>1</v>
      </c>
      <c r="C347" s="222">
        <v>0</v>
      </c>
    </row>
    <row r="348" spans="1:3" ht="15.75" customHeight="1" x14ac:dyDescent="0.2">
      <c r="A348" s="222" t="s">
        <v>229</v>
      </c>
      <c r="B348" s="222">
        <v>1</v>
      </c>
      <c r="C348" s="222">
        <v>0</v>
      </c>
    </row>
    <row r="349" spans="1:3" ht="15.75" customHeight="1" x14ac:dyDescent="0.2">
      <c r="A349" s="222" t="s">
        <v>229</v>
      </c>
      <c r="B349" s="222">
        <v>2</v>
      </c>
      <c r="C349" s="222">
        <v>0</v>
      </c>
    </row>
    <row r="350" spans="1:3" ht="15.75" customHeight="1" x14ac:dyDescent="0.2">
      <c r="A350" s="222" t="s">
        <v>230</v>
      </c>
      <c r="B350" s="222">
        <v>1</v>
      </c>
      <c r="C350" s="222">
        <v>0</v>
      </c>
    </row>
    <row r="351" spans="1:3" ht="15.75" customHeight="1" x14ac:dyDescent="0.2">
      <c r="A351" s="222" t="s">
        <v>230</v>
      </c>
      <c r="B351" s="222">
        <v>2</v>
      </c>
      <c r="C351" s="222">
        <v>0</v>
      </c>
    </row>
    <row r="352" spans="1:3" ht="15.75" customHeight="1" x14ac:dyDescent="0.2">
      <c r="A352" s="222" t="s">
        <v>231</v>
      </c>
      <c r="B352" s="222">
        <v>1</v>
      </c>
      <c r="C352" s="222">
        <v>0.03</v>
      </c>
    </row>
    <row r="353" spans="1:3" ht="15.75" customHeight="1" x14ac:dyDescent="0.2">
      <c r="A353" s="222" t="s">
        <v>231</v>
      </c>
      <c r="B353" s="222">
        <v>2</v>
      </c>
      <c r="C353" s="222">
        <v>0</v>
      </c>
    </row>
    <row r="354" spans="1:3" ht="15.75" customHeight="1" x14ac:dyDescent="0.2">
      <c r="A354" s="222" t="s">
        <v>232</v>
      </c>
      <c r="B354" s="222">
        <v>1</v>
      </c>
      <c r="C354" s="222">
        <v>0</v>
      </c>
    </row>
    <row r="355" spans="1:3" ht="15.75" customHeight="1" x14ac:dyDescent="0.2">
      <c r="A355" s="222" t="s">
        <v>233</v>
      </c>
      <c r="B355" s="222">
        <v>1</v>
      </c>
      <c r="C355" s="222">
        <v>7.6999999999999999E-2</v>
      </c>
    </row>
    <row r="356" spans="1:3" ht="15.75" customHeight="1" x14ac:dyDescent="0.2">
      <c r="A356" s="222" t="s">
        <v>234</v>
      </c>
      <c r="B356" s="222">
        <v>2</v>
      </c>
      <c r="C356" s="222">
        <v>0</v>
      </c>
    </row>
    <row r="357" spans="1:3" ht="15.75" customHeight="1" x14ac:dyDescent="0.2">
      <c r="A357" s="222" t="s">
        <v>234</v>
      </c>
      <c r="B357" s="222">
        <v>1</v>
      </c>
      <c r="C357" s="222">
        <v>0.14799999999999999</v>
      </c>
    </row>
    <row r="358" spans="1:3" ht="15.75" customHeight="1" x14ac:dyDescent="0.2">
      <c r="A358" s="222" t="s">
        <v>235</v>
      </c>
      <c r="B358" s="222">
        <v>1</v>
      </c>
      <c r="C358" s="222">
        <v>0.13100000000000001</v>
      </c>
    </row>
    <row r="359" spans="1:3" ht="15.75" customHeight="1" x14ac:dyDescent="0.2">
      <c r="A359" s="222" t="s">
        <v>235</v>
      </c>
      <c r="B359" s="222">
        <v>2</v>
      </c>
      <c r="C359" s="222">
        <v>0</v>
      </c>
    </row>
    <row r="360" spans="1:3" ht="15.75" customHeight="1" x14ac:dyDescent="0.2">
      <c r="A360" s="222" t="s">
        <v>235</v>
      </c>
      <c r="B360" s="222">
        <v>3</v>
      </c>
      <c r="C360" s="222">
        <v>0.14799999999999999</v>
      </c>
    </row>
    <row r="361" spans="1:3" ht="15.75" customHeight="1" x14ac:dyDescent="0.2">
      <c r="A361" s="222" t="s">
        <v>236</v>
      </c>
      <c r="B361" s="222">
        <v>1</v>
      </c>
      <c r="C361" s="222">
        <v>0.03</v>
      </c>
    </row>
    <row r="362" spans="1:3" ht="15.75" customHeight="1" x14ac:dyDescent="0.2">
      <c r="A362" s="222" t="s">
        <v>237</v>
      </c>
      <c r="B362" s="222">
        <v>1</v>
      </c>
      <c r="C362" s="222">
        <v>0.55600000000000005</v>
      </c>
    </row>
    <row r="363" spans="1:3" ht="15.75" customHeight="1" x14ac:dyDescent="0.2">
      <c r="A363" s="222" t="s">
        <v>238</v>
      </c>
      <c r="B363" s="222">
        <v>1</v>
      </c>
      <c r="C363" s="222">
        <v>0</v>
      </c>
    </row>
    <row r="364" spans="1:3" ht="15.75" customHeight="1" x14ac:dyDescent="0.2">
      <c r="A364" s="222" t="s">
        <v>239</v>
      </c>
      <c r="B364" s="222">
        <v>1</v>
      </c>
      <c r="C364" s="222">
        <v>7.6999999999999999E-2</v>
      </c>
    </row>
    <row r="365" spans="1:3" ht="15.75" customHeight="1" x14ac:dyDescent="0.2">
      <c r="A365" s="222" t="s">
        <v>240</v>
      </c>
      <c r="B365" s="222">
        <v>2</v>
      </c>
      <c r="C365" s="222">
        <v>0.20599999999999999</v>
      </c>
    </row>
    <row r="366" spans="1:3" ht="15.75" customHeight="1" x14ac:dyDescent="0.2">
      <c r="A366" s="222" t="s">
        <v>240</v>
      </c>
      <c r="B366" s="222">
        <v>1</v>
      </c>
      <c r="C366" s="222">
        <v>0.02</v>
      </c>
    </row>
    <row r="367" spans="1:3" ht="15.75" customHeight="1" x14ac:dyDescent="0.2">
      <c r="A367" s="222" t="s">
        <v>241</v>
      </c>
      <c r="B367" s="222">
        <v>1</v>
      </c>
      <c r="C367" s="222">
        <v>0.14799999999999999</v>
      </c>
    </row>
    <row r="368" spans="1:3" ht="15.75" customHeight="1" x14ac:dyDescent="0.2">
      <c r="A368" s="222" t="s">
        <v>242</v>
      </c>
      <c r="B368" s="222">
        <v>1</v>
      </c>
      <c r="C368" s="222">
        <v>0.35399999999999998</v>
      </c>
    </row>
    <row r="369" spans="1:3" ht="15.75" customHeight="1" x14ac:dyDescent="0.2">
      <c r="A369" s="222" t="s">
        <v>243</v>
      </c>
      <c r="B369" s="222">
        <v>1</v>
      </c>
      <c r="C369" s="222">
        <v>0</v>
      </c>
    </row>
    <row r="370" spans="1:3" ht="15.75" customHeight="1" x14ac:dyDescent="0.2">
      <c r="A370" s="222" t="s">
        <v>244</v>
      </c>
      <c r="B370" s="222">
        <v>1</v>
      </c>
      <c r="C370" s="222">
        <v>0</v>
      </c>
    </row>
    <row r="371" spans="1:3" ht="15.75" customHeight="1" x14ac:dyDescent="0.2">
      <c r="A371" s="222" t="s">
        <v>245</v>
      </c>
      <c r="B371" s="222">
        <v>1</v>
      </c>
      <c r="C371" s="222">
        <v>0</v>
      </c>
    </row>
    <row r="372" spans="1:3" ht="15.75" customHeight="1" x14ac:dyDescent="0.2">
      <c r="A372" s="222" t="s">
        <v>245</v>
      </c>
      <c r="B372" s="222">
        <v>2</v>
      </c>
      <c r="C372" s="222">
        <v>7.6999999999999999E-2</v>
      </c>
    </row>
    <row r="373" spans="1:3" ht="15.75" customHeight="1" x14ac:dyDescent="0.2">
      <c r="A373" s="222" t="s">
        <v>245</v>
      </c>
      <c r="B373" s="222">
        <v>3</v>
      </c>
      <c r="C373" s="222">
        <v>0</v>
      </c>
    </row>
    <row r="374" spans="1:3" ht="15.75" customHeight="1" x14ac:dyDescent="0.2">
      <c r="A374" s="222" t="s">
        <v>246</v>
      </c>
      <c r="B374" s="222">
        <v>1</v>
      </c>
      <c r="C374" s="222">
        <v>0.02</v>
      </c>
    </row>
    <row r="375" spans="1:3" ht="15.75" customHeight="1" x14ac:dyDescent="0.2">
      <c r="A375" s="222" t="s">
        <v>247</v>
      </c>
      <c r="B375" s="222">
        <v>1</v>
      </c>
      <c r="C375" s="222">
        <v>0.05</v>
      </c>
    </row>
    <row r="376" spans="1:3" ht="15.75" customHeight="1" x14ac:dyDescent="0.2">
      <c r="A376" s="222" t="s">
        <v>248</v>
      </c>
      <c r="B376" s="222">
        <v>1</v>
      </c>
      <c r="C376" s="222">
        <v>8.5999999999999993E-2</v>
      </c>
    </row>
    <row r="377" spans="1:3" ht="15.75" customHeight="1" x14ac:dyDescent="0.2">
      <c r="A377" s="222" t="s">
        <v>249</v>
      </c>
      <c r="B377" s="222">
        <v>1</v>
      </c>
      <c r="C377" s="222">
        <v>0.28299999999999997</v>
      </c>
    </row>
    <row r="378" spans="1:3" ht="15.75" customHeight="1" x14ac:dyDescent="0.2">
      <c r="A378" s="222" t="s">
        <v>250</v>
      </c>
      <c r="B378" s="222">
        <v>2</v>
      </c>
      <c r="C378" s="222">
        <v>0.157</v>
      </c>
    </row>
    <row r="379" spans="1:3" ht="15.75" customHeight="1" x14ac:dyDescent="0.2">
      <c r="A379" s="222" t="s">
        <v>250</v>
      </c>
      <c r="B379" s="222">
        <v>1</v>
      </c>
      <c r="C379" s="222">
        <v>0.03</v>
      </c>
    </row>
    <row r="380" spans="1:3" ht="15.75" customHeight="1" x14ac:dyDescent="0.2">
      <c r="A380" s="222" t="s">
        <v>251</v>
      </c>
      <c r="B380" s="222">
        <v>1</v>
      </c>
      <c r="C380" s="222">
        <v>0</v>
      </c>
    </row>
    <row r="381" spans="1:3" ht="15.75" customHeight="1" x14ac:dyDescent="0.2">
      <c r="A381" s="222" t="s">
        <v>252</v>
      </c>
      <c r="B381" s="222">
        <v>1</v>
      </c>
      <c r="C381" s="222">
        <v>0</v>
      </c>
    </row>
    <row r="382" spans="1:3" ht="15.75" customHeight="1" x14ac:dyDescent="0.2">
      <c r="A382" s="222" t="s">
        <v>253</v>
      </c>
      <c r="B382" s="222">
        <v>1</v>
      </c>
      <c r="C382" s="222">
        <v>0.38700000000000001</v>
      </c>
    </row>
    <row r="383" spans="1:3" ht="15.75" customHeight="1" x14ac:dyDescent="0.2">
      <c r="A383" s="222" t="s">
        <v>254</v>
      </c>
      <c r="B383" s="222">
        <v>1</v>
      </c>
      <c r="C383" s="222">
        <v>0</v>
      </c>
    </row>
    <row r="384" spans="1:3" ht="15.75" customHeight="1" x14ac:dyDescent="0.2">
      <c r="A384" s="222" t="s">
        <v>255</v>
      </c>
      <c r="B384" s="222">
        <v>1</v>
      </c>
      <c r="C384" s="222">
        <v>0</v>
      </c>
    </row>
    <row r="385" spans="1:3" ht="15.75" customHeight="1" x14ac:dyDescent="0.2">
      <c r="A385" s="222" t="s">
        <v>256</v>
      </c>
      <c r="B385" s="222">
        <v>1</v>
      </c>
      <c r="C385" s="222">
        <v>0</v>
      </c>
    </row>
    <row r="386" spans="1:3" ht="15.75" customHeight="1" x14ac:dyDescent="0.2">
      <c r="A386" s="222" t="s">
        <v>257</v>
      </c>
      <c r="B386" s="222">
        <v>1</v>
      </c>
      <c r="C386" s="222">
        <v>6.8000000000000005E-2</v>
      </c>
    </row>
    <row r="387" spans="1:3" ht="15.75" customHeight="1" x14ac:dyDescent="0.2">
      <c r="A387" s="222" t="s">
        <v>258</v>
      </c>
      <c r="B387" s="222">
        <v>1</v>
      </c>
      <c r="C387" s="222">
        <v>4.9000000000000002E-2</v>
      </c>
    </row>
    <row r="388" spans="1:3" ht="15.75" customHeight="1" x14ac:dyDescent="0.2">
      <c r="A388" s="222" t="s">
        <v>259</v>
      </c>
      <c r="B388" s="222">
        <v>1</v>
      </c>
      <c r="C388" s="222">
        <v>0</v>
      </c>
    </row>
    <row r="389" spans="1:3" ht="15.75" customHeight="1" x14ac:dyDescent="0.2">
      <c r="A389" s="222" t="s">
        <v>260</v>
      </c>
      <c r="B389" s="222">
        <v>1</v>
      </c>
      <c r="C389" s="222">
        <v>0</v>
      </c>
    </row>
    <row r="390" spans="1:3" ht="15.75" customHeight="1" x14ac:dyDescent="0.2">
      <c r="A390" s="222" t="s">
        <v>261</v>
      </c>
      <c r="B390" s="222">
        <v>1</v>
      </c>
      <c r="C390" s="222">
        <v>0</v>
      </c>
    </row>
    <row r="391" spans="1:3" ht="15.75" customHeight="1" x14ac:dyDescent="0.2">
      <c r="A391" s="222" t="s">
        <v>262</v>
      </c>
      <c r="B391" s="222">
        <v>1</v>
      </c>
      <c r="C391" s="222">
        <v>0.19800000000000001</v>
      </c>
    </row>
    <row r="392" spans="1:3" ht="15.75" customHeight="1" x14ac:dyDescent="0.2">
      <c r="A392" s="222" t="s">
        <v>263</v>
      </c>
      <c r="B392" s="222">
        <v>1</v>
      </c>
      <c r="C392" s="222">
        <v>0</v>
      </c>
    </row>
    <row r="393" spans="1:3" ht="15.75" customHeight="1" x14ac:dyDescent="0.2">
      <c r="A393" s="222" t="s">
        <v>263</v>
      </c>
      <c r="B393" s="222">
        <v>2</v>
      </c>
      <c r="C393" s="222">
        <v>0</v>
      </c>
    </row>
    <row r="394" spans="1:3" ht="15.75" customHeight="1" x14ac:dyDescent="0.2">
      <c r="A394" s="222" t="s">
        <v>264</v>
      </c>
      <c r="B394" s="222">
        <v>1</v>
      </c>
      <c r="C394" s="222">
        <v>0.246</v>
      </c>
    </row>
    <row r="395" spans="1:3" ht="15.75" customHeight="1" x14ac:dyDescent="0.2">
      <c r="A395" s="222" t="s">
        <v>264</v>
      </c>
      <c r="B395" s="222">
        <v>2</v>
      </c>
      <c r="C395" s="222">
        <v>0.16500000000000001</v>
      </c>
    </row>
    <row r="396" spans="1:3" ht="15.75" customHeight="1" x14ac:dyDescent="0.2">
      <c r="A396" s="222" t="s">
        <v>265</v>
      </c>
      <c r="B396" s="222">
        <v>2</v>
      </c>
      <c r="C396" s="222">
        <v>0.34</v>
      </c>
    </row>
    <row r="397" spans="1:3" ht="15.75" customHeight="1" x14ac:dyDescent="0.2">
      <c r="A397" s="222" t="s">
        <v>265</v>
      </c>
      <c r="B397" s="222">
        <v>1</v>
      </c>
      <c r="C397" s="222">
        <v>0.16500000000000001</v>
      </c>
    </row>
    <row r="398" spans="1:3" ht="15.75" customHeight="1" x14ac:dyDescent="0.2">
      <c r="A398" s="222" t="s">
        <v>266</v>
      </c>
      <c r="B398" s="222">
        <v>1</v>
      </c>
      <c r="C398" s="222">
        <v>0.05</v>
      </c>
    </row>
    <row r="399" spans="1:3" ht="15.75" customHeight="1" x14ac:dyDescent="0.2">
      <c r="A399" s="222" t="s">
        <v>267</v>
      </c>
      <c r="B399" s="222">
        <v>1</v>
      </c>
      <c r="C399" s="222">
        <v>6.8000000000000005E-2</v>
      </c>
    </row>
    <row r="400" spans="1:3" ht="15.75" customHeight="1" x14ac:dyDescent="0.2">
      <c r="A400" s="222" t="s">
        <v>268</v>
      </c>
      <c r="B400" s="222">
        <v>1</v>
      </c>
      <c r="C400" s="222">
        <v>0</v>
      </c>
    </row>
    <row r="401" spans="1:3" ht="15.75" customHeight="1" x14ac:dyDescent="0.2">
      <c r="A401" s="222" t="s">
        <v>269</v>
      </c>
      <c r="B401" s="222">
        <v>1</v>
      </c>
      <c r="C401" s="222">
        <v>0.36699999999999999</v>
      </c>
    </row>
    <row r="402" spans="1:3" ht="15.75" customHeight="1" x14ac:dyDescent="0.2">
      <c r="A402" s="222" t="s">
        <v>270</v>
      </c>
      <c r="B402" s="222">
        <v>1</v>
      </c>
      <c r="C402" s="222">
        <v>0.214</v>
      </c>
    </row>
    <row r="403" spans="1:3" ht="15.75" customHeight="1" x14ac:dyDescent="0.2">
      <c r="A403" s="222" t="s">
        <v>271</v>
      </c>
      <c r="B403" s="222">
        <v>2</v>
      </c>
      <c r="C403" s="222">
        <v>4.9000000000000002E-2</v>
      </c>
    </row>
    <row r="404" spans="1:3" ht="15.75" customHeight="1" x14ac:dyDescent="0.2">
      <c r="A404" s="222" t="s">
        <v>271</v>
      </c>
      <c r="B404" s="222">
        <v>1</v>
      </c>
      <c r="C404" s="222">
        <v>3.9E-2</v>
      </c>
    </row>
    <row r="405" spans="1:3" ht="15.75" customHeight="1" x14ac:dyDescent="0.2">
      <c r="A405" s="222" t="s">
        <v>271</v>
      </c>
      <c r="B405" s="222">
        <v>3</v>
      </c>
      <c r="C405" s="222">
        <v>0.05</v>
      </c>
    </row>
    <row r="406" spans="1:3" ht="15.75" customHeight="1" x14ac:dyDescent="0.2">
      <c r="A406" s="222" t="s">
        <v>272</v>
      </c>
      <c r="B406" s="222">
        <v>1</v>
      </c>
      <c r="C406" s="222">
        <v>5.8000000000000003E-2</v>
      </c>
    </row>
    <row r="407" spans="1:3" ht="15.75" customHeight="1" x14ac:dyDescent="0.2">
      <c r="A407" s="222" t="s">
        <v>273</v>
      </c>
      <c r="B407" s="222">
        <v>1</v>
      </c>
      <c r="C407" s="222">
        <v>0.502</v>
      </c>
    </row>
    <row r="408" spans="1:3" ht="15.75" customHeight="1" x14ac:dyDescent="0.2">
      <c r="A408" s="222" t="s">
        <v>274</v>
      </c>
      <c r="B408" s="222">
        <v>1</v>
      </c>
      <c r="C408" s="222">
        <v>0.52900000000000003</v>
      </c>
    </row>
    <row r="409" spans="1:3" ht="15.75" customHeight="1" x14ac:dyDescent="0.2">
      <c r="A409" s="222" t="s">
        <v>275</v>
      </c>
      <c r="B409" s="222">
        <v>1</v>
      </c>
      <c r="C409" s="222">
        <v>0.02</v>
      </c>
    </row>
    <row r="410" spans="1:3" ht="15.75" customHeight="1" x14ac:dyDescent="0.2">
      <c r="A410" s="222" t="s">
        <v>276</v>
      </c>
      <c r="B410" s="222">
        <v>1</v>
      </c>
      <c r="C410" s="222">
        <v>0.59199999999999997</v>
      </c>
    </row>
    <row r="411" spans="1:3" ht="15.75" customHeight="1" x14ac:dyDescent="0.2">
      <c r="A411" s="222" t="s">
        <v>277</v>
      </c>
      <c r="B411" s="222">
        <v>1</v>
      </c>
      <c r="C411" s="222">
        <v>0</v>
      </c>
    </row>
    <row r="412" spans="1:3" ht="15.75" customHeight="1" x14ac:dyDescent="0.2">
      <c r="A412" s="222" t="s">
        <v>278</v>
      </c>
      <c r="B412" s="222">
        <v>1</v>
      </c>
      <c r="C412" s="222">
        <v>0.754</v>
      </c>
    </row>
    <row r="413" spans="1:3" ht="15.75" customHeight="1" x14ac:dyDescent="0.2">
      <c r="A413" s="222" t="s">
        <v>279</v>
      </c>
      <c r="B413" s="222">
        <v>1</v>
      </c>
      <c r="C413" s="222">
        <v>0.23</v>
      </c>
    </row>
    <row r="414" spans="1:3" ht="15.75" customHeight="1" x14ac:dyDescent="0.2">
      <c r="A414" s="222" t="s">
        <v>280</v>
      </c>
      <c r="B414" s="222">
        <v>1</v>
      </c>
      <c r="C414" s="222">
        <v>0.36099999999999999</v>
      </c>
    </row>
    <row r="415" spans="1:3" ht="15.75" customHeight="1" x14ac:dyDescent="0.2">
      <c r="A415" s="222" t="s">
        <v>280</v>
      </c>
      <c r="B415" s="222">
        <v>2</v>
      </c>
      <c r="C415" s="222">
        <v>0.34</v>
      </c>
    </row>
    <row r="416" spans="1:3" ht="15.75" customHeight="1" x14ac:dyDescent="0.2">
      <c r="A416" s="222" t="s">
        <v>281</v>
      </c>
      <c r="B416" s="222">
        <v>1</v>
      </c>
      <c r="C416" s="222">
        <v>0</v>
      </c>
    </row>
    <row r="417" spans="1:3" ht="15.75" customHeight="1" x14ac:dyDescent="0.2">
      <c r="A417" s="222" t="s">
        <v>282</v>
      </c>
      <c r="B417" s="222">
        <v>1</v>
      </c>
      <c r="C417" s="222">
        <v>0.104</v>
      </c>
    </row>
    <row r="418" spans="1:3" ht="15.75" customHeight="1" x14ac:dyDescent="0.2">
      <c r="A418" s="222" t="s">
        <v>283</v>
      </c>
      <c r="B418" s="222">
        <v>3</v>
      </c>
      <c r="C418" s="222">
        <v>0.03</v>
      </c>
    </row>
    <row r="419" spans="1:3" ht="15.75" customHeight="1" x14ac:dyDescent="0.2">
      <c r="A419" s="222" t="s">
        <v>283</v>
      </c>
      <c r="B419" s="222">
        <v>1</v>
      </c>
      <c r="C419" s="222">
        <v>0</v>
      </c>
    </row>
    <row r="420" spans="1:3" ht="15.75" customHeight="1" x14ac:dyDescent="0.2">
      <c r="A420" s="222" t="s">
        <v>284</v>
      </c>
      <c r="B420" s="222">
        <v>1</v>
      </c>
      <c r="C420" s="222">
        <v>0</v>
      </c>
    </row>
    <row r="421" spans="1:3" ht="15.75" customHeight="1" x14ac:dyDescent="0.2">
      <c r="A421" s="222" t="s">
        <v>285</v>
      </c>
      <c r="B421" s="222">
        <v>1</v>
      </c>
      <c r="C421" s="222">
        <v>0.19</v>
      </c>
    </row>
    <row r="422" spans="1:3" ht="15.75" customHeight="1" x14ac:dyDescent="0.2">
      <c r="A422" s="222" t="s">
        <v>285</v>
      </c>
      <c r="B422" s="222">
        <v>2</v>
      </c>
      <c r="C422" s="222">
        <v>0.1</v>
      </c>
    </row>
    <row r="423" spans="1:3" ht="15.75" customHeight="1" x14ac:dyDescent="0.2">
      <c r="A423" s="222" t="s">
        <v>285</v>
      </c>
      <c r="B423" s="222">
        <v>3</v>
      </c>
      <c r="C423" s="222">
        <v>0.05</v>
      </c>
    </row>
    <row r="424" spans="1:3" ht="15.75" customHeight="1" x14ac:dyDescent="0.2">
      <c r="A424" s="222" t="s">
        <v>286</v>
      </c>
      <c r="B424" s="222">
        <v>1</v>
      </c>
      <c r="C424" s="222">
        <v>0</v>
      </c>
    </row>
    <row r="425" spans="1:3" ht="15.75" customHeight="1" x14ac:dyDescent="0.2">
      <c r="A425" s="222" t="s">
        <v>287</v>
      </c>
      <c r="B425" s="222">
        <v>1</v>
      </c>
      <c r="C425" s="222">
        <v>0.30499999999999999</v>
      </c>
    </row>
    <row r="426" spans="1:3" ht="15.75" customHeight="1" x14ac:dyDescent="0.2">
      <c r="A426" s="222" t="s">
        <v>288</v>
      </c>
      <c r="B426" s="222">
        <v>1</v>
      </c>
      <c r="C426" s="222">
        <v>0.113</v>
      </c>
    </row>
    <row r="427" spans="1:3" ht="15.75" customHeight="1" x14ac:dyDescent="0.2">
      <c r="A427" s="222" t="s">
        <v>289</v>
      </c>
      <c r="B427" s="222">
        <v>1</v>
      </c>
      <c r="C427" s="222">
        <v>9.5000000000000001E-2</v>
      </c>
    </row>
    <row r="428" spans="1:3" ht="15.75" customHeight="1" x14ac:dyDescent="0.2">
      <c r="A428" s="222" t="s">
        <v>290</v>
      </c>
      <c r="B428" s="222">
        <v>1</v>
      </c>
      <c r="C428" s="222">
        <v>0</v>
      </c>
    </row>
    <row r="429" spans="1:3" ht="15.75" customHeight="1" x14ac:dyDescent="0.2">
      <c r="A429" s="222" t="s">
        <v>290</v>
      </c>
      <c r="B429" s="222">
        <v>2</v>
      </c>
      <c r="C429" s="222">
        <v>0</v>
      </c>
    </row>
    <row r="430" spans="1:3" ht="15.75" customHeight="1" x14ac:dyDescent="0.2">
      <c r="A430" s="222" t="s">
        <v>291</v>
      </c>
      <c r="B430" s="222">
        <v>1</v>
      </c>
      <c r="C430" s="222">
        <v>0</v>
      </c>
    </row>
    <row r="431" spans="1:3" ht="15.75" customHeight="1" x14ac:dyDescent="0.2">
      <c r="A431" s="222" t="s">
        <v>292</v>
      </c>
      <c r="B431" s="222">
        <v>1</v>
      </c>
      <c r="C431" s="222">
        <v>0.26100000000000001</v>
      </c>
    </row>
    <row r="432" spans="1:3" ht="15.75" customHeight="1" x14ac:dyDescent="0.2">
      <c r="A432" s="222" t="s">
        <v>293</v>
      </c>
      <c r="B432" s="222">
        <v>1</v>
      </c>
      <c r="C432" s="222">
        <v>4.9000000000000002E-2</v>
      </c>
    </row>
    <row r="433" spans="1:3" ht="15.75" customHeight="1" x14ac:dyDescent="0.2">
      <c r="A433" s="222" t="s">
        <v>294</v>
      </c>
      <c r="B433" s="222">
        <v>1</v>
      </c>
      <c r="C433" s="222">
        <v>0.05</v>
      </c>
    </row>
    <row r="434" spans="1:3" ht="15.75" customHeight="1" x14ac:dyDescent="0.2">
      <c r="A434" s="222" t="s">
        <v>295</v>
      </c>
      <c r="B434" s="222">
        <v>1</v>
      </c>
      <c r="C434" s="222">
        <v>8.5999999999999993E-2</v>
      </c>
    </row>
    <row r="435" spans="1:3" ht="15.75" customHeight="1" x14ac:dyDescent="0.2">
      <c r="A435" s="222" t="s">
        <v>295</v>
      </c>
      <c r="B435" s="222">
        <v>2</v>
      </c>
      <c r="C435" s="222">
        <v>0.246</v>
      </c>
    </row>
    <row r="436" spans="1:3" ht="15.75" customHeight="1" x14ac:dyDescent="0.2">
      <c r="A436" s="222" t="s">
        <v>296</v>
      </c>
      <c r="B436" s="222">
        <v>1</v>
      </c>
      <c r="C436" s="222">
        <v>0</v>
      </c>
    </row>
    <row r="437" spans="1:3" ht="15.75" customHeight="1" x14ac:dyDescent="0.2">
      <c r="A437" s="222" t="s">
        <v>297</v>
      </c>
      <c r="B437" s="222">
        <v>1</v>
      </c>
      <c r="C437" s="222">
        <v>0.2</v>
      </c>
    </row>
    <row r="438" spans="1:3" ht="15.75" customHeight="1" x14ac:dyDescent="0.2">
      <c r="A438" s="222" t="s">
        <v>298</v>
      </c>
      <c r="B438" s="222">
        <v>1</v>
      </c>
      <c r="C438" s="222">
        <v>0</v>
      </c>
    </row>
    <row r="439" spans="1:3" ht="15.75" customHeight="1" x14ac:dyDescent="0.2">
      <c r="A439" s="222" t="s">
        <v>298</v>
      </c>
      <c r="B439" s="222">
        <v>3</v>
      </c>
      <c r="C439" s="222">
        <v>3.9E-2</v>
      </c>
    </row>
    <row r="440" spans="1:3" ht="15.75" customHeight="1" x14ac:dyDescent="0.2">
      <c r="A440" s="222" t="s">
        <v>299</v>
      </c>
      <c r="B440" s="222">
        <v>1</v>
      </c>
      <c r="C440" s="222">
        <v>0.104</v>
      </c>
    </row>
    <row r="441" spans="1:3" ht="15.75" customHeight="1" x14ac:dyDescent="0.2">
      <c r="A441" s="222" t="s">
        <v>300</v>
      </c>
      <c r="B441" s="222">
        <v>1</v>
      </c>
      <c r="C441" s="222">
        <v>0.66200000000000003</v>
      </c>
    </row>
    <row r="442" spans="1:3" ht="15.75" customHeight="1" x14ac:dyDescent="0.2">
      <c r="A442" s="222" t="s">
        <v>300</v>
      </c>
      <c r="B442" s="222">
        <v>2</v>
      </c>
      <c r="C442" s="222">
        <v>0.39400000000000002</v>
      </c>
    </row>
    <row r="443" spans="1:3" ht="15.75" customHeight="1" x14ac:dyDescent="0.2">
      <c r="A443" s="222" t="s">
        <v>301</v>
      </c>
      <c r="B443" s="222">
        <v>1</v>
      </c>
      <c r="C443" s="222">
        <v>0.65300000000000002</v>
      </c>
    </row>
    <row r="444" spans="1:3" ht="15.75" customHeight="1" x14ac:dyDescent="0.2">
      <c r="A444" s="222" t="s">
        <v>302</v>
      </c>
      <c r="B444" s="222">
        <v>1</v>
      </c>
      <c r="C444" s="222">
        <v>6.8000000000000005E-2</v>
      </c>
    </row>
    <row r="445" spans="1:3" ht="15.75" customHeight="1" x14ac:dyDescent="0.2">
      <c r="A445" s="222" t="s">
        <v>303</v>
      </c>
      <c r="B445" s="222">
        <v>1</v>
      </c>
      <c r="C445" s="222">
        <v>0.02</v>
      </c>
    </row>
    <row r="446" spans="1:3" ht="15.75" customHeight="1" x14ac:dyDescent="0.2">
      <c r="A446" s="222" t="s">
        <v>304</v>
      </c>
      <c r="B446" s="222">
        <v>1</v>
      </c>
      <c r="C446" s="222">
        <v>0</v>
      </c>
    </row>
    <row r="447" spans="1:3" ht="15.75" customHeight="1" x14ac:dyDescent="0.2">
      <c r="A447" s="222" t="s">
        <v>305</v>
      </c>
      <c r="B447" s="222">
        <v>1</v>
      </c>
      <c r="C447" s="222">
        <v>0</v>
      </c>
    </row>
    <row r="448" spans="1:3" ht="15.75" customHeight="1" x14ac:dyDescent="0.2">
      <c r="A448" s="222" t="s">
        <v>306</v>
      </c>
      <c r="B448" s="222">
        <v>1</v>
      </c>
      <c r="C448" s="222">
        <v>0</v>
      </c>
    </row>
    <row r="449" spans="1:3" ht="15.75" customHeight="1" x14ac:dyDescent="0.2">
      <c r="A449" s="222" t="s">
        <v>306</v>
      </c>
      <c r="B449" s="222">
        <v>2</v>
      </c>
      <c r="C449" s="222">
        <v>0</v>
      </c>
    </row>
    <row r="450" spans="1:3" ht="15.75" customHeight="1" x14ac:dyDescent="0.2">
      <c r="A450" s="222" t="s">
        <v>307</v>
      </c>
      <c r="B450" s="222">
        <v>1</v>
      </c>
      <c r="C450" s="222">
        <v>6.8000000000000005E-2</v>
      </c>
    </row>
    <row r="451" spans="1:3" ht="15.75" customHeight="1" x14ac:dyDescent="0.2">
      <c r="A451" s="222" t="s">
        <v>308</v>
      </c>
      <c r="B451" s="222">
        <v>1</v>
      </c>
      <c r="C451" s="222">
        <v>0.02</v>
      </c>
    </row>
    <row r="452" spans="1:3" ht="15.75" customHeight="1" x14ac:dyDescent="0.2">
      <c r="A452" s="222" t="s">
        <v>309</v>
      </c>
      <c r="B452" s="222">
        <v>1</v>
      </c>
      <c r="C452" s="222">
        <v>0</v>
      </c>
    </row>
    <row r="453" spans="1:3" ht="15.75" customHeight="1" x14ac:dyDescent="0.2">
      <c r="A453" s="222" t="s">
        <v>310</v>
      </c>
      <c r="B453" s="222">
        <v>1</v>
      </c>
      <c r="C453" s="222">
        <v>0</v>
      </c>
    </row>
    <row r="454" spans="1:3" ht="15.75" customHeight="1" x14ac:dyDescent="0.2">
      <c r="A454" s="222" t="s">
        <v>311</v>
      </c>
      <c r="B454" s="222">
        <v>1</v>
      </c>
      <c r="C454" s="222">
        <v>1.0999999999999999E-2</v>
      </c>
    </row>
    <row r="455" spans="1:3" ht="15.75" customHeight="1" x14ac:dyDescent="0.2">
      <c r="A455" s="222" t="s">
        <v>312</v>
      </c>
      <c r="B455" s="222">
        <v>3</v>
      </c>
      <c r="C455" s="222">
        <v>0.1</v>
      </c>
    </row>
    <row r="456" spans="1:3" ht="15.75" customHeight="1" x14ac:dyDescent="0.2">
      <c r="A456" s="222" t="s">
        <v>312</v>
      </c>
      <c r="B456" s="222">
        <v>1</v>
      </c>
      <c r="C456" s="222">
        <v>0.03</v>
      </c>
    </row>
    <row r="457" spans="1:3" ht="15.75" customHeight="1" x14ac:dyDescent="0.2">
      <c r="A457" s="222" t="s">
        <v>313</v>
      </c>
      <c r="B457" s="222">
        <v>1</v>
      </c>
      <c r="C457" s="222">
        <v>0</v>
      </c>
    </row>
    <row r="458" spans="1:3" ht="15.75" customHeight="1" x14ac:dyDescent="0.2">
      <c r="A458" s="222" t="s">
        <v>314</v>
      </c>
      <c r="B458" s="222">
        <v>1</v>
      </c>
      <c r="C458" s="222">
        <v>0.70099999999999996</v>
      </c>
    </row>
    <row r="459" spans="1:3" ht="15.75" customHeight="1" x14ac:dyDescent="0.2">
      <c r="A459" s="222" t="s">
        <v>315</v>
      </c>
      <c r="B459" s="222">
        <v>2</v>
      </c>
      <c r="C459" s="222">
        <v>4.9000000000000002E-2</v>
      </c>
    </row>
    <row r="460" spans="1:3" ht="15.75" customHeight="1" x14ac:dyDescent="0.2">
      <c r="A460" s="222" t="s">
        <v>315</v>
      </c>
      <c r="B460" s="222">
        <v>1</v>
      </c>
      <c r="C460" s="222">
        <v>7.6999999999999999E-2</v>
      </c>
    </row>
    <row r="461" spans="1:3" ht="15.75" customHeight="1" x14ac:dyDescent="0.2">
      <c r="A461" s="222" t="s">
        <v>316</v>
      </c>
      <c r="B461" s="222">
        <v>1</v>
      </c>
      <c r="C461" s="222">
        <v>0.6</v>
      </c>
    </row>
    <row r="462" spans="1:3" ht="15.75" customHeight="1" x14ac:dyDescent="0.2">
      <c r="A462" s="222" t="s">
        <v>317</v>
      </c>
      <c r="B462" s="222">
        <v>1</v>
      </c>
      <c r="C462" s="222">
        <v>0.05</v>
      </c>
    </row>
    <row r="463" spans="1:3" ht="15.75" customHeight="1" x14ac:dyDescent="0.2">
      <c r="A463" s="222" t="s">
        <v>318</v>
      </c>
      <c r="B463" s="222">
        <v>1</v>
      </c>
      <c r="C463" s="222">
        <v>0.246</v>
      </c>
    </row>
    <row r="464" spans="1:3" ht="15.75" customHeight="1" x14ac:dyDescent="0.2">
      <c r="A464" s="222" t="s">
        <v>319</v>
      </c>
      <c r="B464" s="222">
        <v>1</v>
      </c>
      <c r="C464" s="222">
        <v>0.05</v>
      </c>
    </row>
    <row r="465" spans="1:3" ht="15.75" customHeight="1" x14ac:dyDescent="0.2">
      <c r="A465" s="222" t="s">
        <v>320</v>
      </c>
      <c r="B465" s="222">
        <v>1</v>
      </c>
      <c r="C465" s="222">
        <v>0</v>
      </c>
    </row>
    <row r="466" spans="1:3" ht="15.75" customHeight="1" x14ac:dyDescent="0.2">
      <c r="A466" s="222" t="s">
        <v>321</v>
      </c>
      <c r="B466" s="222">
        <v>1</v>
      </c>
      <c r="C466" s="222">
        <v>0</v>
      </c>
    </row>
    <row r="467" spans="1:3" ht="15.75" customHeight="1" x14ac:dyDescent="0.2">
      <c r="A467" s="222" t="s">
        <v>321</v>
      </c>
      <c r="B467" s="222">
        <v>2</v>
      </c>
      <c r="C467" s="222">
        <v>0</v>
      </c>
    </row>
    <row r="468" spans="1:3" ht="15.75" customHeight="1" x14ac:dyDescent="0.2">
      <c r="A468" s="222" t="s">
        <v>322</v>
      </c>
      <c r="B468" s="222">
        <v>1</v>
      </c>
      <c r="C468" s="222">
        <v>0.17399999999999999</v>
      </c>
    </row>
    <row r="469" spans="1:3" ht="15.75" customHeight="1" x14ac:dyDescent="0.2">
      <c r="A469" s="222" t="s">
        <v>322</v>
      </c>
      <c r="B469" s="222">
        <v>3</v>
      </c>
      <c r="C469" s="222">
        <v>0.60099999999999998</v>
      </c>
    </row>
    <row r="470" spans="1:3" ht="15.75" customHeight="1" x14ac:dyDescent="0.2">
      <c r="A470" s="222" t="s">
        <v>323</v>
      </c>
      <c r="B470" s="222">
        <v>1</v>
      </c>
      <c r="C470" s="222">
        <v>3.9E-2</v>
      </c>
    </row>
    <row r="471" spans="1:3" ht="15.75" customHeight="1" x14ac:dyDescent="0.2">
      <c r="A471" s="222" t="s">
        <v>324</v>
      </c>
      <c r="B471" s="222">
        <v>1</v>
      </c>
      <c r="C471" s="222">
        <v>0</v>
      </c>
    </row>
    <row r="472" spans="1:3" ht="15.75" customHeight="1" x14ac:dyDescent="0.2">
      <c r="A472" s="222" t="s">
        <v>325</v>
      </c>
      <c r="B472" s="222">
        <v>1</v>
      </c>
      <c r="C472" s="222">
        <v>0.05</v>
      </c>
    </row>
    <row r="473" spans="1:3" ht="15.75" customHeight="1" x14ac:dyDescent="0.2">
      <c r="A473" s="222" t="s">
        <v>325</v>
      </c>
      <c r="B473" s="222">
        <v>2</v>
      </c>
      <c r="C473" s="222">
        <v>0.222</v>
      </c>
    </row>
    <row r="474" spans="1:3" ht="15.75" customHeight="1" x14ac:dyDescent="0.2">
      <c r="A474" s="222" t="s">
        <v>326</v>
      </c>
      <c r="B474" s="222">
        <v>1</v>
      </c>
      <c r="C474" s="222">
        <v>0</v>
      </c>
    </row>
    <row r="475" spans="1:3" ht="15.75" customHeight="1" x14ac:dyDescent="0.2">
      <c r="A475" s="222" t="s">
        <v>327</v>
      </c>
      <c r="B475" s="222">
        <v>1</v>
      </c>
      <c r="C475" s="222">
        <v>0</v>
      </c>
    </row>
    <row r="476" spans="1:3" ht="15.75" customHeight="1" x14ac:dyDescent="0.2">
      <c r="A476" s="222" t="s">
        <v>328</v>
      </c>
      <c r="B476" s="222">
        <v>1</v>
      </c>
      <c r="C476" s="222">
        <v>0</v>
      </c>
    </row>
    <row r="477" spans="1:3" ht="15.75" customHeight="1" x14ac:dyDescent="0.2">
      <c r="A477" s="222" t="s">
        <v>329</v>
      </c>
      <c r="B477" s="222">
        <v>1</v>
      </c>
      <c r="C477" s="222">
        <v>0.03</v>
      </c>
    </row>
    <row r="478" spans="1:3" ht="15.75" customHeight="1" x14ac:dyDescent="0.2">
      <c r="A478" s="222" t="s">
        <v>330</v>
      </c>
      <c r="B478" s="222">
        <v>1</v>
      </c>
      <c r="C478" s="222">
        <v>0</v>
      </c>
    </row>
    <row r="479" spans="1:3" ht="15.75" customHeight="1" x14ac:dyDescent="0.2">
      <c r="A479" s="222" t="s">
        <v>331</v>
      </c>
      <c r="B479" s="222">
        <v>1</v>
      </c>
      <c r="C479" s="222">
        <v>0.41899999999999998</v>
      </c>
    </row>
    <row r="480" spans="1:3" ht="15.75" customHeight="1" x14ac:dyDescent="0.2">
      <c r="A480" s="222" t="s">
        <v>332</v>
      </c>
      <c r="B480" s="222">
        <v>1</v>
      </c>
      <c r="C480" s="222">
        <v>0</v>
      </c>
    </row>
    <row r="481" spans="1:3" ht="15.75" customHeight="1" x14ac:dyDescent="0.2">
      <c r="A481" s="222" t="s">
        <v>333</v>
      </c>
      <c r="B481" s="222">
        <v>1</v>
      </c>
      <c r="C481" s="222">
        <v>0.104</v>
      </c>
    </row>
    <row r="482" spans="1:3" ht="15.75" customHeight="1" x14ac:dyDescent="0.2">
      <c r="A482" s="222" t="s">
        <v>334</v>
      </c>
      <c r="B482" s="222">
        <v>1</v>
      </c>
      <c r="C482" s="222">
        <v>8.5999999999999993E-2</v>
      </c>
    </row>
    <row r="483" spans="1:3" ht="15.75" customHeight="1" x14ac:dyDescent="0.2">
      <c r="A483" s="222" t="s">
        <v>335</v>
      </c>
      <c r="B483" s="222">
        <v>1</v>
      </c>
      <c r="C483" s="222">
        <v>0.38700000000000001</v>
      </c>
    </row>
    <row r="484" spans="1:3" ht="15.75" customHeight="1" x14ac:dyDescent="0.2">
      <c r="A484" s="222" t="s">
        <v>336</v>
      </c>
      <c r="B484" s="222">
        <v>1</v>
      </c>
      <c r="C484" s="222">
        <v>8.5999999999999993E-2</v>
      </c>
    </row>
    <row r="485" spans="1:3" ht="15.75" customHeight="1" x14ac:dyDescent="0.2">
      <c r="A485" s="222" t="s">
        <v>337</v>
      </c>
      <c r="B485" s="222">
        <v>1</v>
      </c>
      <c r="C485" s="222">
        <v>0.79200000000000004</v>
      </c>
    </row>
    <row r="486" spans="1:3" ht="15.75" customHeight="1" x14ac:dyDescent="0.2">
      <c r="A486" s="222" t="s">
        <v>338</v>
      </c>
      <c r="B486" s="222">
        <v>1</v>
      </c>
      <c r="C486" s="222">
        <v>0.64400000000000002</v>
      </c>
    </row>
    <row r="487" spans="1:3" ht="15.75" customHeight="1" x14ac:dyDescent="0.2">
      <c r="A487" s="222" t="s">
        <v>339</v>
      </c>
      <c r="B487" s="222">
        <v>1</v>
      </c>
      <c r="C487" s="222">
        <v>0</v>
      </c>
    </row>
    <row r="488" spans="1:3" ht="15.75" customHeight="1" x14ac:dyDescent="0.2">
      <c r="A488" s="222" t="s">
        <v>340</v>
      </c>
      <c r="B488" s="222">
        <v>1</v>
      </c>
      <c r="C488" s="222">
        <v>0</v>
      </c>
    </row>
    <row r="489" spans="1:3" ht="15.75" customHeight="1" x14ac:dyDescent="0.2">
      <c r="A489" s="222" t="s">
        <v>341</v>
      </c>
      <c r="B489" s="222">
        <v>1</v>
      </c>
      <c r="C489" s="222">
        <v>0</v>
      </c>
    </row>
    <row r="490" spans="1:3" ht="15.75" customHeight="1" x14ac:dyDescent="0.2">
      <c r="A490" s="222" t="s">
        <v>342</v>
      </c>
      <c r="B490" s="222">
        <v>1</v>
      </c>
      <c r="C490" s="222">
        <v>0.41299999999999998</v>
      </c>
    </row>
    <row r="491" spans="1:3" ht="15.75" customHeight="1" x14ac:dyDescent="0.2">
      <c r="A491" s="222" t="s">
        <v>343</v>
      </c>
      <c r="B491" s="222">
        <v>1</v>
      </c>
      <c r="C491" s="222">
        <v>0.113</v>
      </c>
    </row>
    <row r="492" spans="1:3" ht="15.75" customHeight="1" x14ac:dyDescent="0.2">
      <c r="A492" s="222" t="s">
        <v>344</v>
      </c>
      <c r="B492" s="222">
        <v>1</v>
      </c>
      <c r="C492" s="222">
        <v>0.68400000000000005</v>
      </c>
    </row>
    <row r="493" spans="1:3" ht="15.75" customHeight="1" x14ac:dyDescent="0.2">
      <c r="A493" s="222" t="s">
        <v>345</v>
      </c>
      <c r="B493" s="222">
        <v>2</v>
      </c>
      <c r="C493" s="222">
        <v>0.56799999999999995</v>
      </c>
    </row>
    <row r="494" spans="1:3" ht="15.75" customHeight="1" x14ac:dyDescent="0.2">
      <c r="A494" s="222" t="s">
        <v>345</v>
      </c>
      <c r="B494" s="222">
        <v>1</v>
      </c>
      <c r="C494" s="222">
        <v>0.1</v>
      </c>
    </row>
    <row r="495" spans="1:3" ht="15.75" customHeight="1" x14ac:dyDescent="0.2">
      <c r="A495" s="222" t="s">
        <v>346</v>
      </c>
      <c r="B495" s="222">
        <v>1</v>
      </c>
      <c r="C495" s="222">
        <v>0.32600000000000001</v>
      </c>
    </row>
    <row r="496" spans="1:3" ht="15.75" customHeight="1" x14ac:dyDescent="0.2">
      <c r="A496" s="222" t="s">
        <v>347</v>
      </c>
      <c r="B496" s="222">
        <v>1</v>
      </c>
      <c r="C496" s="222">
        <v>0.26100000000000001</v>
      </c>
    </row>
    <row r="497" spans="1:3" ht="15.75" customHeight="1" x14ac:dyDescent="0.2">
      <c r="A497" s="222" t="s">
        <v>347</v>
      </c>
      <c r="B497" s="222">
        <v>2</v>
      </c>
      <c r="C497" s="222">
        <v>3.9E-2</v>
      </c>
    </row>
    <row r="498" spans="1:3" ht="15.75" customHeight="1" x14ac:dyDescent="0.2">
      <c r="A498" s="222" t="s">
        <v>348</v>
      </c>
      <c r="B498" s="222">
        <v>1</v>
      </c>
      <c r="C498" s="222">
        <v>0.14799999999999999</v>
      </c>
    </row>
    <row r="499" spans="1:3" ht="15.75" customHeight="1" x14ac:dyDescent="0.2">
      <c r="A499" s="222" t="s">
        <v>349</v>
      </c>
      <c r="B499" s="222">
        <v>1</v>
      </c>
      <c r="C499" s="222">
        <v>0</v>
      </c>
    </row>
    <row r="500" spans="1:3" ht="15.75" customHeight="1" x14ac:dyDescent="0.2">
      <c r="A500" s="222" t="s">
        <v>350</v>
      </c>
      <c r="B500" s="222">
        <v>1</v>
      </c>
      <c r="C500" s="222">
        <v>3.9E-2</v>
      </c>
    </row>
    <row r="501" spans="1:3" ht="15.75" customHeight="1" x14ac:dyDescent="0.2">
      <c r="A501" s="222" t="s">
        <v>351</v>
      </c>
      <c r="B501" s="222">
        <v>1</v>
      </c>
      <c r="C501" s="222">
        <v>0.17399999999999999</v>
      </c>
    </row>
    <row r="502" spans="1:3" ht="15.75" customHeight="1" x14ac:dyDescent="0.2">
      <c r="A502" s="222" t="s">
        <v>352</v>
      </c>
      <c r="B502" s="222">
        <v>1</v>
      </c>
      <c r="C502" s="222">
        <v>0.65300000000000002</v>
      </c>
    </row>
    <row r="503" spans="1:3" ht="15.75" customHeight="1" x14ac:dyDescent="0.2">
      <c r="A503" s="222" t="s">
        <v>353</v>
      </c>
      <c r="B503" s="222">
        <v>1</v>
      </c>
      <c r="C503" s="222">
        <v>0.23799999999999999</v>
      </c>
    </row>
    <row r="504" spans="1:3" ht="15.75" customHeight="1" x14ac:dyDescent="0.2">
      <c r="A504" s="222" t="s">
        <v>354</v>
      </c>
      <c r="B504" s="222">
        <v>3</v>
      </c>
      <c r="C504" s="222">
        <v>0.05</v>
      </c>
    </row>
    <row r="505" spans="1:3" ht="15.75" customHeight="1" x14ac:dyDescent="0.2">
      <c r="A505" s="222" t="s">
        <v>354</v>
      </c>
      <c r="B505" s="222">
        <v>1</v>
      </c>
      <c r="C505" s="222">
        <v>0.41299999999999998</v>
      </c>
    </row>
    <row r="506" spans="1:3" ht="15.75" customHeight="1" x14ac:dyDescent="0.2">
      <c r="A506" s="222" t="s">
        <v>355</v>
      </c>
      <c r="B506" s="222">
        <v>1</v>
      </c>
      <c r="C506" s="222">
        <v>0.374</v>
      </c>
    </row>
    <row r="507" spans="1:3" ht="15.75" customHeight="1" x14ac:dyDescent="0.2">
      <c r="A507" s="222" t="s">
        <v>356</v>
      </c>
      <c r="B507" s="222">
        <v>1</v>
      </c>
      <c r="C507" s="222">
        <v>0</v>
      </c>
    </row>
    <row r="508" spans="1:3" ht="15.75" customHeight="1" x14ac:dyDescent="0.2">
      <c r="A508" s="222" t="s">
        <v>357</v>
      </c>
      <c r="B508" s="222">
        <v>3</v>
      </c>
      <c r="C508" s="222">
        <v>7.6999999999999999E-2</v>
      </c>
    </row>
    <row r="509" spans="1:3" ht="15.75" customHeight="1" x14ac:dyDescent="0.2">
      <c r="A509" s="222" t="s">
        <v>357</v>
      </c>
      <c r="B509" s="222">
        <v>1</v>
      </c>
      <c r="C509" s="222">
        <v>0</v>
      </c>
    </row>
    <row r="510" spans="1:3" ht="15.75" customHeight="1" x14ac:dyDescent="0.2">
      <c r="A510" s="222" t="s">
        <v>358</v>
      </c>
      <c r="B510" s="222">
        <v>1</v>
      </c>
      <c r="C510" s="222">
        <v>0</v>
      </c>
    </row>
    <row r="511" spans="1:3" ht="15.75" customHeight="1" x14ac:dyDescent="0.2">
      <c r="A511" s="222" t="s">
        <v>359</v>
      </c>
      <c r="B511" s="222">
        <v>1</v>
      </c>
      <c r="C511" s="222">
        <v>0</v>
      </c>
    </row>
    <row r="512" spans="1:3" ht="15.75" customHeight="1" x14ac:dyDescent="0.2">
      <c r="A512" s="222" t="s">
        <v>360</v>
      </c>
      <c r="B512" s="222">
        <v>1</v>
      </c>
      <c r="C512" s="222">
        <v>0</v>
      </c>
    </row>
    <row r="513" spans="1:3" ht="15.75" customHeight="1" x14ac:dyDescent="0.2">
      <c r="A513" s="222" t="s">
        <v>361</v>
      </c>
      <c r="B513" s="222">
        <v>1</v>
      </c>
      <c r="C513" s="222">
        <v>0</v>
      </c>
    </row>
    <row r="514" spans="1:3" ht="15.75" customHeight="1" x14ac:dyDescent="0.2">
      <c r="A514" s="222" t="s">
        <v>362</v>
      </c>
      <c r="B514" s="222">
        <v>2</v>
      </c>
      <c r="C514" s="222">
        <v>0</v>
      </c>
    </row>
    <row r="515" spans="1:3" ht="15.75" customHeight="1" x14ac:dyDescent="0.2">
      <c r="A515" s="222" t="s">
        <v>362</v>
      </c>
      <c r="B515" s="222">
        <v>1</v>
      </c>
      <c r="C515" s="222">
        <v>0</v>
      </c>
    </row>
    <row r="516" spans="1:3" ht="15.75" customHeight="1" x14ac:dyDescent="0.2">
      <c r="A516" s="222" t="s">
        <v>363</v>
      </c>
      <c r="B516" s="222">
        <v>1</v>
      </c>
      <c r="C516" s="222">
        <v>0.72599999999999998</v>
      </c>
    </row>
    <row r="517" spans="1:3" ht="15.75" customHeight="1" x14ac:dyDescent="0.2">
      <c r="A517" s="222" t="s">
        <v>364</v>
      </c>
      <c r="B517" s="222">
        <v>1</v>
      </c>
      <c r="C517" s="222">
        <v>0</v>
      </c>
    </row>
    <row r="518" spans="1:3" ht="15.75" customHeight="1" x14ac:dyDescent="0.2">
      <c r="A518" s="222" t="s">
        <v>365</v>
      </c>
      <c r="B518" s="222">
        <v>1</v>
      </c>
      <c r="C518" s="222">
        <v>0.57699999999999996</v>
      </c>
    </row>
    <row r="519" spans="1:3" ht="15.75" customHeight="1" x14ac:dyDescent="0.2">
      <c r="A519" s="222" t="s">
        <v>366</v>
      </c>
      <c r="B519" s="222">
        <v>1</v>
      </c>
      <c r="C519" s="222">
        <v>0</v>
      </c>
    </row>
    <row r="520" spans="1:3" ht="15.75" customHeight="1" x14ac:dyDescent="0.2">
      <c r="A520" s="222" t="s">
        <v>367</v>
      </c>
      <c r="B520" s="222">
        <v>1</v>
      </c>
      <c r="C520" s="222">
        <v>0.20599999999999999</v>
      </c>
    </row>
    <row r="521" spans="1:3" ht="15.75" customHeight="1" x14ac:dyDescent="0.2">
      <c r="A521" s="222" t="s">
        <v>368</v>
      </c>
      <c r="B521" s="222">
        <v>1</v>
      </c>
      <c r="C521" s="222">
        <v>0</v>
      </c>
    </row>
    <row r="522" spans="1:3" ht="15.75" customHeight="1" x14ac:dyDescent="0.2">
      <c r="A522" s="222" t="s">
        <v>369</v>
      </c>
      <c r="B522" s="222">
        <v>1</v>
      </c>
      <c r="C522" s="222">
        <v>0.05</v>
      </c>
    </row>
    <row r="523" spans="1:3" ht="15.75" customHeight="1" x14ac:dyDescent="0.2">
      <c r="A523" s="222" t="s">
        <v>370</v>
      </c>
      <c r="B523" s="222">
        <v>1</v>
      </c>
      <c r="C523" s="222">
        <v>0.05</v>
      </c>
    </row>
    <row r="524" spans="1:3" ht="15.75" customHeight="1" x14ac:dyDescent="0.2">
      <c r="A524" s="222" t="s">
        <v>371</v>
      </c>
      <c r="B524" s="222">
        <v>1</v>
      </c>
      <c r="C524" s="222">
        <v>0</v>
      </c>
    </row>
    <row r="525" spans="1:3" ht="15.75" customHeight="1" x14ac:dyDescent="0.2">
      <c r="A525" s="222" t="s">
        <v>372</v>
      </c>
      <c r="B525" s="222">
        <v>1</v>
      </c>
      <c r="C525" s="222">
        <v>0</v>
      </c>
    </row>
    <row r="526" spans="1:3" ht="15.75" customHeight="1" x14ac:dyDescent="0.2">
      <c r="A526" s="222" t="s">
        <v>373</v>
      </c>
      <c r="B526" s="222">
        <v>1</v>
      </c>
      <c r="C526" s="222">
        <v>0.03</v>
      </c>
    </row>
    <row r="527" spans="1:3" ht="15.75" customHeight="1" x14ac:dyDescent="0.2">
      <c r="A527" s="222" t="s">
        <v>374</v>
      </c>
      <c r="B527" s="222">
        <v>1</v>
      </c>
      <c r="C527" s="222">
        <v>0.03</v>
      </c>
    </row>
    <row r="528" spans="1:3" ht="15.75" customHeight="1" x14ac:dyDescent="0.2">
      <c r="A528" s="222" t="s">
        <v>375</v>
      </c>
      <c r="B528" s="222">
        <v>1</v>
      </c>
      <c r="C528" s="222">
        <v>0.45</v>
      </c>
    </row>
    <row r="529" spans="1:3" ht="15.75" customHeight="1" x14ac:dyDescent="0.2">
      <c r="A529" s="222" t="s">
        <v>376</v>
      </c>
      <c r="B529" s="222">
        <v>1</v>
      </c>
      <c r="C529" s="222">
        <v>0</v>
      </c>
    </row>
    <row r="530" spans="1:3" ht="15.75" customHeight="1" x14ac:dyDescent="0.2">
      <c r="A530" s="222" t="s">
        <v>377</v>
      </c>
      <c r="B530" s="222">
        <v>1</v>
      </c>
      <c r="C530" s="222">
        <v>0.13100000000000001</v>
      </c>
    </row>
    <row r="531" spans="1:3" ht="15.75" customHeight="1" x14ac:dyDescent="0.2">
      <c r="A531" s="222" t="s">
        <v>378</v>
      </c>
      <c r="B531" s="222">
        <v>1</v>
      </c>
      <c r="C531" s="222">
        <v>0.05</v>
      </c>
    </row>
    <row r="532" spans="1:3" ht="15.75" customHeight="1" x14ac:dyDescent="0.2">
      <c r="A532" s="222" t="s">
        <v>379</v>
      </c>
      <c r="B532" s="222">
        <v>1</v>
      </c>
      <c r="C532" s="222">
        <v>0</v>
      </c>
    </row>
    <row r="533" spans="1:3" ht="15.75" customHeight="1" x14ac:dyDescent="0.2">
      <c r="A533" s="222" t="s">
        <v>380</v>
      </c>
      <c r="B533" s="222">
        <v>1</v>
      </c>
      <c r="C533" s="222">
        <v>4.9000000000000002E-2</v>
      </c>
    </row>
    <row r="534" spans="1:3" ht="15.75" customHeight="1" x14ac:dyDescent="0.2">
      <c r="A534" s="222" t="s">
        <v>381</v>
      </c>
      <c r="B534" s="222">
        <v>1</v>
      </c>
      <c r="C534" s="222">
        <v>0.35399999999999998</v>
      </c>
    </row>
    <row r="535" spans="1:3" ht="15.75" customHeight="1" x14ac:dyDescent="0.2">
      <c r="A535" s="222" t="s">
        <v>382</v>
      </c>
      <c r="B535" s="222">
        <v>1</v>
      </c>
      <c r="C535" s="222">
        <v>0</v>
      </c>
    </row>
    <row r="536" spans="1:3" ht="15.75" customHeight="1" x14ac:dyDescent="0.2">
      <c r="A536" s="222" t="s">
        <v>383</v>
      </c>
      <c r="B536" s="222">
        <v>1</v>
      </c>
      <c r="C536" s="222">
        <v>0</v>
      </c>
    </row>
    <row r="537" spans="1:3" ht="15.75" customHeight="1" x14ac:dyDescent="0.2">
      <c r="A537" s="222" t="s">
        <v>384</v>
      </c>
      <c r="B537" s="222">
        <v>1</v>
      </c>
      <c r="C537" s="222">
        <v>0</v>
      </c>
    </row>
    <row r="538" spans="1:3" ht="15.75" customHeight="1" x14ac:dyDescent="0.2">
      <c r="A538" s="222" t="s">
        <v>385</v>
      </c>
      <c r="B538" s="222">
        <v>1</v>
      </c>
      <c r="C538" s="222">
        <v>0.19</v>
      </c>
    </row>
    <row r="539" spans="1:3" ht="15.75" customHeight="1" x14ac:dyDescent="0.2">
      <c r="A539" s="222" t="s">
        <v>386</v>
      </c>
      <c r="B539" s="222">
        <v>1</v>
      </c>
      <c r="C539" s="222">
        <v>0.26800000000000002</v>
      </c>
    </row>
    <row r="540" spans="1:3" ht="15.75" customHeight="1" x14ac:dyDescent="0.2">
      <c r="A540" s="222" t="s">
        <v>387</v>
      </c>
      <c r="B540" s="222">
        <v>1</v>
      </c>
      <c r="C540" s="222">
        <v>0.03</v>
      </c>
    </row>
    <row r="541" spans="1:3" ht="15.75" customHeight="1" x14ac:dyDescent="0.2">
      <c r="A541" s="222" t="s">
        <v>387</v>
      </c>
      <c r="B541" s="222">
        <v>2</v>
      </c>
      <c r="C541" s="222">
        <v>0.35</v>
      </c>
    </row>
    <row r="542" spans="1:3" ht="15.75" customHeight="1" x14ac:dyDescent="0.2">
      <c r="A542" s="222" t="s">
        <v>388</v>
      </c>
      <c r="B542" s="222">
        <v>1</v>
      </c>
      <c r="C542" s="222">
        <v>0.52900000000000003</v>
      </c>
    </row>
    <row r="543" spans="1:3" ht="15.75" customHeight="1" x14ac:dyDescent="0.2">
      <c r="A543" s="222" t="s">
        <v>389</v>
      </c>
      <c r="B543" s="222">
        <v>1</v>
      </c>
      <c r="C543" s="222">
        <v>0.104</v>
      </c>
    </row>
    <row r="544" spans="1:3" ht="15.75" customHeight="1" x14ac:dyDescent="0.2">
      <c r="A544" s="222" t="s">
        <v>390</v>
      </c>
      <c r="B544" s="222">
        <v>1</v>
      </c>
      <c r="C544" s="222">
        <v>0</v>
      </c>
    </row>
    <row r="545" spans="1:3" ht="15.75" customHeight="1" x14ac:dyDescent="0.2">
      <c r="A545" s="222" t="s">
        <v>391</v>
      </c>
      <c r="B545" s="222">
        <v>1</v>
      </c>
      <c r="C545" s="222">
        <v>0</v>
      </c>
    </row>
    <row r="546" spans="1:3" ht="15.75" customHeight="1" x14ac:dyDescent="0.2">
      <c r="A546" s="222" t="s">
        <v>392</v>
      </c>
      <c r="B546" s="222">
        <v>1</v>
      </c>
      <c r="C546" s="222">
        <v>0.312</v>
      </c>
    </row>
    <row r="547" spans="1:3" ht="15.75" customHeight="1" x14ac:dyDescent="0.2">
      <c r="A547" s="222" t="s">
        <v>393</v>
      </c>
      <c r="B547" s="222">
        <v>1</v>
      </c>
      <c r="C547" s="222">
        <v>0.02</v>
      </c>
    </row>
    <row r="548" spans="1:3" ht="15.75" customHeight="1" x14ac:dyDescent="0.2">
      <c r="A548" s="222" t="s">
        <v>394</v>
      </c>
      <c r="B548" s="222">
        <v>1</v>
      </c>
      <c r="C548" s="222">
        <v>0.246</v>
      </c>
    </row>
    <row r="549" spans="1:3" ht="15.75" customHeight="1" x14ac:dyDescent="0.2">
      <c r="A549" s="222" t="s">
        <v>395</v>
      </c>
      <c r="B549" s="222">
        <v>1</v>
      </c>
      <c r="C549" s="222">
        <v>0.113</v>
      </c>
    </row>
    <row r="550" spans="1:3" ht="15.75" customHeight="1" x14ac:dyDescent="0.2">
      <c r="A550" s="222" t="s">
        <v>396</v>
      </c>
      <c r="B550" s="222">
        <v>1</v>
      </c>
      <c r="C550" s="222">
        <v>0.88</v>
      </c>
    </row>
    <row r="551" spans="1:3" ht="15.75" customHeight="1" x14ac:dyDescent="0.2">
      <c r="A551" s="222" t="s">
        <v>397</v>
      </c>
      <c r="B551" s="222">
        <v>1</v>
      </c>
      <c r="C551" s="222">
        <v>0.253</v>
      </c>
    </row>
    <row r="552" spans="1:3" ht="15.75" customHeight="1" x14ac:dyDescent="0.2">
      <c r="A552" s="222" t="s">
        <v>398</v>
      </c>
      <c r="B552" s="222">
        <v>1</v>
      </c>
      <c r="C552" s="222">
        <v>0</v>
      </c>
    </row>
    <row r="553" spans="1:3" ht="15.75" customHeight="1" x14ac:dyDescent="0.2">
      <c r="A553" s="222" t="s">
        <v>399</v>
      </c>
      <c r="B553" s="222">
        <v>1</v>
      </c>
      <c r="C553" s="222">
        <v>0</v>
      </c>
    </row>
    <row r="554" spans="1:3" ht="15.75" customHeight="1" x14ac:dyDescent="0.2">
      <c r="A554" s="222" t="s">
        <v>400</v>
      </c>
      <c r="B554" s="222">
        <v>1</v>
      </c>
      <c r="C554" s="222">
        <v>0</v>
      </c>
    </row>
    <row r="555" spans="1:3" ht="15.75" customHeight="1" x14ac:dyDescent="0.2">
      <c r="A555" s="222" t="s">
        <v>401</v>
      </c>
      <c r="B555" s="222">
        <v>1</v>
      </c>
      <c r="C555" s="222">
        <v>0</v>
      </c>
    </row>
    <row r="556" spans="1:3" ht="15.75" customHeight="1" x14ac:dyDescent="0.2">
      <c r="A556" s="222" t="s">
        <v>402</v>
      </c>
      <c r="B556" s="222">
        <v>1</v>
      </c>
      <c r="C556" s="222">
        <v>0.17399999999999999</v>
      </c>
    </row>
    <row r="557" spans="1:3" ht="15.75" customHeight="1" x14ac:dyDescent="0.2">
      <c r="A557" s="222" t="s">
        <v>403</v>
      </c>
      <c r="B557" s="222">
        <v>1</v>
      </c>
      <c r="C557" s="222">
        <v>0</v>
      </c>
    </row>
    <row r="558" spans="1:3" ht="15.75" customHeight="1" x14ac:dyDescent="0.2">
      <c r="A558" s="222" t="s">
        <v>404</v>
      </c>
      <c r="B558" s="222">
        <v>1</v>
      </c>
      <c r="C558" s="222">
        <v>0.104</v>
      </c>
    </row>
    <row r="559" spans="1:3" ht="15.75" customHeight="1" x14ac:dyDescent="0.2">
      <c r="A559" s="222" t="s">
        <v>405</v>
      </c>
      <c r="B559" s="222">
        <v>1</v>
      </c>
      <c r="C559" s="222">
        <v>0.32600000000000001</v>
      </c>
    </row>
    <row r="560" spans="1:3" ht="15.75" customHeight="1" x14ac:dyDescent="0.2">
      <c r="A560" s="222" t="s">
        <v>406</v>
      </c>
      <c r="B560" s="222">
        <v>1</v>
      </c>
      <c r="C560" s="222">
        <v>0</v>
      </c>
    </row>
    <row r="561" spans="1:3" ht="15.75" customHeight="1" x14ac:dyDescent="0.2">
      <c r="A561" s="222" t="s">
        <v>407</v>
      </c>
      <c r="B561" s="222">
        <v>1</v>
      </c>
      <c r="C561" s="222">
        <v>0.13100000000000001</v>
      </c>
    </row>
    <row r="562" spans="1:3" ht="15.75" customHeight="1" x14ac:dyDescent="0.2">
      <c r="A562" s="222" t="s">
        <v>408</v>
      </c>
      <c r="B562" s="222">
        <v>1</v>
      </c>
      <c r="C562" s="222">
        <v>0.38700000000000001</v>
      </c>
    </row>
    <row r="563" spans="1:3" ht="15.75" customHeight="1" x14ac:dyDescent="0.2">
      <c r="A563" s="222" t="s">
        <v>409</v>
      </c>
      <c r="B563" s="222">
        <v>1</v>
      </c>
      <c r="C563" s="222">
        <v>0.71399999999999997</v>
      </c>
    </row>
    <row r="564" spans="1:3" ht="15.75" customHeight="1" x14ac:dyDescent="0.2">
      <c r="A564" s="222" t="s">
        <v>410</v>
      </c>
      <c r="B564" s="222">
        <v>1</v>
      </c>
      <c r="C564" s="222">
        <v>0.496</v>
      </c>
    </row>
    <row r="565" spans="1:3" ht="15.75" customHeight="1" x14ac:dyDescent="0.2">
      <c r="A565" s="222" t="s">
        <v>411</v>
      </c>
      <c r="B565" s="222">
        <v>1</v>
      </c>
      <c r="C565" s="222">
        <v>0</v>
      </c>
    </row>
    <row r="566" spans="1:3" ht="15.75" customHeight="1" x14ac:dyDescent="0.2">
      <c r="A566" s="222" t="s">
        <v>412</v>
      </c>
      <c r="B566" s="222">
        <v>1</v>
      </c>
      <c r="C566" s="222">
        <v>0.81</v>
      </c>
    </row>
    <row r="567" spans="1:3" ht="15.75" customHeight="1" x14ac:dyDescent="0.2">
      <c r="A567" s="222" t="s">
        <v>413</v>
      </c>
      <c r="B567" s="222">
        <v>1</v>
      </c>
      <c r="C567" s="222">
        <v>0</v>
      </c>
    </row>
    <row r="568" spans="1:3" ht="15.75" customHeight="1" x14ac:dyDescent="0.2">
      <c r="A568" s="222" t="s">
        <v>414</v>
      </c>
      <c r="B568" s="222">
        <v>1</v>
      </c>
      <c r="C568" s="222">
        <v>0</v>
      </c>
    </row>
    <row r="569" spans="1:3" ht="15.75" customHeight="1" x14ac:dyDescent="0.2">
      <c r="A569" s="222" t="s">
        <v>415</v>
      </c>
      <c r="B569" s="222">
        <v>1</v>
      </c>
      <c r="C569" s="222">
        <v>0.157</v>
      </c>
    </row>
    <row r="570" spans="1:3" ht="15.75" customHeight="1" x14ac:dyDescent="0.2">
      <c r="A570" s="222" t="s">
        <v>416</v>
      </c>
      <c r="B570" s="222">
        <v>1</v>
      </c>
      <c r="C570" s="222">
        <v>0</v>
      </c>
    </row>
    <row r="571" spans="1:3" ht="15.75" customHeight="1" x14ac:dyDescent="0.2">
      <c r="A571" s="222" t="s">
        <v>417</v>
      </c>
      <c r="B571" s="222">
        <v>1</v>
      </c>
      <c r="C571" s="222">
        <v>0</v>
      </c>
    </row>
    <row r="572" spans="1:3" ht="15.75" customHeight="1" x14ac:dyDescent="0.2">
      <c r="A572" s="222" t="s">
        <v>418</v>
      </c>
      <c r="B572" s="222">
        <v>1</v>
      </c>
      <c r="C572" s="222">
        <v>0.253</v>
      </c>
    </row>
    <row r="573" spans="1:3" ht="15.75" customHeight="1" x14ac:dyDescent="0.2">
      <c r="A573" s="222" t="s">
        <v>419</v>
      </c>
      <c r="B573" s="222">
        <v>1</v>
      </c>
      <c r="C573" s="222">
        <v>0</v>
      </c>
    </row>
    <row r="574" spans="1:3" ht="15.75" customHeight="1" x14ac:dyDescent="0.2">
      <c r="A574" s="222" t="s">
        <v>419</v>
      </c>
      <c r="B574" s="222">
        <v>2</v>
      </c>
      <c r="C574" s="222">
        <v>0.25</v>
      </c>
    </row>
    <row r="575" spans="1:3" ht="15.75" customHeight="1" x14ac:dyDescent="0.2">
      <c r="A575" s="222" t="s">
        <v>420</v>
      </c>
      <c r="B575" s="222">
        <v>1</v>
      </c>
      <c r="C575" s="222">
        <v>0.5</v>
      </c>
    </row>
    <row r="576" spans="1:3" ht="15.75" customHeight="1" x14ac:dyDescent="0.2">
      <c r="A576" s="222" t="s">
        <v>421</v>
      </c>
      <c r="B576" s="222">
        <v>1</v>
      </c>
      <c r="C576" s="222">
        <v>3.9E-2</v>
      </c>
    </row>
    <row r="577" spans="1:3" ht="15.75" customHeight="1" x14ac:dyDescent="0.2">
      <c r="A577" s="222" t="s">
        <v>422</v>
      </c>
      <c r="B577" s="222">
        <v>1</v>
      </c>
      <c r="C577" s="222">
        <v>0.58699999999999997</v>
      </c>
    </row>
    <row r="578" spans="1:3" ht="15.75" customHeight="1" x14ac:dyDescent="0.2">
      <c r="A578" s="222" t="s">
        <v>423</v>
      </c>
      <c r="B578" s="222">
        <v>1</v>
      </c>
      <c r="C578" s="222">
        <v>0</v>
      </c>
    </row>
    <row r="579" spans="1:3" ht="15.75" customHeight="1" x14ac:dyDescent="0.2">
      <c r="A579" s="222" t="s">
        <v>424</v>
      </c>
      <c r="B579" s="222">
        <v>1</v>
      </c>
      <c r="C579" s="222">
        <v>0</v>
      </c>
    </row>
    <row r="580" spans="1:3" ht="15.75" customHeight="1" x14ac:dyDescent="0.2">
      <c r="A580" s="222" t="s">
        <v>425</v>
      </c>
      <c r="B580" s="222">
        <v>1</v>
      </c>
      <c r="C580" s="222">
        <v>0</v>
      </c>
    </row>
    <row r="581" spans="1:3" ht="15.75" customHeight="1" x14ac:dyDescent="0.2">
      <c r="A581" s="222" t="s">
        <v>426</v>
      </c>
      <c r="B581" s="222">
        <v>1</v>
      </c>
      <c r="C581" s="222">
        <v>0.72199999999999998</v>
      </c>
    </row>
    <row r="582" spans="1:3" ht="15.75" customHeight="1" x14ac:dyDescent="0.2">
      <c r="A582" s="222" t="s">
        <v>427</v>
      </c>
      <c r="B582" s="222">
        <v>1</v>
      </c>
      <c r="C582" s="222">
        <v>0</v>
      </c>
    </row>
    <row r="583" spans="1:3" ht="15.75" customHeight="1" x14ac:dyDescent="0.2">
      <c r="A583" s="222" t="s">
        <v>428</v>
      </c>
      <c r="B583" s="222">
        <v>1</v>
      </c>
      <c r="C583" s="222">
        <v>0.03</v>
      </c>
    </row>
    <row r="584" spans="1:3" ht="15.75" customHeight="1" x14ac:dyDescent="0.2">
      <c r="A584" s="222" t="s">
        <v>429</v>
      </c>
      <c r="B584" s="222">
        <v>1</v>
      </c>
      <c r="C584" s="222">
        <v>0</v>
      </c>
    </row>
    <row r="585" spans="1:3" ht="15.75" customHeight="1" x14ac:dyDescent="0.2">
      <c r="A585" s="222" t="s">
        <v>430</v>
      </c>
      <c r="B585" s="222">
        <v>1</v>
      </c>
      <c r="C585" s="222">
        <v>0.182</v>
      </c>
    </row>
    <row r="586" spans="1:3" ht="15.75" customHeight="1" x14ac:dyDescent="0.2">
      <c r="A586" s="222" t="s">
        <v>431</v>
      </c>
      <c r="B586" s="222">
        <v>1</v>
      </c>
      <c r="C586" s="222">
        <v>0.03</v>
      </c>
    </row>
    <row r="587" spans="1:3" ht="15.75" customHeight="1" x14ac:dyDescent="0.2">
      <c r="A587" s="222" t="s">
        <v>432</v>
      </c>
      <c r="B587" s="222">
        <v>1</v>
      </c>
      <c r="C587" s="222">
        <v>3.9E-2</v>
      </c>
    </row>
    <row r="588" spans="1:3" ht="15.75" customHeight="1" x14ac:dyDescent="0.2">
      <c r="A588" s="222" t="s">
        <v>433</v>
      </c>
      <c r="B588" s="222">
        <v>1</v>
      </c>
      <c r="C588" s="222">
        <v>0</v>
      </c>
    </row>
    <row r="589" spans="1:3" ht="15.75" customHeight="1" x14ac:dyDescent="0.2">
      <c r="A589" s="222" t="s">
        <v>434</v>
      </c>
      <c r="B589" s="222">
        <v>1</v>
      </c>
      <c r="C589" s="222">
        <v>0.03</v>
      </c>
    </row>
    <row r="590" spans="1:3" ht="15.75" customHeight="1" x14ac:dyDescent="0.2">
      <c r="A590" s="222" t="s">
        <v>435</v>
      </c>
      <c r="B590" s="222">
        <v>1</v>
      </c>
      <c r="C590" s="222">
        <v>0.62</v>
      </c>
    </row>
    <row r="591" spans="1:3" ht="15.75" customHeight="1" x14ac:dyDescent="0.2">
      <c r="A591" s="222" t="s">
        <v>436</v>
      </c>
      <c r="B591" s="222">
        <v>1</v>
      </c>
      <c r="C591" s="222">
        <v>0.253</v>
      </c>
    </row>
    <row r="592" spans="1:3" ht="15.75" customHeight="1" x14ac:dyDescent="0.2">
      <c r="A592" s="222" t="s">
        <v>437</v>
      </c>
      <c r="B592" s="222">
        <v>1</v>
      </c>
      <c r="C592" s="222">
        <v>0.77300000000000002</v>
      </c>
    </row>
    <row r="593" spans="1:3" ht="15.75" customHeight="1" x14ac:dyDescent="0.2">
      <c r="A593" s="222" t="s">
        <v>438</v>
      </c>
      <c r="B593" s="222">
        <v>1</v>
      </c>
      <c r="C593" s="222">
        <v>0</v>
      </c>
    </row>
    <row r="594" spans="1:3" ht="15.75" customHeight="1" x14ac:dyDescent="0.2">
      <c r="A594" s="222" t="s">
        <v>439</v>
      </c>
      <c r="B594" s="222">
        <v>1</v>
      </c>
      <c r="C594" s="222">
        <v>0.122</v>
      </c>
    </row>
    <row r="595" spans="1:3" ht="15.75" customHeight="1" x14ac:dyDescent="0.2">
      <c r="A595" s="222" t="s">
        <v>440</v>
      </c>
      <c r="B595" s="222">
        <v>1</v>
      </c>
      <c r="C595" s="222">
        <v>0.36</v>
      </c>
    </row>
    <row r="596" spans="1:3" ht="15.75" customHeight="1" x14ac:dyDescent="0.2">
      <c r="A596" s="222" t="s">
        <v>441</v>
      </c>
      <c r="B596" s="222">
        <v>1</v>
      </c>
      <c r="C596" s="222">
        <v>0.71</v>
      </c>
    </row>
    <row r="597" spans="1:3" ht="15.75" customHeight="1" x14ac:dyDescent="0.2">
      <c r="A597" s="222" t="s">
        <v>442</v>
      </c>
      <c r="B597" s="222">
        <v>1</v>
      </c>
      <c r="C597" s="222">
        <v>0.214</v>
      </c>
    </row>
    <row r="598" spans="1:3" ht="15.75" customHeight="1" x14ac:dyDescent="0.2">
      <c r="A598" s="222" t="s">
        <v>443</v>
      </c>
      <c r="B598" s="222">
        <v>1</v>
      </c>
      <c r="C598" s="222">
        <v>0</v>
      </c>
    </row>
    <row r="599" spans="1:3" ht="15.75" customHeight="1" x14ac:dyDescent="0.2">
      <c r="A599" s="222" t="s">
        <v>444</v>
      </c>
      <c r="B599" s="222">
        <v>1</v>
      </c>
      <c r="C599" s="222">
        <v>0</v>
      </c>
    </row>
    <row r="600" spans="1:3" ht="15.75" customHeight="1" x14ac:dyDescent="0.2">
      <c r="A600" s="222" t="s">
        <v>445</v>
      </c>
      <c r="B600" s="222">
        <v>2</v>
      </c>
      <c r="C600" s="222">
        <v>0</v>
      </c>
    </row>
    <row r="601" spans="1:3" ht="15.75" customHeight="1" x14ac:dyDescent="0.2">
      <c r="A601" s="222" t="s">
        <v>445</v>
      </c>
      <c r="B601" s="222">
        <v>1</v>
      </c>
      <c r="C601" s="222">
        <v>0.19800000000000001</v>
      </c>
    </row>
    <row r="602" spans="1:3" ht="15.75" customHeight="1" x14ac:dyDescent="0.2">
      <c r="A602" s="222" t="s">
        <v>446</v>
      </c>
      <c r="B602" s="222">
        <v>2</v>
      </c>
      <c r="C602" s="222">
        <v>0.54500000000000004</v>
      </c>
    </row>
    <row r="603" spans="1:3" ht="15.75" customHeight="1" x14ac:dyDescent="0.2">
      <c r="A603" s="222" t="s">
        <v>447</v>
      </c>
      <c r="B603" s="222">
        <v>1</v>
      </c>
      <c r="C603" s="222">
        <v>3.9E-2</v>
      </c>
    </row>
    <row r="604" spans="1:3" ht="15.75" customHeight="1" x14ac:dyDescent="0.2">
      <c r="A604" s="222" t="s">
        <v>448</v>
      </c>
      <c r="B604" s="222">
        <v>1</v>
      </c>
      <c r="C604" s="222">
        <v>3.9E-2</v>
      </c>
    </row>
    <row r="605" spans="1:3" ht="15.75" customHeight="1" x14ac:dyDescent="0.2">
      <c r="A605" s="222" t="s">
        <v>449</v>
      </c>
      <c r="B605" s="222">
        <v>1</v>
      </c>
      <c r="C605" s="222">
        <v>0.33300000000000002</v>
      </c>
    </row>
    <row r="606" spans="1:3" ht="15.75" customHeight="1" x14ac:dyDescent="0.2">
      <c r="A606" s="222" t="s">
        <v>450</v>
      </c>
      <c r="B606" s="222">
        <v>3</v>
      </c>
      <c r="C606" s="222">
        <v>0.34699999999999998</v>
      </c>
    </row>
    <row r="607" spans="1:3" ht="15.75" customHeight="1" x14ac:dyDescent="0.2">
      <c r="A607" s="222" t="s">
        <v>450</v>
      </c>
      <c r="B607" s="222">
        <v>2</v>
      </c>
      <c r="C607" s="222">
        <v>0.16500000000000001</v>
      </c>
    </row>
    <row r="608" spans="1:3" ht="15.75" customHeight="1" x14ac:dyDescent="0.2">
      <c r="A608" s="222" t="s">
        <v>451</v>
      </c>
      <c r="B608" s="222">
        <v>1</v>
      </c>
      <c r="C608" s="222">
        <v>8.5999999999999993E-2</v>
      </c>
    </row>
    <row r="609" spans="1:3" ht="15.75" customHeight="1" x14ac:dyDescent="0.2">
      <c r="A609" s="222" t="s">
        <v>451</v>
      </c>
      <c r="B609" s="222">
        <v>2</v>
      </c>
      <c r="C609" s="222">
        <v>0</v>
      </c>
    </row>
    <row r="610" spans="1:3" ht="15.75" customHeight="1" x14ac:dyDescent="0.2">
      <c r="A610" s="222" t="s">
        <v>452</v>
      </c>
      <c r="B610" s="222">
        <v>2</v>
      </c>
      <c r="C610" s="222">
        <v>0.46700000000000003</v>
      </c>
    </row>
    <row r="611" spans="1:3" ht="15.75" customHeight="1" x14ac:dyDescent="0.2">
      <c r="A611" s="222" t="s">
        <v>452</v>
      </c>
      <c r="B611" s="222">
        <v>3</v>
      </c>
      <c r="C611" s="222">
        <v>0.41299999999999998</v>
      </c>
    </row>
    <row r="612" spans="1:3" ht="15.75" customHeight="1" x14ac:dyDescent="0.2">
      <c r="A612" s="222" t="s">
        <v>453</v>
      </c>
      <c r="B612" s="222">
        <v>2</v>
      </c>
      <c r="C612" s="222">
        <v>8.5999999999999993E-2</v>
      </c>
    </row>
    <row r="613" spans="1:3" ht="15.75" customHeight="1" x14ac:dyDescent="0.2">
      <c r="A613" s="222" t="s">
        <v>453</v>
      </c>
      <c r="B613" s="222">
        <v>3</v>
      </c>
      <c r="C613" s="222">
        <v>0</v>
      </c>
    </row>
    <row r="614" spans="1:3" ht="15.75" customHeight="1" x14ac:dyDescent="0.2">
      <c r="A614" s="222" t="s">
        <v>454</v>
      </c>
      <c r="B614" s="222">
        <v>1</v>
      </c>
      <c r="C614" s="222">
        <v>0</v>
      </c>
    </row>
    <row r="615" spans="1:3" ht="15.75" customHeight="1" x14ac:dyDescent="0.2">
      <c r="A615" s="222" t="s">
        <v>455</v>
      </c>
      <c r="B615" s="222">
        <v>3</v>
      </c>
      <c r="C615" s="222">
        <v>0.33300000000000002</v>
      </c>
    </row>
    <row r="616" spans="1:3" ht="15.75" customHeight="1" x14ac:dyDescent="0.2">
      <c r="A616" s="222" t="s">
        <v>455</v>
      </c>
      <c r="B616" s="222">
        <v>2</v>
      </c>
      <c r="C616" s="222">
        <v>0.26800000000000002</v>
      </c>
    </row>
    <row r="617" spans="1:3" ht="15.75" customHeight="1" x14ac:dyDescent="0.2">
      <c r="A617" s="222" t="s">
        <v>456</v>
      </c>
      <c r="B617" s="222">
        <v>2</v>
      </c>
      <c r="C617" s="222">
        <v>0</v>
      </c>
    </row>
    <row r="618" spans="1:3" ht="15.75" customHeight="1" x14ac:dyDescent="0.2">
      <c r="A618" s="222" t="s">
        <v>456</v>
      </c>
      <c r="B618" s="222">
        <v>1</v>
      </c>
      <c r="C618" s="222">
        <v>0</v>
      </c>
    </row>
    <row r="619" spans="1:3" ht="15.75" customHeight="1" x14ac:dyDescent="0.2">
      <c r="A619" s="222" t="s">
        <v>457</v>
      </c>
      <c r="B619" s="222">
        <v>2</v>
      </c>
      <c r="C619" s="222">
        <v>5.8000000000000003E-2</v>
      </c>
    </row>
    <row r="620" spans="1:3" ht="15.75" customHeight="1" x14ac:dyDescent="0.2">
      <c r="A620" s="222" t="s">
        <v>457</v>
      </c>
      <c r="B620" s="222">
        <v>3</v>
      </c>
      <c r="C620" s="222">
        <v>8.5999999999999993E-2</v>
      </c>
    </row>
    <row r="621" spans="1:3" ht="15.75" customHeight="1" x14ac:dyDescent="0.2">
      <c r="A621" s="222" t="s">
        <v>458</v>
      </c>
      <c r="B621" s="222">
        <v>1</v>
      </c>
      <c r="C621" s="222">
        <v>0.23799999999999999</v>
      </c>
    </row>
    <row r="622" spans="1:3" ht="15.75" customHeight="1" x14ac:dyDescent="0.2">
      <c r="A622" s="222" t="s">
        <v>458</v>
      </c>
      <c r="B622" s="222">
        <v>2</v>
      </c>
      <c r="C622" s="222">
        <v>0.38100000000000001</v>
      </c>
    </row>
    <row r="623" spans="1:3" ht="15.75" customHeight="1" x14ac:dyDescent="0.2">
      <c r="A623" s="222" t="s">
        <v>459</v>
      </c>
      <c r="B623" s="222">
        <v>2</v>
      </c>
      <c r="C623" s="222">
        <v>0.60099999999999998</v>
      </c>
    </row>
    <row r="624" spans="1:3" ht="15.75" customHeight="1" x14ac:dyDescent="0.2">
      <c r="A624" s="222" t="s">
        <v>459</v>
      </c>
      <c r="B624" s="222">
        <v>3</v>
      </c>
      <c r="C624" s="222">
        <v>0.66200000000000003</v>
      </c>
    </row>
    <row r="625" spans="1:3" ht="15.75" customHeight="1" x14ac:dyDescent="0.2">
      <c r="A625" s="222" t="s">
        <v>460</v>
      </c>
      <c r="B625" s="222">
        <v>1</v>
      </c>
      <c r="C625" s="222">
        <v>7.6999999999999999E-2</v>
      </c>
    </row>
    <row r="626" spans="1:3" ht="15.75" customHeight="1" x14ac:dyDescent="0.2">
      <c r="A626" s="222" t="s">
        <v>460</v>
      </c>
      <c r="B626" s="222">
        <v>2</v>
      </c>
      <c r="C626" s="222">
        <v>0.26800000000000002</v>
      </c>
    </row>
    <row r="627" spans="1:3" ht="15.75" customHeight="1" x14ac:dyDescent="0.2">
      <c r="A627" s="222" t="s">
        <v>461</v>
      </c>
      <c r="B627" s="222">
        <v>1</v>
      </c>
      <c r="C627" s="222">
        <v>0.73799999999999999</v>
      </c>
    </row>
    <row r="628" spans="1:3" ht="15.75" customHeight="1" x14ac:dyDescent="0.2">
      <c r="A628" s="222" t="s">
        <v>461</v>
      </c>
      <c r="B628" s="222">
        <v>2</v>
      </c>
      <c r="C628" s="222">
        <v>0.82352941180000006</v>
      </c>
    </row>
    <row r="629" spans="1:3" ht="15.75" customHeight="1" x14ac:dyDescent="0.2">
      <c r="A629" s="222" t="s">
        <v>462</v>
      </c>
      <c r="B629" s="222">
        <v>3</v>
      </c>
      <c r="C629" s="222">
        <v>0.44400000000000001</v>
      </c>
    </row>
    <row r="630" spans="1:3" ht="15.75" customHeight="1" x14ac:dyDescent="0.2">
      <c r="A630" s="222" t="s">
        <v>462</v>
      </c>
      <c r="B630" s="222">
        <v>2</v>
      </c>
      <c r="C630" s="222">
        <v>0.32600000000000001</v>
      </c>
    </row>
    <row r="631" spans="1:3" ht="15.75" customHeight="1" x14ac:dyDescent="0.2">
      <c r="A631" s="222" t="s">
        <v>463</v>
      </c>
      <c r="B631" s="222">
        <v>3</v>
      </c>
      <c r="C631" s="222">
        <v>0.374</v>
      </c>
    </row>
    <row r="632" spans="1:3" ht="15.75" customHeight="1" x14ac:dyDescent="0.2">
      <c r="A632" s="222" t="s">
        <v>463</v>
      </c>
      <c r="B632" s="222">
        <v>2</v>
      </c>
      <c r="C632" s="222">
        <v>5.8000000000000003E-2</v>
      </c>
    </row>
    <row r="633" spans="1:3" ht="15.75" customHeight="1" x14ac:dyDescent="0.2">
      <c r="A633" s="222" t="s">
        <v>464</v>
      </c>
      <c r="B633" s="222">
        <v>3</v>
      </c>
      <c r="C633" s="222">
        <v>0.05</v>
      </c>
    </row>
    <row r="634" spans="1:3" ht="15.75" customHeight="1" x14ac:dyDescent="0.2">
      <c r="A634" s="222" t="s">
        <v>464</v>
      </c>
      <c r="B634" s="222">
        <v>2</v>
      </c>
      <c r="C634" s="222">
        <v>0.222</v>
      </c>
    </row>
    <row r="635" spans="1:3" ht="15.75" customHeight="1" x14ac:dyDescent="0.2">
      <c r="A635" s="222" t="s">
        <v>465</v>
      </c>
      <c r="B635" s="222">
        <v>2</v>
      </c>
      <c r="C635" s="222">
        <v>0.19</v>
      </c>
    </row>
    <row r="636" spans="1:3" ht="15.75" customHeight="1" x14ac:dyDescent="0.2">
      <c r="A636" s="222" t="s">
        <v>465</v>
      </c>
      <c r="B636" s="222">
        <v>1</v>
      </c>
      <c r="C636" s="222">
        <v>0.35399999999999998</v>
      </c>
    </row>
    <row r="637" spans="1:3" ht="15.75" customHeight="1" x14ac:dyDescent="0.2">
      <c r="A637" s="222" t="s">
        <v>466</v>
      </c>
      <c r="B637" s="222">
        <v>1</v>
      </c>
      <c r="C637" s="222">
        <v>0.64400000000000002</v>
      </c>
    </row>
    <row r="638" spans="1:3" ht="15.75" customHeight="1" x14ac:dyDescent="0.2">
      <c r="A638" s="222" t="s">
        <v>467</v>
      </c>
      <c r="B638" s="222">
        <v>1</v>
      </c>
      <c r="C638" s="222">
        <v>0</v>
      </c>
    </row>
    <row r="639" spans="1:3" ht="15.75" customHeight="1" x14ac:dyDescent="0.2">
      <c r="A639" s="222" t="s">
        <v>468</v>
      </c>
      <c r="B639" s="222">
        <v>2</v>
      </c>
      <c r="C639" s="222">
        <v>0</v>
      </c>
    </row>
    <row r="640" spans="1:3" ht="15.75" customHeight="1" x14ac:dyDescent="0.2">
      <c r="A640" s="222" t="s">
        <v>469</v>
      </c>
      <c r="B640" s="222">
        <v>1</v>
      </c>
      <c r="C640" s="222">
        <v>0.13100000000000001</v>
      </c>
    </row>
    <row r="641" spans="1:3" ht="15.75" customHeight="1" x14ac:dyDescent="0.2">
      <c r="A641" s="222" t="s">
        <v>469</v>
      </c>
      <c r="B641" s="222">
        <v>2</v>
      </c>
      <c r="C641" s="222">
        <v>0</v>
      </c>
    </row>
    <row r="642" spans="1:3" ht="15.75" customHeight="1" x14ac:dyDescent="0.2">
      <c r="A642" s="222" t="s">
        <v>470</v>
      </c>
      <c r="B642" s="222">
        <v>1</v>
      </c>
      <c r="C642" s="222">
        <v>0.86</v>
      </c>
    </row>
    <row r="643" spans="1:3" ht="15.75" customHeight="1" x14ac:dyDescent="0.2">
      <c r="A643" s="222" t="s">
        <v>470</v>
      </c>
      <c r="B643" s="222">
        <v>2</v>
      </c>
      <c r="C643" s="222">
        <v>0.84399999999999997</v>
      </c>
    </row>
    <row r="644" spans="1:3" ht="15.75" customHeight="1" x14ac:dyDescent="0.2">
      <c r="A644" s="222" t="s">
        <v>471</v>
      </c>
      <c r="B644" s="222">
        <v>1</v>
      </c>
      <c r="C644" s="222">
        <v>0</v>
      </c>
    </row>
    <row r="645" spans="1:3" ht="15.75" customHeight="1" x14ac:dyDescent="0.2">
      <c r="A645" s="222" t="s">
        <v>472</v>
      </c>
      <c r="B645" s="222">
        <v>2</v>
      </c>
      <c r="C645" s="222">
        <v>0.36099999999999999</v>
      </c>
    </row>
    <row r="646" spans="1:3" ht="15.75" customHeight="1" x14ac:dyDescent="0.2">
      <c r="A646" s="222" t="s">
        <v>473</v>
      </c>
      <c r="B646" s="222">
        <v>1</v>
      </c>
      <c r="C646" s="222">
        <v>0.02</v>
      </c>
    </row>
    <row r="647" spans="1:3" ht="15.75" customHeight="1" x14ac:dyDescent="0.2">
      <c r="A647" s="222" t="s">
        <v>474</v>
      </c>
      <c r="B647" s="222">
        <v>1</v>
      </c>
      <c r="C647" s="222">
        <v>0.42499999999999999</v>
      </c>
    </row>
    <row r="648" spans="1:3" ht="15.75" customHeight="1" x14ac:dyDescent="0.2">
      <c r="A648" s="222" t="s">
        <v>474</v>
      </c>
      <c r="B648" s="222">
        <v>2</v>
      </c>
      <c r="C648" s="222">
        <v>0.23</v>
      </c>
    </row>
    <row r="649" spans="1:3" ht="15.75" customHeight="1" x14ac:dyDescent="0.2">
      <c r="A649" s="222" t="s">
        <v>475</v>
      </c>
      <c r="B649" s="222">
        <v>1</v>
      </c>
      <c r="C649" s="222">
        <v>4.9000000000000002E-2</v>
      </c>
    </row>
    <row r="650" spans="1:3" ht="15.75" customHeight="1" x14ac:dyDescent="0.2">
      <c r="A650" s="222" t="s">
        <v>476</v>
      </c>
      <c r="B650" s="222">
        <v>1</v>
      </c>
      <c r="C650" s="222">
        <v>0.71399999999999997</v>
      </c>
    </row>
    <row r="651" spans="1:3" ht="15.75" customHeight="1" x14ac:dyDescent="0.2">
      <c r="A651" s="222" t="s">
        <v>477</v>
      </c>
      <c r="B651" s="222">
        <v>2</v>
      </c>
      <c r="C651" s="222">
        <v>0.54500000000000004</v>
      </c>
    </row>
    <row r="652" spans="1:3" ht="15.75" customHeight="1" x14ac:dyDescent="0.2">
      <c r="A652" s="222" t="s">
        <v>477</v>
      </c>
      <c r="B652" s="222">
        <v>1</v>
      </c>
      <c r="C652" s="222">
        <v>0.104</v>
      </c>
    </row>
    <row r="653" spans="1:3" ht="15.75" customHeight="1" x14ac:dyDescent="0.2">
      <c r="A653" s="222" t="s">
        <v>478</v>
      </c>
      <c r="B653" s="222">
        <v>3</v>
      </c>
      <c r="C653" s="222">
        <v>0.40600000000000003</v>
      </c>
    </row>
    <row r="654" spans="1:3" ht="15.75" customHeight="1" x14ac:dyDescent="0.2">
      <c r="A654" s="222" t="s">
        <v>478</v>
      </c>
      <c r="B654" s="222">
        <v>2</v>
      </c>
      <c r="C654" s="222">
        <v>3.9E-2</v>
      </c>
    </row>
    <row r="655" spans="1:3" ht="15.75" customHeight="1" x14ac:dyDescent="0.2">
      <c r="A655" s="222" t="s">
        <v>479</v>
      </c>
      <c r="B655" s="222">
        <v>1</v>
      </c>
      <c r="C655" s="222">
        <v>0.36699999999999999</v>
      </c>
    </row>
    <row r="656" spans="1:3" ht="15.75" customHeight="1" x14ac:dyDescent="0.2">
      <c r="A656" s="222" t="s">
        <v>479</v>
      </c>
      <c r="B656" s="222">
        <v>2</v>
      </c>
      <c r="C656" s="222">
        <v>0.56100000000000005</v>
      </c>
    </row>
    <row r="657" spans="1:3" ht="15.75" customHeight="1" x14ac:dyDescent="0.2">
      <c r="A657" s="222" t="s">
        <v>480</v>
      </c>
      <c r="B657" s="222">
        <v>1</v>
      </c>
      <c r="C657" s="222">
        <v>0.29099999999999998</v>
      </c>
    </row>
    <row r="658" spans="1:3" ht="15.75" customHeight="1" x14ac:dyDescent="0.2">
      <c r="A658" s="222" t="s">
        <v>481</v>
      </c>
      <c r="B658" s="222">
        <v>1</v>
      </c>
      <c r="C658" s="222">
        <v>0.19800000000000001</v>
      </c>
    </row>
    <row r="659" spans="1:3" ht="15.75" customHeight="1" x14ac:dyDescent="0.2">
      <c r="A659" s="222" t="s">
        <v>482</v>
      </c>
      <c r="B659" s="222">
        <v>1</v>
      </c>
      <c r="C659" s="222">
        <v>0.157</v>
      </c>
    </row>
    <row r="660" spans="1:3" ht="15.75" customHeight="1" x14ac:dyDescent="0.2">
      <c r="A660" s="222" t="s">
        <v>483</v>
      </c>
      <c r="B660" s="222">
        <v>2</v>
      </c>
      <c r="C660" s="222">
        <v>0.253</v>
      </c>
    </row>
    <row r="661" spans="1:3" ht="15.75" customHeight="1" x14ac:dyDescent="0.2">
      <c r="A661" s="222" t="s">
        <v>484</v>
      </c>
      <c r="B661" s="222">
        <v>2</v>
      </c>
      <c r="C661" s="222">
        <v>0.39400000000000002</v>
      </c>
    </row>
    <row r="662" spans="1:3" ht="15.75" customHeight="1" x14ac:dyDescent="0.2">
      <c r="A662" s="222" t="s">
        <v>484</v>
      </c>
      <c r="B662" s="222">
        <v>1</v>
      </c>
      <c r="C662" s="222">
        <v>0.36699999999999999</v>
      </c>
    </row>
    <row r="663" spans="1:3" ht="15.75" customHeight="1" x14ac:dyDescent="0.2">
      <c r="A663" s="222" t="s">
        <v>485</v>
      </c>
      <c r="B663" s="222">
        <v>2</v>
      </c>
      <c r="C663" s="222">
        <v>0.46700000000000003</v>
      </c>
    </row>
    <row r="664" spans="1:3" ht="15.75" customHeight="1" x14ac:dyDescent="0.2">
      <c r="A664" s="222" t="s">
        <v>485</v>
      </c>
      <c r="B664" s="222">
        <v>1</v>
      </c>
      <c r="C664" s="222">
        <v>0.13100000000000001</v>
      </c>
    </row>
    <row r="665" spans="1:3" ht="15.75" customHeight="1" x14ac:dyDescent="0.2">
      <c r="A665" s="222" t="s">
        <v>486</v>
      </c>
      <c r="B665" s="222">
        <v>2</v>
      </c>
      <c r="C665" s="222">
        <v>4.9000000000000002E-2</v>
      </c>
    </row>
    <row r="666" spans="1:3" ht="15.75" customHeight="1" x14ac:dyDescent="0.2">
      <c r="A666" s="222" t="s">
        <v>486</v>
      </c>
      <c r="B666" s="222">
        <v>1</v>
      </c>
      <c r="C666" s="222">
        <v>0.03</v>
      </c>
    </row>
    <row r="667" spans="1:3" ht="15.75" customHeight="1" x14ac:dyDescent="0.2">
      <c r="A667" s="222" t="s">
        <v>487</v>
      </c>
      <c r="B667" s="222">
        <v>1</v>
      </c>
      <c r="C667" s="222">
        <v>7.6999999999999999E-2</v>
      </c>
    </row>
    <row r="668" spans="1:3" ht="15.75" customHeight="1" x14ac:dyDescent="0.2">
      <c r="A668" s="222" t="s">
        <v>488</v>
      </c>
      <c r="B668" s="222">
        <v>1</v>
      </c>
      <c r="C668" s="222">
        <v>0.55100000000000005</v>
      </c>
    </row>
    <row r="669" spans="1:3" ht="15.75" customHeight="1" x14ac:dyDescent="0.2">
      <c r="A669" s="222" t="s">
        <v>488</v>
      </c>
      <c r="B669" s="222">
        <v>2</v>
      </c>
      <c r="C669" s="222">
        <v>0.54500000000000004</v>
      </c>
    </row>
    <row r="670" spans="1:3" ht="15.75" customHeight="1" x14ac:dyDescent="0.2">
      <c r="A670" s="222" t="s">
        <v>489</v>
      </c>
      <c r="B670" s="222">
        <v>1</v>
      </c>
      <c r="C670" s="222">
        <v>0.45200000000000001</v>
      </c>
    </row>
    <row r="671" spans="1:3" ht="15.75" customHeight="1" x14ac:dyDescent="0.2">
      <c r="A671" s="222" t="s">
        <v>490</v>
      </c>
      <c r="B671" s="222">
        <v>1</v>
      </c>
      <c r="C671" s="222">
        <v>0.54</v>
      </c>
    </row>
    <row r="672" spans="1:3" ht="15.75" customHeight="1" x14ac:dyDescent="0.2">
      <c r="A672" s="222" t="s">
        <v>491</v>
      </c>
      <c r="B672" s="222">
        <v>1</v>
      </c>
      <c r="C672" s="222">
        <v>0.78400000000000003</v>
      </c>
    </row>
    <row r="673" spans="1:3" ht="15.75" customHeight="1" x14ac:dyDescent="0.2">
      <c r="A673" s="222" t="s">
        <v>491</v>
      </c>
      <c r="B673" s="222">
        <v>2</v>
      </c>
      <c r="C673" s="222">
        <v>0.54</v>
      </c>
    </row>
    <row r="674" spans="1:3" ht="15.75" customHeight="1" x14ac:dyDescent="0.2">
      <c r="A674" s="222" t="s">
        <v>492</v>
      </c>
      <c r="B674" s="222">
        <v>2</v>
      </c>
      <c r="C674" s="222">
        <v>0.02</v>
      </c>
    </row>
    <row r="675" spans="1:3" ht="15.75" customHeight="1" x14ac:dyDescent="0.2">
      <c r="A675" s="222" t="s">
        <v>492</v>
      </c>
      <c r="B675" s="222">
        <v>1</v>
      </c>
      <c r="C675" s="222">
        <v>0</v>
      </c>
    </row>
    <row r="676" spans="1:3" ht="15.75" customHeight="1" x14ac:dyDescent="0.2">
      <c r="A676" s="222" t="s">
        <v>493</v>
      </c>
      <c r="B676" s="222">
        <v>3</v>
      </c>
      <c r="C676" s="222">
        <v>0.03</v>
      </c>
    </row>
    <row r="677" spans="1:3" ht="15.75" customHeight="1" x14ac:dyDescent="0.2">
      <c r="A677" s="222" t="s">
        <v>493</v>
      </c>
      <c r="B677" s="222">
        <v>2</v>
      </c>
      <c r="C677" s="222">
        <v>0</v>
      </c>
    </row>
    <row r="678" spans="1:3" ht="15.75" customHeight="1" x14ac:dyDescent="0.2">
      <c r="A678" s="222" t="s">
        <v>494</v>
      </c>
      <c r="B678" s="222">
        <v>2</v>
      </c>
      <c r="C678" s="222">
        <v>0.02</v>
      </c>
    </row>
    <row r="679" spans="1:3" ht="15.75" customHeight="1" x14ac:dyDescent="0.2">
      <c r="A679" s="222" t="s">
        <v>494</v>
      </c>
      <c r="B679" s="222">
        <v>3</v>
      </c>
      <c r="C679" s="222">
        <v>0.49199999999999999</v>
      </c>
    </row>
    <row r="680" spans="1:3" ht="15.75" customHeight="1" x14ac:dyDescent="0.2">
      <c r="A680" s="222" t="s">
        <v>495</v>
      </c>
      <c r="B680" s="222">
        <v>2</v>
      </c>
      <c r="C680" s="222">
        <v>0.34699999999999998</v>
      </c>
    </row>
    <row r="681" spans="1:3" ht="15.75" customHeight="1" x14ac:dyDescent="0.2">
      <c r="A681" s="222" t="s">
        <v>496</v>
      </c>
      <c r="B681" s="222">
        <v>1</v>
      </c>
      <c r="C681" s="222">
        <v>9.5000000000000001E-2</v>
      </c>
    </row>
    <row r="682" spans="1:3" ht="15.75" customHeight="1" x14ac:dyDescent="0.2">
      <c r="A682" s="222" t="s">
        <v>497</v>
      </c>
      <c r="B682" s="222">
        <v>3</v>
      </c>
      <c r="C682" s="222">
        <v>0.51300000000000001</v>
      </c>
    </row>
    <row r="683" spans="1:3" ht="15.75" customHeight="1" x14ac:dyDescent="0.2">
      <c r="A683" s="222" t="s">
        <v>497</v>
      </c>
      <c r="B683" s="222">
        <v>2</v>
      </c>
      <c r="C683" s="222">
        <v>0.36699999999999999</v>
      </c>
    </row>
    <row r="684" spans="1:3" ht="15.75" customHeight="1" x14ac:dyDescent="0.2">
      <c r="A684" s="222" t="s">
        <v>498</v>
      </c>
      <c r="B684" s="222">
        <v>1</v>
      </c>
      <c r="C684" s="222">
        <v>0.13100000000000001</v>
      </c>
    </row>
    <row r="685" spans="1:3" ht="15.75" customHeight="1" x14ac:dyDescent="0.2">
      <c r="A685" s="222" t="s">
        <v>499</v>
      </c>
      <c r="B685" s="222">
        <v>2</v>
      </c>
      <c r="C685" s="222">
        <v>0.46200000000000002</v>
      </c>
    </row>
    <row r="686" spans="1:3" ht="15.75" customHeight="1" x14ac:dyDescent="0.2">
      <c r="A686" s="222" t="s">
        <v>499</v>
      </c>
      <c r="B686" s="222">
        <v>1</v>
      </c>
      <c r="C686" s="222">
        <v>0.312</v>
      </c>
    </row>
    <row r="687" spans="1:3" ht="15.75" customHeight="1" x14ac:dyDescent="0.2">
      <c r="A687" s="222" t="s">
        <v>500</v>
      </c>
      <c r="B687" s="222">
        <v>2</v>
      </c>
      <c r="C687" s="222">
        <v>0.182</v>
      </c>
    </row>
    <row r="688" spans="1:3" ht="15.75" customHeight="1" x14ac:dyDescent="0.2">
      <c r="A688" s="222" t="s">
        <v>500</v>
      </c>
      <c r="B688" s="222">
        <v>3</v>
      </c>
      <c r="C688" s="222">
        <v>0.51900000000000002</v>
      </c>
    </row>
    <row r="689" spans="1:3" ht="15.75" customHeight="1" x14ac:dyDescent="0.2">
      <c r="A689" s="222" t="s">
        <v>501</v>
      </c>
      <c r="B689" s="222">
        <v>2</v>
      </c>
      <c r="C689" s="222">
        <v>0</v>
      </c>
    </row>
    <row r="690" spans="1:3" ht="15.75" customHeight="1" x14ac:dyDescent="0.2">
      <c r="A690" s="222" t="s">
        <v>502</v>
      </c>
      <c r="B690" s="222">
        <v>2</v>
      </c>
      <c r="C690" s="222">
        <v>0.89200000000000002</v>
      </c>
    </row>
    <row r="691" spans="1:3" ht="15.75" customHeight="1" x14ac:dyDescent="0.2">
      <c r="A691" s="222" t="s">
        <v>502</v>
      </c>
      <c r="B691" s="222">
        <v>1</v>
      </c>
      <c r="C691" s="222">
        <v>0.78</v>
      </c>
    </row>
    <row r="692" spans="1:3" ht="15.75" customHeight="1" x14ac:dyDescent="0.2">
      <c r="A692" s="222" t="s">
        <v>503</v>
      </c>
      <c r="B692" s="222">
        <v>1</v>
      </c>
      <c r="C692" s="222">
        <v>0.157</v>
      </c>
    </row>
    <row r="693" spans="1:3" ht="15.75" customHeight="1" x14ac:dyDescent="0.2">
      <c r="A693" s="222" t="s">
        <v>503</v>
      </c>
      <c r="B693" s="222">
        <v>2</v>
      </c>
      <c r="C693" s="222">
        <v>0.157</v>
      </c>
    </row>
    <row r="694" spans="1:3" ht="15.75" customHeight="1" x14ac:dyDescent="0.2">
      <c r="A694" s="222" t="s">
        <v>504</v>
      </c>
      <c r="B694" s="222">
        <v>1</v>
      </c>
      <c r="C694" s="222">
        <v>0.502</v>
      </c>
    </row>
    <row r="695" spans="1:3" ht="15.75" customHeight="1" x14ac:dyDescent="0.2">
      <c r="A695" s="222" t="s">
        <v>504</v>
      </c>
      <c r="B695" s="222">
        <v>2</v>
      </c>
      <c r="C695" s="222">
        <v>0.754</v>
      </c>
    </row>
    <row r="696" spans="1:3" ht="15.75" customHeight="1" x14ac:dyDescent="0.2">
      <c r="A696" s="222" t="s">
        <v>505</v>
      </c>
      <c r="B696" s="222">
        <v>1</v>
      </c>
      <c r="C696" s="222">
        <v>0.41299999999999998</v>
      </c>
    </row>
    <row r="697" spans="1:3" ht="15.75" customHeight="1" x14ac:dyDescent="0.2">
      <c r="A697" s="222" t="s">
        <v>505</v>
      </c>
      <c r="B697" s="222">
        <v>2</v>
      </c>
      <c r="C697" s="222">
        <v>3.9E-2</v>
      </c>
    </row>
    <row r="698" spans="1:3" ht="15.75" customHeight="1" x14ac:dyDescent="0.2">
      <c r="A698" s="222" t="s">
        <v>506</v>
      </c>
      <c r="B698" s="222">
        <v>1</v>
      </c>
      <c r="C698" s="222">
        <v>5.8000000000000003E-2</v>
      </c>
    </row>
    <row r="699" spans="1:3" ht="15.75" customHeight="1" x14ac:dyDescent="0.2">
      <c r="A699" s="222" t="s">
        <v>507</v>
      </c>
      <c r="B699" s="222">
        <v>1</v>
      </c>
      <c r="C699" s="222">
        <v>0.49099999999999999</v>
      </c>
    </row>
    <row r="700" spans="1:3" ht="15.75" customHeight="1" x14ac:dyDescent="0.2">
      <c r="A700" s="222" t="s">
        <v>507</v>
      </c>
      <c r="B700" s="222">
        <v>2</v>
      </c>
      <c r="C700" s="222">
        <v>0.1042654028</v>
      </c>
    </row>
    <row r="701" spans="1:3" ht="15.75" customHeight="1" x14ac:dyDescent="0.2">
      <c r="A701" s="222" t="s">
        <v>508</v>
      </c>
      <c r="B701" s="222">
        <v>1</v>
      </c>
      <c r="C701" s="222">
        <v>0.222</v>
      </c>
    </row>
    <row r="702" spans="1:3" ht="15.75" customHeight="1" x14ac:dyDescent="0.2">
      <c r="A702" s="222" t="s">
        <v>509</v>
      </c>
      <c r="B702" s="222">
        <v>1</v>
      </c>
      <c r="C702" s="222">
        <v>0.113</v>
      </c>
    </row>
    <row r="703" spans="1:3" ht="15.75" customHeight="1" x14ac:dyDescent="0.2">
      <c r="A703" s="222" t="s">
        <v>509</v>
      </c>
      <c r="B703" s="222">
        <v>2</v>
      </c>
      <c r="C703" s="222">
        <v>0.13100000000000001</v>
      </c>
    </row>
    <row r="704" spans="1:3" ht="15.75" customHeight="1" x14ac:dyDescent="0.2">
      <c r="A704" s="222" t="s">
        <v>510</v>
      </c>
      <c r="B704" s="222">
        <v>1</v>
      </c>
      <c r="C704" s="222">
        <v>0.56599999999999995</v>
      </c>
    </row>
    <row r="705" spans="1:3" ht="15.75" customHeight="1" x14ac:dyDescent="0.2">
      <c r="A705" s="222" t="s">
        <v>510</v>
      </c>
      <c r="B705" s="222">
        <v>2</v>
      </c>
      <c r="C705" s="222">
        <v>0.23799999999999999</v>
      </c>
    </row>
    <row r="706" spans="1:3" ht="15.75" customHeight="1" x14ac:dyDescent="0.2">
      <c r="A706" s="222" t="s">
        <v>511</v>
      </c>
      <c r="B706" s="222">
        <v>2</v>
      </c>
      <c r="C706" s="222">
        <v>9.5000000000000001E-2</v>
      </c>
    </row>
    <row r="707" spans="1:3" ht="15.75" customHeight="1" x14ac:dyDescent="0.2">
      <c r="A707" s="222" t="s">
        <v>512</v>
      </c>
      <c r="B707" s="222">
        <v>1</v>
      </c>
      <c r="C707" s="222">
        <v>0</v>
      </c>
    </row>
    <row r="708" spans="1:3" ht="15.75" customHeight="1" x14ac:dyDescent="0.2">
      <c r="A708" s="222" t="s">
        <v>512</v>
      </c>
      <c r="B708" s="222">
        <v>2</v>
      </c>
      <c r="C708" s="222">
        <v>0</v>
      </c>
    </row>
    <row r="709" spans="1:3" ht="15.75" customHeight="1" x14ac:dyDescent="0.2">
      <c r="A709" s="222" t="s">
        <v>513</v>
      </c>
      <c r="B709" s="222">
        <v>1</v>
      </c>
      <c r="C709" s="222">
        <v>8.5999999999999993E-2</v>
      </c>
    </row>
    <row r="710" spans="1:3" ht="15.75" customHeight="1" x14ac:dyDescent="0.2">
      <c r="A710" s="222" t="s">
        <v>514</v>
      </c>
      <c r="B710" s="222">
        <v>1</v>
      </c>
      <c r="C710" s="222">
        <v>0.253</v>
      </c>
    </row>
    <row r="711" spans="1:3" ht="15.75" customHeight="1" x14ac:dyDescent="0.2">
      <c r="A711" s="222" t="s">
        <v>515</v>
      </c>
      <c r="B711" s="222">
        <v>1</v>
      </c>
      <c r="C711" s="222">
        <v>0</v>
      </c>
    </row>
    <row r="712" spans="1:3" ht="15.75" customHeight="1" x14ac:dyDescent="0.2">
      <c r="A712" s="222" t="s">
        <v>516</v>
      </c>
      <c r="B712" s="222">
        <v>1</v>
      </c>
      <c r="C712" s="222">
        <v>0</v>
      </c>
    </row>
    <row r="713" spans="1:3" ht="15.75" customHeight="1" x14ac:dyDescent="0.2">
      <c r="A713" s="222" t="s">
        <v>517</v>
      </c>
      <c r="B713" s="222">
        <v>1</v>
      </c>
      <c r="C713" s="222">
        <v>0.3</v>
      </c>
    </row>
    <row r="714" spans="1:3" ht="15.75" customHeight="1" x14ac:dyDescent="0.2">
      <c r="A714" s="222" t="s">
        <v>518</v>
      </c>
      <c r="B714" s="222">
        <v>1</v>
      </c>
      <c r="C714" s="222">
        <v>0.29099999999999998</v>
      </c>
    </row>
    <row r="715" spans="1:3" ht="15.75" customHeight="1" x14ac:dyDescent="0.2">
      <c r="A715" s="222" t="s">
        <v>519</v>
      </c>
      <c r="B715" s="222">
        <v>2</v>
      </c>
      <c r="C715" s="222">
        <v>0</v>
      </c>
    </row>
    <row r="716" spans="1:3" ht="15.75" customHeight="1" x14ac:dyDescent="0.2">
      <c r="A716" s="222" t="s">
        <v>520</v>
      </c>
      <c r="B716" s="222">
        <v>1</v>
      </c>
      <c r="C716" s="222">
        <v>0.26800000000000002</v>
      </c>
    </row>
    <row r="717" spans="1:3" ht="15.75" customHeight="1" x14ac:dyDescent="0.2">
      <c r="A717" s="222" t="s">
        <v>521</v>
      </c>
      <c r="B717" s="222">
        <v>1</v>
      </c>
      <c r="C717" s="222">
        <v>0.82699999999999996</v>
      </c>
    </row>
    <row r="718" spans="1:3" ht="15.75" customHeight="1" x14ac:dyDescent="0.2">
      <c r="A718" s="222" t="s">
        <v>522</v>
      </c>
      <c r="B718" s="222">
        <v>1</v>
      </c>
      <c r="C718" s="222">
        <v>0.02</v>
      </c>
    </row>
    <row r="719" spans="1:3" ht="15.75" customHeight="1" x14ac:dyDescent="0.2">
      <c r="A719" s="222" t="s">
        <v>523</v>
      </c>
      <c r="B719" s="222">
        <v>1</v>
      </c>
      <c r="C719" s="222">
        <v>6.8000000000000005E-2</v>
      </c>
    </row>
    <row r="720" spans="1:3" ht="15.75" customHeight="1" x14ac:dyDescent="0.2">
      <c r="A720" s="222" t="s">
        <v>524</v>
      </c>
      <c r="B720" s="222">
        <v>1</v>
      </c>
      <c r="C720" s="222">
        <v>7.6999999999999999E-2</v>
      </c>
    </row>
    <row r="721" spans="1:3" ht="15.75" customHeight="1" x14ac:dyDescent="0.2">
      <c r="A721" s="222" t="s">
        <v>525</v>
      </c>
      <c r="B721" s="222">
        <v>1</v>
      </c>
      <c r="C721" s="222">
        <v>0</v>
      </c>
    </row>
    <row r="722" spans="1:3" ht="15.75" customHeight="1" x14ac:dyDescent="0.2">
      <c r="A722" s="222" t="s">
        <v>526</v>
      </c>
      <c r="B722" s="222">
        <v>1</v>
      </c>
      <c r="C722" s="222">
        <v>0</v>
      </c>
    </row>
    <row r="723" spans="1:3" ht="15.75" customHeight="1" x14ac:dyDescent="0.2">
      <c r="A723" s="222" t="s">
        <v>527</v>
      </c>
      <c r="B723" s="222">
        <v>2</v>
      </c>
      <c r="C723" s="222">
        <v>0.27600000000000002</v>
      </c>
    </row>
    <row r="724" spans="1:3" ht="15.75" customHeight="1" x14ac:dyDescent="0.2">
      <c r="A724" s="222" t="s">
        <v>527</v>
      </c>
      <c r="B724" s="222">
        <v>1</v>
      </c>
      <c r="C724" s="222">
        <v>0.253</v>
      </c>
    </row>
    <row r="725" spans="1:3" ht="15.75" customHeight="1" x14ac:dyDescent="0.2">
      <c r="A725" s="222" t="s">
        <v>528</v>
      </c>
      <c r="B725" s="222">
        <v>1</v>
      </c>
      <c r="C725" s="222">
        <v>0</v>
      </c>
    </row>
    <row r="726" spans="1:3" ht="15.75" customHeight="1" x14ac:dyDescent="0.2">
      <c r="A726" s="222" t="s">
        <v>529</v>
      </c>
      <c r="B726" s="222">
        <v>2</v>
      </c>
      <c r="C726" s="222">
        <v>0.03</v>
      </c>
    </row>
    <row r="727" spans="1:3" ht="15.75" customHeight="1" x14ac:dyDescent="0.2">
      <c r="A727" s="222" t="s">
        <v>529</v>
      </c>
      <c r="B727" s="222">
        <v>1</v>
      </c>
      <c r="C727" s="222">
        <v>0</v>
      </c>
    </row>
    <row r="728" spans="1:3" ht="15.75" customHeight="1" x14ac:dyDescent="0.2">
      <c r="A728" s="222" t="s">
        <v>530</v>
      </c>
      <c r="B728" s="222">
        <v>3</v>
      </c>
      <c r="C728" s="222">
        <v>0.157</v>
      </c>
    </row>
    <row r="729" spans="1:3" ht="15.75" customHeight="1" x14ac:dyDescent="0.2">
      <c r="A729" s="222" t="s">
        <v>530</v>
      </c>
      <c r="B729" s="222">
        <v>2</v>
      </c>
      <c r="C729" s="222">
        <v>3.9E-2</v>
      </c>
    </row>
    <row r="730" spans="1:3" ht="15.75" customHeight="1" x14ac:dyDescent="0.2">
      <c r="A730" s="222" t="s">
        <v>531</v>
      </c>
      <c r="B730" s="222">
        <v>1</v>
      </c>
      <c r="C730" s="222">
        <v>0.14000000000000001</v>
      </c>
    </row>
    <row r="731" spans="1:3" ht="15.75" customHeight="1" x14ac:dyDescent="0.2">
      <c r="A731" s="222" t="s">
        <v>532</v>
      </c>
      <c r="B731" s="222">
        <v>1</v>
      </c>
      <c r="C731" s="222">
        <v>0.157</v>
      </c>
    </row>
    <row r="732" spans="1:3" ht="15.75" customHeight="1" x14ac:dyDescent="0.2">
      <c r="A732" s="222" t="s">
        <v>533</v>
      </c>
      <c r="B732" s="222">
        <v>1</v>
      </c>
      <c r="C732" s="222">
        <v>9.5000000000000001E-2</v>
      </c>
    </row>
    <row r="733" spans="1:3" ht="15.75" customHeight="1" x14ac:dyDescent="0.2">
      <c r="A733" s="222" t="s">
        <v>534</v>
      </c>
      <c r="B733" s="222">
        <v>1</v>
      </c>
      <c r="C733" s="222">
        <v>0</v>
      </c>
    </row>
    <row r="734" spans="1:3" ht="15.75" customHeight="1" x14ac:dyDescent="0.2">
      <c r="A734" s="222" t="s">
        <v>534</v>
      </c>
      <c r="B734" s="222">
        <v>2</v>
      </c>
      <c r="C734" s="222">
        <v>0.157</v>
      </c>
    </row>
    <row r="735" spans="1:3" ht="15.75" customHeight="1" x14ac:dyDescent="0.2">
      <c r="A735" s="222" t="s">
        <v>535</v>
      </c>
      <c r="B735" s="222">
        <v>2</v>
      </c>
      <c r="C735" s="222">
        <v>0.35399999999999998</v>
      </c>
    </row>
    <row r="736" spans="1:3" ht="15.75" customHeight="1" x14ac:dyDescent="0.2">
      <c r="A736" s="222" t="s">
        <v>536</v>
      </c>
      <c r="B736" s="222">
        <v>1</v>
      </c>
      <c r="C736" s="222">
        <v>0</v>
      </c>
    </row>
    <row r="737" spans="1:3" ht="15.75" customHeight="1" x14ac:dyDescent="0.2">
      <c r="A737" s="222" t="s">
        <v>537</v>
      </c>
      <c r="B737" s="222">
        <v>2</v>
      </c>
      <c r="C737" s="222">
        <v>0.31900000000000001</v>
      </c>
    </row>
    <row r="738" spans="1:3" ht="15.75" customHeight="1" x14ac:dyDescent="0.2">
      <c r="A738" s="222" t="s">
        <v>538</v>
      </c>
      <c r="B738" s="222">
        <v>2</v>
      </c>
      <c r="C738" s="222">
        <v>0</v>
      </c>
    </row>
    <row r="739" spans="1:3" ht="15.75" customHeight="1" x14ac:dyDescent="0.2">
      <c r="A739" s="222" t="s">
        <v>539</v>
      </c>
      <c r="B739" s="222">
        <v>1</v>
      </c>
      <c r="C739" s="222">
        <v>0.46</v>
      </c>
    </row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Z988"/>
  <sheetViews>
    <sheetView topLeftCell="A9" workbookViewId="0">
      <selection sqref="A1:D1"/>
    </sheetView>
  </sheetViews>
  <sheetFormatPr defaultColWidth="12.42578125" defaultRowHeight="15.75" customHeight="1" x14ac:dyDescent="0.2"/>
  <cols>
    <col min="1" max="1" width="28.42578125" customWidth="1"/>
    <col min="2" max="2" width="18.42578125" customWidth="1"/>
    <col min="3" max="3" width="22.42578125" customWidth="1"/>
    <col min="4" max="4" width="14.140625" customWidth="1"/>
    <col min="5" max="5" width="12.42578125" hidden="1"/>
    <col min="6" max="6" width="33.42578125" hidden="1" customWidth="1"/>
    <col min="7" max="26" width="12.42578125" hidden="1"/>
  </cols>
  <sheetData>
    <row r="1" spans="1:5" ht="15.75" customHeight="1" x14ac:dyDescent="0.2">
      <c r="A1" s="223" t="s">
        <v>540</v>
      </c>
      <c r="B1" s="224"/>
      <c r="C1" s="224"/>
      <c r="D1" s="225"/>
    </row>
    <row r="2" spans="1:5" ht="15.75" customHeight="1" x14ac:dyDescent="0.2">
      <c r="A2" s="7" t="s">
        <v>541</v>
      </c>
      <c r="B2" s="8" t="s">
        <v>542</v>
      </c>
      <c r="C2" s="8" t="s">
        <v>543</v>
      </c>
      <c r="D2" s="8" t="s">
        <v>540</v>
      </c>
    </row>
    <row r="3" spans="1:5" ht="15.75" customHeight="1" x14ac:dyDescent="0.2">
      <c r="A3" s="9" t="s">
        <v>544</v>
      </c>
      <c r="B3" s="10">
        <v>137</v>
      </c>
      <c r="C3" s="10">
        <v>326</v>
      </c>
      <c r="D3" s="11">
        <v>0.70410367170626353</v>
      </c>
    </row>
    <row r="4" spans="1:5" ht="15.75" customHeight="1" x14ac:dyDescent="0.2">
      <c r="A4" s="9" t="s">
        <v>545</v>
      </c>
      <c r="B4" s="10">
        <v>34</v>
      </c>
      <c r="C4" s="10">
        <v>179</v>
      </c>
      <c r="D4" s="11">
        <v>0.84037558685446012</v>
      </c>
    </row>
    <row r="5" spans="1:5" ht="15.75" customHeight="1" x14ac:dyDescent="0.2">
      <c r="A5" s="9" t="s">
        <v>546</v>
      </c>
      <c r="B5" s="10">
        <v>8</v>
      </c>
      <c r="C5" s="10">
        <v>54</v>
      </c>
      <c r="D5" s="11">
        <v>0.87096774193548387</v>
      </c>
    </row>
    <row r="6" spans="1:5" ht="15.75" customHeight="1" x14ac:dyDescent="0.2">
      <c r="A6" s="9" t="s">
        <v>547</v>
      </c>
      <c r="B6" s="10">
        <v>115</v>
      </c>
      <c r="C6" s="10">
        <v>348</v>
      </c>
      <c r="D6" s="11">
        <v>0.75161987041036715</v>
      </c>
    </row>
    <row r="7" spans="1:5" ht="15.75" customHeight="1" x14ac:dyDescent="0.2">
      <c r="A7" s="9" t="s">
        <v>548</v>
      </c>
      <c r="B7" s="10">
        <v>35</v>
      </c>
      <c r="C7" s="10">
        <v>178</v>
      </c>
      <c r="D7" s="11">
        <v>0.83568075117370888</v>
      </c>
    </row>
    <row r="8" spans="1:5" ht="15.75" customHeight="1" x14ac:dyDescent="0.2">
      <c r="A8" s="9" t="s">
        <v>549</v>
      </c>
      <c r="B8" s="10">
        <v>10</v>
      </c>
      <c r="C8" s="10">
        <v>52</v>
      </c>
      <c r="D8" s="11">
        <v>0.83870967741935487</v>
      </c>
    </row>
    <row r="10" spans="1:5" ht="15.75" customHeight="1" x14ac:dyDescent="0.2">
      <c r="A10" s="223" t="s">
        <v>550</v>
      </c>
      <c r="B10" s="224"/>
      <c r="C10" s="224"/>
      <c r="D10" s="225"/>
    </row>
    <row r="11" spans="1:5" ht="15.75" customHeight="1" x14ac:dyDescent="0.2">
      <c r="A11" s="12" t="s">
        <v>551</v>
      </c>
      <c r="B11" s="13" t="s">
        <v>552</v>
      </c>
      <c r="C11" s="13" t="s">
        <v>553</v>
      </c>
      <c r="D11" s="13" t="s">
        <v>554</v>
      </c>
    </row>
    <row r="12" spans="1:5" ht="15.75" customHeight="1" x14ac:dyDescent="0.2">
      <c r="A12" s="9" t="s">
        <v>555</v>
      </c>
      <c r="B12" s="10">
        <v>264</v>
      </c>
      <c r="C12" s="10">
        <v>194</v>
      </c>
      <c r="D12" s="10">
        <v>54</v>
      </c>
    </row>
    <row r="13" spans="1:5" ht="15.75" customHeight="1" x14ac:dyDescent="0.2">
      <c r="A13" s="9" t="s">
        <v>556</v>
      </c>
      <c r="B13" s="10">
        <v>116</v>
      </c>
      <c r="C13" s="10">
        <v>77</v>
      </c>
      <c r="D13" s="10">
        <v>17</v>
      </c>
      <c r="E13" s="3"/>
    </row>
    <row r="14" spans="1:5" ht="15.75" customHeight="1" x14ac:dyDescent="0.2">
      <c r="A14" s="9" t="s">
        <v>557</v>
      </c>
      <c r="B14" s="10">
        <v>0</v>
      </c>
      <c r="C14" s="10">
        <v>1</v>
      </c>
      <c r="D14" s="10">
        <v>1</v>
      </c>
    </row>
    <row r="15" spans="1:5" ht="15.75" customHeight="1" x14ac:dyDescent="0.2">
      <c r="A15" s="9" t="s">
        <v>558</v>
      </c>
      <c r="B15" s="10">
        <v>90</v>
      </c>
      <c r="C15" s="10">
        <v>72</v>
      </c>
      <c r="D15" s="10">
        <v>17</v>
      </c>
    </row>
    <row r="16" spans="1:5" ht="15.75" customHeight="1" x14ac:dyDescent="0.2">
      <c r="A16" s="9" t="s">
        <v>559</v>
      </c>
      <c r="B16" s="10">
        <v>0</v>
      </c>
      <c r="C16" s="10">
        <v>1</v>
      </c>
      <c r="D16" s="10">
        <v>0</v>
      </c>
    </row>
    <row r="17" spans="1:4" ht="15.75" customHeight="1" x14ac:dyDescent="0.2">
      <c r="A17" s="9" t="s">
        <v>560</v>
      </c>
      <c r="B17" s="10">
        <v>0</v>
      </c>
      <c r="C17" s="10">
        <v>0</v>
      </c>
      <c r="D17" s="10">
        <v>0</v>
      </c>
    </row>
    <row r="18" spans="1:4" ht="15.75" customHeight="1" x14ac:dyDescent="0.2">
      <c r="A18" s="9" t="s">
        <v>561</v>
      </c>
      <c r="B18" s="10">
        <v>0</v>
      </c>
      <c r="C18" s="10">
        <v>0</v>
      </c>
      <c r="D18" s="10">
        <v>0</v>
      </c>
    </row>
    <row r="19" spans="1:4" ht="15.75" customHeight="1" x14ac:dyDescent="0.2">
      <c r="A19" s="9" t="s">
        <v>562</v>
      </c>
      <c r="B19" s="10">
        <v>62</v>
      </c>
      <c r="C19" s="10">
        <v>8</v>
      </c>
      <c r="D19" s="10">
        <v>9</v>
      </c>
    </row>
    <row r="20" spans="1:4" ht="15.75" customHeight="1" x14ac:dyDescent="0.2">
      <c r="A20" s="9" t="s">
        <v>563</v>
      </c>
      <c r="B20" s="10">
        <v>0</v>
      </c>
      <c r="C20" s="10">
        <v>0</v>
      </c>
      <c r="D20" s="10">
        <v>0</v>
      </c>
    </row>
    <row r="21" spans="1:4" ht="15.75" customHeight="1" x14ac:dyDescent="0.2">
      <c r="A21" s="14" t="s">
        <v>564</v>
      </c>
      <c r="B21" s="10">
        <v>23</v>
      </c>
      <c r="C21" s="10">
        <v>1</v>
      </c>
      <c r="D21" s="10">
        <v>2</v>
      </c>
    </row>
    <row r="22" spans="1:4" ht="15.75" customHeight="1" x14ac:dyDescent="0.2">
      <c r="A22" s="14" t="s">
        <v>565</v>
      </c>
      <c r="B22" s="10">
        <v>55</v>
      </c>
      <c r="C22" s="10">
        <v>6</v>
      </c>
      <c r="D22" s="10">
        <v>7</v>
      </c>
    </row>
    <row r="23" spans="1:4" ht="15.75" customHeight="1" x14ac:dyDescent="0.2">
      <c r="A23" s="14" t="s">
        <v>566</v>
      </c>
      <c r="B23" s="10">
        <v>4</v>
      </c>
      <c r="C23" s="10">
        <v>1</v>
      </c>
      <c r="D23" s="10">
        <v>0</v>
      </c>
    </row>
    <row r="24" spans="1:4" ht="15.75" customHeight="1" x14ac:dyDescent="0.2">
      <c r="A24" s="14" t="s">
        <v>567</v>
      </c>
      <c r="B24" s="10">
        <v>83</v>
      </c>
      <c r="C24" s="10">
        <v>24</v>
      </c>
      <c r="D24" s="10">
        <v>11</v>
      </c>
    </row>
    <row r="25" spans="1:4" ht="15.75" customHeight="1" x14ac:dyDescent="0.2">
      <c r="A25" s="14" t="s">
        <v>568</v>
      </c>
      <c r="B25" s="10">
        <v>271</v>
      </c>
      <c r="C25" s="10">
        <v>194</v>
      </c>
      <c r="D25" s="10">
        <v>54</v>
      </c>
    </row>
    <row r="26" spans="1:4" ht="15.75" customHeight="1" x14ac:dyDescent="0.2">
      <c r="A26" s="5" t="s">
        <v>569</v>
      </c>
      <c r="B26" s="10">
        <v>0</v>
      </c>
      <c r="C26" s="10">
        <v>0</v>
      </c>
      <c r="D26" s="10">
        <v>0</v>
      </c>
    </row>
    <row r="27" spans="1:4" ht="15.75" customHeight="1" x14ac:dyDescent="0.2">
      <c r="A27" s="14" t="s">
        <v>570</v>
      </c>
      <c r="B27" s="10">
        <v>0</v>
      </c>
      <c r="C27" s="10">
        <v>0</v>
      </c>
      <c r="D27" s="10">
        <v>0</v>
      </c>
    </row>
    <row r="28" spans="1:4" ht="15.75" customHeight="1" x14ac:dyDescent="0.2">
      <c r="A28" s="14" t="s">
        <v>24</v>
      </c>
      <c r="B28" s="10">
        <v>129</v>
      </c>
      <c r="C28" s="10">
        <v>213</v>
      </c>
      <c r="D28" s="10">
        <v>62</v>
      </c>
    </row>
    <row r="29" spans="1:4" ht="15.75" customHeight="1" x14ac:dyDescent="0.2">
      <c r="A29" s="9" t="s">
        <v>571</v>
      </c>
      <c r="B29" s="10">
        <v>0</v>
      </c>
      <c r="C29" s="10">
        <v>1</v>
      </c>
      <c r="D29" s="10">
        <v>1</v>
      </c>
    </row>
    <row r="30" spans="1:4" ht="15.75" customHeight="1" x14ac:dyDescent="0.2">
      <c r="A30" s="14" t="s">
        <v>572</v>
      </c>
      <c r="B30" s="10">
        <v>0</v>
      </c>
      <c r="C30" s="10">
        <v>1</v>
      </c>
      <c r="D30" s="10">
        <v>1</v>
      </c>
    </row>
    <row r="31" spans="1:4" ht="15.75" customHeight="1" x14ac:dyDescent="0.2">
      <c r="A31" s="9" t="s">
        <v>573</v>
      </c>
      <c r="B31" s="10">
        <v>0</v>
      </c>
      <c r="C31" s="10">
        <v>16</v>
      </c>
      <c r="D31" s="10">
        <v>0</v>
      </c>
    </row>
    <row r="32" spans="1:4" ht="15.75" customHeight="1" x14ac:dyDescent="0.2">
      <c r="A32" s="9" t="s">
        <v>574</v>
      </c>
      <c r="B32" s="10">
        <v>1</v>
      </c>
      <c r="C32" s="10">
        <v>15</v>
      </c>
      <c r="D32" s="10">
        <v>2</v>
      </c>
    </row>
    <row r="33" spans="1:4" ht="15.75" customHeight="1" x14ac:dyDescent="0.2">
      <c r="A33" s="9" t="s">
        <v>575</v>
      </c>
      <c r="B33" s="10">
        <v>0</v>
      </c>
      <c r="C33" s="10">
        <v>0</v>
      </c>
      <c r="D33" s="10">
        <v>0</v>
      </c>
    </row>
    <row r="34" spans="1:4" ht="15.75" customHeight="1" x14ac:dyDescent="0.2">
      <c r="A34" s="9" t="s">
        <v>576</v>
      </c>
      <c r="B34" s="10">
        <v>0</v>
      </c>
      <c r="C34" s="10">
        <v>0</v>
      </c>
      <c r="D34" s="10">
        <v>0</v>
      </c>
    </row>
    <row r="35" spans="1:4" ht="15.75" customHeight="1" x14ac:dyDescent="0.2">
      <c r="B35" s="2"/>
      <c r="C35" s="2"/>
      <c r="D35" s="2"/>
    </row>
    <row r="36" spans="1:4" ht="15.75" customHeight="1" x14ac:dyDescent="0.2">
      <c r="B36" s="2"/>
      <c r="C36" s="2"/>
      <c r="D36" s="2"/>
    </row>
    <row r="37" spans="1:4" ht="15.75" customHeight="1" x14ac:dyDescent="0.2">
      <c r="B37" s="2"/>
      <c r="C37" s="2"/>
      <c r="D37" s="2"/>
    </row>
    <row r="38" spans="1:4" ht="15.75" customHeight="1" x14ac:dyDescent="0.2">
      <c r="B38" s="2"/>
      <c r="C38" s="2"/>
      <c r="D38" s="2"/>
    </row>
    <row r="39" spans="1:4" ht="15.75" customHeight="1" x14ac:dyDescent="0.2">
      <c r="B39" s="2"/>
      <c r="C39" s="2"/>
      <c r="D39" s="2"/>
    </row>
    <row r="40" spans="1:4" ht="15.75" customHeight="1" x14ac:dyDescent="0.2">
      <c r="B40" s="2"/>
      <c r="C40" s="2"/>
      <c r="D40" s="2"/>
    </row>
    <row r="41" spans="1:4" ht="15.75" customHeight="1" x14ac:dyDescent="0.2">
      <c r="B41" s="2"/>
      <c r="C41" s="2"/>
      <c r="D41" s="2"/>
    </row>
    <row r="42" spans="1:4" ht="15.75" customHeight="1" x14ac:dyDescent="0.2">
      <c r="B42" s="2"/>
      <c r="C42" s="2"/>
      <c r="D42" s="2"/>
    </row>
    <row r="43" spans="1:4" ht="15.75" customHeight="1" x14ac:dyDescent="0.2">
      <c r="B43" s="2"/>
      <c r="C43" s="2"/>
      <c r="D43" s="2"/>
    </row>
    <row r="44" spans="1:4" ht="15.75" customHeight="1" x14ac:dyDescent="0.2">
      <c r="B44" s="2"/>
      <c r="C44" s="2"/>
      <c r="D44" s="2"/>
    </row>
    <row r="45" spans="1:4" ht="15.75" customHeight="1" x14ac:dyDescent="0.2">
      <c r="B45" s="2"/>
      <c r="C45" s="2"/>
      <c r="D45" s="2"/>
    </row>
    <row r="46" spans="1:4" ht="15.75" customHeight="1" x14ac:dyDescent="0.2">
      <c r="B46" s="2"/>
      <c r="C46" s="2"/>
      <c r="D46" s="2"/>
    </row>
    <row r="47" spans="1:4" ht="15.75" customHeight="1" x14ac:dyDescent="0.2">
      <c r="B47" s="2"/>
      <c r="C47" s="2"/>
      <c r="D47" s="2"/>
    </row>
    <row r="48" spans="1:4" ht="15.75" customHeight="1" x14ac:dyDescent="0.2">
      <c r="B48" s="2"/>
      <c r="C48" s="2"/>
      <c r="D48" s="2"/>
    </row>
    <row r="49" spans="2:4" ht="15.75" customHeight="1" x14ac:dyDescent="0.2">
      <c r="B49" s="2"/>
      <c r="C49" s="2"/>
      <c r="D49" s="2"/>
    </row>
    <row r="50" spans="2:4" ht="12.75" x14ac:dyDescent="0.2">
      <c r="B50" s="2"/>
      <c r="C50" s="2"/>
      <c r="D50" s="2"/>
    </row>
    <row r="51" spans="2:4" ht="12.75" x14ac:dyDescent="0.2">
      <c r="B51" s="2"/>
      <c r="C51" s="2"/>
      <c r="D51" s="2"/>
    </row>
    <row r="52" spans="2:4" ht="12.75" x14ac:dyDescent="0.2">
      <c r="B52" s="2"/>
      <c r="C52" s="2"/>
      <c r="D52" s="2"/>
    </row>
    <row r="53" spans="2:4" ht="12.75" x14ac:dyDescent="0.2">
      <c r="B53" s="2"/>
      <c r="C53" s="2"/>
      <c r="D53" s="2"/>
    </row>
    <row r="54" spans="2:4" ht="12.75" x14ac:dyDescent="0.2">
      <c r="B54" s="2"/>
      <c r="C54" s="2"/>
      <c r="D54" s="2"/>
    </row>
    <row r="55" spans="2:4" ht="12.75" x14ac:dyDescent="0.2">
      <c r="B55" s="2"/>
      <c r="C55" s="2"/>
      <c r="D55" s="2"/>
    </row>
    <row r="56" spans="2:4" ht="12.75" x14ac:dyDescent="0.2">
      <c r="B56" s="2"/>
      <c r="C56" s="2"/>
      <c r="D56" s="2"/>
    </row>
    <row r="57" spans="2:4" ht="12.75" x14ac:dyDescent="0.2">
      <c r="B57" s="2"/>
      <c r="C57" s="2"/>
      <c r="D57" s="2"/>
    </row>
    <row r="58" spans="2:4" ht="12.75" x14ac:dyDescent="0.2">
      <c r="B58" s="2"/>
      <c r="C58" s="2"/>
      <c r="D58" s="2"/>
    </row>
    <row r="59" spans="2:4" ht="12.75" x14ac:dyDescent="0.2">
      <c r="B59" s="2"/>
      <c r="C59" s="2"/>
      <c r="D59" s="2"/>
    </row>
    <row r="60" spans="2:4" ht="12.75" x14ac:dyDescent="0.2">
      <c r="B60" s="2"/>
      <c r="C60" s="2"/>
      <c r="D60" s="2"/>
    </row>
    <row r="61" spans="2:4" ht="12.75" x14ac:dyDescent="0.2">
      <c r="B61" s="2"/>
      <c r="C61" s="2"/>
      <c r="D61" s="2"/>
    </row>
    <row r="62" spans="2:4" ht="12.75" x14ac:dyDescent="0.2">
      <c r="B62" s="2"/>
      <c r="C62" s="2"/>
      <c r="D62" s="2"/>
    </row>
    <row r="63" spans="2:4" ht="12.75" x14ac:dyDescent="0.2">
      <c r="B63" s="2"/>
      <c r="C63" s="2"/>
      <c r="D63" s="2"/>
    </row>
    <row r="64" spans="2:4" ht="12.75" x14ac:dyDescent="0.2">
      <c r="B64" s="2"/>
      <c r="C64" s="2"/>
      <c r="D64" s="2"/>
    </row>
    <row r="65" spans="2:4" ht="12.75" x14ac:dyDescent="0.2">
      <c r="B65" s="2"/>
      <c r="C65" s="2"/>
      <c r="D65" s="2"/>
    </row>
    <row r="66" spans="2:4" ht="12.75" x14ac:dyDescent="0.2">
      <c r="B66" s="2"/>
      <c r="C66" s="2"/>
      <c r="D66" s="2"/>
    </row>
    <row r="67" spans="2:4" ht="12.75" x14ac:dyDescent="0.2">
      <c r="B67" s="2"/>
      <c r="C67" s="2"/>
      <c r="D67" s="2"/>
    </row>
    <row r="68" spans="2:4" ht="12.75" x14ac:dyDescent="0.2">
      <c r="B68" s="2"/>
      <c r="C68" s="2"/>
      <c r="D68" s="2"/>
    </row>
    <row r="69" spans="2:4" ht="12.75" x14ac:dyDescent="0.2">
      <c r="B69" s="2"/>
      <c r="C69" s="2"/>
      <c r="D69" s="2"/>
    </row>
    <row r="70" spans="2:4" ht="12.75" x14ac:dyDescent="0.2">
      <c r="B70" s="2"/>
      <c r="C70" s="2"/>
      <c r="D70" s="2"/>
    </row>
    <row r="71" spans="2:4" ht="12.75" x14ac:dyDescent="0.2">
      <c r="B71" s="2"/>
      <c r="C71" s="2"/>
      <c r="D71" s="2"/>
    </row>
    <row r="72" spans="2:4" ht="12.75" x14ac:dyDescent="0.2">
      <c r="B72" s="2"/>
      <c r="C72" s="2"/>
      <c r="D72" s="2"/>
    </row>
    <row r="73" spans="2:4" ht="12.75" x14ac:dyDescent="0.2">
      <c r="B73" s="2"/>
      <c r="C73" s="2"/>
      <c r="D73" s="2"/>
    </row>
    <row r="74" spans="2:4" ht="12.75" x14ac:dyDescent="0.2">
      <c r="B74" s="2"/>
      <c r="C74" s="2"/>
      <c r="D74" s="2"/>
    </row>
    <row r="75" spans="2:4" ht="12.75" x14ac:dyDescent="0.2">
      <c r="B75" s="2"/>
      <c r="C75" s="2"/>
      <c r="D75" s="2"/>
    </row>
    <row r="76" spans="2:4" ht="12.75" x14ac:dyDescent="0.2">
      <c r="B76" s="2"/>
      <c r="C76" s="2"/>
      <c r="D76" s="2"/>
    </row>
    <row r="77" spans="2:4" ht="12.75" x14ac:dyDescent="0.2">
      <c r="B77" s="2"/>
      <c r="C77" s="2"/>
      <c r="D77" s="2"/>
    </row>
    <row r="78" spans="2:4" ht="12.75" x14ac:dyDescent="0.2">
      <c r="B78" s="2"/>
      <c r="C78" s="2"/>
      <c r="D78" s="2"/>
    </row>
    <row r="79" spans="2:4" ht="12.75" x14ac:dyDescent="0.2">
      <c r="B79" s="2"/>
      <c r="C79" s="2"/>
      <c r="D79" s="2"/>
    </row>
    <row r="80" spans="2:4" ht="12.75" x14ac:dyDescent="0.2">
      <c r="B80" s="2"/>
      <c r="C80" s="2"/>
      <c r="D80" s="2"/>
    </row>
    <row r="81" spans="2:4" ht="12.75" x14ac:dyDescent="0.2">
      <c r="B81" s="2"/>
      <c r="C81" s="2"/>
      <c r="D81" s="2"/>
    </row>
    <row r="82" spans="2:4" ht="12.75" x14ac:dyDescent="0.2">
      <c r="B82" s="2"/>
      <c r="C82" s="2"/>
      <c r="D82" s="2"/>
    </row>
    <row r="83" spans="2:4" ht="12.75" x14ac:dyDescent="0.2">
      <c r="B83" s="2"/>
      <c r="C83" s="2"/>
      <c r="D83" s="2"/>
    </row>
    <row r="84" spans="2:4" ht="12.75" x14ac:dyDescent="0.2">
      <c r="B84" s="2"/>
      <c r="C84" s="2"/>
      <c r="D84" s="2"/>
    </row>
    <row r="85" spans="2:4" ht="12.75" x14ac:dyDescent="0.2">
      <c r="B85" s="2"/>
      <c r="C85" s="2"/>
      <c r="D85" s="2"/>
    </row>
    <row r="86" spans="2:4" ht="12.75" x14ac:dyDescent="0.2">
      <c r="B86" s="2"/>
      <c r="C86" s="2"/>
      <c r="D86" s="2"/>
    </row>
    <row r="87" spans="2:4" ht="12.75" x14ac:dyDescent="0.2">
      <c r="B87" s="2"/>
      <c r="C87" s="2"/>
      <c r="D87" s="2"/>
    </row>
    <row r="88" spans="2:4" ht="12.75" x14ac:dyDescent="0.2">
      <c r="B88" s="2"/>
      <c r="C88" s="2"/>
      <c r="D88" s="2"/>
    </row>
    <row r="89" spans="2:4" ht="12.75" x14ac:dyDescent="0.2">
      <c r="B89" s="2"/>
      <c r="C89" s="2"/>
      <c r="D89" s="2"/>
    </row>
    <row r="90" spans="2:4" ht="12.75" x14ac:dyDescent="0.2">
      <c r="B90" s="2"/>
      <c r="C90" s="2"/>
      <c r="D90" s="2"/>
    </row>
    <row r="91" spans="2:4" ht="12.75" x14ac:dyDescent="0.2">
      <c r="B91" s="2"/>
      <c r="C91" s="2"/>
      <c r="D91" s="2"/>
    </row>
    <row r="92" spans="2:4" ht="12.75" x14ac:dyDescent="0.2">
      <c r="B92" s="2"/>
      <c r="C92" s="2"/>
      <c r="D92" s="2"/>
    </row>
    <row r="93" spans="2:4" ht="12.75" x14ac:dyDescent="0.2">
      <c r="B93" s="2"/>
      <c r="C93" s="2"/>
      <c r="D93" s="2"/>
    </row>
    <row r="94" spans="2:4" ht="12.75" x14ac:dyDescent="0.2">
      <c r="B94" s="2"/>
      <c r="C94" s="2"/>
      <c r="D94" s="2"/>
    </row>
    <row r="95" spans="2:4" ht="12.75" x14ac:dyDescent="0.2">
      <c r="B95" s="2"/>
      <c r="C95" s="2"/>
      <c r="D95" s="2"/>
    </row>
    <row r="96" spans="2:4" ht="12.75" x14ac:dyDescent="0.2">
      <c r="B96" s="2"/>
      <c r="C96" s="2"/>
      <c r="D96" s="2"/>
    </row>
    <row r="97" spans="2:4" ht="12.75" x14ac:dyDescent="0.2">
      <c r="B97" s="2"/>
      <c r="C97" s="2"/>
      <c r="D97" s="2"/>
    </row>
    <row r="98" spans="2:4" ht="12.75" x14ac:dyDescent="0.2">
      <c r="B98" s="2"/>
      <c r="C98" s="2"/>
      <c r="D98" s="2"/>
    </row>
    <row r="99" spans="2:4" ht="12.75" x14ac:dyDescent="0.2">
      <c r="B99" s="2"/>
      <c r="C99" s="2"/>
      <c r="D99" s="2"/>
    </row>
    <row r="100" spans="2:4" ht="12.75" x14ac:dyDescent="0.2">
      <c r="B100" s="2"/>
      <c r="C100" s="2"/>
      <c r="D100" s="2"/>
    </row>
    <row r="101" spans="2:4" ht="12.75" x14ac:dyDescent="0.2">
      <c r="B101" s="2"/>
      <c r="C101" s="2"/>
      <c r="D101" s="2"/>
    </row>
    <row r="102" spans="2:4" ht="12.75" x14ac:dyDescent="0.2">
      <c r="B102" s="2"/>
      <c r="C102" s="2"/>
      <c r="D102" s="2"/>
    </row>
    <row r="103" spans="2:4" ht="12.75" x14ac:dyDescent="0.2">
      <c r="B103" s="2"/>
      <c r="C103" s="2"/>
      <c r="D103" s="2"/>
    </row>
    <row r="104" spans="2:4" ht="12.75" x14ac:dyDescent="0.2">
      <c r="B104" s="2"/>
      <c r="C104" s="2"/>
      <c r="D104" s="2"/>
    </row>
    <row r="105" spans="2:4" ht="12.75" x14ac:dyDescent="0.2">
      <c r="B105" s="2"/>
      <c r="C105" s="2"/>
      <c r="D105" s="2"/>
    </row>
    <row r="106" spans="2:4" ht="12.75" x14ac:dyDescent="0.2">
      <c r="B106" s="2"/>
      <c r="C106" s="2"/>
      <c r="D106" s="2"/>
    </row>
    <row r="107" spans="2:4" ht="12.75" x14ac:dyDescent="0.2">
      <c r="B107" s="2"/>
      <c r="C107" s="2"/>
      <c r="D107" s="2"/>
    </row>
    <row r="108" spans="2:4" ht="12.75" x14ac:dyDescent="0.2">
      <c r="B108" s="2"/>
      <c r="C108" s="2"/>
      <c r="D108" s="2"/>
    </row>
    <row r="109" spans="2:4" ht="12.75" x14ac:dyDescent="0.2">
      <c r="B109" s="2"/>
      <c r="C109" s="2"/>
      <c r="D109" s="2"/>
    </row>
    <row r="110" spans="2:4" ht="12.75" x14ac:dyDescent="0.2">
      <c r="B110" s="2"/>
      <c r="C110" s="2"/>
      <c r="D110" s="2"/>
    </row>
    <row r="111" spans="2:4" ht="12.75" x14ac:dyDescent="0.2">
      <c r="B111" s="2"/>
      <c r="C111" s="2"/>
      <c r="D111" s="2"/>
    </row>
    <row r="112" spans="2:4" ht="12.75" x14ac:dyDescent="0.2">
      <c r="B112" s="2"/>
      <c r="C112" s="2"/>
      <c r="D112" s="2"/>
    </row>
    <row r="113" spans="2:4" ht="12.75" x14ac:dyDescent="0.2">
      <c r="B113" s="2"/>
      <c r="C113" s="2"/>
      <c r="D113" s="2"/>
    </row>
    <row r="114" spans="2:4" ht="12.75" x14ac:dyDescent="0.2">
      <c r="B114" s="2"/>
      <c r="C114" s="2"/>
      <c r="D114" s="2"/>
    </row>
    <row r="115" spans="2:4" ht="12.75" x14ac:dyDescent="0.2">
      <c r="B115" s="2"/>
      <c r="C115" s="2"/>
      <c r="D115" s="2"/>
    </row>
    <row r="116" spans="2:4" ht="12.75" x14ac:dyDescent="0.2">
      <c r="B116" s="2"/>
      <c r="C116" s="2"/>
      <c r="D116" s="2"/>
    </row>
    <row r="117" spans="2:4" ht="12.75" x14ac:dyDescent="0.2">
      <c r="B117" s="2"/>
      <c r="C117" s="2"/>
      <c r="D117" s="2"/>
    </row>
    <row r="118" spans="2:4" ht="12.75" x14ac:dyDescent="0.2">
      <c r="B118" s="2"/>
      <c r="C118" s="2"/>
      <c r="D118" s="2"/>
    </row>
    <row r="119" spans="2:4" ht="12.75" x14ac:dyDescent="0.2">
      <c r="B119" s="2"/>
      <c r="C119" s="2"/>
      <c r="D119" s="2"/>
    </row>
    <row r="120" spans="2:4" ht="12.75" x14ac:dyDescent="0.2">
      <c r="B120" s="2"/>
      <c r="C120" s="2"/>
      <c r="D120" s="2"/>
    </row>
    <row r="121" spans="2:4" ht="12.75" x14ac:dyDescent="0.2">
      <c r="B121" s="2"/>
      <c r="C121" s="2"/>
      <c r="D121" s="2"/>
    </row>
    <row r="122" spans="2:4" ht="12.75" x14ac:dyDescent="0.2">
      <c r="B122" s="2"/>
      <c r="C122" s="2"/>
      <c r="D122" s="2"/>
    </row>
    <row r="123" spans="2:4" ht="12.75" x14ac:dyDescent="0.2">
      <c r="B123" s="2"/>
      <c r="C123" s="2"/>
      <c r="D123" s="2"/>
    </row>
    <row r="124" spans="2:4" ht="12.75" x14ac:dyDescent="0.2">
      <c r="B124" s="2"/>
      <c r="C124" s="2"/>
      <c r="D124" s="2"/>
    </row>
    <row r="125" spans="2:4" ht="12.75" x14ac:dyDescent="0.2">
      <c r="B125" s="2"/>
      <c r="C125" s="2"/>
      <c r="D125" s="2"/>
    </row>
    <row r="126" spans="2:4" ht="12.75" x14ac:dyDescent="0.2">
      <c r="B126" s="2"/>
      <c r="C126" s="2"/>
      <c r="D126" s="2"/>
    </row>
    <row r="127" spans="2:4" ht="12.75" x14ac:dyDescent="0.2">
      <c r="B127" s="2"/>
      <c r="C127" s="2"/>
      <c r="D127" s="2"/>
    </row>
    <row r="128" spans="2:4" ht="12.75" x14ac:dyDescent="0.2">
      <c r="B128" s="2"/>
      <c r="C128" s="2"/>
      <c r="D128" s="2"/>
    </row>
    <row r="129" spans="2:4" ht="12.75" x14ac:dyDescent="0.2">
      <c r="B129" s="2"/>
      <c r="C129" s="2"/>
      <c r="D129" s="2"/>
    </row>
    <row r="130" spans="2:4" ht="12.75" x14ac:dyDescent="0.2">
      <c r="B130" s="2"/>
      <c r="C130" s="2"/>
      <c r="D130" s="2"/>
    </row>
    <row r="131" spans="2:4" ht="12.75" x14ac:dyDescent="0.2">
      <c r="B131" s="2"/>
      <c r="C131" s="2"/>
      <c r="D131" s="2"/>
    </row>
    <row r="132" spans="2:4" ht="12.75" x14ac:dyDescent="0.2">
      <c r="B132" s="2"/>
      <c r="C132" s="2"/>
      <c r="D132" s="2"/>
    </row>
    <row r="133" spans="2:4" ht="12.75" x14ac:dyDescent="0.2">
      <c r="B133" s="2"/>
      <c r="C133" s="2"/>
      <c r="D133" s="2"/>
    </row>
    <row r="134" spans="2:4" ht="12.75" x14ac:dyDescent="0.2">
      <c r="B134" s="2"/>
      <c r="C134" s="2"/>
      <c r="D134" s="2"/>
    </row>
    <row r="135" spans="2:4" ht="12.75" x14ac:dyDescent="0.2">
      <c r="B135" s="2"/>
      <c r="C135" s="2"/>
      <c r="D135" s="2"/>
    </row>
    <row r="136" spans="2:4" ht="12.75" x14ac:dyDescent="0.2">
      <c r="B136" s="2"/>
      <c r="C136" s="2"/>
      <c r="D136" s="2"/>
    </row>
    <row r="137" spans="2:4" ht="12.75" x14ac:dyDescent="0.2">
      <c r="B137" s="2"/>
      <c r="C137" s="2"/>
      <c r="D137" s="2"/>
    </row>
    <row r="138" spans="2:4" ht="12.75" x14ac:dyDescent="0.2">
      <c r="B138" s="2"/>
      <c r="C138" s="2"/>
      <c r="D138" s="2"/>
    </row>
    <row r="139" spans="2:4" ht="12.75" x14ac:dyDescent="0.2">
      <c r="B139" s="2"/>
      <c r="C139" s="2"/>
      <c r="D139" s="2"/>
    </row>
    <row r="140" spans="2:4" ht="12.75" x14ac:dyDescent="0.2">
      <c r="B140" s="2"/>
      <c r="C140" s="2"/>
      <c r="D140" s="2"/>
    </row>
    <row r="141" spans="2:4" ht="12.75" x14ac:dyDescent="0.2">
      <c r="B141" s="2"/>
      <c r="C141" s="2"/>
      <c r="D141" s="2"/>
    </row>
    <row r="142" spans="2:4" ht="12.75" x14ac:dyDescent="0.2">
      <c r="B142" s="2"/>
      <c r="C142" s="2"/>
      <c r="D142" s="2"/>
    </row>
    <row r="143" spans="2:4" ht="12.75" x14ac:dyDescent="0.2">
      <c r="B143" s="2"/>
      <c r="C143" s="2"/>
      <c r="D143" s="2"/>
    </row>
    <row r="144" spans="2:4" ht="12.75" x14ac:dyDescent="0.2">
      <c r="B144" s="2"/>
      <c r="C144" s="2"/>
      <c r="D144" s="2"/>
    </row>
    <row r="145" spans="2:4" ht="12.75" x14ac:dyDescent="0.2">
      <c r="B145" s="2"/>
      <c r="C145" s="2"/>
      <c r="D145" s="2"/>
    </row>
    <row r="146" spans="2:4" ht="12.75" x14ac:dyDescent="0.2">
      <c r="B146" s="2"/>
      <c r="C146" s="2"/>
      <c r="D146" s="2"/>
    </row>
    <row r="147" spans="2:4" ht="12.75" x14ac:dyDescent="0.2">
      <c r="B147" s="2"/>
      <c r="C147" s="2"/>
      <c r="D147" s="2"/>
    </row>
    <row r="148" spans="2:4" ht="12.75" x14ac:dyDescent="0.2">
      <c r="B148" s="2"/>
      <c r="C148" s="2"/>
      <c r="D148" s="2"/>
    </row>
    <row r="149" spans="2:4" ht="12.75" x14ac:dyDescent="0.2">
      <c r="B149" s="2"/>
      <c r="C149" s="2"/>
      <c r="D149" s="2"/>
    </row>
    <row r="150" spans="2:4" ht="12.75" x14ac:dyDescent="0.2">
      <c r="B150" s="2"/>
      <c r="C150" s="2"/>
      <c r="D150" s="2"/>
    </row>
    <row r="151" spans="2:4" ht="12.75" x14ac:dyDescent="0.2">
      <c r="B151" s="2"/>
      <c r="C151" s="2"/>
      <c r="D151" s="2"/>
    </row>
    <row r="152" spans="2:4" ht="12.75" x14ac:dyDescent="0.2">
      <c r="B152" s="2"/>
      <c r="C152" s="2"/>
      <c r="D152" s="2"/>
    </row>
    <row r="153" spans="2:4" ht="12.75" x14ac:dyDescent="0.2">
      <c r="B153" s="2"/>
      <c r="C153" s="2"/>
      <c r="D153" s="2"/>
    </row>
    <row r="154" spans="2:4" ht="12.75" x14ac:dyDescent="0.2">
      <c r="B154" s="2"/>
      <c r="C154" s="2"/>
      <c r="D154" s="2"/>
    </row>
    <row r="155" spans="2:4" ht="12.75" x14ac:dyDescent="0.2">
      <c r="B155" s="2"/>
      <c r="C155" s="2"/>
      <c r="D155" s="2"/>
    </row>
    <row r="156" spans="2:4" ht="12.75" x14ac:dyDescent="0.2">
      <c r="B156" s="2"/>
      <c r="C156" s="2"/>
      <c r="D156" s="2"/>
    </row>
    <row r="157" spans="2:4" ht="12.75" x14ac:dyDescent="0.2">
      <c r="B157" s="2"/>
      <c r="C157" s="2"/>
      <c r="D157" s="2"/>
    </row>
    <row r="158" spans="2:4" ht="12.75" x14ac:dyDescent="0.2">
      <c r="B158" s="2"/>
      <c r="C158" s="2"/>
      <c r="D158" s="2"/>
    </row>
    <row r="159" spans="2:4" ht="12.75" x14ac:dyDescent="0.2">
      <c r="B159" s="2"/>
      <c r="C159" s="2"/>
      <c r="D159" s="2"/>
    </row>
    <row r="160" spans="2:4" ht="12.75" x14ac:dyDescent="0.2">
      <c r="B160" s="2"/>
      <c r="C160" s="2"/>
      <c r="D160" s="2"/>
    </row>
    <row r="161" spans="2:4" ht="12.75" x14ac:dyDescent="0.2">
      <c r="B161" s="2"/>
      <c r="C161" s="2"/>
      <c r="D161" s="2"/>
    </row>
    <row r="162" spans="2:4" ht="12.75" x14ac:dyDescent="0.2">
      <c r="B162" s="2"/>
      <c r="C162" s="2"/>
      <c r="D162" s="2"/>
    </row>
    <row r="163" spans="2:4" ht="12.75" x14ac:dyDescent="0.2">
      <c r="B163" s="2"/>
      <c r="C163" s="2"/>
      <c r="D163" s="2"/>
    </row>
    <row r="164" spans="2:4" ht="12.75" x14ac:dyDescent="0.2">
      <c r="B164" s="2"/>
      <c r="C164" s="2"/>
      <c r="D164" s="2"/>
    </row>
    <row r="165" spans="2:4" ht="12.75" x14ac:dyDescent="0.2">
      <c r="B165" s="2"/>
      <c r="C165" s="2"/>
      <c r="D165" s="2"/>
    </row>
    <row r="166" spans="2:4" ht="12.75" x14ac:dyDescent="0.2">
      <c r="B166" s="2"/>
      <c r="C166" s="2"/>
      <c r="D166" s="2"/>
    </row>
    <row r="167" spans="2:4" ht="12.75" x14ac:dyDescent="0.2">
      <c r="B167" s="2"/>
      <c r="C167" s="2"/>
      <c r="D167" s="2"/>
    </row>
    <row r="168" spans="2:4" ht="12.75" x14ac:dyDescent="0.2">
      <c r="B168" s="2"/>
      <c r="C168" s="2"/>
      <c r="D168" s="2"/>
    </row>
    <row r="169" spans="2:4" ht="12.75" x14ac:dyDescent="0.2">
      <c r="B169" s="2"/>
      <c r="C169" s="2"/>
      <c r="D169" s="2"/>
    </row>
    <row r="170" spans="2:4" ht="12.75" x14ac:dyDescent="0.2">
      <c r="B170" s="2"/>
      <c r="C170" s="2"/>
      <c r="D170" s="2"/>
    </row>
    <row r="171" spans="2:4" ht="12.75" x14ac:dyDescent="0.2">
      <c r="B171" s="2"/>
      <c r="C171" s="2"/>
      <c r="D171" s="2"/>
    </row>
    <row r="172" spans="2:4" ht="12.75" x14ac:dyDescent="0.2">
      <c r="B172" s="2"/>
      <c r="C172" s="2"/>
      <c r="D172" s="2"/>
    </row>
    <row r="173" spans="2:4" ht="12.75" x14ac:dyDescent="0.2">
      <c r="B173" s="2"/>
      <c r="C173" s="2"/>
      <c r="D173" s="2"/>
    </row>
    <row r="174" spans="2:4" ht="12.75" x14ac:dyDescent="0.2">
      <c r="B174" s="2"/>
      <c r="C174" s="2"/>
      <c r="D174" s="2"/>
    </row>
    <row r="175" spans="2:4" ht="12.75" x14ac:dyDescent="0.2">
      <c r="B175" s="2"/>
      <c r="C175" s="2"/>
      <c r="D175" s="2"/>
    </row>
    <row r="176" spans="2:4" ht="12.75" x14ac:dyDescent="0.2">
      <c r="B176" s="2"/>
      <c r="C176" s="2"/>
      <c r="D176" s="2"/>
    </row>
    <row r="177" spans="2:4" ht="12.75" x14ac:dyDescent="0.2">
      <c r="B177" s="2"/>
      <c r="C177" s="2"/>
      <c r="D177" s="2"/>
    </row>
    <row r="178" spans="2:4" ht="12.75" x14ac:dyDescent="0.2">
      <c r="B178" s="2"/>
      <c r="C178" s="2"/>
      <c r="D178" s="2"/>
    </row>
    <row r="179" spans="2:4" ht="12.75" x14ac:dyDescent="0.2">
      <c r="B179" s="2"/>
      <c r="C179" s="2"/>
      <c r="D179" s="2"/>
    </row>
    <row r="180" spans="2:4" ht="12.75" x14ac:dyDescent="0.2">
      <c r="B180" s="2"/>
      <c r="C180" s="2"/>
      <c r="D180" s="2"/>
    </row>
    <row r="181" spans="2:4" ht="12.75" x14ac:dyDescent="0.2">
      <c r="B181" s="2"/>
      <c r="C181" s="2"/>
      <c r="D181" s="2"/>
    </row>
    <row r="182" spans="2:4" ht="12.75" x14ac:dyDescent="0.2">
      <c r="B182" s="2"/>
      <c r="C182" s="2"/>
      <c r="D182" s="2"/>
    </row>
    <row r="183" spans="2:4" ht="12.75" x14ac:dyDescent="0.2">
      <c r="B183" s="2"/>
      <c r="C183" s="2"/>
      <c r="D183" s="2"/>
    </row>
    <row r="184" spans="2:4" ht="12.75" x14ac:dyDescent="0.2">
      <c r="B184" s="2"/>
      <c r="C184" s="2"/>
      <c r="D184" s="2"/>
    </row>
    <row r="185" spans="2:4" ht="12.75" x14ac:dyDescent="0.2">
      <c r="B185" s="2"/>
      <c r="C185" s="2"/>
      <c r="D185" s="2"/>
    </row>
    <row r="186" spans="2:4" ht="12.75" x14ac:dyDescent="0.2">
      <c r="B186" s="2"/>
      <c r="C186" s="2"/>
      <c r="D186" s="2"/>
    </row>
    <row r="187" spans="2:4" ht="12.75" x14ac:dyDescent="0.2">
      <c r="B187" s="2"/>
      <c r="C187" s="2"/>
      <c r="D187" s="2"/>
    </row>
    <row r="188" spans="2:4" ht="12.75" x14ac:dyDescent="0.2">
      <c r="B188" s="2"/>
      <c r="C188" s="2"/>
      <c r="D188" s="2"/>
    </row>
    <row r="189" spans="2:4" ht="12.75" x14ac:dyDescent="0.2">
      <c r="B189" s="2"/>
      <c r="C189" s="2"/>
      <c r="D189" s="2"/>
    </row>
    <row r="190" spans="2:4" ht="12.75" x14ac:dyDescent="0.2">
      <c r="B190" s="2"/>
      <c r="C190" s="2"/>
      <c r="D190" s="2"/>
    </row>
    <row r="191" spans="2:4" ht="12.75" x14ac:dyDescent="0.2">
      <c r="B191" s="2"/>
      <c r="C191" s="2"/>
      <c r="D191" s="2"/>
    </row>
    <row r="192" spans="2:4" ht="12.75" x14ac:dyDescent="0.2">
      <c r="B192" s="2"/>
      <c r="C192" s="2"/>
      <c r="D192" s="2"/>
    </row>
    <row r="193" spans="2:4" ht="12.75" x14ac:dyDescent="0.2">
      <c r="B193" s="2"/>
      <c r="C193" s="2"/>
      <c r="D193" s="2"/>
    </row>
    <row r="194" spans="2:4" ht="12.75" x14ac:dyDescent="0.2">
      <c r="B194" s="2"/>
      <c r="C194" s="2"/>
      <c r="D194" s="2"/>
    </row>
    <row r="195" spans="2:4" ht="12.75" x14ac:dyDescent="0.2">
      <c r="B195" s="2"/>
      <c r="C195" s="2"/>
      <c r="D195" s="2"/>
    </row>
    <row r="196" spans="2:4" ht="12.75" x14ac:dyDescent="0.2">
      <c r="B196" s="2"/>
      <c r="C196" s="2"/>
      <c r="D196" s="2"/>
    </row>
    <row r="197" spans="2:4" ht="12.75" x14ac:dyDescent="0.2">
      <c r="B197" s="2"/>
      <c r="C197" s="2"/>
      <c r="D197" s="2"/>
    </row>
    <row r="198" spans="2:4" ht="12.75" x14ac:dyDescent="0.2">
      <c r="B198" s="2"/>
      <c r="C198" s="2"/>
      <c r="D198" s="2"/>
    </row>
    <row r="199" spans="2:4" ht="12.75" x14ac:dyDescent="0.2">
      <c r="B199" s="2"/>
      <c r="C199" s="2"/>
      <c r="D199" s="2"/>
    </row>
    <row r="200" spans="2:4" ht="12.75" x14ac:dyDescent="0.2">
      <c r="B200" s="2"/>
      <c r="C200" s="2"/>
      <c r="D200" s="2"/>
    </row>
    <row r="201" spans="2:4" ht="12.75" x14ac:dyDescent="0.2">
      <c r="B201" s="2"/>
      <c r="C201" s="2"/>
      <c r="D201" s="2"/>
    </row>
    <row r="202" spans="2:4" ht="12.75" x14ac:dyDescent="0.2">
      <c r="B202" s="2"/>
      <c r="C202" s="2"/>
      <c r="D202" s="2"/>
    </row>
    <row r="203" spans="2:4" ht="12.75" x14ac:dyDescent="0.2">
      <c r="B203" s="2"/>
      <c r="C203" s="2"/>
      <c r="D203" s="2"/>
    </row>
    <row r="204" spans="2:4" ht="12.75" x14ac:dyDescent="0.2">
      <c r="B204" s="2"/>
      <c r="C204" s="2"/>
      <c r="D204" s="2"/>
    </row>
    <row r="205" spans="2:4" ht="12.75" x14ac:dyDescent="0.2">
      <c r="B205" s="2"/>
      <c r="C205" s="2"/>
      <c r="D205" s="2"/>
    </row>
    <row r="206" spans="2:4" ht="12.75" x14ac:dyDescent="0.2">
      <c r="B206" s="2"/>
      <c r="C206" s="2"/>
      <c r="D206" s="2"/>
    </row>
    <row r="207" spans="2:4" ht="12.75" x14ac:dyDescent="0.2">
      <c r="B207" s="2"/>
      <c r="C207" s="2"/>
      <c r="D207" s="2"/>
    </row>
    <row r="208" spans="2:4" ht="12.75" x14ac:dyDescent="0.2">
      <c r="B208" s="2"/>
      <c r="C208" s="2"/>
      <c r="D208" s="2"/>
    </row>
    <row r="209" spans="2:4" ht="12.75" x14ac:dyDescent="0.2">
      <c r="B209" s="2"/>
      <c r="C209" s="2"/>
      <c r="D209" s="2"/>
    </row>
    <row r="210" spans="2:4" ht="12.75" x14ac:dyDescent="0.2">
      <c r="B210" s="2"/>
      <c r="C210" s="2"/>
      <c r="D210" s="2"/>
    </row>
    <row r="211" spans="2:4" ht="12.75" x14ac:dyDescent="0.2">
      <c r="B211" s="2"/>
      <c r="C211" s="2"/>
      <c r="D211" s="2"/>
    </row>
    <row r="212" spans="2:4" ht="12.75" x14ac:dyDescent="0.2">
      <c r="B212" s="2"/>
      <c r="C212" s="2"/>
      <c r="D212" s="2"/>
    </row>
    <row r="213" spans="2:4" ht="12.75" x14ac:dyDescent="0.2">
      <c r="B213" s="2"/>
      <c r="C213" s="2"/>
      <c r="D213" s="2"/>
    </row>
    <row r="214" spans="2:4" ht="12.75" x14ac:dyDescent="0.2">
      <c r="B214" s="2"/>
      <c r="C214" s="2"/>
      <c r="D214" s="2"/>
    </row>
    <row r="215" spans="2:4" ht="12.75" x14ac:dyDescent="0.2">
      <c r="B215" s="2"/>
      <c r="C215" s="2"/>
      <c r="D215" s="2"/>
    </row>
    <row r="216" spans="2:4" ht="12.75" x14ac:dyDescent="0.2">
      <c r="B216" s="2"/>
      <c r="C216" s="2"/>
      <c r="D216" s="2"/>
    </row>
    <row r="217" spans="2:4" ht="12.75" x14ac:dyDescent="0.2">
      <c r="B217" s="2"/>
      <c r="C217" s="2"/>
      <c r="D217" s="2"/>
    </row>
    <row r="218" spans="2:4" ht="12.75" x14ac:dyDescent="0.2">
      <c r="B218" s="2"/>
      <c r="C218" s="2"/>
      <c r="D218" s="2"/>
    </row>
    <row r="219" spans="2:4" ht="12.75" x14ac:dyDescent="0.2">
      <c r="B219" s="2"/>
      <c r="C219" s="2"/>
      <c r="D219" s="2"/>
    </row>
    <row r="220" spans="2:4" ht="12.75" x14ac:dyDescent="0.2">
      <c r="B220" s="2"/>
      <c r="C220" s="2"/>
      <c r="D220" s="2"/>
    </row>
    <row r="221" spans="2:4" ht="12.75" x14ac:dyDescent="0.2">
      <c r="B221" s="2"/>
      <c r="C221" s="2"/>
      <c r="D221" s="2"/>
    </row>
    <row r="222" spans="2:4" ht="12.75" x14ac:dyDescent="0.2">
      <c r="B222" s="2"/>
      <c r="C222" s="2"/>
      <c r="D222" s="2"/>
    </row>
    <row r="223" spans="2:4" ht="12.75" x14ac:dyDescent="0.2">
      <c r="B223" s="2"/>
      <c r="C223" s="2"/>
      <c r="D223" s="2"/>
    </row>
    <row r="224" spans="2:4" ht="12.75" x14ac:dyDescent="0.2">
      <c r="B224" s="2"/>
      <c r="C224" s="2"/>
      <c r="D224" s="2"/>
    </row>
    <row r="225" spans="2:4" ht="12.75" x14ac:dyDescent="0.2">
      <c r="B225" s="2"/>
      <c r="C225" s="2"/>
      <c r="D225" s="2"/>
    </row>
    <row r="226" spans="2:4" ht="12.75" x14ac:dyDescent="0.2">
      <c r="B226" s="2"/>
      <c r="C226" s="2"/>
      <c r="D226" s="2"/>
    </row>
    <row r="227" spans="2:4" ht="12.75" x14ac:dyDescent="0.2">
      <c r="B227" s="2"/>
      <c r="C227" s="2"/>
      <c r="D227" s="2"/>
    </row>
    <row r="228" spans="2:4" ht="12.75" x14ac:dyDescent="0.2">
      <c r="B228" s="2"/>
      <c r="C228" s="2"/>
      <c r="D228" s="2"/>
    </row>
    <row r="229" spans="2:4" ht="12.75" x14ac:dyDescent="0.2">
      <c r="B229" s="2"/>
      <c r="C229" s="2"/>
      <c r="D229" s="2"/>
    </row>
    <row r="230" spans="2:4" ht="12.75" x14ac:dyDescent="0.2">
      <c r="B230" s="2"/>
      <c r="C230" s="2"/>
      <c r="D230" s="2"/>
    </row>
    <row r="231" spans="2:4" ht="12.75" x14ac:dyDescent="0.2">
      <c r="B231" s="2"/>
      <c r="C231" s="2"/>
      <c r="D231" s="2"/>
    </row>
    <row r="232" spans="2:4" ht="12.75" x14ac:dyDescent="0.2">
      <c r="B232" s="2"/>
      <c r="C232" s="2"/>
      <c r="D232" s="2"/>
    </row>
    <row r="233" spans="2:4" ht="12.75" x14ac:dyDescent="0.2">
      <c r="B233" s="2"/>
      <c r="C233" s="2"/>
      <c r="D233" s="2"/>
    </row>
    <row r="234" spans="2:4" ht="12.75" x14ac:dyDescent="0.2">
      <c r="B234" s="2"/>
      <c r="C234" s="2"/>
      <c r="D234" s="2"/>
    </row>
    <row r="235" spans="2:4" ht="12.75" x14ac:dyDescent="0.2">
      <c r="B235" s="2"/>
      <c r="C235" s="2"/>
      <c r="D235" s="2"/>
    </row>
    <row r="236" spans="2:4" ht="12.75" x14ac:dyDescent="0.2">
      <c r="B236" s="2"/>
      <c r="C236" s="2"/>
      <c r="D236" s="2"/>
    </row>
    <row r="237" spans="2:4" ht="12.75" x14ac:dyDescent="0.2">
      <c r="B237" s="2"/>
      <c r="C237" s="2"/>
      <c r="D237" s="2"/>
    </row>
    <row r="238" spans="2:4" ht="12.75" x14ac:dyDescent="0.2">
      <c r="B238" s="2"/>
      <c r="C238" s="2"/>
      <c r="D238" s="2"/>
    </row>
    <row r="239" spans="2:4" ht="12.75" x14ac:dyDescent="0.2">
      <c r="B239" s="2"/>
      <c r="C239" s="2"/>
      <c r="D239" s="2"/>
    </row>
    <row r="240" spans="2:4" ht="12.75" x14ac:dyDescent="0.2">
      <c r="B240" s="2"/>
      <c r="C240" s="2"/>
      <c r="D240" s="2"/>
    </row>
    <row r="241" spans="2:4" ht="12.75" x14ac:dyDescent="0.2">
      <c r="B241" s="2"/>
      <c r="C241" s="2"/>
      <c r="D241" s="2"/>
    </row>
    <row r="242" spans="2:4" ht="12.75" x14ac:dyDescent="0.2">
      <c r="B242" s="2"/>
      <c r="C242" s="2"/>
      <c r="D242" s="2"/>
    </row>
    <row r="243" spans="2:4" ht="12.75" x14ac:dyDescent="0.2">
      <c r="B243" s="2"/>
      <c r="C243" s="2"/>
      <c r="D243" s="2"/>
    </row>
    <row r="244" spans="2:4" ht="12.75" x14ac:dyDescent="0.2">
      <c r="B244" s="2"/>
      <c r="C244" s="2"/>
      <c r="D244" s="2"/>
    </row>
    <row r="245" spans="2:4" ht="12.75" x14ac:dyDescent="0.2">
      <c r="B245" s="2"/>
      <c r="C245" s="2"/>
      <c r="D245" s="2"/>
    </row>
    <row r="246" spans="2:4" ht="12.75" x14ac:dyDescent="0.2">
      <c r="B246" s="2"/>
      <c r="C246" s="2"/>
      <c r="D246" s="2"/>
    </row>
    <row r="247" spans="2:4" ht="12.75" x14ac:dyDescent="0.2">
      <c r="B247" s="2"/>
      <c r="C247" s="2"/>
      <c r="D247" s="2"/>
    </row>
    <row r="248" spans="2:4" ht="12.75" x14ac:dyDescent="0.2">
      <c r="B248" s="2"/>
      <c r="C248" s="2"/>
      <c r="D248" s="2"/>
    </row>
    <row r="249" spans="2:4" ht="12.75" x14ac:dyDescent="0.2">
      <c r="B249" s="2"/>
      <c r="C249" s="2"/>
      <c r="D249" s="2"/>
    </row>
    <row r="250" spans="2:4" ht="12.75" x14ac:dyDescent="0.2">
      <c r="B250" s="2"/>
      <c r="C250" s="2"/>
      <c r="D250" s="2"/>
    </row>
    <row r="251" spans="2:4" ht="12.75" x14ac:dyDescent="0.2">
      <c r="B251" s="2"/>
      <c r="C251" s="2"/>
      <c r="D251" s="2"/>
    </row>
    <row r="252" spans="2:4" ht="12.75" x14ac:dyDescent="0.2">
      <c r="B252" s="2"/>
      <c r="C252" s="2"/>
      <c r="D252" s="2"/>
    </row>
    <row r="253" spans="2:4" ht="12.75" x14ac:dyDescent="0.2">
      <c r="B253" s="2"/>
      <c r="C253" s="2"/>
      <c r="D253" s="2"/>
    </row>
    <row r="254" spans="2:4" ht="12.75" x14ac:dyDescent="0.2">
      <c r="B254" s="2"/>
      <c r="C254" s="2"/>
      <c r="D254" s="2"/>
    </row>
    <row r="255" spans="2:4" ht="12.75" x14ac:dyDescent="0.2">
      <c r="B255" s="2"/>
      <c r="C255" s="2"/>
      <c r="D255" s="2"/>
    </row>
    <row r="256" spans="2:4" ht="12.75" x14ac:dyDescent="0.2">
      <c r="B256" s="2"/>
      <c r="C256" s="2"/>
      <c r="D256" s="2"/>
    </row>
    <row r="257" spans="2:4" ht="12.75" x14ac:dyDescent="0.2">
      <c r="B257" s="2"/>
      <c r="C257" s="2"/>
      <c r="D257" s="2"/>
    </row>
    <row r="258" spans="2:4" ht="12.75" x14ac:dyDescent="0.2">
      <c r="B258" s="2"/>
      <c r="C258" s="2"/>
      <c r="D258" s="2"/>
    </row>
    <row r="259" spans="2:4" ht="12.75" x14ac:dyDescent="0.2">
      <c r="B259" s="2"/>
      <c r="C259" s="2"/>
      <c r="D259" s="2"/>
    </row>
    <row r="260" spans="2:4" ht="12.75" x14ac:dyDescent="0.2">
      <c r="B260" s="2"/>
      <c r="C260" s="2"/>
      <c r="D260" s="2"/>
    </row>
    <row r="261" spans="2:4" ht="12.75" x14ac:dyDescent="0.2">
      <c r="B261" s="2"/>
      <c r="C261" s="2"/>
      <c r="D261" s="2"/>
    </row>
    <row r="262" spans="2:4" ht="12.75" x14ac:dyDescent="0.2">
      <c r="B262" s="2"/>
      <c r="C262" s="2"/>
      <c r="D262" s="2"/>
    </row>
    <row r="263" spans="2:4" ht="12.75" x14ac:dyDescent="0.2">
      <c r="B263" s="2"/>
      <c r="C263" s="2"/>
      <c r="D263" s="2"/>
    </row>
    <row r="264" spans="2:4" ht="12.75" x14ac:dyDescent="0.2">
      <c r="B264" s="2"/>
      <c r="C264" s="2"/>
      <c r="D264" s="2"/>
    </row>
    <row r="265" spans="2:4" ht="12.75" x14ac:dyDescent="0.2">
      <c r="B265" s="2"/>
      <c r="C265" s="2"/>
      <c r="D265" s="2"/>
    </row>
    <row r="266" spans="2:4" ht="12.75" x14ac:dyDescent="0.2">
      <c r="B266" s="2"/>
      <c r="C266" s="2"/>
      <c r="D266" s="2"/>
    </row>
    <row r="267" spans="2:4" ht="12.75" x14ac:dyDescent="0.2">
      <c r="B267" s="2"/>
      <c r="C267" s="2"/>
      <c r="D267" s="2"/>
    </row>
    <row r="268" spans="2:4" ht="12.75" x14ac:dyDescent="0.2">
      <c r="B268" s="2"/>
      <c r="C268" s="2"/>
      <c r="D268" s="2"/>
    </row>
    <row r="269" spans="2:4" ht="12.75" x14ac:dyDescent="0.2">
      <c r="B269" s="2"/>
      <c r="C269" s="2"/>
      <c r="D269" s="2"/>
    </row>
    <row r="270" spans="2:4" ht="12.75" x14ac:dyDescent="0.2">
      <c r="B270" s="2"/>
      <c r="C270" s="2"/>
      <c r="D270" s="2"/>
    </row>
    <row r="271" spans="2:4" ht="12.75" x14ac:dyDescent="0.2">
      <c r="B271" s="2"/>
      <c r="C271" s="2"/>
      <c r="D271" s="2"/>
    </row>
    <row r="272" spans="2:4" ht="12.75" x14ac:dyDescent="0.2">
      <c r="B272" s="2"/>
      <c r="C272" s="2"/>
      <c r="D272" s="2"/>
    </row>
    <row r="273" spans="2:4" ht="12.75" x14ac:dyDescent="0.2">
      <c r="B273" s="2"/>
      <c r="C273" s="2"/>
      <c r="D273" s="2"/>
    </row>
    <row r="274" spans="2:4" ht="12.75" x14ac:dyDescent="0.2">
      <c r="B274" s="2"/>
      <c r="C274" s="2"/>
      <c r="D274" s="2"/>
    </row>
    <row r="275" spans="2:4" ht="12.75" x14ac:dyDescent="0.2">
      <c r="B275" s="2"/>
      <c r="C275" s="2"/>
      <c r="D275" s="2"/>
    </row>
    <row r="276" spans="2:4" ht="12.75" x14ac:dyDescent="0.2">
      <c r="B276" s="2"/>
      <c r="C276" s="2"/>
      <c r="D276" s="2"/>
    </row>
    <row r="277" spans="2:4" ht="12.75" x14ac:dyDescent="0.2">
      <c r="B277" s="2"/>
      <c r="C277" s="2"/>
      <c r="D277" s="2"/>
    </row>
    <row r="278" spans="2:4" ht="12.75" x14ac:dyDescent="0.2">
      <c r="B278" s="2"/>
      <c r="C278" s="2"/>
      <c r="D278" s="2"/>
    </row>
    <row r="279" spans="2:4" ht="12.75" x14ac:dyDescent="0.2">
      <c r="B279" s="2"/>
      <c r="C279" s="2"/>
      <c r="D279" s="2"/>
    </row>
    <row r="280" spans="2:4" ht="12.75" x14ac:dyDescent="0.2">
      <c r="B280" s="2"/>
      <c r="C280" s="2"/>
      <c r="D280" s="2"/>
    </row>
    <row r="281" spans="2:4" ht="12.75" x14ac:dyDescent="0.2">
      <c r="B281" s="2"/>
      <c r="C281" s="2"/>
      <c r="D281" s="2"/>
    </row>
    <row r="282" spans="2:4" ht="12.75" x14ac:dyDescent="0.2">
      <c r="B282" s="2"/>
      <c r="C282" s="2"/>
      <c r="D282" s="2"/>
    </row>
    <row r="283" spans="2:4" ht="12.75" x14ac:dyDescent="0.2">
      <c r="B283" s="2"/>
      <c r="C283" s="2"/>
      <c r="D283" s="2"/>
    </row>
    <row r="284" spans="2:4" ht="12.75" x14ac:dyDescent="0.2">
      <c r="B284" s="2"/>
      <c r="C284" s="2"/>
      <c r="D284" s="2"/>
    </row>
    <row r="285" spans="2:4" ht="12.75" x14ac:dyDescent="0.2">
      <c r="B285" s="2"/>
      <c r="C285" s="2"/>
      <c r="D285" s="2"/>
    </row>
    <row r="286" spans="2:4" ht="12.75" x14ac:dyDescent="0.2">
      <c r="B286" s="2"/>
      <c r="C286" s="2"/>
      <c r="D286" s="2"/>
    </row>
    <row r="287" spans="2:4" ht="12.75" x14ac:dyDescent="0.2">
      <c r="B287" s="2"/>
      <c r="C287" s="2"/>
      <c r="D287" s="2"/>
    </row>
    <row r="288" spans="2:4" ht="12.75" x14ac:dyDescent="0.2">
      <c r="B288" s="2"/>
      <c r="C288" s="2"/>
      <c r="D288" s="2"/>
    </row>
    <row r="289" spans="2:4" ht="12.75" x14ac:dyDescent="0.2">
      <c r="B289" s="2"/>
      <c r="C289" s="2"/>
      <c r="D289" s="2"/>
    </row>
    <row r="290" spans="2:4" ht="12.75" x14ac:dyDescent="0.2">
      <c r="B290" s="2"/>
      <c r="C290" s="2"/>
      <c r="D290" s="2"/>
    </row>
    <row r="291" spans="2:4" ht="12.75" x14ac:dyDescent="0.2">
      <c r="B291" s="2"/>
      <c r="C291" s="2"/>
      <c r="D291" s="2"/>
    </row>
    <row r="292" spans="2:4" ht="12.75" x14ac:dyDescent="0.2">
      <c r="B292" s="2"/>
      <c r="C292" s="2"/>
      <c r="D292" s="2"/>
    </row>
    <row r="293" spans="2:4" ht="12.75" x14ac:dyDescent="0.2">
      <c r="B293" s="2"/>
      <c r="C293" s="2"/>
      <c r="D293" s="2"/>
    </row>
    <row r="294" spans="2:4" ht="12.75" x14ac:dyDescent="0.2">
      <c r="B294" s="2"/>
      <c r="C294" s="2"/>
      <c r="D294" s="2"/>
    </row>
    <row r="295" spans="2:4" ht="12.75" x14ac:dyDescent="0.2">
      <c r="B295" s="2"/>
      <c r="C295" s="2"/>
      <c r="D295" s="2"/>
    </row>
    <row r="296" spans="2:4" ht="12.75" x14ac:dyDescent="0.2">
      <c r="B296" s="2"/>
      <c r="C296" s="2"/>
      <c r="D296" s="2"/>
    </row>
    <row r="297" spans="2:4" ht="12.75" x14ac:dyDescent="0.2">
      <c r="B297" s="2"/>
      <c r="C297" s="2"/>
      <c r="D297" s="2"/>
    </row>
    <row r="298" spans="2:4" ht="12.75" x14ac:dyDescent="0.2">
      <c r="B298" s="2"/>
      <c r="C298" s="2"/>
      <c r="D298" s="2"/>
    </row>
    <row r="299" spans="2:4" ht="12.75" x14ac:dyDescent="0.2">
      <c r="B299" s="2"/>
      <c r="C299" s="2"/>
      <c r="D299" s="2"/>
    </row>
    <row r="300" spans="2:4" ht="12.75" x14ac:dyDescent="0.2">
      <c r="B300" s="2"/>
      <c r="C300" s="2"/>
      <c r="D300" s="2"/>
    </row>
    <row r="301" spans="2:4" ht="12.75" x14ac:dyDescent="0.2">
      <c r="B301" s="2"/>
      <c r="C301" s="2"/>
      <c r="D301" s="2"/>
    </row>
    <row r="302" spans="2:4" ht="12.75" x14ac:dyDescent="0.2">
      <c r="B302" s="2"/>
      <c r="C302" s="2"/>
      <c r="D302" s="2"/>
    </row>
    <row r="303" spans="2:4" ht="12.75" x14ac:dyDescent="0.2">
      <c r="B303" s="2"/>
      <c r="C303" s="2"/>
      <c r="D303" s="2"/>
    </row>
    <row r="304" spans="2:4" ht="12.75" x14ac:dyDescent="0.2">
      <c r="B304" s="2"/>
      <c r="C304" s="2"/>
      <c r="D304" s="2"/>
    </row>
    <row r="305" spans="2:4" ht="12.75" x14ac:dyDescent="0.2">
      <c r="B305" s="2"/>
      <c r="C305" s="2"/>
      <c r="D305" s="2"/>
    </row>
    <row r="306" spans="2:4" ht="12.75" x14ac:dyDescent="0.2">
      <c r="B306" s="2"/>
      <c r="C306" s="2"/>
      <c r="D306" s="2"/>
    </row>
    <row r="307" spans="2:4" ht="12.75" x14ac:dyDescent="0.2">
      <c r="B307" s="2"/>
      <c r="C307" s="2"/>
      <c r="D307" s="2"/>
    </row>
    <row r="308" spans="2:4" ht="12.75" x14ac:dyDescent="0.2">
      <c r="B308" s="2"/>
      <c r="C308" s="2"/>
      <c r="D308" s="2"/>
    </row>
    <row r="309" spans="2:4" ht="12.75" x14ac:dyDescent="0.2">
      <c r="B309" s="2"/>
      <c r="C309" s="2"/>
      <c r="D309" s="2"/>
    </row>
    <row r="310" spans="2:4" ht="12.75" x14ac:dyDescent="0.2">
      <c r="B310" s="2"/>
      <c r="C310" s="2"/>
      <c r="D310" s="2"/>
    </row>
    <row r="311" spans="2:4" ht="12.75" x14ac:dyDescent="0.2">
      <c r="B311" s="2"/>
      <c r="C311" s="2"/>
      <c r="D311" s="2"/>
    </row>
    <row r="312" spans="2:4" ht="12.75" x14ac:dyDescent="0.2">
      <c r="B312" s="2"/>
      <c r="C312" s="2"/>
      <c r="D312" s="2"/>
    </row>
    <row r="313" spans="2:4" ht="12.75" x14ac:dyDescent="0.2">
      <c r="B313" s="2"/>
      <c r="C313" s="2"/>
      <c r="D313" s="2"/>
    </row>
    <row r="314" spans="2:4" ht="12.75" x14ac:dyDescent="0.2">
      <c r="B314" s="2"/>
      <c r="C314" s="2"/>
      <c r="D314" s="2"/>
    </row>
    <row r="315" spans="2:4" ht="12.75" x14ac:dyDescent="0.2">
      <c r="B315" s="2"/>
      <c r="C315" s="2"/>
      <c r="D315" s="2"/>
    </row>
    <row r="316" spans="2:4" ht="12.75" x14ac:dyDescent="0.2">
      <c r="B316" s="2"/>
      <c r="C316" s="2"/>
      <c r="D316" s="2"/>
    </row>
    <row r="317" spans="2:4" ht="12.75" x14ac:dyDescent="0.2">
      <c r="B317" s="2"/>
      <c r="C317" s="2"/>
      <c r="D317" s="2"/>
    </row>
    <row r="318" spans="2:4" ht="12.75" x14ac:dyDescent="0.2">
      <c r="B318" s="2"/>
      <c r="C318" s="2"/>
      <c r="D318" s="2"/>
    </row>
    <row r="319" spans="2:4" ht="12.75" x14ac:dyDescent="0.2">
      <c r="B319" s="2"/>
      <c r="C319" s="2"/>
      <c r="D319" s="2"/>
    </row>
    <row r="320" spans="2:4" ht="12.75" x14ac:dyDescent="0.2">
      <c r="B320" s="2"/>
      <c r="C320" s="2"/>
      <c r="D320" s="2"/>
    </row>
    <row r="321" spans="2:4" ht="12.75" x14ac:dyDescent="0.2">
      <c r="B321" s="2"/>
      <c r="C321" s="2"/>
      <c r="D321" s="2"/>
    </row>
    <row r="322" spans="2:4" ht="12.75" x14ac:dyDescent="0.2">
      <c r="B322" s="2"/>
      <c r="C322" s="2"/>
      <c r="D322" s="2"/>
    </row>
    <row r="323" spans="2:4" ht="12.75" x14ac:dyDescent="0.2">
      <c r="B323" s="2"/>
      <c r="C323" s="2"/>
      <c r="D323" s="2"/>
    </row>
    <row r="324" spans="2:4" ht="12.75" x14ac:dyDescent="0.2">
      <c r="B324" s="2"/>
      <c r="C324" s="2"/>
      <c r="D324" s="2"/>
    </row>
    <row r="325" spans="2:4" ht="12.75" x14ac:dyDescent="0.2">
      <c r="B325" s="2"/>
      <c r="C325" s="2"/>
      <c r="D325" s="2"/>
    </row>
    <row r="326" spans="2:4" ht="12.75" x14ac:dyDescent="0.2">
      <c r="B326" s="2"/>
      <c r="C326" s="2"/>
      <c r="D326" s="2"/>
    </row>
    <row r="327" spans="2:4" ht="12.75" x14ac:dyDescent="0.2">
      <c r="B327" s="2"/>
      <c r="C327" s="2"/>
      <c r="D327" s="2"/>
    </row>
    <row r="328" spans="2:4" ht="12.75" x14ac:dyDescent="0.2">
      <c r="B328" s="2"/>
      <c r="C328" s="2"/>
      <c r="D328" s="2"/>
    </row>
    <row r="329" spans="2:4" ht="12.75" x14ac:dyDescent="0.2">
      <c r="B329" s="2"/>
      <c r="C329" s="2"/>
      <c r="D329" s="2"/>
    </row>
    <row r="330" spans="2:4" ht="12.75" x14ac:dyDescent="0.2">
      <c r="B330" s="2"/>
      <c r="C330" s="2"/>
      <c r="D330" s="2"/>
    </row>
    <row r="331" spans="2:4" ht="12.75" x14ac:dyDescent="0.2">
      <c r="B331" s="2"/>
      <c r="C331" s="2"/>
      <c r="D331" s="2"/>
    </row>
    <row r="332" spans="2:4" ht="12.75" x14ac:dyDescent="0.2">
      <c r="B332" s="2"/>
      <c r="C332" s="2"/>
      <c r="D332" s="2"/>
    </row>
    <row r="333" spans="2:4" ht="12.75" x14ac:dyDescent="0.2">
      <c r="B333" s="2"/>
      <c r="C333" s="2"/>
      <c r="D333" s="2"/>
    </row>
    <row r="334" spans="2:4" ht="12.75" x14ac:dyDescent="0.2">
      <c r="B334" s="2"/>
      <c r="C334" s="2"/>
      <c r="D334" s="2"/>
    </row>
    <row r="335" spans="2:4" ht="12.75" x14ac:dyDescent="0.2">
      <c r="B335" s="2"/>
      <c r="C335" s="2"/>
      <c r="D335" s="2"/>
    </row>
    <row r="336" spans="2:4" ht="12.75" x14ac:dyDescent="0.2">
      <c r="B336" s="2"/>
      <c r="C336" s="2"/>
      <c r="D336" s="2"/>
    </row>
    <row r="337" spans="2:4" ht="12.75" x14ac:dyDescent="0.2">
      <c r="B337" s="2"/>
      <c r="C337" s="2"/>
      <c r="D337" s="2"/>
    </row>
    <row r="338" spans="2:4" ht="12.75" x14ac:dyDescent="0.2">
      <c r="B338" s="2"/>
      <c r="C338" s="2"/>
      <c r="D338" s="2"/>
    </row>
    <row r="339" spans="2:4" ht="12.75" x14ac:dyDescent="0.2">
      <c r="B339" s="2"/>
      <c r="C339" s="2"/>
      <c r="D339" s="2"/>
    </row>
    <row r="340" spans="2:4" ht="12.75" x14ac:dyDescent="0.2">
      <c r="B340" s="2"/>
      <c r="C340" s="2"/>
      <c r="D340" s="2"/>
    </row>
    <row r="341" spans="2:4" ht="12.75" x14ac:dyDescent="0.2">
      <c r="B341" s="2"/>
      <c r="C341" s="2"/>
      <c r="D341" s="2"/>
    </row>
    <row r="342" spans="2:4" ht="12.75" x14ac:dyDescent="0.2">
      <c r="B342" s="2"/>
      <c r="C342" s="2"/>
      <c r="D342" s="2"/>
    </row>
    <row r="343" spans="2:4" ht="12.75" x14ac:dyDescent="0.2">
      <c r="B343" s="2"/>
      <c r="C343" s="2"/>
      <c r="D343" s="2"/>
    </row>
    <row r="344" spans="2:4" ht="12.75" x14ac:dyDescent="0.2">
      <c r="B344" s="2"/>
      <c r="C344" s="2"/>
      <c r="D344" s="2"/>
    </row>
    <row r="345" spans="2:4" ht="12.75" x14ac:dyDescent="0.2">
      <c r="B345" s="2"/>
      <c r="C345" s="2"/>
      <c r="D345" s="2"/>
    </row>
    <row r="346" spans="2:4" ht="12.75" x14ac:dyDescent="0.2">
      <c r="B346" s="2"/>
      <c r="C346" s="2"/>
      <c r="D346" s="2"/>
    </row>
    <row r="347" spans="2:4" ht="12.75" x14ac:dyDescent="0.2">
      <c r="B347" s="2"/>
      <c r="C347" s="2"/>
      <c r="D347" s="2"/>
    </row>
    <row r="348" spans="2:4" ht="12.75" x14ac:dyDescent="0.2">
      <c r="B348" s="2"/>
      <c r="C348" s="2"/>
      <c r="D348" s="2"/>
    </row>
    <row r="349" spans="2:4" ht="12.75" x14ac:dyDescent="0.2">
      <c r="B349" s="2"/>
      <c r="C349" s="2"/>
      <c r="D349" s="2"/>
    </row>
    <row r="350" spans="2:4" ht="12.75" x14ac:dyDescent="0.2">
      <c r="B350" s="2"/>
      <c r="C350" s="2"/>
      <c r="D350" s="2"/>
    </row>
    <row r="351" spans="2:4" ht="12.75" x14ac:dyDescent="0.2">
      <c r="B351" s="2"/>
      <c r="C351" s="2"/>
      <c r="D351" s="2"/>
    </row>
    <row r="352" spans="2:4" ht="12.75" x14ac:dyDescent="0.2">
      <c r="B352" s="2"/>
      <c r="C352" s="2"/>
      <c r="D352" s="2"/>
    </row>
    <row r="353" spans="2:4" ht="12.75" x14ac:dyDescent="0.2">
      <c r="B353" s="2"/>
      <c r="C353" s="2"/>
      <c r="D353" s="2"/>
    </row>
    <row r="354" spans="2:4" ht="12.75" x14ac:dyDescent="0.2">
      <c r="B354" s="2"/>
      <c r="C354" s="2"/>
      <c r="D354" s="2"/>
    </row>
    <row r="355" spans="2:4" ht="12.75" x14ac:dyDescent="0.2">
      <c r="B355" s="2"/>
      <c r="C355" s="2"/>
      <c r="D355" s="2"/>
    </row>
    <row r="356" spans="2:4" ht="12.75" x14ac:dyDescent="0.2">
      <c r="B356" s="2"/>
      <c r="C356" s="2"/>
      <c r="D356" s="2"/>
    </row>
    <row r="357" spans="2:4" ht="12.75" x14ac:dyDescent="0.2">
      <c r="B357" s="2"/>
      <c r="C357" s="2"/>
      <c r="D357" s="2"/>
    </row>
    <row r="358" spans="2:4" ht="12.75" x14ac:dyDescent="0.2">
      <c r="B358" s="2"/>
      <c r="C358" s="2"/>
      <c r="D358" s="2"/>
    </row>
    <row r="359" spans="2:4" ht="12.75" x14ac:dyDescent="0.2">
      <c r="B359" s="2"/>
      <c r="C359" s="2"/>
      <c r="D359" s="2"/>
    </row>
    <row r="360" spans="2:4" ht="12.75" x14ac:dyDescent="0.2">
      <c r="B360" s="2"/>
      <c r="C360" s="2"/>
      <c r="D360" s="2"/>
    </row>
    <row r="361" spans="2:4" ht="12.75" x14ac:dyDescent="0.2">
      <c r="B361" s="2"/>
      <c r="C361" s="2"/>
      <c r="D361" s="2"/>
    </row>
    <row r="362" spans="2:4" ht="12.75" x14ac:dyDescent="0.2">
      <c r="B362" s="2"/>
      <c r="C362" s="2"/>
      <c r="D362" s="2"/>
    </row>
    <row r="363" spans="2:4" ht="12.75" x14ac:dyDescent="0.2">
      <c r="B363" s="2"/>
      <c r="C363" s="2"/>
      <c r="D363" s="2"/>
    </row>
    <row r="364" spans="2:4" ht="12.75" x14ac:dyDescent="0.2">
      <c r="B364" s="2"/>
      <c r="C364" s="2"/>
      <c r="D364" s="2"/>
    </row>
    <row r="365" spans="2:4" ht="12.75" x14ac:dyDescent="0.2">
      <c r="B365" s="2"/>
      <c r="C365" s="2"/>
      <c r="D365" s="2"/>
    </row>
    <row r="366" spans="2:4" ht="12.75" x14ac:dyDescent="0.2">
      <c r="B366" s="2"/>
      <c r="C366" s="2"/>
      <c r="D366" s="2"/>
    </row>
    <row r="367" spans="2:4" ht="12.75" x14ac:dyDescent="0.2">
      <c r="B367" s="2"/>
      <c r="C367" s="2"/>
      <c r="D367" s="2"/>
    </row>
    <row r="368" spans="2:4" ht="12.75" x14ac:dyDescent="0.2">
      <c r="B368" s="2"/>
      <c r="C368" s="2"/>
      <c r="D368" s="2"/>
    </row>
    <row r="369" spans="2:4" ht="12.75" x14ac:dyDescent="0.2">
      <c r="B369" s="2"/>
      <c r="C369" s="2"/>
      <c r="D369" s="2"/>
    </row>
    <row r="370" spans="2:4" ht="12.75" x14ac:dyDescent="0.2">
      <c r="B370" s="2"/>
      <c r="C370" s="2"/>
      <c r="D370" s="2"/>
    </row>
    <row r="371" spans="2:4" ht="12.75" x14ac:dyDescent="0.2">
      <c r="B371" s="2"/>
      <c r="C371" s="2"/>
      <c r="D371" s="2"/>
    </row>
    <row r="372" spans="2:4" ht="12.75" x14ac:dyDescent="0.2">
      <c r="B372" s="2"/>
      <c r="C372" s="2"/>
      <c r="D372" s="2"/>
    </row>
    <row r="373" spans="2:4" ht="12.75" x14ac:dyDescent="0.2">
      <c r="B373" s="2"/>
      <c r="C373" s="2"/>
      <c r="D373" s="2"/>
    </row>
    <row r="374" spans="2:4" ht="12.75" x14ac:dyDescent="0.2">
      <c r="B374" s="2"/>
      <c r="C374" s="2"/>
      <c r="D374" s="2"/>
    </row>
    <row r="375" spans="2:4" ht="12.75" x14ac:dyDescent="0.2">
      <c r="B375" s="2"/>
      <c r="C375" s="2"/>
      <c r="D375" s="2"/>
    </row>
    <row r="376" spans="2:4" ht="12.75" x14ac:dyDescent="0.2">
      <c r="B376" s="2"/>
      <c r="C376" s="2"/>
      <c r="D376" s="2"/>
    </row>
    <row r="377" spans="2:4" ht="12.75" x14ac:dyDescent="0.2">
      <c r="B377" s="2"/>
      <c r="C377" s="2"/>
      <c r="D377" s="2"/>
    </row>
    <row r="378" spans="2:4" ht="12.75" x14ac:dyDescent="0.2">
      <c r="B378" s="2"/>
      <c r="C378" s="2"/>
      <c r="D378" s="2"/>
    </row>
    <row r="379" spans="2:4" ht="12.75" x14ac:dyDescent="0.2">
      <c r="B379" s="2"/>
      <c r="C379" s="2"/>
      <c r="D379" s="2"/>
    </row>
    <row r="380" spans="2:4" ht="12.75" x14ac:dyDescent="0.2">
      <c r="B380" s="2"/>
      <c r="C380" s="2"/>
      <c r="D380" s="2"/>
    </row>
    <row r="381" spans="2:4" ht="12.75" x14ac:dyDescent="0.2">
      <c r="B381" s="2"/>
      <c r="C381" s="2"/>
      <c r="D381" s="2"/>
    </row>
    <row r="382" spans="2:4" ht="12.75" x14ac:dyDescent="0.2">
      <c r="B382" s="2"/>
      <c r="C382" s="2"/>
      <c r="D382" s="2"/>
    </row>
    <row r="383" spans="2:4" ht="12.75" x14ac:dyDescent="0.2">
      <c r="B383" s="2"/>
      <c r="C383" s="2"/>
      <c r="D383" s="2"/>
    </row>
    <row r="384" spans="2:4" ht="12.75" x14ac:dyDescent="0.2">
      <c r="B384" s="2"/>
      <c r="C384" s="2"/>
      <c r="D384" s="2"/>
    </row>
    <row r="385" spans="2:4" ht="12.75" x14ac:dyDescent="0.2">
      <c r="B385" s="2"/>
      <c r="C385" s="2"/>
      <c r="D385" s="2"/>
    </row>
    <row r="386" spans="2:4" ht="12.75" x14ac:dyDescent="0.2">
      <c r="B386" s="2"/>
      <c r="C386" s="2"/>
      <c r="D386" s="2"/>
    </row>
    <row r="387" spans="2:4" ht="12.75" x14ac:dyDescent="0.2">
      <c r="B387" s="2"/>
      <c r="C387" s="2"/>
      <c r="D387" s="2"/>
    </row>
    <row r="388" spans="2:4" ht="12.75" x14ac:dyDescent="0.2">
      <c r="B388" s="2"/>
      <c r="C388" s="2"/>
      <c r="D388" s="2"/>
    </row>
    <row r="389" spans="2:4" ht="12.75" x14ac:dyDescent="0.2">
      <c r="B389" s="2"/>
      <c r="C389" s="2"/>
      <c r="D389" s="2"/>
    </row>
    <row r="390" spans="2:4" ht="12.75" x14ac:dyDescent="0.2">
      <c r="B390" s="2"/>
      <c r="C390" s="2"/>
      <c r="D390" s="2"/>
    </row>
    <row r="391" spans="2:4" ht="12.75" x14ac:dyDescent="0.2">
      <c r="B391" s="2"/>
      <c r="C391" s="2"/>
      <c r="D391" s="2"/>
    </row>
    <row r="392" spans="2:4" ht="12.75" x14ac:dyDescent="0.2">
      <c r="B392" s="2"/>
      <c r="C392" s="2"/>
      <c r="D392" s="2"/>
    </row>
    <row r="393" spans="2:4" ht="12.75" x14ac:dyDescent="0.2">
      <c r="B393" s="2"/>
      <c r="C393" s="2"/>
      <c r="D393" s="2"/>
    </row>
    <row r="394" spans="2:4" ht="12.75" x14ac:dyDescent="0.2">
      <c r="B394" s="2"/>
      <c r="C394" s="2"/>
      <c r="D394" s="2"/>
    </row>
    <row r="395" spans="2:4" ht="12.75" x14ac:dyDescent="0.2">
      <c r="B395" s="2"/>
      <c r="C395" s="2"/>
      <c r="D395" s="2"/>
    </row>
    <row r="396" spans="2:4" ht="12.75" x14ac:dyDescent="0.2">
      <c r="B396" s="2"/>
      <c r="C396" s="2"/>
      <c r="D396" s="2"/>
    </row>
    <row r="397" spans="2:4" ht="12.75" x14ac:dyDescent="0.2">
      <c r="B397" s="2"/>
      <c r="C397" s="2"/>
      <c r="D397" s="2"/>
    </row>
    <row r="398" spans="2:4" ht="12.75" x14ac:dyDescent="0.2">
      <c r="B398" s="2"/>
      <c r="C398" s="2"/>
      <c r="D398" s="2"/>
    </row>
    <row r="399" spans="2:4" ht="12.75" x14ac:dyDescent="0.2">
      <c r="B399" s="2"/>
      <c r="C399" s="2"/>
      <c r="D399" s="2"/>
    </row>
    <row r="400" spans="2:4" ht="12.75" x14ac:dyDescent="0.2">
      <c r="B400" s="2"/>
      <c r="C400" s="2"/>
      <c r="D400" s="2"/>
    </row>
    <row r="401" spans="2:4" ht="12.75" x14ac:dyDescent="0.2">
      <c r="B401" s="2"/>
      <c r="C401" s="2"/>
      <c r="D401" s="2"/>
    </row>
    <row r="402" spans="2:4" ht="12.75" x14ac:dyDescent="0.2">
      <c r="B402" s="2"/>
      <c r="C402" s="2"/>
      <c r="D402" s="2"/>
    </row>
    <row r="403" spans="2:4" ht="12.75" x14ac:dyDescent="0.2">
      <c r="B403" s="2"/>
      <c r="C403" s="2"/>
      <c r="D403" s="2"/>
    </row>
    <row r="404" spans="2:4" ht="12.75" x14ac:dyDescent="0.2">
      <c r="B404" s="2"/>
      <c r="C404" s="2"/>
      <c r="D404" s="2"/>
    </row>
    <row r="405" spans="2:4" ht="12.75" x14ac:dyDescent="0.2">
      <c r="B405" s="2"/>
      <c r="C405" s="2"/>
      <c r="D405" s="2"/>
    </row>
    <row r="406" spans="2:4" ht="12.75" x14ac:dyDescent="0.2">
      <c r="B406" s="2"/>
      <c r="C406" s="2"/>
      <c r="D406" s="2"/>
    </row>
    <row r="407" spans="2:4" ht="12.75" x14ac:dyDescent="0.2">
      <c r="B407" s="2"/>
      <c r="C407" s="2"/>
      <c r="D407" s="2"/>
    </row>
    <row r="408" spans="2:4" ht="12.75" x14ac:dyDescent="0.2">
      <c r="B408" s="2"/>
      <c r="C408" s="2"/>
      <c r="D408" s="2"/>
    </row>
    <row r="409" spans="2:4" ht="12.75" x14ac:dyDescent="0.2">
      <c r="B409" s="2"/>
      <c r="C409" s="2"/>
      <c r="D409" s="2"/>
    </row>
    <row r="410" spans="2:4" ht="12.75" x14ac:dyDescent="0.2">
      <c r="B410" s="2"/>
      <c r="C410" s="2"/>
      <c r="D410" s="2"/>
    </row>
    <row r="411" spans="2:4" ht="12.75" x14ac:dyDescent="0.2">
      <c r="B411" s="2"/>
      <c r="C411" s="2"/>
      <c r="D411" s="2"/>
    </row>
    <row r="412" spans="2:4" ht="12.75" x14ac:dyDescent="0.2">
      <c r="B412" s="2"/>
      <c r="C412" s="2"/>
      <c r="D412" s="2"/>
    </row>
    <row r="413" spans="2:4" ht="12.75" x14ac:dyDescent="0.2">
      <c r="B413" s="2"/>
      <c r="C413" s="2"/>
      <c r="D413" s="2"/>
    </row>
    <row r="414" spans="2:4" ht="12.75" x14ac:dyDescent="0.2">
      <c r="B414" s="2"/>
      <c r="C414" s="2"/>
      <c r="D414" s="2"/>
    </row>
    <row r="415" spans="2:4" ht="12.75" x14ac:dyDescent="0.2">
      <c r="B415" s="2"/>
      <c r="C415" s="2"/>
      <c r="D415" s="2"/>
    </row>
    <row r="416" spans="2:4" ht="12.75" x14ac:dyDescent="0.2">
      <c r="B416" s="2"/>
      <c r="C416" s="2"/>
      <c r="D416" s="2"/>
    </row>
    <row r="417" spans="2:4" ht="12.75" x14ac:dyDescent="0.2">
      <c r="B417" s="2"/>
      <c r="C417" s="2"/>
      <c r="D417" s="2"/>
    </row>
    <row r="418" spans="2:4" ht="12.75" x14ac:dyDescent="0.2">
      <c r="B418" s="2"/>
      <c r="C418" s="2"/>
      <c r="D418" s="2"/>
    </row>
    <row r="419" spans="2:4" ht="12.75" x14ac:dyDescent="0.2">
      <c r="B419" s="2"/>
      <c r="C419" s="2"/>
      <c r="D419" s="2"/>
    </row>
    <row r="420" spans="2:4" ht="12.75" x14ac:dyDescent="0.2">
      <c r="B420" s="2"/>
      <c r="C420" s="2"/>
      <c r="D420" s="2"/>
    </row>
    <row r="421" spans="2:4" ht="12.75" x14ac:dyDescent="0.2">
      <c r="B421" s="2"/>
      <c r="C421" s="2"/>
      <c r="D421" s="2"/>
    </row>
    <row r="422" spans="2:4" ht="12.75" x14ac:dyDescent="0.2">
      <c r="B422" s="2"/>
      <c r="C422" s="2"/>
      <c r="D422" s="2"/>
    </row>
    <row r="423" spans="2:4" ht="12.75" x14ac:dyDescent="0.2">
      <c r="B423" s="2"/>
      <c r="C423" s="2"/>
      <c r="D423" s="2"/>
    </row>
    <row r="424" spans="2:4" ht="12.75" x14ac:dyDescent="0.2">
      <c r="B424" s="2"/>
      <c r="C424" s="2"/>
      <c r="D424" s="2"/>
    </row>
    <row r="425" spans="2:4" ht="12.75" x14ac:dyDescent="0.2">
      <c r="B425" s="2"/>
      <c r="C425" s="2"/>
      <c r="D425" s="2"/>
    </row>
    <row r="426" spans="2:4" ht="12.75" x14ac:dyDescent="0.2">
      <c r="B426" s="2"/>
      <c r="C426" s="2"/>
      <c r="D426" s="2"/>
    </row>
    <row r="427" spans="2:4" ht="12.75" x14ac:dyDescent="0.2">
      <c r="B427" s="2"/>
      <c r="C427" s="2"/>
      <c r="D427" s="2"/>
    </row>
    <row r="428" spans="2:4" ht="12.75" x14ac:dyDescent="0.2">
      <c r="B428" s="2"/>
      <c r="C428" s="2"/>
      <c r="D428" s="2"/>
    </row>
    <row r="429" spans="2:4" ht="12.75" x14ac:dyDescent="0.2">
      <c r="B429" s="2"/>
      <c r="C429" s="2"/>
      <c r="D429" s="2"/>
    </row>
    <row r="430" spans="2:4" ht="12.75" x14ac:dyDescent="0.2">
      <c r="B430" s="2"/>
      <c r="C430" s="2"/>
      <c r="D430" s="2"/>
    </row>
    <row r="431" spans="2:4" ht="12.75" x14ac:dyDescent="0.2">
      <c r="B431" s="2"/>
      <c r="C431" s="2"/>
      <c r="D431" s="2"/>
    </row>
    <row r="432" spans="2:4" ht="12.75" x14ac:dyDescent="0.2">
      <c r="B432" s="2"/>
      <c r="C432" s="2"/>
      <c r="D432" s="2"/>
    </row>
    <row r="433" spans="2:4" ht="12.75" x14ac:dyDescent="0.2">
      <c r="B433" s="2"/>
      <c r="C433" s="2"/>
      <c r="D433" s="2"/>
    </row>
    <row r="434" spans="2:4" ht="12.75" x14ac:dyDescent="0.2">
      <c r="B434" s="2"/>
      <c r="C434" s="2"/>
      <c r="D434" s="2"/>
    </row>
    <row r="435" spans="2:4" ht="12.75" x14ac:dyDescent="0.2">
      <c r="B435" s="2"/>
      <c r="C435" s="2"/>
      <c r="D435" s="2"/>
    </row>
    <row r="436" spans="2:4" ht="12.75" x14ac:dyDescent="0.2">
      <c r="B436" s="2"/>
      <c r="C436" s="2"/>
      <c r="D436" s="2"/>
    </row>
    <row r="437" spans="2:4" ht="12.75" x14ac:dyDescent="0.2">
      <c r="B437" s="2"/>
      <c r="C437" s="2"/>
      <c r="D437" s="2"/>
    </row>
    <row r="438" spans="2:4" ht="12.75" x14ac:dyDescent="0.2">
      <c r="B438" s="2"/>
      <c r="C438" s="2"/>
      <c r="D438" s="2"/>
    </row>
    <row r="439" spans="2:4" ht="12.75" x14ac:dyDescent="0.2">
      <c r="B439" s="2"/>
      <c r="C439" s="2"/>
      <c r="D439" s="2"/>
    </row>
    <row r="440" spans="2:4" ht="12.75" x14ac:dyDescent="0.2">
      <c r="B440" s="2"/>
      <c r="C440" s="2"/>
      <c r="D440" s="2"/>
    </row>
    <row r="441" spans="2:4" ht="12.75" x14ac:dyDescent="0.2">
      <c r="B441" s="2"/>
      <c r="C441" s="2"/>
      <c r="D441" s="2"/>
    </row>
    <row r="442" spans="2:4" ht="12.75" x14ac:dyDescent="0.2">
      <c r="B442" s="2"/>
      <c r="C442" s="2"/>
      <c r="D442" s="2"/>
    </row>
    <row r="443" spans="2:4" ht="12.75" x14ac:dyDescent="0.2">
      <c r="B443" s="2"/>
      <c r="C443" s="2"/>
      <c r="D443" s="2"/>
    </row>
    <row r="444" spans="2:4" ht="12.75" x14ac:dyDescent="0.2">
      <c r="B444" s="2"/>
      <c r="C444" s="2"/>
      <c r="D444" s="2"/>
    </row>
    <row r="445" spans="2:4" ht="12.75" x14ac:dyDescent="0.2">
      <c r="B445" s="2"/>
      <c r="C445" s="2"/>
      <c r="D445" s="2"/>
    </row>
    <row r="446" spans="2:4" ht="12.75" x14ac:dyDescent="0.2">
      <c r="B446" s="2"/>
      <c r="C446" s="2"/>
      <c r="D446" s="2"/>
    </row>
    <row r="447" spans="2:4" ht="12.75" x14ac:dyDescent="0.2">
      <c r="B447" s="2"/>
      <c r="C447" s="2"/>
      <c r="D447" s="2"/>
    </row>
    <row r="448" spans="2:4" ht="12.75" x14ac:dyDescent="0.2">
      <c r="B448" s="2"/>
      <c r="C448" s="2"/>
      <c r="D448" s="2"/>
    </row>
    <row r="449" spans="2:4" ht="12.75" x14ac:dyDescent="0.2">
      <c r="B449" s="2"/>
      <c r="C449" s="2"/>
      <c r="D449" s="2"/>
    </row>
    <row r="450" spans="2:4" ht="12.75" x14ac:dyDescent="0.2">
      <c r="B450" s="2"/>
      <c r="C450" s="2"/>
      <c r="D450" s="2"/>
    </row>
    <row r="451" spans="2:4" ht="12.75" x14ac:dyDescent="0.2">
      <c r="B451" s="2"/>
      <c r="C451" s="2"/>
      <c r="D451" s="2"/>
    </row>
    <row r="452" spans="2:4" ht="12.75" x14ac:dyDescent="0.2">
      <c r="B452" s="2"/>
      <c r="C452" s="2"/>
      <c r="D452" s="2"/>
    </row>
    <row r="453" spans="2:4" ht="12.75" x14ac:dyDescent="0.2">
      <c r="B453" s="2"/>
      <c r="C453" s="2"/>
      <c r="D453" s="2"/>
    </row>
    <row r="454" spans="2:4" ht="12.75" x14ac:dyDescent="0.2">
      <c r="B454" s="2"/>
      <c r="C454" s="2"/>
      <c r="D454" s="2"/>
    </row>
    <row r="455" spans="2:4" ht="12.75" x14ac:dyDescent="0.2">
      <c r="B455" s="2"/>
      <c r="C455" s="2"/>
      <c r="D455" s="2"/>
    </row>
    <row r="456" spans="2:4" ht="12.75" x14ac:dyDescent="0.2">
      <c r="B456" s="2"/>
      <c r="C456" s="2"/>
      <c r="D456" s="2"/>
    </row>
    <row r="457" spans="2:4" ht="12.75" x14ac:dyDescent="0.2">
      <c r="B457" s="2"/>
      <c r="C457" s="2"/>
      <c r="D457" s="2"/>
    </row>
    <row r="458" spans="2:4" ht="12.75" x14ac:dyDescent="0.2">
      <c r="B458" s="2"/>
      <c r="C458" s="2"/>
      <c r="D458" s="2"/>
    </row>
    <row r="459" spans="2:4" ht="12.75" x14ac:dyDescent="0.2">
      <c r="B459" s="2"/>
      <c r="C459" s="2"/>
      <c r="D459" s="2"/>
    </row>
    <row r="460" spans="2:4" ht="12.75" x14ac:dyDescent="0.2">
      <c r="B460" s="2"/>
      <c r="C460" s="2"/>
      <c r="D460" s="2"/>
    </row>
    <row r="461" spans="2:4" ht="12.75" x14ac:dyDescent="0.2">
      <c r="B461" s="2"/>
      <c r="C461" s="2"/>
      <c r="D461" s="2"/>
    </row>
    <row r="462" spans="2:4" ht="12.75" x14ac:dyDescent="0.2">
      <c r="B462" s="2"/>
      <c r="C462" s="2"/>
      <c r="D462" s="2"/>
    </row>
    <row r="463" spans="2:4" ht="12.75" x14ac:dyDescent="0.2">
      <c r="B463" s="2"/>
      <c r="C463" s="2"/>
      <c r="D463" s="2"/>
    </row>
    <row r="464" spans="2:4" ht="12.75" x14ac:dyDescent="0.2">
      <c r="B464" s="2"/>
      <c r="C464" s="2"/>
      <c r="D464" s="2"/>
    </row>
    <row r="465" spans="2:4" ht="12.75" x14ac:dyDescent="0.2">
      <c r="B465" s="2"/>
      <c r="C465" s="2"/>
      <c r="D465" s="2"/>
    </row>
    <row r="466" spans="2:4" ht="12.75" x14ac:dyDescent="0.2">
      <c r="B466" s="2"/>
      <c r="C466" s="2"/>
      <c r="D466" s="2"/>
    </row>
    <row r="467" spans="2:4" ht="12.75" x14ac:dyDescent="0.2">
      <c r="B467" s="2"/>
      <c r="C467" s="2"/>
      <c r="D467" s="2"/>
    </row>
    <row r="468" spans="2:4" ht="12.75" x14ac:dyDescent="0.2">
      <c r="B468" s="2"/>
      <c r="C468" s="2"/>
      <c r="D468" s="2"/>
    </row>
    <row r="469" spans="2:4" ht="12.75" x14ac:dyDescent="0.2">
      <c r="B469" s="2"/>
      <c r="C469" s="2"/>
      <c r="D469" s="2"/>
    </row>
    <row r="470" spans="2:4" ht="12.75" x14ac:dyDescent="0.2">
      <c r="B470" s="2"/>
      <c r="C470" s="2"/>
      <c r="D470" s="2"/>
    </row>
    <row r="471" spans="2:4" ht="12.75" x14ac:dyDescent="0.2">
      <c r="B471" s="2"/>
      <c r="C471" s="2"/>
      <c r="D471" s="2"/>
    </row>
    <row r="472" spans="2:4" ht="12.75" x14ac:dyDescent="0.2">
      <c r="B472" s="2"/>
      <c r="C472" s="2"/>
      <c r="D472" s="2"/>
    </row>
    <row r="473" spans="2:4" ht="12.75" x14ac:dyDescent="0.2">
      <c r="B473" s="2"/>
      <c r="C473" s="2"/>
      <c r="D473" s="2"/>
    </row>
    <row r="474" spans="2:4" ht="12.75" x14ac:dyDescent="0.2">
      <c r="B474" s="2"/>
      <c r="C474" s="2"/>
      <c r="D474" s="2"/>
    </row>
    <row r="475" spans="2:4" ht="12.75" x14ac:dyDescent="0.2">
      <c r="B475" s="2"/>
      <c r="C475" s="2"/>
      <c r="D475" s="2"/>
    </row>
    <row r="476" spans="2:4" ht="12.75" x14ac:dyDescent="0.2">
      <c r="B476" s="2"/>
      <c r="C476" s="2"/>
      <c r="D476" s="2"/>
    </row>
    <row r="477" spans="2:4" ht="12.75" x14ac:dyDescent="0.2">
      <c r="B477" s="2"/>
      <c r="C477" s="2"/>
      <c r="D477" s="2"/>
    </row>
    <row r="478" spans="2:4" ht="12.75" x14ac:dyDescent="0.2">
      <c r="B478" s="2"/>
      <c r="C478" s="2"/>
      <c r="D478" s="2"/>
    </row>
    <row r="479" spans="2:4" ht="12.75" x14ac:dyDescent="0.2">
      <c r="B479" s="2"/>
      <c r="C479" s="2"/>
      <c r="D479" s="2"/>
    </row>
    <row r="480" spans="2:4" ht="12.75" x14ac:dyDescent="0.2">
      <c r="B480" s="2"/>
      <c r="C480" s="2"/>
      <c r="D480" s="2"/>
    </row>
    <row r="481" spans="2:4" ht="12.75" x14ac:dyDescent="0.2">
      <c r="B481" s="2"/>
      <c r="C481" s="2"/>
      <c r="D481" s="2"/>
    </row>
    <row r="482" spans="2:4" ht="12.75" x14ac:dyDescent="0.2">
      <c r="B482" s="2"/>
      <c r="C482" s="2"/>
      <c r="D482" s="2"/>
    </row>
    <row r="483" spans="2:4" ht="12.75" x14ac:dyDescent="0.2">
      <c r="B483" s="2"/>
      <c r="C483" s="2"/>
      <c r="D483" s="2"/>
    </row>
    <row r="484" spans="2:4" ht="12.75" x14ac:dyDescent="0.2">
      <c r="B484" s="2"/>
      <c r="C484" s="2"/>
      <c r="D484" s="2"/>
    </row>
    <row r="485" spans="2:4" ht="12.75" x14ac:dyDescent="0.2">
      <c r="B485" s="2"/>
      <c r="C485" s="2"/>
      <c r="D485" s="2"/>
    </row>
    <row r="486" spans="2:4" ht="12.75" x14ac:dyDescent="0.2">
      <c r="B486" s="2"/>
      <c r="C486" s="2"/>
      <c r="D486" s="2"/>
    </row>
    <row r="487" spans="2:4" ht="12.75" x14ac:dyDescent="0.2">
      <c r="B487" s="2"/>
      <c r="C487" s="2"/>
      <c r="D487" s="2"/>
    </row>
    <row r="488" spans="2:4" ht="12.75" x14ac:dyDescent="0.2">
      <c r="B488" s="2"/>
      <c r="C488" s="2"/>
      <c r="D488" s="2"/>
    </row>
    <row r="489" spans="2:4" ht="12.75" x14ac:dyDescent="0.2">
      <c r="B489" s="2"/>
      <c r="C489" s="2"/>
      <c r="D489" s="2"/>
    </row>
    <row r="490" spans="2:4" ht="12.75" x14ac:dyDescent="0.2">
      <c r="B490" s="2"/>
      <c r="C490" s="2"/>
      <c r="D490" s="2"/>
    </row>
    <row r="491" spans="2:4" ht="12.75" x14ac:dyDescent="0.2">
      <c r="B491" s="2"/>
      <c r="C491" s="2"/>
      <c r="D491" s="2"/>
    </row>
    <row r="492" spans="2:4" ht="12.75" x14ac:dyDescent="0.2">
      <c r="B492" s="2"/>
      <c r="C492" s="2"/>
      <c r="D492" s="2"/>
    </row>
    <row r="493" spans="2:4" ht="12.75" x14ac:dyDescent="0.2">
      <c r="B493" s="2"/>
      <c r="C493" s="2"/>
      <c r="D493" s="2"/>
    </row>
    <row r="494" spans="2:4" ht="12.75" x14ac:dyDescent="0.2">
      <c r="B494" s="2"/>
      <c r="C494" s="2"/>
      <c r="D494" s="2"/>
    </row>
    <row r="495" spans="2:4" ht="12.75" x14ac:dyDescent="0.2">
      <c r="B495" s="2"/>
      <c r="C495" s="2"/>
      <c r="D495" s="2"/>
    </row>
    <row r="496" spans="2:4" ht="12.75" x14ac:dyDescent="0.2">
      <c r="B496" s="2"/>
      <c r="C496" s="2"/>
      <c r="D496" s="2"/>
    </row>
    <row r="497" spans="2:4" ht="12.75" x14ac:dyDescent="0.2">
      <c r="B497" s="2"/>
      <c r="C497" s="2"/>
      <c r="D497" s="2"/>
    </row>
    <row r="498" spans="2:4" ht="12.75" x14ac:dyDescent="0.2">
      <c r="B498" s="2"/>
      <c r="C498" s="2"/>
      <c r="D498" s="2"/>
    </row>
    <row r="499" spans="2:4" ht="12.75" x14ac:dyDescent="0.2">
      <c r="B499" s="2"/>
      <c r="C499" s="2"/>
      <c r="D499" s="2"/>
    </row>
    <row r="500" spans="2:4" ht="12.75" x14ac:dyDescent="0.2">
      <c r="B500" s="2"/>
      <c r="C500" s="2"/>
      <c r="D500" s="2"/>
    </row>
    <row r="501" spans="2:4" ht="12.75" x14ac:dyDescent="0.2">
      <c r="B501" s="2"/>
      <c r="C501" s="2"/>
      <c r="D501" s="2"/>
    </row>
    <row r="502" spans="2:4" ht="12.75" x14ac:dyDescent="0.2">
      <c r="B502" s="2"/>
      <c r="C502" s="2"/>
      <c r="D502" s="2"/>
    </row>
    <row r="503" spans="2:4" ht="12.75" x14ac:dyDescent="0.2">
      <c r="B503" s="2"/>
      <c r="C503" s="2"/>
      <c r="D503" s="2"/>
    </row>
    <row r="504" spans="2:4" ht="12.75" x14ac:dyDescent="0.2">
      <c r="B504" s="2"/>
      <c r="C504" s="2"/>
      <c r="D504" s="2"/>
    </row>
    <row r="505" spans="2:4" ht="12.75" x14ac:dyDescent="0.2">
      <c r="B505" s="2"/>
      <c r="C505" s="2"/>
      <c r="D505" s="2"/>
    </row>
    <row r="506" spans="2:4" ht="12.75" x14ac:dyDescent="0.2">
      <c r="B506" s="2"/>
      <c r="C506" s="2"/>
      <c r="D506" s="2"/>
    </row>
    <row r="507" spans="2:4" ht="12.75" x14ac:dyDescent="0.2">
      <c r="B507" s="2"/>
      <c r="C507" s="2"/>
      <c r="D507" s="2"/>
    </row>
    <row r="508" spans="2:4" ht="12.75" x14ac:dyDescent="0.2">
      <c r="B508" s="2"/>
      <c r="C508" s="2"/>
      <c r="D508" s="2"/>
    </row>
    <row r="509" spans="2:4" ht="12.75" x14ac:dyDescent="0.2">
      <c r="B509" s="2"/>
      <c r="C509" s="2"/>
      <c r="D509" s="2"/>
    </row>
    <row r="510" spans="2:4" ht="12.75" x14ac:dyDescent="0.2">
      <c r="B510" s="2"/>
      <c r="C510" s="2"/>
      <c r="D510" s="2"/>
    </row>
    <row r="511" spans="2:4" ht="12.75" x14ac:dyDescent="0.2">
      <c r="B511" s="2"/>
      <c r="C511" s="2"/>
      <c r="D511" s="2"/>
    </row>
    <row r="512" spans="2:4" ht="12.75" x14ac:dyDescent="0.2">
      <c r="B512" s="2"/>
      <c r="C512" s="2"/>
      <c r="D512" s="2"/>
    </row>
    <row r="513" spans="2:4" ht="12.75" x14ac:dyDescent="0.2">
      <c r="B513" s="2"/>
      <c r="C513" s="2"/>
      <c r="D513" s="2"/>
    </row>
    <row r="514" spans="2:4" ht="12.75" x14ac:dyDescent="0.2">
      <c r="B514" s="2"/>
      <c r="C514" s="2"/>
      <c r="D514" s="2"/>
    </row>
    <row r="515" spans="2:4" ht="12.75" x14ac:dyDescent="0.2">
      <c r="B515" s="2"/>
      <c r="C515" s="2"/>
      <c r="D515" s="2"/>
    </row>
    <row r="516" spans="2:4" ht="12.75" x14ac:dyDescent="0.2">
      <c r="B516" s="2"/>
      <c r="C516" s="2"/>
      <c r="D516" s="2"/>
    </row>
    <row r="517" spans="2:4" ht="12.75" x14ac:dyDescent="0.2">
      <c r="B517" s="2"/>
      <c r="C517" s="2"/>
      <c r="D517" s="2"/>
    </row>
    <row r="518" spans="2:4" ht="12.75" x14ac:dyDescent="0.2">
      <c r="B518" s="2"/>
      <c r="C518" s="2"/>
      <c r="D518" s="2"/>
    </row>
    <row r="519" spans="2:4" ht="12.75" x14ac:dyDescent="0.2">
      <c r="B519" s="2"/>
      <c r="C519" s="2"/>
      <c r="D519" s="2"/>
    </row>
    <row r="520" spans="2:4" ht="12.75" x14ac:dyDescent="0.2">
      <c r="B520" s="2"/>
      <c r="C520" s="2"/>
      <c r="D520" s="2"/>
    </row>
    <row r="521" spans="2:4" ht="12.75" x14ac:dyDescent="0.2">
      <c r="B521" s="2"/>
      <c r="C521" s="2"/>
      <c r="D521" s="2"/>
    </row>
    <row r="522" spans="2:4" ht="12.75" x14ac:dyDescent="0.2">
      <c r="B522" s="2"/>
      <c r="C522" s="2"/>
      <c r="D522" s="2"/>
    </row>
    <row r="523" spans="2:4" ht="12.75" x14ac:dyDescent="0.2">
      <c r="B523" s="2"/>
      <c r="C523" s="2"/>
      <c r="D523" s="2"/>
    </row>
    <row r="524" spans="2:4" ht="12.75" x14ac:dyDescent="0.2">
      <c r="B524" s="2"/>
      <c r="C524" s="2"/>
      <c r="D524" s="2"/>
    </row>
    <row r="525" spans="2:4" ht="12.75" x14ac:dyDescent="0.2">
      <c r="B525" s="2"/>
      <c r="C525" s="2"/>
      <c r="D525" s="2"/>
    </row>
    <row r="526" spans="2:4" ht="12.75" x14ac:dyDescent="0.2">
      <c r="B526" s="2"/>
      <c r="C526" s="2"/>
      <c r="D526" s="2"/>
    </row>
    <row r="527" spans="2:4" ht="12.75" x14ac:dyDescent="0.2">
      <c r="B527" s="2"/>
      <c r="C527" s="2"/>
      <c r="D527" s="2"/>
    </row>
    <row r="528" spans="2:4" ht="12.75" x14ac:dyDescent="0.2">
      <c r="B528" s="2"/>
      <c r="C528" s="2"/>
      <c r="D528" s="2"/>
    </row>
    <row r="529" spans="2:4" ht="12.75" x14ac:dyDescent="0.2">
      <c r="B529" s="2"/>
      <c r="C529" s="2"/>
      <c r="D529" s="2"/>
    </row>
    <row r="530" spans="2:4" ht="12.75" x14ac:dyDescent="0.2">
      <c r="B530" s="2"/>
      <c r="C530" s="2"/>
      <c r="D530" s="2"/>
    </row>
    <row r="531" spans="2:4" ht="12.75" x14ac:dyDescent="0.2">
      <c r="B531" s="2"/>
      <c r="C531" s="2"/>
      <c r="D531" s="2"/>
    </row>
    <row r="532" spans="2:4" ht="12.75" x14ac:dyDescent="0.2">
      <c r="B532" s="2"/>
      <c r="C532" s="2"/>
      <c r="D532" s="2"/>
    </row>
    <row r="533" spans="2:4" ht="12.75" x14ac:dyDescent="0.2">
      <c r="B533" s="2"/>
      <c r="C533" s="2"/>
      <c r="D533" s="2"/>
    </row>
    <row r="534" spans="2:4" ht="12.75" x14ac:dyDescent="0.2">
      <c r="B534" s="2"/>
      <c r="C534" s="2"/>
      <c r="D534" s="2"/>
    </row>
    <row r="535" spans="2:4" ht="12.75" x14ac:dyDescent="0.2">
      <c r="B535" s="2"/>
      <c r="C535" s="2"/>
      <c r="D535" s="2"/>
    </row>
    <row r="536" spans="2:4" ht="12.75" x14ac:dyDescent="0.2">
      <c r="B536" s="2"/>
      <c r="C536" s="2"/>
      <c r="D536" s="2"/>
    </row>
    <row r="537" spans="2:4" ht="12.75" x14ac:dyDescent="0.2">
      <c r="B537" s="2"/>
      <c r="C537" s="2"/>
      <c r="D537" s="2"/>
    </row>
    <row r="538" spans="2:4" ht="12.75" x14ac:dyDescent="0.2">
      <c r="B538" s="2"/>
      <c r="C538" s="2"/>
      <c r="D538" s="2"/>
    </row>
    <row r="539" spans="2:4" ht="12.75" x14ac:dyDescent="0.2">
      <c r="B539" s="2"/>
      <c r="C539" s="2"/>
      <c r="D539" s="2"/>
    </row>
    <row r="540" spans="2:4" ht="12.75" x14ac:dyDescent="0.2">
      <c r="B540" s="2"/>
      <c r="C540" s="2"/>
      <c r="D540" s="2"/>
    </row>
    <row r="541" spans="2:4" ht="12.75" x14ac:dyDescent="0.2">
      <c r="B541" s="2"/>
      <c r="C541" s="2"/>
      <c r="D541" s="2"/>
    </row>
    <row r="542" spans="2:4" ht="12.75" x14ac:dyDescent="0.2">
      <c r="B542" s="2"/>
      <c r="C542" s="2"/>
      <c r="D542" s="2"/>
    </row>
    <row r="543" spans="2:4" ht="12.75" x14ac:dyDescent="0.2">
      <c r="B543" s="2"/>
      <c r="C543" s="2"/>
      <c r="D543" s="2"/>
    </row>
    <row r="544" spans="2:4" ht="12.75" x14ac:dyDescent="0.2">
      <c r="B544" s="2"/>
      <c r="C544" s="2"/>
      <c r="D544" s="2"/>
    </row>
    <row r="545" spans="2:4" ht="12.75" x14ac:dyDescent="0.2">
      <c r="B545" s="2"/>
      <c r="C545" s="2"/>
      <c r="D545" s="2"/>
    </row>
    <row r="546" spans="2:4" ht="12.75" x14ac:dyDescent="0.2">
      <c r="B546" s="2"/>
      <c r="C546" s="2"/>
      <c r="D546" s="2"/>
    </row>
    <row r="547" spans="2:4" ht="12.75" x14ac:dyDescent="0.2">
      <c r="B547" s="2"/>
      <c r="C547" s="2"/>
      <c r="D547" s="2"/>
    </row>
    <row r="548" spans="2:4" ht="12.75" x14ac:dyDescent="0.2">
      <c r="B548" s="2"/>
      <c r="C548" s="2"/>
      <c r="D548" s="2"/>
    </row>
    <row r="549" spans="2:4" ht="12.75" x14ac:dyDescent="0.2">
      <c r="B549" s="2"/>
      <c r="C549" s="2"/>
      <c r="D549" s="2"/>
    </row>
    <row r="550" spans="2:4" ht="12.75" x14ac:dyDescent="0.2">
      <c r="B550" s="2"/>
      <c r="C550" s="2"/>
      <c r="D550" s="2"/>
    </row>
    <row r="551" spans="2:4" ht="12.75" x14ac:dyDescent="0.2">
      <c r="B551" s="2"/>
      <c r="C551" s="2"/>
      <c r="D551" s="2"/>
    </row>
    <row r="552" spans="2:4" ht="12.75" x14ac:dyDescent="0.2">
      <c r="B552" s="2"/>
      <c r="C552" s="2"/>
      <c r="D552" s="2"/>
    </row>
    <row r="553" spans="2:4" ht="12.75" x14ac:dyDescent="0.2">
      <c r="B553" s="2"/>
      <c r="C553" s="2"/>
      <c r="D553" s="2"/>
    </row>
    <row r="554" spans="2:4" ht="12.75" x14ac:dyDescent="0.2">
      <c r="B554" s="2"/>
      <c r="C554" s="2"/>
      <c r="D554" s="2"/>
    </row>
    <row r="555" spans="2:4" ht="12.75" x14ac:dyDescent="0.2">
      <c r="B555" s="2"/>
      <c r="C555" s="2"/>
      <c r="D555" s="2"/>
    </row>
    <row r="556" spans="2:4" ht="12.75" x14ac:dyDescent="0.2">
      <c r="B556" s="2"/>
      <c r="C556" s="2"/>
      <c r="D556" s="2"/>
    </row>
    <row r="557" spans="2:4" ht="12.75" x14ac:dyDescent="0.2">
      <c r="B557" s="2"/>
      <c r="C557" s="2"/>
      <c r="D557" s="2"/>
    </row>
    <row r="558" spans="2:4" ht="12.75" x14ac:dyDescent="0.2">
      <c r="B558" s="2"/>
      <c r="C558" s="2"/>
      <c r="D558" s="2"/>
    </row>
    <row r="559" spans="2:4" ht="12.75" x14ac:dyDescent="0.2">
      <c r="B559" s="2"/>
      <c r="C559" s="2"/>
      <c r="D559" s="2"/>
    </row>
    <row r="560" spans="2:4" ht="12.75" x14ac:dyDescent="0.2">
      <c r="B560" s="2"/>
      <c r="C560" s="2"/>
      <c r="D560" s="2"/>
    </row>
    <row r="561" spans="2:4" ht="12.75" x14ac:dyDescent="0.2">
      <c r="B561" s="2"/>
      <c r="C561" s="2"/>
      <c r="D561" s="2"/>
    </row>
    <row r="562" spans="2:4" ht="12.75" x14ac:dyDescent="0.2">
      <c r="B562" s="2"/>
      <c r="C562" s="2"/>
      <c r="D562" s="2"/>
    </row>
    <row r="563" spans="2:4" ht="12.75" x14ac:dyDescent="0.2">
      <c r="B563" s="2"/>
      <c r="C563" s="2"/>
      <c r="D563" s="2"/>
    </row>
    <row r="564" spans="2:4" ht="12.75" x14ac:dyDescent="0.2">
      <c r="B564" s="2"/>
      <c r="C564" s="2"/>
      <c r="D564" s="2"/>
    </row>
    <row r="565" spans="2:4" ht="12.75" x14ac:dyDescent="0.2">
      <c r="B565" s="2"/>
      <c r="C565" s="2"/>
      <c r="D565" s="2"/>
    </row>
    <row r="566" spans="2:4" ht="12.75" x14ac:dyDescent="0.2">
      <c r="B566" s="2"/>
      <c r="C566" s="2"/>
      <c r="D566" s="2"/>
    </row>
    <row r="567" spans="2:4" ht="12.75" x14ac:dyDescent="0.2">
      <c r="B567" s="2"/>
      <c r="C567" s="2"/>
      <c r="D567" s="2"/>
    </row>
    <row r="568" spans="2:4" ht="12.75" x14ac:dyDescent="0.2">
      <c r="B568" s="2"/>
      <c r="C568" s="2"/>
      <c r="D568" s="2"/>
    </row>
    <row r="569" spans="2:4" ht="12.75" x14ac:dyDescent="0.2">
      <c r="B569" s="2"/>
      <c r="C569" s="2"/>
      <c r="D569" s="2"/>
    </row>
    <row r="570" spans="2:4" ht="12.75" x14ac:dyDescent="0.2">
      <c r="B570" s="2"/>
      <c r="C570" s="2"/>
      <c r="D570" s="2"/>
    </row>
    <row r="571" spans="2:4" ht="12.75" x14ac:dyDescent="0.2">
      <c r="B571" s="2"/>
      <c r="C571" s="2"/>
      <c r="D571" s="2"/>
    </row>
    <row r="572" spans="2:4" ht="12.75" x14ac:dyDescent="0.2">
      <c r="B572" s="2"/>
      <c r="C572" s="2"/>
      <c r="D572" s="2"/>
    </row>
    <row r="573" spans="2:4" ht="12.75" x14ac:dyDescent="0.2">
      <c r="B573" s="2"/>
      <c r="C573" s="2"/>
      <c r="D573" s="2"/>
    </row>
    <row r="574" spans="2:4" ht="12.75" x14ac:dyDescent="0.2">
      <c r="B574" s="2"/>
      <c r="C574" s="2"/>
      <c r="D574" s="2"/>
    </row>
    <row r="575" spans="2:4" ht="12.75" x14ac:dyDescent="0.2">
      <c r="B575" s="2"/>
      <c r="C575" s="2"/>
      <c r="D575" s="2"/>
    </row>
    <row r="576" spans="2:4" ht="12.75" x14ac:dyDescent="0.2">
      <c r="B576" s="2"/>
      <c r="C576" s="2"/>
      <c r="D576" s="2"/>
    </row>
    <row r="577" spans="2:4" ht="12.75" x14ac:dyDescent="0.2">
      <c r="B577" s="2"/>
      <c r="C577" s="2"/>
      <c r="D577" s="2"/>
    </row>
    <row r="578" spans="2:4" ht="12.75" x14ac:dyDescent="0.2">
      <c r="B578" s="2"/>
      <c r="C578" s="2"/>
      <c r="D578" s="2"/>
    </row>
    <row r="579" spans="2:4" ht="12.75" x14ac:dyDescent="0.2">
      <c r="B579" s="2"/>
      <c r="C579" s="2"/>
      <c r="D579" s="2"/>
    </row>
    <row r="580" spans="2:4" ht="12.75" x14ac:dyDescent="0.2">
      <c r="B580" s="2"/>
      <c r="C580" s="2"/>
      <c r="D580" s="2"/>
    </row>
    <row r="581" spans="2:4" ht="12.75" x14ac:dyDescent="0.2">
      <c r="B581" s="2"/>
      <c r="C581" s="2"/>
      <c r="D581" s="2"/>
    </row>
    <row r="582" spans="2:4" ht="12.75" x14ac:dyDescent="0.2">
      <c r="B582" s="2"/>
      <c r="C582" s="2"/>
      <c r="D582" s="2"/>
    </row>
    <row r="583" spans="2:4" ht="12.75" x14ac:dyDescent="0.2">
      <c r="B583" s="2"/>
      <c r="C583" s="2"/>
      <c r="D583" s="2"/>
    </row>
    <row r="584" spans="2:4" ht="12.75" x14ac:dyDescent="0.2">
      <c r="B584" s="2"/>
      <c r="C584" s="2"/>
      <c r="D584" s="2"/>
    </row>
    <row r="585" spans="2:4" ht="12.75" x14ac:dyDescent="0.2">
      <c r="B585" s="2"/>
      <c r="C585" s="2"/>
      <c r="D585" s="2"/>
    </row>
    <row r="586" spans="2:4" ht="12.75" x14ac:dyDescent="0.2">
      <c r="B586" s="2"/>
      <c r="C586" s="2"/>
      <c r="D586" s="2"/>
    </row>
    <row r="587" spans="2:4" ht="12.75" x14ac:dyDescent="0.2">
      <c r="B587" s="2"/>
      <c r="C587" s="2"/>
      <c r="D587" s="2"/>
    </row>
    <row r="588" spans="2:4" ht="12.75" x14ac:dyDescent="0.2">
      <c r="B588" s="2"/>
      <c r="C588" s="2"/>
      <c r="D588" s="2"/>
    </row>
    <row r="589" spans="2:4" ht="12.75" x14ac:dyDescent="0.2">
      <c r="B589" s="2"/>
      <c r="C589" s="2"/>
      <c r="D589" s="2"/>
    </row>
    <row r="590" spans="2:4" ht="12.75" x14ac:dyDescent="0.2">
      <c r="B590" s="2"/>
      <c r="C590" s="2"/>
      <c r="D590" s="2"/>
    </row>
    <row r="591" spans="2:4" ht="12.75" x14ac:dyDescent="0.2">
      <c r="B591" s="2"/>
      <c r="C591" s="2"/>
      <c r="D591" s="2"/>
    </row>
    <row r="592" spans="2:4" ht="12.75" x14ac:dyDescent="0.2">
      <c r="B592" s="2"/>
      <c r="C592" s="2"/>
      <c r="D592" s="2"/>
    </row>
    <row r="593" spans="2:4" ht="12.75" x14ac:dyDescent="0.2">
      <c r="B593" s="2"/>
      <c r="C593" s="2"/>
      <c r="D593" s="2"/>
    </row>
    <row r="594" spans="2:4" ht="12.75" x14ac:dyDescent="0.2">
      <c r="B594" s="2"/>
      <c r="C594" s="2"/>
      <c r="D594" s="2"/>
    </row>
    <row r="595" spans="2:4" ht="12.75" x14ac:dyDescent="0.2">
      <c r="B595" s="2"/>
      <c r="C595" s="2"/>
      <c r="D595" s="2"/>
    </row>
    <row r="596" spans="2:4" ht="12.75" x14ac:dyDescent="0.2">
      <c r="B596" s="2"/>
      <c r="C596" s="2"/>
      <c r="D596" s="2"/>
    </row>
    <row r="597" spans="2:4" ht="12.75" x14ac:dyDescent="0.2">
      <c r="B597" s="2"/>
      <c r="C597" s="2"/>
      <c r="D597" s="2"/>
    </row>
    <row r="598" spans="2:4" ht="12.75" x14ac:dyDescent="0.2">
      <c r="B598" s="2"/>
      <c r="C598" s="2"/>
      <c r="D598" s="2"/>
    </row>
    <row r="599" spans="2:4" ht="12.75" x14ac:dyDescent="0.2">
      <c r="B599" s="2"/>
      <c r="C599" s="2"/>
      <c r="D599" s="2"/>
    </row>
    <row r="600" spans="2:4" ht="12.75" x14ac:dyDescent="0.2">
      <c r="B600" s="2"/>
      <c r="C600" s="2"/>
      <c r="D600" s="2"/>
    </row>
    <row r="601" spans="2:4" ht="12.75" x14ac:dyDescent="0.2">
      <c r="B601" s="2"/>
      <c r="C601" s="2"/>
      <c r="D601" s="2"/>
    </row>
    <row r="602" spans="2:4" ht="12.75" x14ac:dyDescent="0.2">
      <c r="B602" s="2"/>
      <c r="C602" s="2"/>
      <c r="D602" s="2"/>
    </row>
    <row r="603" spans="2:4" ht="12.75" x14ac:dyDescent="0.2">
      <c r="B603" s="2"/>
      <c r="C603" s="2"/>
      <c r="D603" s="2"/>
    </row>
    <row r="604" spans="2:4" ht="12.75" x14ac:dyDescent="0.2">
      <c r="B604" s="2"/>
      <c r="C604" s="2"/>
      <c r="D604" s="2"/>
    </row>
    <row r="605" spans="2:4" ht="12.75" x14ac:dyDescent="0.2">
      <c r="B605" s="2"/>
      <c r="C605" s="2"/>
      <c r="D605" s="2"/>
    </row>
    <row r="606" spans="2:4" ht="12.75" x14ac:dyDescent="0.2">
      <c r="B606" s="2"/>
      <c r="C606" s="2"/>
      <c r="D606" s="2"/>
    </row>
    <row r="607" spans="2:4" ht="12.75" x14ac:dyDescent="0.2">
      <c r="B607" s="2"/>
      <c r="C607" s="2"/>
      <c r="D607" s="2"/>
    </row>
    <row r="608" spans="2:4" ht="12.75" x14ac:dyDescent="0.2">
      <c r="B608" s="2"/>
      <c r="C608" s="2"/>
      <c r="D608" s="2"/>
    </row>
    <row r="609" spans="2:4" ht="12.75" x14ac:dyDescent="0.2">
      <c r="B609" s="2"/>
      <c r="C609" s="2"/>
      <c r="D609" s="2"/>
    </row>
    <row r="610" spans="2:4" ht="12.75" x14ac:dyDescent="0.2">
      <c r="B610" s="2"/>
      <c r="C610" s="2"/>
      <c r="D610" s="2"/>
    </row>
    <row r="611" spans="2:4" ht="12.75" x14ac:dyDescent="0.2">
      <c r="B611" s="2"/>
      <c r="C611" s="2"/>
      <c r="D611" s="2"/>
    </row>
    <row r="612" spans="2:4" ht="12.75" x14ac:dyDescent="0.2">
      <c r="B612" s="2"/>
      <c r="C612" s="2"/>
      <c r="D612" s="2"/>
    </row>
    <row r="613" spans="2:4" ht="12.75" x14ac:dyDescent="0.2">
      <c r="B613" s="2"/>
      <c r="C613" s="2"/>
      <c r="D613" s="2"/>
    </row>
    <row r="614" spans="2:4" ht="12.75" x14ac:dyDescent="0.2">
      <c r="B614" s="2"/>
      <c r="C614" s="2"/>
      <c r="D614" s="2"/>
    </row>
    <row r="615" spans="2:4" ht="12.75" x14ac:dyDescent="0.2">
      <c r="B615" s="2"/>
      <c r="C615" s="2"/>
      <c r="D615" s="2"/>
    </row>
    <row r="616" spans="2:4" ht="12.75" x14ac:dyDescent="0.2">
      <c r="B616" s="2"/>
      <c r="C616" s="2"/>
      <c r="D616" s="2"/>
    </row>
    <row r="617" spans="2:4" ht="12.75" x14ac:dyDescent="0.2">
      <c r="B617" s="2"/>
      <c r="C617" s="2"/>
      <c r="D617" s="2"/>
    </row>
    <row r="618" spans="2:4" ht="12.75" x14ac:dyDescent="0.2">
      <c r="B618" s="2"/>
      <c r="C618" s="2"/>
      <c r="D618" s="2"/>
    </row>
    <row r="619" spans="2:4" ht="12.75" x14ac:dyDescent="0.2">
      <c r="B619" s="2"/>
      <c r="C619" s="2"/>
      <c r="D619" s="2"/>
    </row>
    <row r="620" spans="2:4" ht="12.75" x14ac:dyDescent="0.2">
      <c r="B620" s="2"/>
      <c r="C620" s="2"/>
      <c r="D620" s="2"/>
    </row>
    <row r="621" spans="2:4" ht="12.75" x14ac:dyDescent="0.2">
      <c r="B621" s="2"/>
      <c r="C621" s="2"/>
      <c r="D621" s="2"/>
    </row>
    <row r="622" spans="2:4" ht="12.75" x14ac:dyDescent="0.2">
      <c r="B622" s="2"/>
      <c r="C622" s="2"/>
      <c r="D622" s="2"/>
    </row>
    <row r="623" spans="2:4" ht="12.75" x14ac:dyDescent="0.2">
      <c r="B623" s="2"/>
      <c r="C623" s="2"/>
      <c r="D623" s="2"/>
    </row>
    <row r="624" spans="2:4" ht="12.75" x14ac:dyDescent="0.2">
      <c r="B624" s="2"/>
      <c r="C624" s="2"/>
      <c r="D624" s="2"/>
    </row>
    <row r="625" spans="2:4" ht="12.75" x14ac:dyDescent="0.2">
      <c r="B625" s="2"/>
      <c r="C625" s="2"/>
      <c r="D625" s="2"/>
    </row>
    <row r="626" spans="2:4" ht="12.75" x14ac:dyDescent="0.2">
      <c r="B626" s="2"/>
      <c r="C626" s="2"/>
      <c r="D626" s="2"/>
    </row>
    <row r="627" spans="2:4" ht="12.75" x14ac:dyDescent="0.2">
      <c r="B627" s="2"/>
      <c r="C627" s="2"/>
      <c r="D627" s="2"/>
    </row>
    <row r="628" spans="2:4" ht="12.75" x14ac:dyDescent="0.2">
      <c r="B628" s="2"/>
      <c r="C628" s="2"/>
      <c r="D628" s="2"/>
    </row>
    <row r="629" spans="2:4" ht="12.75" x14ac:dyDescent="0.2">
      <c r="B629" s="2"/>
      <c r="C629" s="2"/>
      <c r="D629" s="2"/>
    </row>
    <row r="630" spans="2:4" ht="12.75" x14ac:dyDescent="0.2">
      <c r="B630" s="2"/>
      <c r="C630" s="2"/>
      <c r="D630" s="2"/>
    </row>
    <row r="631" spans="2:4" ht="12.75" x14ac:dyDescent="0.2">
      <c r="B631" s="2"/>
      <c r="C631" s="2"/>
      <c r="D631" s="2"/>
    </row>
    <row r="632" spans="2:4" ht="12.75" x14ac:dyDescent="0.2">
      <c r="B632" s="2"/>
      <c r="C632" s="2"/>
      <c r="D632" s="2"/>
    </row>
    <row r="633" spans="2:4" ht="12.75" x14ac:dyDescent="0.2">
      <c r="B633" s="2"/>
      <c r="C633" s="2"/>
      <c r="D633" s="2"/>
    </row>
    <row r="634" spans="2:4" ht="12.75" x14ac:dyDescent="0.2">
      <c r="B634" s="2"/>
      <c r="C634" s="2"/>
      <c r="D634" s="2"/>
    </row>
    <row r="635" spans="2:4" ht="12.75" x14ac:dyDescent="0.2">
      <c r="B635" s="2"/>
      <c r="C635" s="2"/>
      <c r="D635" s="2"/>
    </row>
    <row r="636" spans="2:4" ht="12.75" x14ac:dyDescent="0.2">
      <c r="B636" s="2"/>
      <c r="C636" s="2"/>
      <c r="D636" s="2"/>
    </row>
    <row r="637" spans="2:4" ht="12.75" x14ac:dyDescent="0.2">
      <c r="B637" s="2"/>
      <c r="C637" s="2"/>
      <c r="D637" s="2"/>
    </row>
    <row r="638" spans="2:4" ht="12.75" x14ac:dyDescent="0.2">
      <c r="B638" s="2"/>
      <c r="C638" s="2"/>
      <c r="D638" s="2"/>
    </row>
    <row r="639" spans="2:4" ht="12.75" x14ac:dyDescent="0.2">
      <c r="B639" s="2"/>
      <c r="C639" s="2"/>
      <c r="D639" s="2"/>
    </row>
    <row r="640" spans="2:4" ht="12.75" x14ac:dyDescent="0.2">
      <c r="B640" s="2"/>
      <c r="C640" s="2"/>
      <c r="D640" s="2"/>
    </row>
    <row r="641" spans="2:4" ht="12.75" x14ac:dyDescent="0.2">
      <c r="B641" s="2"/>
      <c r="C641" s="2"/>
      <c r="D641" s="2"/>
    </row>
    <row r="642" spans="2:4" ht="12.75" x14ac:dyDescent="0.2">
      <c r="B642" s="2"/>
      <c r="C642" s="2"/>
      <c r="D642" s="2"/>
    </row>
    <row r="643" spans="2:4" ht="12.75" x14ac:dyDescent="0.2">
      <c r="B643" s="2"/>
      <c r="C643" s="2"/>
      <c r="D643" s="2"/>
    </row>
    <row r="644" spans="2:4" ht="12.75" x14ac:dyDescent="0.2">
      <c r="B644" s="2"/>
      <c r="C644" s="2"/>
      <c r="D644" s="2"/>
    </row>
    <row r="645" spans="2:4" ht="12.75" x14ac:dyDescent="0.2">
      <c r="B645" s="2"/>
      <c r="C645" s="2"/>
      <c r="D645" s="2"/>
    </row>
    <row r="646" spans="2:4" ht="12.75" x14ac:dyDescent="0.2">
      <c r="B646" s="2"/>
      <c r="C646" s="2"/>
      <c r="D646" s="2"/>
    </row>
    <row r="647" spans="2:4" ht="12.75" x14ac:dyDescent="0.2">
      <c r="B647" s="2"/>
      <c r="C647" s="2"/>
      <c r="D647" s="2"/>
    </row>
    <row r="648" spans="2:4" ht="12.75" x14ac:dyDescent="0.2">
      <c r="B648" s="2"/>
      <c r="C648" s="2"/>
      <c r="D648" s="2"/>
    </row>
    <row r="649" spans="2:4" ht="12.75" x14ac:dyDescent="0.2">
      <c r="B649" s="2"/>
      <c r="C649" s="2"/>
      <c r="D649" s="2"/>
    </row>
    <row r="650" spans="2:4" ht="12.75" x14ac:dyDescent="0.2">
      <c r="B650" s="2"/>
      <c r="C650" s="2"/>
      <c r="D650" s="2"/>
    </row>
    <row r="651" spans="2:4" ht="12.75" x14ac:dyDescent="0.2">
      <c r="B651" s="2"/>
      <c r="C651" s="2"/>
      <c r="D651" s="2"/>
    </row>
    <row r="652" spans="2:4" ht="12.75" x14ac:dyDescent="0.2">
      <c r="B652" s="2"/>
      <c r="C652" s="2"/>
      <c r="D652" s="2"/>
    </row>
    <row r="653" spans="2:4" ht="12.75" x14ac:dyDescent="0.2">
      <c r="B653" s="2"/>
      <c r="C653" s="2"/>
      <c r="D653" s="2"/>
    </row>
    <row r="654" spans="2:4" ht="12.75" x14ac:dyDescent="0.2">
      <c r="B654" s="2"/>
      <c r="C654" s="2"/>
      <c r="D654" s="2"/>
    </row>
    <row r="655" spans="2:4" ht="12.75" x14ac:dyDescent="0.2">
      <c r="B655" s="2"/>
      <c r="C655" s="2"/>
      <c r="D655" s="2"/>
    </row>
    <row r="656" spans="2:4" ht="12.75" x14ac:dyDescent="0.2">
      <c r="B656" s="2"/>
      <c r="C656" s="2"/>
      <c r="D656" s="2"/>
    </row>
    <row r="657" spans="2:4" ht="12.75" x14ac:dyDescent="0.2">
      <c r="B657" s="2"/>
      <c r="C657" s="2"/>
      <c r="D657" s="2"/>
    </row>
    <row r="658" spans="2:4" ht="12.75" x14ac:dyDescent="0.2">
      <c r="B658" s="2"/>
      <c r="C658" s="2"/>
      <c r="D658" s="2"/>
    </row>
    <row r="659" spans="2:4" ht="12.75" x14ac:dyDescent="0.2">
      <c r="B659" s="2"/>
      <c r="C659" s="2"/>
      <c r="D659" s="2"/>
    </row>
    <row r="660" spans="2:4" ht="12.75" x14ac:dyDescent="0.2">
      <c r="B660" s="2"/>
      <c r="C660" s="2"/>
      <c r="D660" s="2"/>
    </row>
    <row r="661" spans="2:4" ht="12.75" x14ac:dyDescent="0.2">
      <c r="B661" s="2"/>
      <c r="C661" s="2"/>
      <c r="D661" s="2"/>
    </row>
    <row r="662" spans="2:4" ht="12.75" x14ac:dyDescent="0.2">
      <c r="B662" s="2"/>
      <c r="C662" s="2"/>
      <c r="D662" s="2"/>
    </row>
    <row r="663" spans="2:4" ht="12.75" x14ac:dyDescent="0.2">
      <c r="B663" s="2"/>
      <c r="C663" s="2"/>
      <c r="D663" s="2"/>
    </row>
    <row r="664" spans="2:4" ht="12.75" x14ac:dyDescent="0.2">
      <c r="B664" s="2"/>
      <c r="C664" s="2"/>
      <c r="D664" s="2"/>
    </row>
    <row r="665" spans="2:4" ht="12.75" x14ac:dyDescent="0.2">
      <c r="B665" s="2"/>
      <c r="C665" s="2"/>
      <c r="D665" s="2"/>
    </row>
    <row r="666" spans="2:4" ht="12.75" x14ac:dyDescent="0.2">
      <c r="B666" s="2"/>
      <c r="C666" s="2"/>
      <c r="D666" s="2"/>
    </row>
    <row r="667" spans="2:4" ht="12.75" x14ac:dyDescent="0.2">
      <c r="B667" s="2"/>
      <c r="C667" s="2"/>
      <c r="D667" s="2"/>
    </row>
    <row r="668" spans="2:4" ht="12.75" x14ac:dyDescent="0.2">
      <c r="B668" s="2"/>
      <c r="C668" s="2"/>
      <c r="D668" s="2"/>
    </row>
    <row r="669" spans="2:4" ht="12.75" x14ac:dyDescent="0.2">
      <c r="B669" s="2"/>
      <c r="C669" s="2"/>
      <c r="D669" s="2"/>
    </row>
    <row r="670" spans="2:4" ht="12.75" x14ac:dyDescent="0.2">
      <c r="B670" s="2"/>
      <c r="C670" s="2"/>
      <c r="D670" s="2"/>
    </row>
    <row r="671" spans="2:4" ht="12.75" x14ac:dyDescent="0.2">
      <c r="B671" s="2"/>
      <c r="C671" s="2"/>
      <c r="D671" s="2"/>
    </row>
    <row r="672" spans="2:4" ht="12.75" x14ac:dyDescent="0.2">
      <c r="B672" s="2"/>
      <c r="C672" s="2"/>
      <c r="D672" s="2"/>
    </row>
    <row r="673" spans="2:4" ht="12.75" x14ac:dyDescent="0.2">
      <c r="B673" s="2"/>
      <c r="C673" s="2"/>
      <c r="D673" s="2"/>
    </row>
    <row r="674" spans="2:4" ht="12.75" x14ac:dyDescent="0.2">
      <c r="B674" s="2"/>
      <c r="C674" s="2"/>
      <c r="D674" s="2"/>
    </row>
    <row r="675" spans="2:4" ht="12.75" x14ac:dyDescent="0.2">
      <c r="B675" s="2"/>
      <c r="C675" s="2"/>
      <c r="D675" s="2"/>
    </row>
    <row r="676" spans="2:4" ht="12.75" x14ac:dyDescent="0.2">
      <c r="B676" s="2"/>
      <c r="C676" s="2"/>
      <c r="D676" s="2"/>
    </row>
    <row r="677" spans="2:4" ht="12.75" x14ac:dyDescent="0.2">
      <c r="B677" s="2"/>
      <c r="C677" s="2"/>
      <c r="D677" s="2"/>
    </row>
    <row r="678" spans="2:4" ht="12.75" x14ac:dyDescent="0.2">
      <c r="B678" s="2"/>
      <c r="C678" s="2"/>
      <c r="D678" s="2"/>
    </row>
    <row r="679" spans="2:4" ht="12.75" x14ac:dyDescent="0.2">
      <c r="B679" s="2"/>
      <c r="C679" s="2"/>
      <c r="D679" s="2"/>
    </row>
    <row r="680" spans="2:4" ht="12.75" x14ac:dyDescent="0.2">
      <c r="B680" s="2"/>
      <c r="C680" s="2"/>
      <c r="D680" s="2"/>
    </row>
    <row r="681" spans="2:4" ht="12.75" x14ac:dyDescent="0.2">
      <c r="B681" s="2"/>
      <c r="C681" s="2"/>
      <c r="D681" s="2"/>
    </row>
    <row r="682" spans="2:4" ht="12.75" x14ac:dyDescent="0.2">
      <c r="B682" s="2"/>
      <c r="C682" s="2"/>
      <c r="D682" s="2"/>
    </row>
    <row r="683" spans="2:4" ht="12.75" x14ac:dyDescent="0.2">
      <c r="B683" s="2"/>
      <c r="C683" s="2"/>
      <c r="D683" s="2"/>
    </row>
    <row r="684" spans="2:4" ht="12.75" x14ac:dyDescent="0.2">
      <c r="B684" s="2"/>
      <c r="C684" s="2"/>
      <c r="D684" s="2"/>
    </row>
    <row r="685" spans="2:4" ht="12.75" x14ac:dyDescent="0.2">
      <c r="B685" s="2"/>
      <c r="C685" s="2"/>
      <c r="D685" s="2"/>
    </row>
    <row r="686" spans="2:4" ht="12.75" x14ac:dyDescent="0.2">
      <c r="B686" s="2"/>
      <c r="C686" s="2"/>
      <c r="D686" s="2"/>
    </row>
    <row r="687" spans="2:4" ht="12.75" x14ac:dyDescent="0.2">
      <c r="B687" s="2"/>
      <c r="C687" s="2"/>
      <c r="D687" s="2"/>
    </row>
    <row r="688" spans="2:4" ht="12.75" x14ac:dyDescent="0.2">
      <c r="B688" s="2"/>
      <c r="C688" s="2"/>
      <c r="D688" s="2"/>
    </row>
    <row r="689" spans="2:4" ht="12.75" x14ac:dyDescent="0.2">
      <c r="B689" s="2"/>
      <c r="C689" s="2"/>
      <c r="D689" s="2"/>
    </row>
    <row r="690" spans="2:4" ht="12.75" x14ac:dyDescent="0.2">
      <c r="B690" s="2"/>
      <c r="C690" s="2"/>
      <c r="D690" s="2"/>
    </row>
    <row r="691" spans="2:4" ht="12.75" x14ac:dyDescent="0.2">
      <c r="B691" s="2"/>
      <c r="C691" s="2"/>
      <c r="D691" s="2"/>
    </row>
    <row r="692" spans="2:4" ht="12.75" x14ac:dyDescent="0.2">
      <c r="B692" s="2"/>
      <c r="C692" s="2"/>
      <c r="D692" s="2"/>
    </row>
    <row r="693" spans="2:4" ht="12.75" x14ac:dyDescent="0.2">
      <c r="B693" s="2"/>
      <c r="C693" s="2"/>
      <c r="D693" s="2"/>
    </row>
    <row r="694" spans="2:4" ht="12.75" x14ac:dyDescent="0.2">
      <c r="B694" s="2"/>
      <c r="C694" s="2"/>
      <c r="D694" s="2"/>
    </row>
    <row r="695" spans="2:4" ht="12.75" x14ac:dyDescent="0.2">
      <c r="B695" s="2"/>
      <c r="C695" s="2"/>
      <c r="D695" s="2"/>
    </row>
    <row r="696" spans="2:4" ht="12.75" x14ac:dyDescent="0.2">
      <c r="B696" s="2"/>
      <c r="C696" s="2"/>
      <c r="D696" s="2"/>
    </row>
    <row r="697" spans="2:4" ht="12.75" x14ac:dyDescent="0.2">
      <c r="B697" s="2"/>
      <c r="C697" s="2"/>
      <c r="D697" s="2"/>
    </row>
    <row r="698" spans="2:4" ht="12.75" x14ac:dyDescent="0.2">
      <c r="B698" s="2"/>
      <c r="C698" s="2"/>
      <c r="D698" s="2"/>
    </row>
    <row r="699" spans="2:4" ht="12.75" x14ac:dyDescent="0.2">
      <c r="B699" s="2"/>
      <c r="C699" s="2"/>
      <c r="D699" s="2"/>
    </row>
    <row r="700" spans="2:4" ht="12.75" x14ac:dyDescent="0.2">
      <c r="B700" s="2"/>
      <c r="C700" s="2"/>
      <c r="D700" s="2"/>
    </row>
    <row r="701" spans="2:4" ht="12.75" x14ac:dyDescent="0.2">
      <c r="B701" s="2"/>
      <c r="C701" s="2"/>
      <c r="D701" s="2"/>
    </row>
    <row r="702" spans="2:4" ht="12.75" x14ac:dyDescent="0.2">
      <c r="B702" s="2"/>
      <c r="C702" s="2"/>
      <c r="D702" s="2"/>
    </row>
    <row r="703" spans="2:4" ht="12.75" x14ac:dyDescent="0.2">
      <c r="B703" s="2"/>
      <c r="C703" s="2"/>
      <c r="D703" s="2"/>
    </row>
    <row r="704" spans="2:4" ht="12.75" x14ac:dyDescent="0.2">
      <c r="B704" s="2"/>
      <c r="C704" s="2"/>
      <c r="D704" s="2"/>
    </row>
    <row r="705" spans="2:4" ht="12.75" x14ac:dyDescent="0.2">
      <c r="B705" s="2"/>
      <c r="C705" s="2"/>
      <c r="D705" s="2"/>
    </row>
    <row r="706" spans="2:4" ht="12.75" x14ac:dyDescent="0.2">
      <c r="B706" s="2"/>
      <c r="C706" s="2"/>
      <c r="D706" s="2"/>
    </row>
    <row r="707" spans="2:4" ht="12.75" x14ac:dyDescent="0.2">
      <c r="B707" s="2"/>
      <c r="C707" s="2"/>
      <c r="D707" s="2"/>
    </row>
    <row r="708" spans="2:4" ht="12.75" x14ac:dyDescent="0.2">
      <c r="B708" s="2"/>
      <c r="C708" s="2"/>
      <c r="D708" s="2"/>
    </row>
    <row r="709" spans="2:4" ht="12.75" x14ac:dyDescent="0.2">
      <c r="B709" s="2"/>
      <c r="C709" s="2"/>
      <c r="D709" s="2"/>
    </row>
    <row r="710" spans="2:4" ht="12.75" x14ac:dyDescent="0.2">
      <c r="B710" s="2"/>
      <c r="C710" s="2"/>
      <c r="D710" s="2"/>
    </row>
    <row r="711" spans="2:4" ht="12.75" x14ac:dyDescent="0.2">
      <c r="B711" s="2"/>
      <c r="C711" s="2"/>
      <c r="D711" s="2"/>
    </row>
    <row r="712" spans="2:4" ht="12.75" x14ac:dyDescent="0.2">
      <c r="B712" s="2"/>
      <c r="C712" s="2"/>
      <c r="D712" s="2"/>
    </row>
    <row r="713" spans="2:4" ht="12.75" x14ac:dyDescent="0.2">
      <c r="B713" s="2"/>
      <c r="C713" s="2"/>
      <c r="D713" s="2"/>
    </row>
    <row r="714" spans="2:4" ht="12.75" x14ac:dyDescent="0.2">
      <c r="B714" s="2"/>
      <c r="C714" s="2"/>
      <c r="D714" s="2"/>
    </row>
    <row r="715" spans="2:4" ht="12.75" x14ac:dyDescent="0.2">
      <c r="B715" s="2"/>
      <c r="C715" s="2"/>
      <c r="D715" s="2"/>
    </row>
    <row r="716" spans="2:4" ht="12.75" x14ac:dyDescent="0.2">
      <c r="B716" s="2"/>
      <c r="C716" s="2"/>
      <c r="D716" s="2"/>
    </row>
    <row r="717" spans="2:4" ht="12.75" x14ac:dyDescent="0.2">
      <c r="B717" s="2"/>
      <c r="C717" s="2"/>
      <c r="D717" s="2"/>
    </row>
    <row r="718" spans="2:4" ht="12.75" x14ac:dyDescent="0.2">
      <c r="B718" s="2"/>
      <c r="C718" s="2"/>
      <c r="D718" s="2"/>
    </row>
    <row r="719" spans="2:4" ht="12.75" x14ac:dyDescent="0.2">
      <c r="B719" s="2"/>
      <c r="C719" s="2"/>
      <c r="D719" s="2"/>
    </row>
    <row r="720" spans="2:4" ht="12.75" x14ac:dyDescent="0.2">
      <c r="B720" s="2"/>
      <c r="C720" s="2"/>
      <c r="D720" s="2"/>
    </row>
    <row r="721" spans="2:4" ht="12.75" x14ac:dyDescent="0.2">
      <c r="B721" s="2"/>
      <c r="C721" s="2"/>
      <c r="D721" s="2"/>
    </row>
    <row r="722" spans="2:4" ht="12.75" x14ac:dyDescent="0.2">
      <c r="B722" s="2"/>
      <c r="C722" s="2"/>
      <c r="D722" s="2"/>
    </row>
    <row r="723" spans="2:4" ht="12.75" x14ac:dyDescent="0.2">
      <c r="B723" s="2"/>
      <c r="C723" s="2"/>
      <c r="D723" s="2"/>
    </row>
    <row r="724" spans="2:4" ht="12.75" x14ac:dyDescent="0.2">
      <c r="B724" s="2"/>
      <c r="C724" s="2"/>
      <c r="D724" s="2"/>
    </row>
    <row r="725" spans="2:4" ht="12.75" x14ac:dyDescent="0.2">
      <c r="B725" s="2"/>
      <c r="C725" s="2"/>
      <c r="D725" s="2"/>
    </row>
    <row r="726" spans="2:4" ht="12.75" x14ac:dyDescent="0.2">
      <c r="B726" s="2"/>
      <c r="C726" s="2"/>
      <c r="D726" s="2"/>
    </row>
    <row r="727" spans="2:4" ht="12.75" x14ac:dyDescent="0.2">
      <c r="B727" s="2"/>
      <c r="C727" s="2"/>
      <c r="D727" s="2"/>
    </row>
    <row r="728" spans="2:4" ht="12.75" x14ac:dyDescent="0.2">
      <c r="B728" s="2"/>
      <c r="C728" s="2"/>
      <c r="D728" s="2"/>
    </row>
    <row r="729" spans="2:4" ht="12.75" x14ac:dyDescent="0.2">
      <c r="B729" s="2"/>
      <c r="C729" s="2"/>
      <c r="D729" s="2"/>
    </row>
    <row r="730" spans="2:4" ht="12.75" x14ac:dyDescent="0.2">
      <c r="B730" s="2"/>
      <c r="C730" s="2"/>
      <c r="D730" s="2"/>
    </row>
    <row r="731" spans="2:4" ht="12.75" x14ac:dyDescent="0.2">
      <c r="B731" s="2"/>
      <c r="C731" s="2"/>
      <c r="D731" s="2"/>
    </row>
    <row r="732" spans="2:4" ht="12.75" x14ac:dyDescent="0.2">
      <c r="B732" s="2"/>
      <c r="C732" s="2"/>
      <c r="D732" s="2"/>
    </row>
    <row r="733" spans="2:4" ht="12.75" x14ac:dyDescent="0.2">
      <c r="B733" s="2"/>
      <c r="C733" s="2"/>
      <c r="D733" s="2"/>
    </row>
    <row r="734" spans="2:4" ht="12.75" x14ac:dyDescent="0.2">
      <c r="B734" s="2"/>
      <c r="C734" s="2"/>
      <c r="D734" s="2"/>
    </row>
    <row r="735" spans="2:4" ht="12.75" x14ac:dyDescent="0.2">
      <c r="B735" s="2"/>
      <c r="C735" s="2"/>
      <c r="D735" s="2"/>
    </row>
    <row r="736" spans="2:4" ht="12.75" x14ac:dyDescent="0.2">
      <c r="B736" s="2"/>
      <c r="C736" s="2"/>
      <c r="D736" s="2"/>
    </row>
    <row r="737" spans="2:4" ht="12.75" x14ac:dyDescent="0.2">
      <c r="B737" s="2"/>
      <c r="C737" s="2"/>
      <c r="D737" s="2"/>
    </row>
    <row r="738" spans="2:4" ht="12.75" x14ac:dyDescent="0.2">
      <c r="B738" s="2"/>
      <c r="C738" s="2"/>
      <c r="D738" s="2"/>
    </row>
    <row r="739" spans="2:4" ht="12.75" x14ac:dyDescent="0.2">
      <c r="B739" s="2"/>
      <c r="C739" s="2"/>
      <c r="D739" s="2"/>
    </row>
    <row r="740" spans="2:4" ht="12.75" x14ac:dyDescent="0.2">
      <c r="B740" s="2"/>
      <c r="C740" s="2"/>
      <c r="D740" s="2"/>
    </row>
    <row r="741" spans="2:4" ht="12.75" x14ac:dyDescent="0.2">
      <c r="B741" s="2"/>
      <c r="C741" s="2"/>
      <c r="D741" s="2"/>
    </row>
    <row r="742" spans="2:4" ht="12.75" x14ac:dyDescent="0.2">
      <c r="B742" s="2"/>
      <c r="C742" s="2"/>
      <c r="D742" s="2"/>
    </row>
    <row r="743" spans="2:4" ht="12.75" x14ac:dyDescent="0.2">
      <c r="B743" s="2"/>
      <c r="C743" s="2"/>
      <c r="D743" s="2"/>
    </row>
    <row r="744" spans="2:4" ht="12.75" x14ac:dyDescent="0.2">
      <c r="B744" s="2"/>
      <c r="C744" s="2"/>
      <c r="D744" s="2"/>
    </row>
    <row r="745" spans="2:4" ht="12.75" x14ac:dyDescent="0.2">
      <c r="B745" s="2"/>
      <c r="C745" s="2"/>
      <c r="D745" s="2"/>
    </row>
    <row r="746" spans="2:4" ht="12.75" x14ac:dyDescent="0.2">
      <c r="B746" s="2"/>
      <c r="C746" s="2"/>
      <c r="D746" s="2"/>
    </row>
    <row r="747" spans="2:4" ht="12.75" x14ac:dyDescent="0.2">
      <c r="B747" s="2"/>
      <c r="C747" s="2"/>
      <c r="D747" s="2"/>
    </row>
    <row r="748" spans="2:4" ht="12.75" x14ac:dyDescent="0.2">
      <c r="B748" s="2"/>
      <c r="C748" s="2"/>
      <c r="D748" s="2"/>
    </row>
    <row r="749" spans="2:4" ht="12.75" x14ac:dyDescent="0.2">
      <c r="B749" s="2"/>
      <c r="C749" s="2"/>
      <c r="D749" s="2"/>
    </row>
    <row r="750" spans="2:4" ht="12.75" x14ac:dyDescent="0.2">
      <c r="B750" s="2"/>
      <c r="C750" s="2"/>
      <c r="D750" s="2"/>
    </row>
    <row r="751" spans="2:4" ht="12.75" x14ac:dyDescent="0.2">
      <c r="B751" s="2"/>
      <c r="C751" s="2"/>
      <c r="D751" s="2"/>
    </row>
    <row r="752" spans="2:4" ht="12.75" x14ac:dyDescent="0.2">
      <c r="B752" s="2"/>
      <c r="C752" s="2"/>
      <c r="D752" s="2"/>
    </row>
    <row r="753" spans="2:4" ht="12.75" x14ac:dyDescent="0.2">
      <c r="B753" s="2"/>
      <c r="C753" s="2"/>
      <c r="D753" s="2"/>
    </row>
    <row r="754" spans="2:4" ht="12.75" x14ac:dyDescent="0.2">
      <c r="B754" s="2"/>
      <c r="C754" s="2"/>
      <c r="D754" s="2"/>
    </row>
    <row r="755" spans="2:4" ht="12.75" x14ac:dyDescent="0.2">
      <c r="B755" s="2"/>
      <c r="C755" s="2"/>
      <c r="D755" s="2"/>
    </row>
    <row r="756" spans="2:4" ht="12.75" x14ac:dyDescent="0.2">
      <c r="B756" s="2"/>
      <c r="C756" s="2"/>
      <c r="D756" s="2"/>
    </row>
    <row r="757" spans="2:4" ht="12.75" x14ac:dyDescent="0.2">
      <c r="B757" s="2"/>
      <c r="C757" s="2"/>
      <c r="D757" s="2"/>
    </row>
    <row r="758" spans="2:4" ht="12.75" x14ac:dyDescent="0.2">
      <c r="B758" s="2"/>
      <c r="C758" s="2"/>
      <c r="D758" s="2"/>
    </row>
    <row r="759" spans="2:4" ht="12.75" x14ac:dyDescent="0.2">
      <c r="B759" s="2"/>
      <c r="C759" s="2"/>
      <c r="D759" s="2"/>
    </row>
    <row r="760" spans="2:4" ht="12.75" x14ac:dyDescent="0.2">
      <c r="B760" s="2"/>
      <c r="C760" s="2"/>
      <c r="D760" s="2"/>
    </row>
    <row r="761" spans="2:4" ht="12.75" x14ac:dyDescent="0.2">
      <c r="B761" s="2"/>
      <c r="C761" s="2"/>
      <c r="D761" s="2"/>
    </row>
    <row r="762" spans="2:4" ht="12.75" x14ac:dyDescent="0.2">
      <c r="B762" s="2"/>
      <c r="C762" s="2"/>
      <c r="D762" s="2"/>
    </row>
    <row r="763" spans="2:4" ht="12.75" x14ac:dyDescent="0.2">
      <c r="B763" s="2"/>
      <c r="C763" s="2"/>
      <c r="D763" s="2"/>
    </row>
    <row r="764" spans="2:4" ht="12.75" x14ac:dyDescent="0.2">
      <c r="B764" s="2"/>
      <c r="C764" s="2"/>
      <c r="D764" s="2"/>
    </row>
    <row r="765" spans="2:4" ht="12.75" x14ac:dyDescent="0.2">
      <c r="B765" s="2"/>
      <c r="C765" s="2"/>
      <c r="D765" s="2"/>
    </row>
    <row r="766" spans="2:4" ht="12.75" x14ac:dyDescent="0.2">
      <c r="B766" s="2"/>
      <c r="C766" s="2"/>
      <c r="D766" s="2"/>
    </row>
    <row r="767" spans="2:4" ht="12.75" x14ac:dyDescent="0.2">
      <c r="B767" s="2"/>
      <c r="C767" s="2"/>
      <c r="D767" s="2"/>
    </row>
    <row r="768" spans="2:4" ht="12.75" x14ac:dyDescent="0.2">
      <c r="B768" s="2"/>
      <c r="C768" s="2"/>
      <c r="D768" s="2"/>
    </row>
    <row r="769" spans="2:4" ht="12.75" x14ac:dyDescent="0.2">
      <c r="B769" s="2"/>
      <c r="C769" s="2"/>
      <c r="D769" s="2"/>
    </row>
    <row r="770" spans="2:4" ht="12.75" x14ac:dyDescent="0.2">
      <c r="B770" s="2"/>
      <c r="C770" s="2"/>
      <c r="D770" s="2"/>
    </row>
    <row r="771" spans="2:4" ht="12.75" x14ac:dyDescent="0.2">
      <c r="B771" s="2"/>
      <c r="C771" s="2"/>
      <c r="D771" s="2"/>
    </row>
    <row r="772" spans="2:4" ht="12.75" x14ac:dyDescent="0.2">
      <c r="B772" s="2"/>
      <c r="C772" s="2"/>
      <c r="D772" s="2"/>
    </row>
    <row r="773" spans="2:4" ht="12.75" x14ac:dyDescent="0.2">
      <c r="B773" s="2"/>
      <c r="C773" s="2"/>
      <c r="D773" s="2"/>
    </row>
    <row r="774" spans="2:4" ht="12.75" x14ac:dyDescent="0.2">
      <c r="B774" s="2"/>
      <c r="C774" s="2"/>
      <c r="D774" s="2"/>
    </row>
    <row r="775" spans="2:4" ht="12.75" x14ac:dyDescent="0.2">
      <c r="B775" s="2"/>
      <c r="C775" s="2"/>
      <c r="D775" s="2"/>
    </row>
    <row r="776" spans="2:4" ht="12.75" x14ac:dyDescent="0.2">
      <c r="B776" s="2"/>
      <c r="C776" s="2"/>
      <c r="D776" s="2"/>
    </row>
    <row r="777" spans="2:4" ht="12.75" x14ac:dyDescent="0.2">
      <c r="B777" s="2"/>
      <c r="C777" s="2"/>
      <c r="D777" s="2"/>
    </row>
    <row r="778" spans="2:4" ht="12.75" x14ac:dyDescent="0.2">
      <c r="B778" s="2"/>
      <c r="C778" s="2"/>
      <c r="D778" s="2"/>
    </row>
    <row r="779" spans="2:4" ht="12.75" x14ac:dyDescent="0.2">
      <c r="B779" s="2"/>
      <c r="C779" s="2"/>
      <c r="D779" s="2"/>
    </row>
    <row r="780" spans="2:4" ht="12.75" x14ac:dyDescent="0.2">
      <c r="B780" s="2"/>
      <c r="C780" s="2"/>
      <c r="D780" s="2"/>
    </row>
    <row r="781" spans="2:4" ht="12.75" x14ac:dyDescent="0.2">
      <c r="B781" s="2"/>
      <c r="C781" s="2"/>
      <c r="D781" s="2"/>
    </row>
    <row r="782" spans="2:4" ht="12.75" x14ac:dyDescent="0.2">
      <c r="B782" s="2"/>
      <c r="C782" s="2"/>
      <c r="D782" s="2"/>
    </row>
    <row r="783" spans="2:4" ht="12.75" x14ac:dyDescent="0.2">
      <c r="B783" s="2"/>
      <c r="C783" s="2"/>
      <c r="D783" s="2"/>
    </row>
    <row r="784" spans="2:4" ht="12.75" x14ac:dyDescent="0.2">
      <c r="B784" s="2"/>
      <c r="C784" s="2"/>
      <c r="D784" s="2"/>
    </row>
    <row r="785" spans="2:4" ht="12.75" x14ac:dyDescent="0.2">
      <c r="B785" s="2"/>
      <c r="C785" s="2"/>
      <c r="D785" s="2"/>
    </row>
    <row r="786" spans="2:4" ht="12.75" x14ac:dyDescent="0.2">
      <c r="B786" s="2"/>
      <c r="C786" s="2"/>
      <c r="D786" s="2"/>
    </row>
    <row r="787" spans="2:4" ht="12.75" x14ac:dyDescent="0.2">
      <c r="B787" s="2"/>
      <c r="C787" s="2"/>
      <c r="D787" s="2"/>
    </row>
    <row r="788" spans="2:4" ht="12.75" x14ac:dyDescent="0.2">
      <c r="B788" s="2"/>
      <c r="C788" s="2"/>
      <c r="D788" s="2"/>
    </row>
    <row r="789" spans="2:4" ht="12.75" x14ac:dyDescent="0.2">
      <c r="B789" s="2"/>
      <c r="C789" s="2"/>
      <c r="D789" s="2"/>
    </row>
    <row r="790" spans="2:4" ht="12.75" x14ac:dyDescent="0.2">
      <c r="B790" s="2"/>
      <c r="C790" s="2"/>
      <c r="D790" s="2"/>
    </row>
    <row r="791" spans="2:4" ht="12.75" x14ac:dyDescent="0.2">
      <c r="B791" s="2"/>
      <c r="C791" s="2"/>
      <c r="D791" s="2"/>
    </row>
    <row r="792" spans="2:4" ht="12.75" x14ac:dyDescent="0.2">
      <c r="B792" s="2"/>
      <c r="C792" s="2"/>
      <c r="D792" s="2"/>
    </row>
    <row r="793" spans="2:4" ht="12.75" x14ac:dyDescent="0.2">
      <c r="B793" s="2"/>
      <c r="C793" s="2"/>
      <c r="D793" s="2"/>
    </row>
    <row r="794" spans="2:4" ht="12.75" x14ac:dyDescent="0.2">
      <c r="B794" s="2"/>
      <c r="C794" s="2"/>
      <c r="D794" s="2"/>
    </row>
    <row r="795" spans="2:4" ht="12.75" x14ac:dyDescent="0.2">
      <c r="B795" s="2"/>
      <c r="C795" s="2"/>
      <c r="D795" s="2"/>
    </row>
    <row r="796" spans="2:4" ht="12.75" x14ac:dyDescent="0.2">
      <c r="B796" s="2"/>
      <c r="C796" s="2"/>
      <c r="D796" s="2"/>
    </row>
    <row r="797" spans="2:4" ht="12.75" x14ac:dyDescent="0.2">
      <c r="B797" s="2"/>
      <c r="C797" s="2"/>
      <c r="D797" s="2"/>
    </row>
    <row r="798" spans="2:4" ht="12.75" x14ac:dyDescent="0.2">
      <c r="B798" s="2"/>
      <c r="C798" s="2"/>
      <c r="D798" s="2"/>
    </row>
    <row r="799" spans="2:4" ht="12.75" x14ac:dyDescent="0.2">
      <c r="B799" s="2"/>
      <c r="C799" s="2"/>
      <c r="D799" s="2"/>
    </row>
    <row r="800" spans="2:4" ht="12.75" x14ac:dyDescent="0.2">
      <c r="B800" s="2"/>
      <c r="C800" s="2"/>
      <c r="D800" s="2"/>
    </row>
    <row r="801" spans="2:4" ht="12.75" x14ac:dyDescent="0.2">
      <c r="B801" s="2"/>
      <c r="C801" s="2"/>
      <c r="D801" s="2"/>
    </row>
    <row r="802" spans="2:4" ht="12.75" x14ac:dyDescent="0.2">
      <c r="B802" s="2"/>
      <c r="C802" s="2"/>
      <c r="D802" s="2"/>
    </row>
    <row r="803" spans="2:4" ht="12.75" x14ac:dyDescent="0.2">
      <c r="B803" s="2"/>
      <c r="C803" s="2"/>
      <c r="D803" s="2"/>
    </row>
    <row r="804" spans="2:4" ht="12.75" x14ac:dyDescent="0.2">
      <c r="B804" s="2"/>
      <c r="C804" s="2"/>
      <c r="D804" s="2"/>
    </row>
    <row r="805" spans="2:4" ht="12.75" x14ac:dyDescent="0.2">
      <c r="B805" s="2"/>
      <c r="C805" s="2"/>
      <c r="D805" s="2"/>
    </row>
    <row r="806" spans="2:4" ht="12.75" x14ac:dyDescent="0.2">
      <c r="B806" s="2"/>
      <c r="C806" s="2"/>
      <c r="D806" s="2"/>
    </row>
    <row r="807" spans="2:4" ht="12.75" x14ac:dyDescent="0.2">
      <c r="B807" s="2"/>
      <c r="C807" s="2"/>
      <c r="D807" s="2"/>
    </row>
    <row r="808" spans="2:4" ht="12.75" x14ac:dyDescent="0.2">
      <c r="B808" s="2"/>
      <c r="C808" s="2"/>
      <c r="D808" s="2"/>
    </row>
    <row r="809" spans="2:4" ht="12.75" x14ac:dyDescent="0.2">
      <c r="B809" s="2"/>
      <c r="C809" s="2"/>
      <c r="D809" s="2"/>
    </row>
    <row r="810" spans="2:4" ht="12.75" x14ac:dyDescent="0.2">
      <c r="B810" s="2"/>
      <c r="C810" s="2"/>
      <c r="D810" s="2"/>
    </row>
    <row r="811" spans="2:4" ht="12.75" x14ac:dyDescent="0.2">
      <c r="B811" s="2"/>
      <c r="C811" s="2"/>
      <c r="D811" s="2"/>
    </row>
    <row r="812" spans="2:4" ht="12.75" x14ac:dyDescent="0.2">
      <c r="B812" s="2"/>
      <c r="C812" s="2"/>
      <c r="D812" s="2"/>
    </row>
    <row r="813" spans="2:4" ht="12.75" x14ac:dyDescent="0.2">
      <c r="B813" s="2"/>
      <c r="C813" s="2"/>
      <c r="D813" s="2"/>
    </row>
    <row r="814" spans="2:4" ht="12.75" x14ac:dyDescent="0.2">
      <c r="B814" s="2"/>
      <c r="C814" s="2"/>
      <c r="D814" s="2"/>
    </row>
    <row r="815" spans="2:4" ht="12.75" x14ac:dyDescent="0.2">
      <c r="B815" s="2"/>
      <c r="C815" s="2"/>
      <c r="D815" s="2"/>
    </row>
    <row r="816" spans="2:4" ht="12.75" x14ac:dyDescent="0.2">
      <c r="B816" s="2"/>
      <c r="C816" s="2"/>
      <c r="D816" s="2"/>
    </row>
    <row r="817" spans="2:4" ht="12.75" x14ac:dyDescent="0.2">
      <c r="B817" s="2"/>
      <c r="C817" s="2"/>
      <c r="D817" s="2"/>
    </row>
    <row r="818" spans="2:4" ht="12.75" x14ac:dyDescent="0.2">
      <c r="B818" s="2"/>
      <c r="C818" s="2"/>
      <c r="D818" s="2"/>
    </row>
    <row r="819" spans="2:4" ht="12.75" x14ac:dyDescent="0.2">
      <c r="B819" s="2"/>
      <c r="C819" s="2"/>
      <c r="D819" s="2"/>
    </row>
    <row r="820" spans="2:4" ht="12.75" x14ac:dyDescent="0.2">
      <c r="B820" s="2"/>
      <c r="C820" s="2"/>
      <c r="D820" s="2"/>
    </row>
    <row r="821" spans="2:4" ht="12.75" x14ac:dyDescent="0.2">
      <c r="B821" s="2"/>
      <c r="C821" s="2"/>
      <c r="D821" s="2"/>
    </row>
    <row r="822" spans="2:4" ht="12.75" x14ac:dyDescent="0.2">
      <c r="B822" s="2"/>
      <c r="C822" s="2"/>
      <c r="D822" s="2"/>
    </row>
    <row r="823" spans="2:4" ht="12.75" x14ac:dyDescent="0.2">
      <c r="B823" s="2"/>
      <c r="C823" s="2"/>
      <c r="D823" s="2"/>
    </row>
    <row r="824" spans="2:4" ht="12.75" x14ac:dyDescent="0.2">
      <c r="B824" s="2"/>
      <c r="C824" s="2"/>
      <c r="D824" s="2"/>
    </row>
    <row r="825" spans="2:4" ht="12.75" x14ac:dyDescent="0.2">
      <c r="B825" s="2"/>
      <c r="C825" s="2"/>
      <c r="D825" s="2"/>
    </row>
    <row r="826" spans="2:4" ht="12.75" x14ac:dyDescent="0.2">
      <c r="B826" s="2"/>
      <c r="C826" s="2"/>
      <c r="D826" s="2"/>
    </row>
    <row r="827" spans="2:4" ht="12.75" x14ac:dyDescent="0.2">
      <c r="B827" s="2"/>
      <c r="C827" s="2"/>
      <c r="D827" s="2"/>
    </row>
    <row r="828" spans="2:4" ht="12.75" x14ac:dyDescent="0.2">
      <c r="B828" s="2"/>
      <c r="C828" s="2"/>
      <c r="D828" s="2"/>
    </row>
    <row r="829" spans="2:4" ht="12.75" x14ac:dyDescent="0.2">
      <c r="B829" s="2"/>
      <c r="C829" s="2"/>
      <c r="D829" s="2"/>
    </row>
    <row r="830" spans="2:4" ht="12.75" x14ac:dyDescent="0.2">
      <c r="B830" s="2"/>
      <c r="C830" s="2"/>
      <c r="D830" s="2"/>
    </row>
    <row r="831" spans="2:4" ht="12.75" x14ac:dyDescent="0.2">
      <c r="B831" s="2"/>
      <c r="C831" s="2"/>
      <c r="D831" s="2"/>
    </row>
    <row r="832" spans="2:4" ht="12.75" x14ac:dyDescent="0.2">
      <c r="B832" s="2"/>
      <c r="C832" s="2"/>
      <c r="D832" s="2"/>
    </row>
    <row r="833" spans="2:4" ht="12.75" x14ac:dyDescent="0.2">
      <c r="B833" s="2"/>
      <c r="C833" s="2"/>
      <c r="D833" s="2"/>
    </row>
    <row r="834" spans="2:4" ht="12.75" x14ac:dyDescent="0.2">
      <c r="B834" s="2"/>
      <c r="C834" s="2"/>
      <c r="D834" s="2"/>
    </row>
    <row r="835" spans="2:4" ht="12.75" x14ac:dyDescent="0.2">
      <c r="B835" s="2"/>
      <c r="C835" s="2"/>
      <c r="D835" s="2"/>
    </row>
    <row r="836" spans="2:4" ht="12.75" x14ac:dyDescent="0.2">
      <c r="B836" s="2"/>
      <c r="C836" s="2"/>
      <c r="D836" s="2"/>
    </row>
    <row r="837" spans="2:4" ht="12.75" x14ac:dyDescent="0.2">
      <c r="B837" s="2"/>
      <c r="C837" s="2"/>
      <c r="D837" s="2"/>
    </row>
    <row r="838" spans="2:4" ht="12.75" x14ac:dyDescent="0.2">
      <c r="B838" s="2"/>
      <c r="C838" s="2"/>
      <c r="D838" s="2"/>
    </row>
    <row r="839" spans="2:4" ht="12.75" x14ac:dyDescent="0.2">
      <c r="B839" s="2"/>
      <c r="C839" s="2"/>
      <c r="D839" s="2"/>
    </row>
    <row r="840" spans="2:4" ht="12.75" x14ac:dyDescent="0.2">
      <c r="B840" s="2"/>
      <c r="C840" s="2"/>
      <c r="D840" s="2"/>
    </row>
    <row r="841" spans="2:4" ht="12.75" x14ac:dyDescent="0.2">
      <c r="B841" s="2"/>
      <c r="C841" s="2"/>
      <c r="D841" s="2"/>
    </row>
    <row r="842" spans="2:4" ht="12.75" x14ac:dyDescent="0.2">
      <c r="B842" s="2"/>
      <c r="C842" s="2"/>
      <c r="D842" s="2"/>
    </row>
    <row r="843" spans="2:4" ht="12.75" x14ac:dyDescent="0.2">
      <c r="B843" s="2"/>
      <c r="C843" s="2"/>
      <c r="D843" s="2"/>
    </row>
    <row r="844" spans="2:4" ht="12.75" x14ac:dyDescent="0.2">
      <c r="B844" s="2"/>
      <c r="C844" s="2"/>
      <c r="D844" s="2"/>
    </row>
    <row r="845" spans="2:4" ht="12.75" x14ac:dyDescent="0.2">
      <c r="B845" s="2"/>
      <c r="C845" s="2"/>
      <c r="D845" s="2"/>
    </row>
    <row r="846" spans="2:4" ht="12.75" x14ac:dyDescent="0.2">
      <c r="B846" s="2"/>
      <c r="C846" s="2"/>
      <c r="D846" s="2"/>
    </row>
    <row r="847" spans="2:4" ht="12.75" x14ac:dyDescent="0.2">
      <c r="B847" s="2"/>
      <c r="C847" s="2"/>
      <c r="D847" s="2"/>
    </row>
    <row r="848" spans="2:4" ht="12.75" x14ac:dyDescent="0.2">
      <c r="B848" s="2"/>
      <c r="C848" s="2"/>
      <c r="D848" s="2"/>
    </row>
    <row r="849" spans="2:4" ht="12.75" x14ac:dyDescent="0.2">
      <c r="B849" s="2"/>
      <c r="C849" s="2"/>
      <c r="D849" s="2"/>
    </row>
    <row r="850" spans="2:4" ht="12.75" x14ac:dyDescent="0.2">
      <c r="B850" s="2"/>
      <c r="C850" s="2"/>
      <c r="D850" s="2"/>
    </row>
    <row r="851" spans="2:4" ht="12.75" x14ac:dyDescent="0.2">
      <c r="B851" s="2"/>
      <c r="C851" s="2"/>
      <c r="D851" s="2"/>
    </row>
    <row r="852" spans="2:4" ht="12.75" x14ac:dyDescent="0.2">
      <c r="B852" s="2"/>
      <c r="C852" s="2"/>
      <c r="D852" s="2"/>
    </row>
    <row r="853" spans="2:4" ht="12.75" x14ac:dyDescent="0.2">
      <c r="B853" s="2"/>
      <c r="C853" s="2"/>
      <c r="D853" s="2"/>
    </row>
    <row r="854" spans="2:4" ht="12.75" x14ac:dyDescent="0.2">
      <c r="B854" s="2"/>
      <c r="C854" s="2"/>
      <c r="D854" s="2"/>
    </row>
    <row r="855" spans="2:4" ht="12.75" x14ac:dyDescent="0.2">
      <c r="B855" s="2"/>
      <c r="C855" s="2"/>
      <c r="D855" s="2"/>
    </row>
    <row r="856" spans="2:4" ht="12.75" x14ac:dyDescent="0.2">
      <c r="B856" s="2"/>
      <c r="C856" s="2"/>
      <c r="D856" s="2"/>
    </row>
    <row r="857" spans="2:4" ht="12.75" x14ac:dyDescent="0.2">
      <c r="B857" s="2"/>
      <c r="C857" s="2"/>
      <c r="D857" s="2"/>
    </row>
    <row r="858" spans="2:4" ht="12.75" x14ac:dyDescent="0.2">
      <c r="B858" s="2"/>
      <c r="C858" s="2"/>
      <c r="D858" s="2"/>
    </row>
    <row r="859" spans="2:4" ht="12.75" x14ac:dyDescent="0.2">
      <c r="B859" s="2"/>
      <c r="C859" s="2"/>
      <c r="D859" s="2"/>
    </row>
    <row r="860" spans="2:4" ht="12.75" x14ac:dyDescent="0.2">
      <c r="B860" s="2"/>
      <c r="C860" s="2"/>
      <c r="D860" s="2"/>
    </row>
    <row r="861" spans="2:4" ht="12.75" x14ac:dyDescent="0.2">
      <c r="B861" s="2"/>
      <c r="C861" s="2"/>
      <c r="D861" s="2"/>
    </row>
    <row r="862" spans="2:4" ht="12.75" x14ac:dyDescent="0.2">
      <c r="B862" s="2"/>
      <c r="C862" s="2"/>
      <c r="D862" s="2"/>
    </row>
    <row r="863" spans="2:4" ht="12.75" x14ac:dyDescent="0.2">
      <c r="B863" s="2"/>
      <c r="C863" s="2"/>
      <c r="D863" s="2"/>
    </row>
    <row r="864" spans="2:4" ht="12.75" x14ac:dyDescent="0.2">
      <c r="B864" s="2"/>
      <c r="C864" s="2"/>
      <c r="D864" s="2"/>
    </row>
    <row r="865" spans="2:4" ht="12.75" x14ac:dyDescent="0.2">
      <c r="B865" s="2"/>
      <c r="C865" s="2"/>
      <c r="D865" s="2"/>
    </row>
    <row r="866" spans="2:4" ht="12.75" x14ac:dyDescent="0.2">
      <c r="B866" s="2"/>
      <c r="C866" s="2"/>
      <c r="D866" s="2"/>
    </row>
    <row r="867" spans="2:4" ht="12.75" x14ac:dyDescent="0.2">
      <c r="B867" s="2"/>
      <c r="C867" s="2"/>
      <c r="D867" s="2"/>
    </row>
    <row r="868" spans="2:4" ht="12.75" x14ac:dyDescent="0.2">
      <c r="B868" s="2"/>
      <c r="C868" s="2"/>
      <c r="D868" s="2"/>
    </row>
    <row r="869" spans="2:4" ht="12.75" x14ac:dyDescent="0.2">
      <c r="B869" s="2"/>
      <c r="C869" s="2"/>
      <c r="D869" s="2"/>
    </row>
    <row r="870" spans="2:4" ht="12.75" x14ac:dyDescent="0.2">
      <c r="B870" s="2"/>
      <c r="C870" s="2"/>
      <c r="D870" s="2"/>
    </row>
    <row r="871" spans="2:4" ht="12.75" x14ac:dyDescent="0.2">
      <c r="B871" s="2"/>
      <c r="C871" s="2"/>
      <c r="D871" s="2"/>
    </row>
    <row r="872" spans="2:4" ht="12.75" x14ac:dyDescent="0.2">
      <c r="B872" s="2"/>
      <c r="C872" s="2"/>
      <c r="D872" s="2"/>
    </row>
    <row r="873" spans="2:4" ht="12.75" x14ac:dyDescent="0.2">
      <c r="B873" s="2"/>
      <c r="C873" s="2"/>
      <c r="D873" s="2"/>
    </row>
    <row r="874" spans="2:4" ht="12.75" x14ac:dyDescent="0.2">
      <c r="B874" s="2"/>
      <c r="C874" s="2"/>
      <c r="D874" s="2"/>
    </row>
    <row r="875" spans="2:4" ht="12.75" x14ac:dyDescent="0.2">
      <c r="B875" s="2"/>
      <c r="C875" s="2"/>
      <c r="D875" s="2"/>
    </row>
    <row r="876" spans="2:4" ht="12.75" x14ac:dyDescent="0.2">
      <c r="B876" s="2"/>
      <c r="C876" s="2"/>
      <c r="D876" s="2"/>
    </row>
    <row r="877" spans="2:4" ht="12.75" x14ac:dyDescent="0.2">
      <c r="B877" s="2"/>
      <c r="C877" s="2"/>
      <c r="D877" s="2"/>
    </row>
    <row r="878" spans="2:4" ht="12.75" x14ac:dyDescent="0.2">
      <c r="B878" s="2"/>
      <c r="C878" s="2"/>
      <c r="D878" s="2"/>
    </row>
    <row r="879" spans="2:4" ht="12.75" x14ac:dyDescent="0.2">
      <c r="B879" s="2"/>
      <c r="C879" s="2"/>
      <c r="D879" s="2"/>
    </row>
    <row r="880" spans="2:4" ht="12.75" x14ac:dyDescent="0.2">
      <c r="B880" s="2"/>
      <c r="C880" s="2"/>
      <c r="D880" s="2"/>
    </row>
    <row r="881" spans="2:4" ht="12.75" x14ac:dyDescent="0.2">
      <c r="B881" s="2"/>
      <c r="C881" s="2"/>
      <c r="D881" s="2"/>
    </row>
    <row r="882" spans="2:4" ht="12.75" x14ac:dyDescent="0.2">
      <c r="B882" s="2"/>
      <c r="C882" s="2"/>
      <c r="D882" s="2"/>
    </row>
    <row r="883" spans="2:4" ht="12.75" x14ac:dyDescent="0.2">
      <c r="B883" s="2"/>
      <c r="C883" s="2"/>
      <c r="D883" s="2"/>
    </row>
    <row r="884" spans="2:4" ht="12.75" x14ac:dyDescent="0.2">
      <c r="B884" s="2"/>
      <c r="C884" s="2"/>
      <c r="D884" s="2"/>
    </row>
    <row r="885" spans="2:4" ht="12.75" x14ac:dyDescent="0.2">
      <c r="B885" s="2"/>
      <c r="C885" s="2"/>
      <c r="D885" s="2"/>
    </row>
    <row r="886" spans="2:4" ht="12.75" x14ac:dyDescent="0.2">
      <c r="B886" s="2"/>
      <c r="C886" s="2"/>
      <c r="D886" s="2"/>
    </row>
    <row r="887" spans="2:4" ht="12.75" x14ac:dyDescent="0.2">
      <c r="B887" s="2"/>
      <c r="C887" s="2"/>
      <c r="D887" s="2"/>
    </row>
    <row r="888" spans="2:4" ht="12.75" x14ac:dyDescent="0.2">
      <c r="B888" s="2"/>
      <c r="C888" s="2"/>
      <c r="D888" s="2"/>
    </row>
    <row r="889" spans="2:4" ht="12.75" x14ac:dyDescent="0.2">
      <c r="B889" s="2"/>
      <c r="C889" s="2"/>
      <c r="D889" s="2"/>
    </row>
    <row r="890" spans="2:4" ht="12.75" x14ac:dyDescent="0.2">
      <c r="B890" s="2"/>
      <c r="C890" s="2"/>
      <c r="D890" s="2"/>
    </row>
    <row r="891" spans="2:4" ht="12.75" x14ac:dyDescent="0.2">
      <c r="B891" s="2"/>
      <c r="C891" s="2"/>
      <c r="D891" s="2"/>
    </row>
    <row r="892" spans="2:4" ht="12.75" x14ac:dyDescent="0.2">
      <c r="B892" s="2"/>
      <c r="C892" s="2"/>
      <c r="D892" s="2"/>
    </row>
    <row r="893" spans="2:4" ht="12.75" x14ac:dyDescent="0.2">
      <c r="B893" s="2"/>
      <c r="C893" s="2"/>
      <c r="D893" s="2"/>
    </row>
    <row r="894" spans="2:4" ht="12.75" x14ac:dyDescent="0.2">
      <c r="B894" s="2"/>
      <c r="C894" s="2"/>
      <c r="D894" s="2"/>
    </row>
    <row r="895" spans="2:4" ht="12.75" x14ac:dyDescent="0.2">
      <c r="B895" s="2"/>
      <c r="C895" s="2"/>
      <c r="D895" s="2"/>
    </row>
    <row r="896" spans="2:4" ht="12.75" x14ac:dyDescent="0.2">
      <c r="B896" s="2"/>
      <c r="C896" s="2"/>
      <c r="D896" s="2"/>
    </row>
    <row r="897" spans="2:4" ht="12.75" x14ac:dyDescent="0.2">
      <c r="B897" s="2"/>
      <c r="C897" s="2"/>
      <c r="D897" s="2"/>
    </row>
    <row r="898" spans="2:4" ht="12.75" x14ac:dyDescent="0.2">
      <c r="B898" s="2"/>
      <c r="C898" s="2"/>
      <c r="D898" s="2"/>
    </row>
    <row r="899" spans="2:4" ht="12.75" x14ac:dyDescent="0.2">
      <c r="B899" s="2"/>
      <c r="C899" s="2"/>
      <c r="D899" s="2"/>
    </row>
    <row r="900" spans="2:4" ht="12.75" x14ac:dyDescent="0.2">
      <c r="B900" s="2"/>
      <c r="C900" s="2"/>
      <c r="D900" s="2"/>
    </row>
    <row r="901" spans="2:4" ht="12.75" x14ac:dyDescent="0.2">
      <c r="B901" s="2"/>
      <c r="C901" s="2"/>
      <c r="D901" s="2"/>
    </row>
    <row r="902" spans="2:4" ht="12.75" x14ac:dyDescent="0.2">
      <c r="B902" s="2"/>
      <c r="C902" s="2"/>
      <c r="D902" s="2"/>
    </row>
    <row r="903" spans="2:4" ht="12.75" x14ac:dyDescent="0.2">
      <c r="B903" s="2"/>
      <c r="C903" s="2"/>
      <c r="D903" s="2"/>
    </row>
    <row r="904" spans="2:4" ht="12.75" x14ac:dyDescent="0.2">
      <c r="B904" s="2"/>
      <c r="C904" s="2"/>
      <c r="D904" s="2"/>
    </row>
    <row r="905" spans="2:4" ht="12.75" x14ac:dyDescent="0.2">
      <c r="B905" s="2"/>
      <c r="C905" s="2"/>
      <c r="D905" s="2"/>
    </row>
    <row r="906" spans="2:4" ht="12.75" x14ac:dyDescent="0.2">
      <c r="B906" s="2"/>
      <c r="C906" s="2"/>
      <c r="D906" s="2"/>
    </row>
    <row r="907" spans="2:4" ht="12.75" x14ac:dyDescent="0.2">
      <c r="B907" s="2"/>
      <c r="C907" s="2"/>
      <c r="D907" s="2"/>
    </row>
    <row r="908" spans="2:4" ht="12.75" x14ac:dyDescent="0.2">
      <c r="B908" s="2"/>
      <c r="C908" s="2"/>
      <c r="D908" s="2"/>
    </row>
    <row r="909" spans="2:4" ht="12.75" x14ac:dyDescent="0.2">
      <c r="B909" s="2"/>
      <c r="C909" s="2"/>
      <c r="D909" s="2"/>
    </row>
    <row r="910" spans="2:4" ht="12.75" x14ac:dyDescent="0.2">
      <c r="B910" s="2"/>
      <c r="C910" s="2"/>
      <c r="D910" s="2"/>
    </row>
    <row r="911" spans="2:4" ht="12.75" x14ac:dyDescent="0.2">
      <c r="B911" s="2"/>
      <c r="C911" s="2"/>
      <c r="D911" s="2"/>
    </row>
    <row r="912" spans="2:4" ht="12.75" x14ac:dyDescent="0.2">
      <c r="B912" s="2"/>
      <c r="C912" s="2"/>
      <c r="D912" s="2"/>
    </row>
    <row r="913" spans="2:4" ht="12.75" x14ac:dyDescent="0.2">
      <c r="B913" s="2"/>
      <c r="C913" s="2"/>
      <c r="D913" s="2"/>
    </row>
    <row r="914" spans="2:4" ht="12.75" x14ac:dyDescent="0.2">
      <c r="B914" s="2"/>
      <c r="C914" s="2"/>
      <c r="D914" s="2"/>
    </row>
    <row r="915" spans="2:4" ht="12.75" x14ac:dyDescent="0.2">
      <c r="B915" s="2"/>
      <c r="C915" s="2"/>
      <c r="D915" s="2"/>
    </row>
    <row r="916" spans="2:4" ht="12.75" x14ac:dyDescent="0.2">
      <c r="B916" s="2"/>
      <c r="C916" s="2"/>
      <c r="D916" s="2"/>
    </row>
    <row r="917" spans="2:4" ht="12.75" x14ac:dyDescent="0.2">
      <c r="B917" s="2"/>
      <c r="C917" s="2"/>
      <c r="D917" s="2"/>
    </row>
    <row r="918" spans="2:4" ht="12.75" x14ac:dyDescent="0.2">
      <c r="B918" s="2"/>
      <c r="C918" s="2"/>
      <c r="D918" s="2"/>
    </row>
    <row r="919" spans="2:4" ht="12.75" x14ac:dyDescent="0.2">
      <c r="B919" s="2"/>
      <c r="C919" s="2"/>
      <c r="D919" s="2"/>
    </row>
    <row r="920" spans="2:4" ht="12.75" x14ac:dyDescent="0.2">
      <c r="B920" s="2"/>
      <c r="C920" s="2"/>
      <c r="D920" s="2"/>
    </row>
    <row r="921" spans="2:4" ht="12.75" x14ac:dyDescent="0.2">
      <c r="B921" s="2"/>
      <c r="C921" s="2"/>
      <c r="D921" s="2"/>
    </row>
    <row r="922" spans="2:4" ht="12.75" x14ac:dyDescent="0.2">
      <c r="B922" s="2"/>
      <c r="C922" s="2"/>
      <c r="D922" s="2"/>
    </row>
    <row r="923" spans="2:4" ht="12.75" x14ac:dyDescent="0.2">
      <c r="B923" s="2"/>
      <c r="C923" s="2"/>
      <c r="D923" s="2"/>
    </row>
    <row r="924" spans="2:4" ht="12.75" x14ac:dyDescent="0.2">
      <c r="B924" s="2"/>
      <c r="C924" s="2"/>
      <c r="D924" s="2"/>
    </row>
    <row r="925" spans="2:4" ht="12.75" x14ac:dyDescent="0.2">
      <c r="B925" s="2"/>
      <c r="C925" s="2"/>
      <c r="D925" s="2"/>
    </row>
    <row r="926" spans="2:4" ht="12.75" x14ac:dyDescent="0.2">
      <c r="B926" s="2"/>
      <c r="C926" s="2"/>
      <c r="D926" s="2"/>
    </row>
    <row r="927" spans="2:4" ht="12.75" x14ac:dyDescent="0.2">
      <c r="B927" s="2"/>
      <c r="C927" s="2"/>
      <c r="D927" s="2"/>
    </row>
    <row r="928" spans="2:4" ht="12.75" x14ac:dyDescent="0.2">
      <c r="B928" s="2"/>
      <c r="C928" s="2"/>
      <c r="D928" s="2"/>
    </row>
    <row r="929" spans="2:4" ht="12.75" x14ac:dyDescent="0.2">
      <c r="B929" s="2"/>
      <c r="C929" s="2"/>
      <c r="D929" s="2"/>
    </row>
    <row r="930" spans="2:4" ht="12.75" x14ac:dyDescent="0.2">
      <c r="B930" s="2"/>
      <c r="C930" s="2"/>
      <c r="D930" s="2"/>
    </row>
    <row r="931" spans="2:4" ht="12.75" x14ac:dyDescent="0.2">
      <c r="B931" s="2"/>
      <c r="C931" s="2"/>
      <c r="D931" s="2"/>
    </row>
    <row r="932" spans="2:4" ht="12.75" x14ac:dyDescent="0.2">
      <c r="B932" s="2"/>
      <c r="C932" s="2"/>
      <c r="D932" s="2"/>
    </row>
    <row r="933" spans="2:4" ht="12.75" x14ac:dyDescent="0.2">
      <c r="B933" s="2"/>
      <c r="C933" s="2"/>
      <c r="D933" s="2"/>
    </row>
    <row r="934" spans="2:4" ht="12.75" x14ac:dyDescent="0.2">
      <c r="B934" s="2"/>
      <c r="C934" s="2"/>
      <c r="D934" s="2"/>
    </row>
    <row r="935" spans="2:4" ht="12.75" x14ac:dyDescent="0.2">
      <c r="B935" s="2"/>
      <c r="C935" s="2"/>
      <c r="D935" s="2"/>
    </row>
    <row r="936" spans="2:4" ht="12.75" x14ac:dyDescent="0.2">
      <c r="B936" s="2"/>
      <c r="C936" s="2"/>
      <c r="D936" s="2"/>
    </row>
    <row r="937" spans="2:4" ht="12.75" x14ac:dyDescent="0.2">
      <c r="B937" s="2"/>
      <c r="C937" s="2"/>
      <c r="D937" s="2"/>
    </row>
    <row r="938" spans="2:4" ht="12.75" x14ac:dyDescent="0.2">
      <c r="B938" s="2"/>
      <c r="C938" s="2"/>
      <c r="D938" s="2"/>
    </row>
    <row r="939" spans="2:4" ht="12.75" x14ac:dyDescent="0.2">
      <c r="B939" s="2"/>
      <c r="C939" s="2"/>
      <c r="D939" s="2"/>
    </row>
    <row r="940" spans="2:4" ht="12.75" x14ac:dyDescent="0.2">
      <c r="B940" s="2"/>
      <c r="C940" s="2"/>
      <c r="D940" s="2"/>
    </row>
    <row r="941" spans="2:4" ht="12.75" x14ac:dyDescent="0.2">
      <c r="B941" s="2"/>
      <c r="C941" s="2"/>
      <c r="D941" s="2"/>
    </row>
    <row r="942" spans="2:4" ht="12.75" x14ac:dyDescent="0.2">
      <c r="B942" s="2"/>
      <c r="C942" s="2"/>
      <c r="D942" s="2"/>
    </row>
    <row r="943" spans="2:4" ht="12.75" x14ac:dyDescent="0.2">
      <c r="B943" s="2"/>
      <c r="C943" s="2"/>
      <c r="D943" s="2"/>
    </row>
    <row r="944" spans="2:4" ht="12.75" x14ac:dyDescent="0.2">
      <c r="B944" s="2"/>
      <c r="C944" s="2"/>
      <c r="D944" s="2"/>
    </row>
    <row r="945" spans="2:4" ht="12.75" x14ac:dyDescent="0.2">
      <c r="B945" s="2"/>
      <c r="C945" s="2"/>
      <c r="D945" s="2"/>
    </row>
    <row r="946" spans="2:4" ht="12.75" x14ac:dyDescent="0.2">
      <c r="B946" s="2"/>
      <c r="C946" s="2"/>
      <c r="D946" s="2"/>
    </row>
    <row r="947" spans="2:4" ht="12.75" x14ac:dyDescent="0.2">
      <c r="B947" s="2"/>
      <c r="C947" s="2"/>
      <c r="D947" s="2"/>
    </row>
    <row r="948" spans="2:4" ht="12.75" x14ac:dyDescent="0.2">
      <c r="B948" s="2"/>
      <c r="C948" s="2"/>
      <c r="D948" s="2"/>
    </row>
    <row r="949" spans="2:4" ht="12.75" x14ac:dyDescent="0.2">
      <c r="B949" s="2"/>
      <c r="C949" s="2"/>
      <c r="D949" s="2"/>
    </row>
    <row r="950" spans="2:4" ht="12.75" x14ac:dyDescent="0.2">
      <c r="B950" s="2"/>
      <c r="C950" s="2"/>
      <c r="D950" s="2"/>
    </row>
    <row r="951" spans="2:4" ht="12.75" x14ac:dyDescent="0.2">
      <c r="B951" s="2"/>
      <c r="C951" s="2"/>
      <c r="D951" s="2"/>
    </row>
    <row r="952" spans="2:4" ht="12.75" x14ac:dyDescent="0.2">
      <c r="B952" s="2"/>
      <c r="C952" s="2"/>
      <c r="D952" s="2"/>
    </row>
    <row r="953" spans="2:4" ht="12.75" x14ac:dyDescent="0.2">
      <c r="B953" s="2"/>
      <c r="C953" s="2"/>
      <c r="D953" s="2"/>
    </row>
    <row r="954" spans="2:4" ht="12.75" x14ac:dyDescent="0.2">
      <c r="B954" s="2"/>
      <c r="C954" s="2"/>
      <c r="D954" s="2"/>
    </row>
    <row r="955" spans="2:4" ht="12.75" x14ac:dyDescent="0.2">
      <c r="B955" s="2"/>
      <c r="C955" s="2"/>
      <c r="D955" s="2"/>
    </row>
    <row r="956" spans="2:4" ht="12.75" x14ac:dyDescent="0.2">
      <c r="B956" s="2"/>
      <c r="C956" s="2"/>
      <c r="D956" s="2"/>
    </row>
    <row r="957" spans="2:4" ht="12.75" x14ac:dyDescent="0.2">
      <c r="B957" s="2"/>
      <c r="C957" s="2"/>
      <c r="D957" s="2"/>
    </row>
    <row r="958" spans="2:4" ht="12.75" x14ac:dyDescent="0.2">
      <c r="B958" s="2"/>
      <c r="C958" s="2"/>
      <c r="D958" s="2"/>
    </row>
    <row r="959" spans="2:4" ht="12.75" x14ac:dyDescent="0.2">
      <c r="B959" s="2"/>
      <c r="C959" s="2"/>
      <c r="D959" s="2"/>
    </row>
    <row r="960" spans="2:4" ht="12.75" x14ac:dyDescent="0.2">
      <c r="B960" s="2"/>
      <c r="C960" s="2"/>
      <c r="D960" s="2"/>
    </row>
    <row r="961" spans="2:4" ht="12.75" x14ac:dyDescent="0.2">
      <c r="B961" s="2"/>
      <c r="C961" s="2"/>
      <c r="D961" s="2"/>
    </row>
    <row r="962" spans="2:4" ht="12.75" x14ac:dyDescent="0.2">
      <c r="B962" s="2"/>
      <c r="C962" s="2"/>
      <c r="D962" s="2"/>
    </row>
    <row r="963" spans="2:4" ht="12.75" x14ac:dyDescent="0.2">
      <c r="B963" s="2"/>
      <c r="C963" s="2"/>
      <c r="D963" s="2"/>
    </row>
    <row r="964" spans="2:4" ht="12.75" x14ac:dyDescent="0.2">
      <c r="B964" s="2"/>
      <c r="C964" s="2"/>
      <c r="D964" s="2"/>
    </row>
    <row r="965" spans="2:4" ht="12.75" x14ac:dyDescent="0.2">
      <c r="B965" s="2"/>
      <c r="C965" s="2"/>
      <c r="D965" s="2"/>
    </row>
    <row r="966" spans="2:4" ht="12.75" x14ac:dyDescent="0.2">
      <c r="B966" s="2"/>
      <c r="C966" s="2"/>
      <c r="D966" s="2"/>
    </row>
    <row r="967" spans="2:4" ht="12.75" x14ac:dyDescent="0.2">
      <c r="B967" s="2"/>
      <c r="C967" s="2"/>
      <c r="D967" s="2"/>
    </row>
    <row r="968" spans="2:4" ht="12.75" x14ac:dyDescent="0.2">
      <c r="B968" s="2"/>
      <c r="C968" s="2"/>
      <c r="D968" s="2"/>
    </row>
    <row r="969" spans="2:4" ht="12.75" x14ac:dyDescent="0.2">
      <c r="B969" s="2"/>
      <c r="C969" s="2"/>
      <c r="D969" s="2"/>
    </row>
    <row r="970" spans="2:4" ht="12.75" x14ac:dyDescent="0.2">
      <c r="B970" s="2"/>
      <c r="C970" s="2"/>
      <c r="D970" s="2"/>
    </row>
    <row r="971" spans="2:4" ht="12.75" x14ac:dyDescent="0.2">
      <c r="B971" s="2"/>
      <c r="C971" s="2"/>
      <c r="D971" s="2"/>
    </row>
    <row r="972" spans="2:4" ht="12.75" x14ac:dyDescent="0.2">
      <c r="B972" s="2"/>
      <c r="C972" s="2"/>
      <c r="D972" s="2"/>
    </row>
    <row r="973" spans="2:4" ht="12.75" x14ac:dyDescent="0.2">
      <c r="B973" s="2"/>
      <c r="C973" s="2"/>
      <c r="D973" s="2"/>
    </row>
    <row r="974" spans="2:4" ht="12.75" x14ac:dyDescent="0.2">
      <c r="B974" s="2"/>
      <c r="C974" s="2"/>
      <c r="D974" s="2"/>
    </row>
    <row r="975" spans="2:4" ht="12.75" x14ac:dyDescent="0.2">
      <c r="B975" s="2"/>
      <c r="C975" s="2"/>
      <c r="D975" s="2"/>
    </row>
    <row r="976" spans="2:4" ht="12.75" x14ac:dyDescent="0.2">
      <c r="B976" s="2"/>
      <c r="C976" s="2"/>
      <c r="D976" s="2"/>
    </row>
    <row r="977" spans="2:4" ht="12.75" x14ac:dyDescent="0.2">
      <c r="B977" s="2"/>
      <c r="C977" s="2"/>
      <c r="D977" s="2"/>
    </row>
    <row r="978" spans="2:4" ht="12.75" x14ac:dyDescent="0.2">
      <c r="B978" s="2"/>
      <c r="C978" s="2"/>
      <c r="D978" s="2"/>
    </row>
    <row r="979" spans="2:4" ht="12.75" x14ac:dyDescent="0.2">
      <c r="B979" s="2"/>
      <c r="C979" s="2"/>
      <c r="D979" s="2"/>
    </row>
    <row r="980" spans="2:4" ht="12.75" x14ac:dyDescent="0.2">
      <c r="B980" s="2"/>
      <c r="C980" s="2"/>
      <c r="D980" s="2"/>
    </row>
    <row r="981" spans="2:4" ht="12.75" x14ac:dyDescent="0.2">
      <c r="B981" s="2"/>
      <c r="C981" s="2"/>
      <c r="D981" s="2"/>
    </row>
    <row r="982" spans="2:4" ht="12.75" x14ac:dyDescent="0.2">
      <c r="B982" s="2"/>
      <c r="C982" s="2"/>
      <c r="D982" s="2"/>
    </row>
    <row r="983" spans="2:4" ht="12.75" x14ac:dyDescent="0.2">
      <c r="B983" s="2"/>
      <c r="C983" s="2"/>
      <c r="D983" s="2"/>
    </row>
    <row r="984" spans="2:4" ht="12.75" x14ac:dyDescent="0.2">
      <c r="B984" s="2"/>
      <c r="C984" s="2"/>
      <c r="D984" s="2"/>
    </row>
    <row r="985" spans="2:4" ht="12.75" x14ac:dyDescent="0.2">
      <c r="B985" s="2"/>
      <c r="C985" s="2"/>
      <c r="D985" s="2"/>
    </row>
    <row r="986" spans="2:4" ht="12.75" x14ac:dyDescent="0.2">
      <c r="B986" s="2"/>
      <c r="C986" s="2"/>
      <c r="D986" s="2"/>
    </row>
    <row r="987" spans="2:4" ht="12.75" x14ac:dyDescent="0.2">
      <c r="B987" s="2"/>
      <c r="C987" s="2"/>
      <c r="D987" s="2"/>
    </row>
    <row r="988" spans="2:4" ht="12.75" x14ac:dyDescent="0.2">
      <c r="B988" s="2"/>
      <c r="C988" s="2"/>
      <c r="D988" s="2"/>
    </row>
  </sheetData>
  <mergeCells count="2">
    <mergeCell ref="A1:D1"/>
    <mergeCell ref="A10:D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R998"/>
  <sheetViews>
    <sheetView workbookViewId="0">
      <selection sqref="A1:F1"/>
    </sheetView>
  </sheetViews>
  <sheetFormatPr defaultColWidth="12.42578125" defaultRowHeight="15.75" customHeight="1" x14ac:dyDescent="0.2"/>
  <cols>
    <col min="1" max="1" width="14.42578125" customWidth="1"/>
    <col min="2" max="2" width="15.140625" customWidth="1"/>
    <col min="3" max="3" width="14.85546875" customWidth="1"/>
    <col min="4" max="4" width="17" customWidth="1"/>
    <col min="5" max="5" width="25.28515625" customWidth="1"/>
    <col min="7" max="7" width="21.42578125" customWidth="1"/>
    <col min="8" max="10" width="12.42578125" hidden="1"/>
    <col min="11" max="11" width="23.85546875" hidden="1" customWidth="1"/>
    <col min="12" max="18" width="12.42578125" hidden="1"/>
  </cols>
  <sheetData>
    <row r="1" spans="1:18" ht="15.75" customHeight="1" x14ac:dyDescent="0.25">
      <c r="A1" s="226" t="s">
        <v>577</v>
      </c>
      <c r="B1" s="224"/>
      <c r="C1" s="224"/>
      <c r="D1" s="224"/>
      <c r="E1" s="224"/>
      <c r="F1" s="225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5.75" customHeight="1" x14ac:dyDescent="0.25">
      <c r="A2" s="15" t="s">
        <v>578</v>
      </c>
      <c r="B2" s="15" t="s">
        <v>579</v>
      </c>
      <c r="C2" s="15" t="s">
        <v>580</v>
      </c>
      <c r="D2" s="16" t="s">
        <v>581</v>
      </c>
      <c r="E2" s="16" t="s">
        <v>551</v>
      </c>
      <c r="F2" s="8" t="s">
        <v>582</v>
      </c>
      <c r="G2" s="16" t="s">
        <v>583</v>
      </c>
      <c r="H2" s="17"/>
      <c r="I2" s="17"/>
      <c r="J2" s="17"/>
      <c r="K2" s="17"/>
      <c r="L2" s="17"/>
      <c r="M2" s="17"/>
      <c r="N2" s="4"/>
      <c r="O2" s="4"/>
      <c r="P2" s="4"/>
      <c r="Q2" s="4"/>
      <c r="R2" s="4"/>
    </row>
    <row r="3" spans="1:18" ht="15.75" customHeight="1" x14ac:dyDescent="0.25">
      <c r="A3" s="18">
        <v>2.1360169999999998</v>
      </c>
      <c r="B3" s="18">
        <v>1.6438630000000001</v>
      </c>
      <c r="C3" s="18">
        <v>2.775515</v>
      </c>
      <c r="D3" s="19">
        <v>1.35E-8</v>
      </c>
      <c r="E3" s="20" t="s">
        <v>584</v>
      </c>
      <c r="F3" s="10" t="s">
        <v>585</v>
      </c>
      <c r="G3" s="20" t="s">
        <v>586</v>
      </c>
      <c r="H3" s="21"/>
      <c r="I3" s="21"/>
      <c r="J3" s="22"/>
      <c r="K3" s="23"/>
      <c r="L3" s="17"/>
      <c r="M3" s="17"/>
    </row>
    <row r="4" spans="1:18" ht="15.75" customHeight="1" x14ac:dyDescent="0.25">
      <c r="A4" s="18">
        <v>2.2018270000000002</v>
      </c>
      <c r="B4" s="18">
        <v>1.5678700000000001</v>
      </c>
      <c r="C4" s="18">
        <v>3.09212</v>
      </c>
      <c r="D4" s="19">
        <v>5.22E-6</v>
      </c>
      <c r="E4" s="20" t="s">
        <v>584</v>
      </c>
      <c r="F4" s="10" t="s">
        <v>553</v>
      </c>
      <c r="G4" s="20" t="s">
        <v>586</v>
      </c>
      <c r="H4" s="21"/>
      <c r="I4" s="21"/>
      <c r="J4" s="22"/>
      <c r="K4" s="23"/>
      <c r="L4" s="17"/>
      <c r="M4" s="17"/>
    </row>
    <row r="5" spans="1:18" ht="15.75" customHeight="1" x14ac:dyDescent="0.25">
      <c r="A5" s="18">
        <v>5.5655060000000001</v>
      </c>
      <c r="B5" s="18">
        <v>4.101153</v>
      </c>
      <c r="C5" s="18">
        <v>7.5527189999999997</v>
      </c>
      <c r="D5" s="19">
        <v>3.08E-28</v>
      </c>
      <c r="E5" s="20" t="s">
        <v>587</v>
      </c>
      <c r="F5" s="10" t="s">
        <v>585</v>
      </c>
      <c r="G5" s="20" t="s">
        <v>586</v>
      </c>
      <c r="H5" s="21"/>
      <c r="I5" s="21"/>
      <c r="J5" s="21"/>
      <c r="K5" s="23"/>
      <c r="L5" s="17"/>
      <c r="M5" s="17"/>
    </row>
    <row r="6" spans="1:18" ht="15.75" customHeight="1" x14ac:dyDescent="0.25">
      <c r="A6" s="18">
        <v>4.8260019999999999</v>
      </c>
      <c r="B6" s="18">
        <v>3.0624060000000002</v>
      </c>
      <c r="C6" s="18">
        <v>7.6052289999999996</v>
      </c>
      <c r="D6" s="19">
        <v>1.1800000000000001E-11</v>
      </c>
      <c r="E6" s="20" t="s">
        <v>587</v>
      </c>
      <c r="F6" s="10" t="s">
        <v>553</v>
      </c>
      <c r="G6" s="20" t="s">
        <v>586</v>
      </c>
      <c r="H6" s="21"/>
      <c r="I6" s="21"/>
      <c r="J6" s="22"/>
      <c r="K6" s="23"/>
      <c r="L6" s="17"/>
      <c r="M6" s="17"/>
    </row>
    <row r="7" spans="1:18" ht="15.75" customHeight="1" x14ac:dyDescent="0.25">
      <c r="A7" s="18">
        <v>3.1829540000000001</v>
      </c>
      <c r="B7" s="18">
        <v>2.5365579999999999</v>
      </c>
      <c r="C7" s="18">
        <v>3.9940720000000001</v>
      </c>
      <c r="D7" s="19">
        <v>1.5800000000000001E-23</v>
      </c>
      <c r="E7" s="20" t="s">
        <v>588</v>
      </c>
      <c r="F7" s="10" t="s">
        <v>585</v>
      </c>
      <c r="G7" s="20" t="s">
        <v>589</v>
      </c>
      <c r="H7" s="21"/>
      <c r="I7" s="21"/>
      <c r="J7" s="22"/>
      <c r="K7" s="23"/>
      <c r="L7" s="17"/>
      <c r="M7" s="17"/>
    </row>
    <row r="8" spans="1:18" ht="15.75" customHeight="1" x14ac:dyDescent="0.25">
      <c r="A8" s="18">
        <v>2.5118510000000001</v>
      </c>
      <c r="B8" s="18">
        <v>1.8520829999999999</v>
      </c>
      <c r="C8" s="18">
        <v>3.40665</v>
      </c>
      <c r="D8" s="19">
        <v>3.1399999999999999E-9</v>
      </c>
      <c r="E8" s="20" t="s">
        <v>588</v>
      </c>
      <c r="F8" s="10" t="s">
        <v>553</v>
      </c>
      <c r="G8" s="20" t="s">
        <v>589</v>
      </c>
      <c r="H8" s="21"/>
      <c r="I8" s="21"/>
      <c r="J8" s="21"/>
      <c r="K8" s="23"/>
      <c r="L8" s="17"/>
      <c r="M8" s="17"/>
    </row>
    <row r="9" spans="1:18" ht="15.75" customHeight="1" x14ac:dyDescent="0.25">
      <c r="A9" s="18">
        <v>1.7551129999999999</v>
      </c>
      <c r="B9" s="18">
        <v>1.4092720000000001</v>
      </c>
      <c r="C9" s="18">
        <v>2.185826</v>
      </c>
      <c r="D9" s="19">
        <v>5.06E-7</v>
      </c>
      <c r="E9" s="20" t="s">
        <v>590</v>
      </c>
      <c r="F9" s="10" t="s">
        <v>585</v>
      </c>
      <c r="G9" s="20" t="s">
        <v>591</v>
      </c>
      <c r="H9" s="21"/>
      <c r="I9" s="21"/>
      <c r="J9" s="22"/>
      <c r="K9" s="23"/>
      <c r="L9" s="17"/>
      <c r="M9" s="17"/>
    </row>
    <row r="10" spans="1:18" ht="15.75" customHeight="1" x14ac:dyDescent="0.25">
      <c r="A10" s="18">
        <v>1.95608</v>
      </c>
      <c r="B10" s="18">
        <v>1.44513</v>
      </c>
      <c r="C10" s="18">
        <v>2.6476850000000001</v>
      </c>
      <c r="D10" s="19">
        <v>1.4E-5</v>
      </c>
      <c r="E10" s="20" t="s">
        <v>590</v>
      </c>
      <c r="F10" s="10" t="s">
        <v>553</v>
      </c>
      <c r="G10" s="20" t="s">
        <v>591</v>
      </c>
      <c r="H10" s="21"/>
      <c r="I10" s="21"/>
      <c r="J10" s="22"/>
      <c r="K10" s="23"/>
      <c r="L10" s="17"/>
      <c r="M10" s="17"/>
    </row>
    <row r="11" spans="1:18" ht="15.75" customHeight="1" x14ac:dyDescent="0.25">
      <c r="A11" s="18">
        <v>3.1496369999999998</v>
      </c>
      <c r="B11" s="18">
        <v>2.4171819999999999</v>
      </c>
      <c r="C11" s="18">
        <v>4.1040390000000002</v>
      </c>
      <c r="D11" s="19">
        <v>1.9700000000000001E-17</v>
      </c>
      <c r="E11" s="20" t="s">
        <v>592</v>
      </c>
      <c r="F11" s="10" t="s">
        <v>585</v>
      </c>
      <c r="G11" s="20" t="s">
        <v>593</v>
      </c>
      <c r="H11" s="21"/>
      <c r="I11" s="21"/>
      <c r="J11" s="22"/>
      <c r="K11" s="23"/>
      <c r="L11" s="17"/>
      <c r="M11" s="17"/>
    </row>
    <row r="12" spans="1:18" ht="15.75" customHeight="1" x14ac:dyDescent="0.25">
      <c r="A12" s="18">
        <v>3.2420680000000002</v>
      </c>
      <c r="B12" s="18">
        <v>2.2133479999999999</v>
      </c>
      <c r="C12" s="18">
        <v>4.7489160000000004</v>
      </c>
      <c r="D12" s="19">
        <v>1.55E-9</v>
      </c>
      <c r="E12" s="20" t="s">
        <v>592</v>
      </c>
      <c r="F12" s="10" t="s">
        <v>553</v>
      </c>
      <c r="G12" s="20" t="s">
        <v>593</v>
      </c>
      <c r="H12" s="21"/>
      <c r="I12" s="21"/>
      <c r="J12" s="22"/>
      <c r="K12" s="23"/>
      <c r="L12" s="17"/>
      <c r="M12" s="17"/>
    </row>
    <row r="13" spans="1:18" ht="15.75" customHeight="1" x14ac:dyDescent="0.25">
      <c r="A13" s="18">
        <v>2.5401199999999999</v>
      </c>
      <c r="B13" s="18">
        <v>2.0193729999999999</v>
      </c>
      <c r="C13" s="18">
        <v>3.1951550000000002</v>
      </c>
      <c r="D13" s="19">
        <v>1.6699999999999999E-15</v>
      </c>
      <c r="E13" s="20" t="s">
        <v>594</v>
      </c>
      <c r="F13" s="10" t="s">
        <v>585</v>
      </c>
      <c r="G13" s="20" t="s">
        <v>595</v>
      </c>
      <c r="H13" s="21"/>
      <c r="I13" s="21"/>
      <c r="J13" s="22"/>
      <c r="K13" s="23"/>
      <c r="L13" s="17"/>
      <c r="M13" s="17"/>
    </row>
    <row r="14" spans="1:18" ht="15.75" customHeight="1" x14ac:dyDescent="0.25">
      <c r="A14" s="18">
        <v>1.6777089999999999</v>
      </c>
      <c r="B14" s="18">
        <v>1.22712</v>
      </c>
      <c r="C14" s="18">
        <v>2.293752</v>
      </c>
      <c r="D14" s="20">
        <v>1.1850000000000001E-3</v>
      </c>
      <c r="E14" s="20" t="s">
        <v>594</v>
      </c>
      <c r="F14" s="10" t="s">
        <v>553</v>
      </c>
      <c r="G14" s="20" t="s">
        <v>595</v>
      </c>
      <c r="H14" s="21"/>
      <c r="I14" s="21"/>
      <c r="J14" s="21"/>
      <c r="K14" s="23"/>
      <c r="L14" s="17"/>
      <c r="M14" s="17"/>
    </row>
    <row r="15" spans="1:18" ht="15.75" customHeight="1" x14ac:dyDescent="0.25">
      <c r="A15" s="18">
        <v>0.61751199999999995</v>
      </c>
      <c r="B15" s="18">
        <v>0.49629400000000001</v>
      </c>
      <c r="C15" s="18">
        <v>0.76833700000000005</v>
      </c>
      <c r="D15" s="19">
        <v>1.5400000000000002E-5</v>
      </c>
      <c r="E15" s="20" t="s">
        <v>596</v>
      </c>
      <c r="F15" s="10" t="s">
        <v>585</v>
      </c>
      <c r="G15" s="20" t="s">
        <v>597</v>
      </c>
      <c r="H15" s="21"/>
      <c r="I15" s="21"/>
      <c r="J15" s="22"/>
      <c r="K15" s="23"/>
      <c r="L15" s="17"/>
      <c r="M15" s="17"/>
    </row>
    <row r="16" spans="1:18" ht="15.75" customHeight="1" x14ac:dyDescent="0.25">
      <c r="A16" s="18">
        <v>0.60035700000000003</v>
      </c>
      <c r="B16" s="18">
        <v>0.444023</v>
      </c>
      <c r="C16" s="18">
        <v>0.81173300000000004</v>
      </c>
      <c r="D16" s="20">
        <v>9.1600000000000004E-4</v>
      </c>
      <c r="E16" s="20" t="s">
        <v>596</v>
      </c>
      <c r="F16" s="10" t="s">
        <v>553</v>
      </c>
      <c r="G16" s="20" t="s">
        <v>597</v>
      </c>
      <c r="H16" s="21"/>
      <c r="I16" s="21"/>
      <c r="J16" s="22"/>
      <c r="K16" s="23"/>
      <c r="L16" s="17"/>
      <c r="M16" s="17"/>
    </row>
    <row r="17" spans="1:13" ht="15.75" customHeight="1" x14ac:dyDescent="0.25">
      <c r="A17" s="18">
        <v>2.2942130000000001</v>
      </c>
      <c r="B17" s="18">
        <v>1.683867</v>
      </c>
      <c r="C17" s="18">
        <v>3.1257890000000002</v>
      </c>
      <c r="D17" s="19">
        <v>1.42E-7</v>
      </c>
      <c r="E17" s="20" t="s">
        <v>598</v>
      </c>
      <c r="F17" s="10" t="s">
        <v>585</v>
      </c>
      <c r="G17" s="20" t="s">
        <v>599</v>
      </c>
      <c r="H17" s="21"/>
      <c r="I17" s="21"/>
      <c r="J17" s="22"/>
      <c r="K17" s="23"/>
      <c r="L17" s="17"/>
      <c r="M17" s="17"/>
    </row>
    <row r="18" spans="1:13" ht="15.75" customHeight="1" x14ac:dyDescent="0.25">
      <c r="A18" s="18">
        <v>2.307029</v>
      </c>
      <c r="B18" s="18">
        <v>1.529334</v>
      </c>
      <c r="C18" s="18">
        <v>3.480197</v>
      </c>
      <c r="D18" s="19">
        <v>6.7399999999999998E-5</v>
      </c>
      <c r="E18" s="20" t="s">
        <v>598</v>
      </c>
      <c r="F18" s="10" t="s">
        <v>553</v>
      </c>
      <c r="G18" s="20" t="s">
        <v>599</v>
      </c>
      <c r="H18" s="21"/>
      <c r="I18" s="21"/>
      <c r="J18" s="22"/>
      <c r="K18" s="23"/>
      <c r="L18" s="17"/>
      <c r="M18" s="17"/>
    </row>
    <row r="19" spans="1:13" ht="15.75" customHeight="1" x14ac:dyDescent="0.25">
      <c r="A19" s="18">
        <v>2.0497969999999999</v>
      </c>
      <c r="B19" s="18">
        <v>1.642997</v>
      </c>
      <c r="C19" s="18">
        <v>2.557318</v>
      </c>
      <c r="D19" s="19">
        <v>2.03E-10</v>
      </c>
      <c r="E19" s="20" t="s">
        <v>600</v>
      </c>
      <c r="F19" s="10" t="s">
        <v>585</v>
      </c>
      <c r="G19" s="20" t="s">
        <v>601</v>
      </c>
      <c r="H19" s="21"/>
      <c r="I19" s="21"/>
      <c r="J19" s="21"/>
      <c r="K19" s="23"/>
      <c r="L19" s="17"/>
      <c r="M19" s="17"/>
    </row>
    <row r="20" spans="1:13" ht="15.75" customHeight="1" x14ac:dyDescent="0.25">
      <c r="A20" s="18">
        <v>1.7870809999999999</v>
      </c>
      <c r="B20" s="18">
        <v>1.3218369999999999</v>
      </c>
      <c r="C20" s="18">
        <v>2.416077</v>
      </c>
      <c r="D20" s="20">
        <v>1.6100000000000001E-4</v>
      </c>
      <c r="E20" s="20" t="s">
        <v>600</v>
      </c>
      <c r="F20" s="10" t="s">
        <v>553</v>
      </c>
      <c r="G20" s="20" t="s">
        <v>601</v>
      </c>
      <c r="H20" s="21"/>
      <c r="I20" s="21"/>
      <c r="J20" s="21"/>
      <c r="K20" s="23"/>
      <c r="L20" s="17"/>
      <c r="M20" s="17"/>
    </row>
    <row r="21" spans="1:13" ht="15.75" customHeight="1" x14ac:dyDescent="0.25">
      <c r="A21" s="18">
        <v>3.2788040000000001</v>
      </c>
      <c r="B21" s="18">
        <v>2.607656</v>
      </c>
      <c r="C21" s="18">
        <v>4.1226890000000003</v>
      </c>
      <c r="D21" s="19">
        <v>2.9200000000000002E-24</v>
      </c>
      <c r="E21" s="20" t="s">
        <v>602</v>
      </c>
      <c r="F21" s="10" t="s">
        <v>585</v>
      </c>
      <c r="G21" s="20" t="s">
        <v>603</v>
      </c>
      <c r="H21" s="21"/>
      <c r="I21" s="21"/>
      <c r="J21" s="22"/>
      <c r="K21" s="23"/>
      <c r="L21" s="17"/>
      <c r="M21" s="17"/>
    </row>
    <row r="22" spans="1:13" ht="15.75" customHeight="1" x14ac:dyDescent="0.25">
      <c r="A22" s="18">
        <v>2.3561700000000001</v>
      </c>
      <c r="B22" s="18">
        <v>1.7335719999999999</v>
      </c>
      <c r="C22" s="18">
        <v>3.2023709999999999</v>
      </c>
      <c r="D22" s="19">
        <v>4.3999999999999997E-8</v>
      </c>
      <c r="E22" s="20" t="s">
        <v>602</v>
      </c>
      <c r="F22" s="10" t="s">
        <v>553</v>
      </c>
      <c r="G22" s="20" t="s">
        <v>603</v>
      </c>
      <c r="H22" s="21"/>
      <c r="I22" s="21"/>
      <c r="J22" s="21"/>
      <c r="K22" s="23"/>
      <c r="L22" s="17"/>
      <c r="M22" s="17"/>
    </row>
    <row r="23" spans="1:13" ht="15.75" customHeight="1" x14ac:dyDescent="0.25">
      <c r="A23" s="18">
        <v>2.2178360000000001</v>
      </c>
      <c r="B23" s="18">
        <v>1.674782</v>
      </c>
      <c r="C23" s="18">
        <v>2.9369770000000002</v>
      </c>
      <c r="D23" s="19">
        <v>2.7199999999999999E-8</v>
      </c>
      <c r="E23" s="20" t="s">
        <v>604</v>
      </c>
      <c r="F23" s="10" t="s">
        <v>585</v>
      </c>
      <c r="G23" s="20" t="s">
        <v>605</v>
      </c>
      <c r="H23" s="21"/>
      <c r="I23" s="21"/>
      <c r="J23" s="21"/>
      <c r="K23" s="23"/>
      <c r="L23" s="17"/>
      <c r="M23" s="17"/>
    </row>
    <row r="24" spans="1:13" ht="15.75" customHeight="1" x14ac:dyDescent="0.25">
      <c r="A24" s="18">
        <v>1.9024719999999999</v>
      </c>
      <c r="B24" s="18">
        <v>1.3344720000000001</v>
      </c>
      <c r="C24" s="18">
        <v>2.712234</v>
      </c>
      <c r="D24" s="20">
        <v>3.7800000000000003E-4</v>
      </c>
      <c r="E24" s="20" t="s">
        <v>604</v>
      </c>
      <c r="F24" s="10" t="s">
        <v>553</v>
      </c>
      <c r="G24" s="20" t="s">
        <v>605</v>
      </c>
      <c r="H24" s="21"/>
      <c r="I24" s="21"/>
      <c r="J24" s="22"/>
      <c r="K24" s="23"/>
      <c r="L24" s="17"/>
      <c r="M24" s="17"/>
    </row>
    <row r="25" spans="1:13" ht="15.75" customHeight="1" x14ac:dyDescent="0.25">
      <c r="A25" s="18">
        <v>1.8491930000000001</v>
      </c>
      <c r="B25" s="18">
        <v>1.47306</v>
      </c>
      <c r="C25" s="18">
        <v>2.3213680000000001</v>
      </c>
      <c r="D25" s="19">
        <v>1.17E-7</v>
      </c>
      <c r="E25" s="20" t="s">
        <v>606</v>
      </c>
      <c r="F25" s="10" t="s">
        <v>585</v>
      </c>
      <c r="G25" s="20" t="s">
        <v>607</v>
      </c>
      <c r="H25" s="21"/>
      <c r="I25" s="21"/>
      <c r="J25" s="22"/>
      <c r="K25" s="23"/>
      <c r="L25" s="17"/>
      <c r="M25" s="17"/>
    </row>
    <row r="26" spans="1:13" ht="15.75" customHeight="1" x14ac:dyDescent="0.25">
      <c r="A26" s="18">
        <v>1.484205</v>
      </c>
      <c r="B26" s="18">
        <v>1.0935010000000001</v>
      </c>
      <c r="C26" s="18">
        <v>2.014507</v>
      </c>
      <c r="D26" s="20">
        <v>1.1294999999999999E-2</v>
      </c>
      <c r="E26" s="20" t="s">
        <v>606</v>
      </c>
      <c r="F26" s="10" t="s">
        <v>553</v>
      </c>
      <c r="G26" s="20" t="s">
        <v>607</v>
      </c>
      <c r="H26" s="21"/>
      <c r="I26" s="21"/>
      <c r="J26" s="21"/>
      <c r="K26" s="23"/>
      <c r="L26" s="17"/>
      <c r="M26" s="17"/>
    </row>
    <row r="27" spans="1:13" ht="15.75" customHeight="1" x14ac:dyDescent="0.25">
      <c r="A27" s="24"/>
      <c r="B27" s="25"/>
      <c r="C27" s="25"/>
      <c r="D27" s="26"/>
      <c r="E27" s="23"/>
      <c r="F27" s="2"/>
      <c r="G27" s="23"/>
      <c r="H27" s="21"/>
      <c r="I27" s="21"/>
      <c r="J27" s="22"/>
      <c r="K27" s="23"/>
      <c r="L27" s="17"/>
      <c r="M27" s="17"/>
    </row>
    <row r="28" spans="1:13" ht="15.75" customHeight="1" x14ac:dyDescent="0.25">
      <c r="A28" s="25"/>
      <c r="B28" s="25"/>
      <c r="C28" s="25"/>
      <c r="D28" s="23"/>
      <c r="E28" s="23"/>
      <c r="F28" s="2"/>
      <c r="G28" s="23"/>
      <c r="H28" s="21"/>
      <c r="I28" s="21"/>
      <c r="J28" s="22"/>
      <c r="K28" s="17"/>
      <c r="L28" s="17"/>
      <c r="M28" s="17"/>
    </row>
    <row r="29" spans="1:13" ht="15.75" customHeight="1" x14ac:dyDescent="0.25">
      <c r="A29" s="226" t="s">
        <v>608</v>
      </c>
      <c r="B29" s="224"/>
      <c r="C29" s="224"/>
      <c r="D29" s="224"/>
      <c r="E29" s="224"/>
      <c r="F29" s="225"/>
      <c r="G29" s="23"/>
      <c r="H29" s="21"/>
      <c r="I29" s="21"/>
      <c r="J29" s="21"/>
      <c r="K29" s="17"/>
      <c r="L29" s="17"/>
      <c r="M29" s="17"/>
    </row>
    <row r="30" spans="1:13" ht="15.75" customHeight="1" x14ac:dyDescent="0.25">
      <c r="A30" s="15" t="s">
        <v>578</v>
      </c>
      <c r="B30" s="15" t="s">
        <v>579</v>
      </c>
      <c r="C30" s="15" t="s">
        <v>580</v>
      </c>
      <c r="D30" s="16" t="s">
        <v>581</v>
      </c>
      <c r="E30" s="16" t="s">
        <v>551</v>
      </c>
      <c r="F30" s="8" t="s">
        <v>582</v>
      </c>
      <c r="G30" s="16" t="s">
        <v>583</v>
      </c>
      <c r="H30" s="21"/>
      <c r="I30" s="21"/>
      <c r="J30" s="21"/>
      <c r="K30" s="17"/>
      <c r="L30" s="17"/>
      <c r="M30" s="17"/>
    </row>
    <row r="31" spans="1:13" ht="15.75" customHeight="1" x14ac:dyDescent="0.25">
      <c r="A31" s="27">
        <v>1.8582339999999999</v>
      </c>
      <c r="B31" s="27">
        <v>1.4559139999999999</v>
      </c>
      <c r="C31" s="27">
        <v>2.3717299999999999</v>
      </c>
      <c r="D31" s="28">
        <v>6.4499999999999997E-7</v>
      </c>
      <c r="E31" s="29" t="s">
        <v>584</v>
      </c>
      <c r="F31" s="10" t="s">
        <v>585</v>
      </c>
      <c r="G31" s="20" t="s">
        <v>586</v>
      </c>
    </row>
    <row r="32" spans="1:13" ht="15.75" customHeight="1" x14ac:dyDescent="0.25">
      <c r="A32" s="27">
        <v>1.620636</v>
      </c>
      <c r="B32" s="27">
        <v>1.1513739999999999</v>
      </c>
      <c r="C32" s="27">
        <v>2.2811530000000002</v>
      </c>
      <c r="D32" s="30">
        <v>5.6389999999999999E-3</v>
      </c>
      <c r="E32" s="29" t="s">
        <v>584</v>
      </c>
      <c r="F32" s="10" t="s">
        <v>553</v>
      </c>
      <c r="G32" s="20" t="s">
        <v>586</v>
      </c>
    </row>
    <row r="33" spans="1:7" ht="15.75" customHeight="1" x14ac:dyDescent="0.25">
      <c r="A33" s="27">
        <v>5.0666229999999999</v>
      </c>
      <c r="B33" s="27">
        <v>3.676749</v>
      </c>
      <c r="C33" s="27">
        <v>6.9818930000000003</v>
      </c>
      <c r="D33" s="28">
        <v>3.4499999999999997E-23</v>
      </c>
      <c r="E33" s="29" t="s">
        <v>587</v>
      </c>
      <c r="F33" s="10" t="s">
        <v>585</v>
      </c>
      <c r="G33" s="20" t="s">
        <v>586</v>
      </c>
    </row>
    <row r="34" spans="1:7" ht="15.75" customHeight="1" x14ac:dyDescent="0.25">
      <c r="A34" s="27">
        <v>1.8795630000000001</v>
      </c>
      <c r="B34" s="27">
        <v>1.1985140000000001</v>
      </c>
      <c r="C34" s="27">
        <v>2.9476149999999999</v>
      </c>
      <c r="D34" s="28">
        <v>5.9820000000000003E-3</v>
      </c>
      <c r="E34" s="29" t="s">
        <v>587</v>
      </c>
      <c r="F34" s="10" t="s">
        <v>553</v>
      </c>
      <c r="G34" s="20" t="s">
        <v>586</v>
      </c>
    </row>
    <row r="35" spans="1:7" ht="15.75" customHeight="1" x14ac:dyDescent="0.25">
      <c r="A35" s="27">
        <v>2.8045149999999999</v>
      </c>
      <c r="B35" s="27">
        <v>2.2472629999999998</v>
      </c>
      <c r="C35" s="27">
        <v>3.4999479999999998</v>
      </c>
      <c r="D35" s="28">
        <v>7.2300000000000005E-20</v>
      </c>
      <c r="E35" s="29" t="s">
        <v>609</v>
      </c>
      <c r="F35" s="10" t="s">
        <v>585</v>
      </c>
      <c r="G35" s="20" t="s">
        <v>589</v>
      </c>
    </row>
    <row r="36" spans="1:7" ht="15.75" customHeight="1" x14ac:dyDescent="0.25">
      <c r="A36" s="27">
        <v>1.648468</v>
      </c>
      <c r="B36" s="27">
        <v>1.204566</v>
      </c>
      <c r="C36" s="27">
        <v>2.2559559999999999</v>
      </c>
      <c r="D36" s="30">
        <v>1.792E-3</v>
      </c>
      <c r="E36" s="29" t="s">
        <v>609</v>
      </c>
      <c r="F36" s="10" t="s">
        <v>553</v>
      </c>
      <c r="G36" s="20" t="s">
        <v>589</v>
      </c>
    </row>
    <row r="37" spans="1:7" ht="15.75" customHeight="1" x14ac:dyDescent="0.25">
      <c r="A37" s="27">
        <v>1.825205</v>
      </c>
      <c r="B37" s="27">
        <v>1.472763</v>
      </c>
      <c r="C37" s="27">
        <v>2.2619880000000001</v>
      </c>
      <c r="D37" s="28">
        <v>3.8700000000000002E-8</v>
      </c>
      <c r="E37" s="29" t="s">
        <v>590</v>
      </c>
      <c r="F37" s="10" t="s">
        <v>585</v>
      </c>
      <c r="G37" s="20" t="s">
        <v>591</v>
      </c>
    </row>
    <row r="38" spans="1:7" ht="15" x14ac:dyDescent="0.25">
      <c r="A38" s="27">
        <v>1.1777500000000001</v>
      </c>
      <c r="B38" s="27">
        <v>0.869255</v>
      </c>
      <c r="C38" s="27">
        <v>1.595728</v>
      </c>
      <c r="D38" s="30">
        <v>0.291076</v>
      </c>
      <c r="E38" s="29" t="s">
        <v>590</v>
      </c>
      <c r="F38" s="10" t="s">
        <v>553</v>
      </c>
      <c r="G38" s="20" t="s">
        <v>591</v>
      </c>
    </row>
    <row r="39" spans="1:7" ht="15" x14ac:dyDescent="0.25">
      <c r="A39" s="27">
        <v>2.0116990000000001</v>
      </c>
      <c r="B39" s="27">
        <v>1.522616</v>
      </c>
      <c r="C39" s="27">
        <v>2.657883</v>
      </c>
      <c r="D39" s="28">
        <v>8.7300000000000005E-7</v>
      </c>
      <c r="E39" s="29" t="s">
        <v>592</v>
      </c>
      <c r="F39" s="10" t="s">
        <v>585</v>
      </c>
      <c r="G39" s="20" t="s">
        <v>593</v>
      </c>
    </row>
    <row r="40" spans="1:7" ht="15" x14ac:dyDescent="0.25">
      <c r="A40" s="27">
        <v>1.279358</v>
      </c>
      <c r="B40" s="27">
        <v>0.87092899999999995</v>
      </c>
      <c r="C40" s="27">
        <v>1.879324</v>
      </c>
      <c r="D40" s="28">
        <v>0.209254</v>
      </c>
      <c r="E40" s="29" t="s">
        <v>592</v>
      </c>
      <c r="F40" s="10" t="s">
        <v>553</v>
      </c>
      <c r="G40" s="20" t="s">
        <v>593</v>
      </c>
    </row>
    <row r="41" spans="1:7" ht="15" x14ac:dyDescent="0.25">
      <c r="A41" s="27">
        <v>1.9236759999999999</v>
      </c>
      <c r="B41" s="27">
        <v>1.5228280000000001</v>
      </c>
      <c r="C41" s="27">
        <v>2.4300380000000001</v>
      </c>
      <c r="D41" s="28">
        <v>4.07E-8</v>
      </c>
      <c r="E41" s="29" t="s">
        <v>594</v>
      </c>
      <c r="F41" s="10" t="s">
        <v>585</v>
      </c>
      <c r="G41" s="20" t="s">
        <v>595</v>
      </c>
    </row>
    <row r="42" spans="1:7" ht="15" x14ac:dyDescent="0.25">
      <c r="A42" s="27">
        <v>1.352795</v>
      </c>
      <c r="B42" s="27">
        <v>0.99371900000000002</v>
      </c>
      <c r="C42" s="27">
        <v>1.841621</v>
      </c>
      <c r="D42" s="30">
        <v>5.4866999999999999E-2</v>
      </c>
      <c r="E42" s="29" t="s">
        <v>594</v>
      </c>
      <c r="F42" s="10" t="s">
        <v>553</v>
      </c>
      <c r="G42" s="20" t="s">
        <v>595</v>
      </c>
    </row>
    <row r="43" spans="1:7" ht="15" x14ac:dyDescent="0.25">
      <c r="A43" s="27">
        <v>0.71621699999999999</v>
      </c>
      <c r="B43" s="27">
        <v>0.57864599999999999</v>
      </c>
      <c r="C43" s="27">
        <v>0.88649599999999995</v>
      </c>
      <c r="D43" s="28">
        <v>2.1619999999999999E-3</v>
      </c>
      <c r="E43" s="29" t="s">
        <v>596</v>
      </c>
      <c r="F43" s="10" t="s">
        <v>585</v>
      </c>
      <c r="G43" s="20" t="s">
        <v>597</v>
      </c>
    </row>
    <row r="44" spans="1:7" ht="15" x14ac:dyDescent="0.25">
      <c r="A44" s="27">
        <v>0.91903500000000005</v>
      </c>
      <c r="B44" s="27">
        <v>0.68177200000000004</v>
      </c>
      <c r="C44" s="27">
        <v>1.2388680000000001</v>
      </c>
      <c r="D44" s="30">
        <v>0.57948599999999995</v>
      </c>
      <c r="E44" s="29" t="s">
        <v>596</v>
      </c>
      <c r="F44" s="10" t="s">
        <v>553</v>
      </c>
      <c r="G44" s="20" t="s">
        <v>597</v>
      </c>
    </row>
    <row r="45" spans="1:7" ht="15" x14ac:dyDescent="0.25">
      <c r="A45" s="27">
        <v>1.160466</v>
      </c>
      <c r="B45" s="27">
        <v>0.82854399999999995</v>
      </c>
      <c r="C45" s="27">
        <v>1.6253599999999999</v>
      </c>
      <c r="D45" s="30">
        <v>0.38661400000000001</v>
      </c>
      <c r="E45" s="29" t="s">
        <v>610</v>
      </c>
      <c r="F45" s="10" t="s">
        <v>585</v>
      </c>
      <c r="G45" s="20" t="s">
        <v>599</v>
      </c>
    </row>
    <row r="46" spans="1:7" ht="15" x14ac:dyDescent="0.25">
      <c r="A46" s="27">
        <v>1.2700819999999999</v>
      </c>
      <c r="B46" s="27">
        <v>0.82063299999999995</v>
      </c>
      <c r="C46" s="27">
        <v>1.9656849999999999</v>
      </c>
      <c r="D46" s="28">
        <v>0.28332600000000002</v>
      </c>
      <c r="E46" s="29" t="s">
        <v>610</v>
      </c>
      <c r="F46" s="10" t="s">
        <v>553</v>
      </c>
      <c r="G46" s="20" t="s">
        <v>599</v>
      </c>
    </row>
    <row r="47" spans="1:7" ht="15" x14ac:dyDescent="0.25">
      <c r="A47" s="27">
        <v>1.650075</v>
      </c>
      <c r="B47" s="27">
        <v>1.3333489999999999</v>
      </c>
      <c r="C47" s="27">
        <v>2.0420370000000001</v>
      </c>
      <c r="D47" s="28">
        <v>4.1099999999999996E-6</v>
      </c>
      <c r="E47" s="29" t="s">
        <v>600</v>
      </c>
      <c r="F47" s="10" t="s">
        <v>585</v>
      </c>
      <c r="G47" s="20" t="s">
        <v>601</v>
      </c>
    </row>
    <row r="48" spans="1:7" ht="15" x14ac:dyDescent="0.25">
      <c r="A48" s="27">
        <v>1.2520880000000001</v>
      </c>
      <c r="B48" s="27">
        <v>0.92118</v>
      </c>
      <c r="C48" s="27">
        <v>1.7018660000000001</v>
      </c>
      <c r="D48" s="30">
        <v>0.15109600000000001</v>
      </c>
      <c r="E48" s="29" t="s">
        <v>600</v>
      </c>
      <c r="F48" s="10" t="s">
        <v>553</v>
      </c>
      <c r="G48" s="20" t="s">
        <v>601</v>
      </c>
    </row>
    <row r="49" spans="1:7" ht="15" x14ac:dyDescent="0.25">
      <c r="A49" s="27">
        <v>2.7582550000000001</v>
      </c>
      <c r="B49" s="27">
        <v>2.2075490000000002</v>
      </c>
      <c r="C49" s="27">
        <v>3.446345</v>
      </c>
      <c r="D49" s="28">
        <v>4.3100000000000001E-19</v>
      </c>
      <c r="E49" s="29" t="s">
        <v>602</v>
      </c>
      <c r="F49" s="10" t="s">
        <v>585</v>
      </c>
      <c r="G49" s="20" t="s">
        <v>603</v>
      </c>
    </row>
    <row r="50" spans="1:7" ht="15" x14ac:dyDescent="0.25">
      <c r="A50" s="27">
        <v>1.60185</v>
      </c>
      <c r="B50" s="27">
        <v>1.158976</v>
      </c>
      <c r="C50" s="27">
        <v>2.2139570000000002</v>
      </c>
      <c r="D50" s="30">
        <v>4.3239999999999997E-3</v>
      </c>
      <c r="E50" s="29" t="s">
        <v>602</v>
      </c>
      <c r="F50" s="10" t="s">
        <v>553</v>
      </c>
      <c r="G50" s="20" t="s">
        <v>603</v>
      </c>
    </row>
    <row r="51" spans="1:7" ht="15" x14ac:dyDescent="0.25">
      <c r="A51" s="27">
        <v>1.400747</v>
      </c>
      <c r="B51" s="27">
        <v>1.04053</v>
      </c>
      <c r="C51" s="27">
        <v>1.8856649999999999</v>
      </c>
      <c r="D51" s="30">
        <v>2.6289E-2</v>
      </c>
      <c r="E51" s="29" t="s">
        <v>604</v>
      </c>
      <c r="F51" s="10" t="s">
        <v>585</v>
      </c>
      <c r="G51" s="20" t="s">
        <v>605</v>
      </c>
    </row>
    <row r="52" spans="1:7" ht="15" x14ac:dyDescent="0.25">
      <c r="A52" s="27">
        <v>0.88994200000000001</v>
      </c>
      <c r="B52" s="27">
        <v>0.61333099999999996</v>
      </c>
      <c r="C52" s="27">
        <v>1.2913060000000001</v>
      </c>
      <c r="D52" s="30">
        <v>0.53927599999999998</v>
      </c>
      <c r="E52" s="29" t="s">
        <v>604</v>
      </c>
      <c r="F52" s="10" t="s">
        <v>553</v>
      </c>
      <c r="G52" s="20" t="s">
        <v>605</v>
      </c>
    </row>
    <row r="53" spans="1:7" ht="15" x14ac:dyDescent="0.25">
      <c r="A53" s="27">
        <v>1.8747549999999999</v>
      </c>
      <c r="B53" s="27">
        <v>1.5035160000000001</v>
      </c>
      <c r="C53" s="27">
        <v>2.3376589999999999</v>
      </c>
      <c r="D53" s="28">
        <v>2.3800000000000001E-8</v>
      </c>
      <c r="E53" s="29" t="s">
        <v>606</v>
      </c>
      <c r="F53" s="10" t="s">
        <v>585</v>
      </c>
      <c r="G53" s="20" t="s">
        <v>607</v>
      </c>
    </row>
    <row r="54" spans="1:7" ht="15" x14ac:dyDescent="0.25">
      <c r="A54" s="27">
        <v>1.1785540000000001</v>
      </c>
      <c r="B54" s="27">
        <v>0.87539199999999995</v>
      </c>
      <c r="C54" s="27">
        <v>1.5867070000000001</v>
      </c>
      <c r="D54" s="30">
        <v>0.278891</v>
      </c>
      <c r="E54" s="29" t="s">
        <v>606</v>
      </c>
      <c r="F54" s="10" t="s">
        <v>553</v>
      </c>
      <c r="G54" s="20" t="s">
        <v>607</v>
      </c>
    </row>
    <row r="55" spans="1:7" ht="15" x14ac:dyDescent="0.25">
      <c r="A55" s="24"/>
      <c r="B55" s="25"/>
      <c r="C55" s="25"/>
      <c r="D55" s="26"/>
      <c r="E55" s="23"/>
      <c r="F55" s="2"/>
      <c r="G55" s="2"/>
    </row>
    <row r="56" spans="1:7" ht="15" x14ac:dyDescent="0.25">
      <c r="A56" s="24"/>
      <c r="B56" s="25"/>
      <c r="C56" s="25"/>
      <c r="D56" s="23"/>
      <c r="E56" s="23"/>
      <c r="F56" s="2"/>
      <c r="G56" s="2"/>
    </row>
    <row r="57" spans="1:7" ht="15" x14ac:dyDescent="0.25">
      <c r="A57" s="24"/>
      <c r="B57" s="25"/>
      <c r="C57" s="25"/>
      <c r="D57" s="23"/>
      <c r="E57" s="23"/>
      <c r="F57" s="2"/>
      <c r="G57" s="2"/>
    </row>
    <row r="58" spans="1:7" ht="15" x14ac:dyDescent="0.25">
      <c r="A58" s="24"/>
      <c r="B58" s="25"/>
      <c r="C58" s="25"/>
      <c r="D58" s="26"/>
      <c r="E58" s="23"/>
      <c r="F58" s="2"/>
      <c r="G58" s="2"/>
    </row>
    <row r="59" spans="1:7" ht="15" x14ac:dyDescent="0.25">
      <c r="A59" s="24"/>
      <c r="B59" s="25"/>
      <c r="C59" s="25"/>
      <c r="D59" s="23"/>
      <c r="E59" s="23"/>
      <c r="F59" s="2"/>
      <c r="G59" s="2"/>
    </row>
    <row r="60" spans="1:7" ht="15" x14ac:dyDescent="0.25">
      <c r="A60" s="25"/>
      <c r="B60" s="25"/>
      <c r="C60" s="25"/>
      <c r="D60" s="23"/>
      <c r="E60" s="23"/>
      <c r="F60" s="2"/>
      <c r="G60" s="2"/>
    </row>
    <row r="61" spans="1:7" ht="12.75" x14ac:dyDescent="0.2">
      <c r="A61" s="31"/>
      <c r="B61" s="31"/>
      <c r="C61" s="31"/>
      <c r="D61" s="2"/>
      <c r="E61" s="2"/>
      <c r="F61" s="2"/>
      <c r="G61" s="2"/>
    </row>
    <row r="62" spans="1:7" ht="12.75" x14ac:dyDescent="0.2">
      <c r="A62" s="31"/>
      <c r="B62" s="31"/>
      <c r="C62" s="31"/>
      <c r="D62" s="2"/>
      <c r="E62" s="2"/>
      <c r="F62" s="2"/>
      <c r="G62" s="2"/>
    </row>
    <row r="63" spans="1:7" ht="12.75" x14ac:dyDescent="0.2">
      <c r="A63" s="31"/>
      <c r="B63" s="31"/>
      <c r="C63" s="31"/>
      <c r="D63" s="2"/>
      <c r="E63" s="2"/>
      <c r="F63" s="2"/>
      <c r="G63" s="2"/>
    </row>
    <row r="64" spans="1:7" ht="12.75" x14ac:dyDescent="0.2">
      <c r="A64" s="31"/>
      <c r="B64" s="31"/>
      <c r="C64" s="31"/>
      <c r="D64" s="2"/>
      <c r="E64" s="2"/>
      <c r="F64" s="2"/>
      <c r="G64" s="2"/>
    </row>
    <row r="65" spans="1:7" ht="12.75" x14ac:dyDescent="0.2">
      <c r="A65" s="31"/>
      <c r="B65" s="31"/>
      <c r="C65" s="31"/>
      <c r="D65" s="2"/>
      <c r="E65" s="2"/>
      <c r="F65" s="2"/>
      <c r="G65" s="2"/>
    </row>
    <row r="66" spans="1:7" ht="12.75" x14ac:dyDescent="0.2">
      <c r="A66" s="31"/>
      <c r="B66" s="31"/>
      <c r="C66" s="31"/>
      <c r="D66" s="2"/>
      <c r="E66" s="2"/>
      <c r="F66" s="2"/>
      <c r="G66" s="2"/>
    </row>
    <row r="67" spans="1:7" ht="12.75" x14ac:dyDescent="0.2">
      <c r="A67" s="31"/>
      <c r="B67" s="31"/>
      <c r="C67" s="31"/>
      <c r="D67" s="2"/>
      <c r="E67" s="2"/>
      <c r="F67" s="2"/>
      <c r="G67" s="2"/>
    </row>
    <row r="68" spans="1:7" ht="12.75" x14ac:dyDescent="0.2">
      <c r="A68" s="31"/>
      <c r="B68" s="31"/>
      <c r="C68" s="31"/>
      <c r="D68" s="2"/>
      <c r="E68" s="2"/>
      <c r="F68" s="2"/>
      <c r="G68" s="2"/>
    </row>
    <row r="69" spans="1:7" ht="12.75" x14ac:dyDescent="0.2">
      <c r="A69" s="31"/>
      <c r="B69" s="31"/>
      <c r="C69" s="31"/>
      <c r="D69" s="2"/>
      <c r="E69" s="2"/>
      <c r="F69" s="2"/>
      <c r="G69" s="2"/>
    </row>
    <row r="70" spans="1:7" ht="12.75" x14ac:dyDescent="0.2">
      <c r="A70" s="31"/>
      <c r="B70" s="31"/>
      <c r="C70" s="31"/>
      <c r="D70" s="2"/>
      <c r="E70" s="2"/>
      <c r="F70" s="2"/>
      <c r="G70" s="2"/>
    </row>
    <row r="71" spans="1:7" ht="12.75" x14ac:dyDescent="0.2">
      <c r="A71" s="31"/>
      <c r="B71" s="31"/>
      <c r="C71" s="31"/>
      <c r="D71" s="2"/>
      <c r="E71" s="2"/>
      <c r="F71" s="2"/>
      <c r="G71" s="2"/>
    </row>
    <row r="72" spans="1:7" ht="12.75" x14ac:dyDescent="0.2">
      <c r="A72" s="31"/>
      <c r="B72" s="31"/>
      <c r="C72" s="31"/>
      <c r="D72" s="2"/>
      <c r="E72" s="2"/>
      <c r="F72" s="2"/>
      <c r="G72" s="2"/>
    </row>
    <row r="73" spans="1:7" ht="12.75" x14ac:dyDescent="0.2">
      <c r="A73" s="31"/>
      <c r="B73" s="31"/>
      <c r="C73" s="31"/>
      <c r="D73" s="2"/>
      <c r="E73" s="2"/>
      <c r="F73" s="2"/>
      <c r="G73" s="2"/>
    </row>
    <row r="74" spans="1:7" ht="12.75" x14ac:dyDescent="0.2">
      <c r="A74" s="31"/>
      <c r="B74" s="31"/>
      <c r="C74" s="31"/>
      <c r="D74" s="2"/>
      <c r="E74" s="2"/>
      <c r="F74" s="2"/>
      <c r="G74" s="2"/>
    </row>
    <row r="75" spans="1:7" ht="12.75" x14ac:dyDescent="0.2">
      <c r="A75" s="31"/>
      <c r="B75" s="31"/>
      <c r="C75" s="31"/>
      <c r="D75" s="2"/>
      <c r="E75" s="2"/>
      <c r="F75" s="2"/>
      <c r="G75" s="2"/>
    </row>
    <row r="76" spans="1:7" ht="12.75" x14ac:dyDescent="0.2">
      <c r="A76" s="31"/>
      <c r="B76" s="31"/>
      <c r="C76" s="31"/>
      <c r="D76" s="2"/>
      <c r="E76" s="2"/>
      <c r="F76" s="2"/>
      <c r="G76" s="2"/>
    </row>
    <row r="77" spans="1:7" ht="12.75" x14ac:dyDescent="0.2">
      <c r="A77" s="31"/>
      <c r="B77" s="31"/>
      <c r="C77" s="31"/>
      <c r="D77" s="2"/>
      <c r="E77" s="2"/>
      <c r="F77" s="2"/>
      <c r="G77" s="2"/>
    </row>
    <row r="78" spans="1:7" ht="12.75" x14ac:dyDescent="0.2">
      <c r="A78" s="31"/>
      <c r="B78" s="31"/>
      <c r="C78" s="31"/>
      <c r="D78" s="2"/>
      <c r="E78" s="2"/>
      <c r="F78" s="2"/>
      <c r="G78" s="2"/>
    </row>
    <row r="79" spans="1:7" ht="12.75" x14ac:dyDescent="0.2">
      <c r="A79" s="31"/>
      <c r="B79" s="31"/>
      <c r="C79" s="31"/>
      <c r="D79" s="2"/>
      <c r="E79" s="2"/>
      <c r="F79" s="2"/>
      <c r="G79" s="2"/>
    </row>
    <row r="80" spans="1:7" ht="12.75" x14ac:dyDescent="0.2">
      <c r="A80" s="31"/>
      <c r="B80" s="31"/>
      <c r="C80" s="31"/>
      <c r="D80" s="2"/>
      <c r="E80" s="2"/>
      <c r="F80" s="2"/>
      <c r="G80" s="2"/>
    </row>
    <row r="81" spans="1:7" ht="12.75" x14ac:dyDescent="0.2">
      <c r="A81" s="31"/>
      <c r="B81" s="31"/>
      <c r="C81" s="31"/>
      <c r="D81" s="2"/>
      <c r="E81" s="2"/>
      <c r="F81" s="2"/>
      <c r="G81" s="2"/>
    </row>
    <row r="82" spans="1:7" ht="12.75" x14ac:dyDescent="0.2">
      <c r="A82" s="31"/>
      <c r="B82" s="31"/>
      <c r="C82" s="31"/>
      <c r="D82" s="2"/>
      <c r="E82" s="2"/>
      <c r="F82" s="2"/>
      <c r="G82" s="2"/>
    </row>
    <row r="83" spans="1:7" ht="12.75" x14ac:dyDescent="0.2">
      <c r="A83" s="31"/>
      <c r="B83" s="31"/>
      <c r="C83" s="31"/>
      <c r="D83" s="2"/>
      <c r="E83" s="2"/>
      <c r="F83" s="2"/>
      <c r="G83" s="2"/>
    </row>
    <row r="84" spans="1:7" ht="12.75" x14ac:dyDescent="0.2">
      <c r="A84" s="31"/>
      <c r="B84" s="31"/>
      <c r="C84" s="31"/>
      <c r="D84" s="2"/>
      <c r="E84" s="2"/>
      <c r="F84" s="2"/>
      <c r="G84" s="2"/>
    </row>
    <row r="85" spans="1:7" ht="12.75" x14ac:dyDescent="0.2">
      <c r="A85" s="31"/>
      <c r="B85" s="31"/>
      <c r="C85" s="31"/>
      <c r="D85" s="2"/>
      <c r="E85" s="2"/>
      <c r="F85" s="2"/>
      <c r="G85" s="2"/>
    </row>
    <row r="86" spans="1:7" ht="12.75" x14ac:dyDescent="0.2">
      <c r="A86" s="31"/>
      <c r="B86" s="31"/>
      <c r="C86" s="31"/>
      <c r="D86" s="2"/>
      <c r="E86" s="2"/>
      <c r="F86" s="2"/>
      <c r="G86" s="2"/>
    </row>
    <row r="87" spans="1:7" ht="12.75" x14ac:dyDescent="0.2">
      <c r="A87" s="31"/>
      <c r="B87" s="31"/>
      <c r="C87" s="31"/>
      <c r="D87" s="2"/>
      <c r="E87" s="2"/>
      <c r="F87" s="2"/>
      <c r="G87" s="2"/>
    </row>
    <row r="88" spans="1:7" ht="12.75" x14ac:dyDescent="0.2">
      <c r="A88" s="31"/>
      <c r="B88" s="31"/>
      <c r="C88" s="31"/>
      <c r="D88" s="2"/>
      <c r="E88" s="2"/>
      <c r="F88" s="2"/>
      <c r="G88" s="2"/>
    </row>
    <row r="89" spans="1:7" ht="12.75" x14ac:dyDescent="0.2">
      <c r="A89" s="31"/>
      <c r="B89" s="31"/>
      <c r="C89" s="31"/>
      <c r="D89" s="2"/>
      <c r="E89" s="2"/>
      <c r="F89" s="2"/>
      <c r="G89" s="2"/>
    </row>
    <row r="90" spans="1:7" ht="12.75" x14ac:dyDescent="0.2">
      <c r="A90" s="31"/>
      <c r="B90" s="31"/>
      <c r="C90" s="31"/>
      <c r="D90" s="2"/>
      <c r="E90" s="2"/>
      <c r="F90" s="2"/>
      <c r="G90" s="2"/>
    </row>
    <row r="91" spans="1:7" ht="12.75" x14ac:dyDescent="0.2">
      <c r="A91" s="31"/>
      <c r="B91" s="31"/>
      <c r="C91" s="31"/>
      <c r="D91" s="2"/>
      <c r="E91" s="2"/>
      <c r="F91" s="2"/>
      <c r="G91" s="2"/>
    </row>
    <row r="92" spans="1:7" ht="12.75" x14ac:dyDescent="0.2">
      <c r="A92" s="31"/>
      <c r="B92" s="31"/>
      <c r="C92" s="31"/>
      <c r="D92" s="2"/>
      <c r="E92" s="2"/>
      <c r="F92" s="2"/>
      <c r="G92" s="2"/>
    </row>
    <row r="93" spans="1:7" ht="12.75" x14ac:dyDescent="0.2">
      <c r="A93" s="31"/>
      <c r="B93" s="31"/>
      <c r="C93" s="31"/>
      <c r="D93" s="2"/>
      <c r="E93" s="2"/>
      <c r="F93" s="2"/>
      <c r="G93" s="2"/>
    </row>
    <row r="94" spans="1:7" ht="12.75" x14ac:dyDescent="0.2">
      <c r="A94" s="31"/>
      <c r="B94" s="31"/>
      <c r="C94" s="31"/>
      <c r="D94" s="2"/>
      <c r="E94" s="2"/>
      <c r="F94" s="2"/>
      <c r="G94" s="2"/>
    </row>
    <row r="95" spans="1:7" ht="12.75" x14ac:dyDescent="0.2">
      <c r="A95" s="31"/>
      <c r="B95" s="31"/>
      <c r="C95" s="31"/>
      <c r="D95" s="2"/>
      <c r="E95" s="2"/>
      <c r="F95" s="2"/>
      <c r="G95" s="2"/>
    </row>
    <row r="96" spans="1:7" ht="12.75" x14ac:dyDescent="0.2">
      <c r="A96" s="31"/>
      <c r="B96" s="31"/>
      <c r="C96" s="31"/>
      <c r="D96" s="2"/>
      <c r="E96" s="2"/>
      <c r="F96" s="2"/>
      <c r="G96" s="2"/>
    </row>
    <row r="97" spans="1:7" ht="12.75" x14ac:dyDescent="0.2">
      <c r="A97" s="31"/>
      <c r="B97" s="31"/>
      <c r="C97" s="31"/>
      <c r="D97" s="2"/>
      <c r="E97" s="2"/>
      <c r="F97" s="2"/>
      <c r="G97" s="2"/>
    </row>
    <row r="98" spans="1:7" ht="12.75" x14ac:dyDescent="0.2">
      <c r="A98" s="31"/>
      <c r="B98" s="31"/>
      <c r="C98" s="31"/>
      <c r="D98" s="2"/>
      <c r="E98" s="2"/>
      <c r="F98" s="2"/>
      <c r="G98" s="2"/>
    </row>
    <row r="99" spans="1:7" ht="12.75" x14ac:dyDescent="0.2">
      <c r="A99" s="31"/>
      <c r="B99" s="31"/>
      <c r="C99" s="31"/>
      <c r="D99" s="2"/>
      <c r="E99" s="2"/>
      <c r="F99" s="2"/>
      <c r="G99" s="2"/>
    </row>
    <row r="100" spans="1:7" ht="12.75" x14ac:dyDescent="0.2">
      <c r="A100" s="31"/>
      <c r="B100" s="31"/>
      <c r="C100" s="31"/>
      <c r="D100" s="2"/>
      <c r="E100" s="2"/>
      <c r="F100" s="2"/>
      <c r="G100" s="2"/>
    </row>
    <row r="101" spans="1:7" ht="12.75" x14ac:dyDescent="0.2">
      <c r="A101" s="31"/>
      <c r="B101" s="31"/>
      <c r="C101" s="31"/>
      <c r="D101" s="2"/>
      <c r="E101" s="2"/>
      <c r="F101" s="2"/>
      <c r="G101" s="2"/>
    </row>
    <row r="102" spans="1:7" ht="12.75" x14ac:dyDescent="0.2">
      <c r="A102" s="31"/>
      <c r="B102" s="31"/>
      <c r="C102" s="31"/>
      <c r="D102" s="2"/>
      <c r="E102" s="2"/>
      <c r="F102" s="2"/>
      <c r="G102" s="2"/>
    </row>
    <row r="103" spans="1:7" ht="12.75" x14ac:dyDescent="0.2">
      <c r="A103" s="31"/>
      <c r="B103" s="31"/>
      <c r="C103" s="31"/>
      <c r="D103" s="2"/>
      <c r="E103" s="2"/>
      <c r="F103" s="2"/>
      <c r="G103" s="2"/>
    </row>
    <row r="104" spans="1:7" ht="12.75" x14ac:dyDescent="0.2">
      <c r="A104" s="31"/>
      <c r="B104" s="31"/>
      <c r="C104" s="31"/>
      <c r="D104" s="2"/>
      <c r="E104" s="2"/>
      <c r="F104" s="2"/>
      <c r="G104" s="2"/>
    </row>
    <row r="105" spans="1:7" ht="12.75" x14ac:dyDescent="0.2">
      <c r="A105" s="31"/>
      <c r="B105" s="31"/>
      <c r="C105" s="31"/>
      <c r="D105" s="2"/>
      <c r="E105" s="2"/>
      <c r="F105" s="2"/>
      <c r="G105" s="2"/>
    </row>
    <row r="106" spans="1:7" ht="12.75" x14ac:dyDescent="0.2">
      <c r="A106" s="31"/>
      <c r="B106" s="31"/>
      <c r="C106" s="31"/>
      <c r="D106" s="2"/>
      <c r="E106" s="2"/>
      <c r="F106" s="2"/>
      <c r="G106" s="2"/>
    </row>
    <row r="107" spans="1:7" ht="12.75" x14ac:dyDescent="0.2">
      <c r="A107" s="31"/>
      <c r="B107" s="31"/>
      <c r="C107" s="31"/>
      <c r="D107" s="2"/>
      <c r="E107" s="2"/>
      <c r="F107" s="2"/>
      <c r="G107" s="2"/>
    </row>
    <row r="108" spans="1:7" ht="12.75" x14ac:dyDescent="0.2">
      <c r="A108" s="31"/>
      <c r="B108" s="31"/>
      <c r="C108" s="31"/>
      <c r="D108" s="2"/>
      <c r="E108" s="2"/>
      <c r="F108" s="2"/>
      <c r="G108" s="2"/>
    </row>
    <row r="109" spans="1:7" ht="12.75" x14ac:dyDescent="0.2">
      <c r="A109" s="31"/>
      <c r="B109" s="31"/>
      <c r="C109" s="31"/>
      <c r="D109" s="2"/>
      <c r="E109" s="2"/>
      <c r="F109" s="2"/>
      <c r="G109" s="2"/>
    </row>
    <row r="110" spans="1:7" ht="12.75" x14ac:dyDescent="0.2">
      <c r="A110" s="31"/>
      <c r="B110" s="31"/>
      <c r="C110" s="31"/>
      <c r="D110" s="2"/>
      <c r="E110" s="2"/>
      <c r="F110" s="2"/>
      <c r="G110" s="2"/>
    </row>
    <row r="111" spans="1:7" ht="12.75" x14ac:dyDescent="0.2">
      <c r="A111" s="31"/>
      <c r="B111" s="31"/>
      <c r="C111" s="31"/>
      <c r="D111" s="2"/>
      <c r="E111" s="2"/>
      <c r="F111" s="2"/>
      <c r="G111" s="2"/>
    </row>
    <row r="112" spans="1:7" ht="12.75" x14ac:dyDescent="0.2">
      <c r="A112" s="31"/>
      <c r="B112" s="31"/>
      <c r="C112" s="31"/>
      <c r="D112" s="2"/>
      <c r="E112" s="2"/>
      <c r="F112" s="2"/>
      <c r="G112" s="2"/>
    </row>
    <row r="113" spans="1:7" ht="12.75" x14ac:dyDescent="0.2">
      <c r="A113" s="31"/>
      <c r="B113" s="31"/>
      <c r="C113" s="31"/>
      <c r="D113" s="2"/>
      <c r="E113" s="2"/>
      <c r="F113" s="2"/>
      <c r="G113" s="2"/>
    </row>
    <row r="114" spans="1:7" ht="12.75" x14ac:dyDescent="0.2">
      <c r="A114" s="31"/>
      <c r="B114" s="31"/>
      <c r="C114" s="31"/>
      <c r="D114" s="2"/>
      <c r="E114" s="2"/>
      <c r="F114" s="2"/>
      <c r="G114" s="2"/>
    </row>
    <row r="115" spans="1:7" ht="12.75" x14ac:dyDescent="0.2">
      <c r="A115" s="31"/>
      <c r="B115" s="31"/>
      <c r="C115" s="31"/>
      <c r="D115" s="2"/>
      <c r="E115" s="2"/>
      <c r="F115" s="2"/>
      <c r="G115" s="2"/>
    </row>
    <row r="116" spans="1:7" ht="12.75" x14ac:dyDescent="0.2">
      <c r="A116" s="31"/>
      <c r="B116" s="31"/>
      <c r="C116" s="31"/>
      <c r="D116" s="2"/>
      <c r="E116" s="2"/>
      <c r="F116" s="2"/>
      <c r="G116" s="2"/>
    </row>
    <row r="117" spans="1:7" ht="12.75" x14ac:dyDescent="0.2">
      <c r="A117" s="31"/>
      <c r="B117" s="31"/>
      <c r="C117" s="31"/>
      <c r="D117" s="2"/>
      <c r="E117" s="2"/>
      <c r="F117" s="2"/>
      <c r="G117" s="2"/>
    </row>
    <row r="118" spans="1:7" ht="12.75" x14ac:dyDescent="0.2">
      <c r="A118" s="31"/>
      <c r="B118" s="31"/>
      <c r="C118" s="31"/>
      <c r="D118" s="2"/>
      <c r="E118" s="2"/>
      <c r="F118" s="2"/>
      <c r="G118" s="2"/>
    </row>
    <row r="119" spans="1:7" ht="12.75" x14ac:dyDescent="0.2">
      <c r="A119" s="31"/>
      <c r="B119" s="31"/>
      <c r="C119" s="31"/>
      <c r="D119" s="2"/>
      <c r="E119" s="2"/>
      <c r="F119" s="2"/>
      <c r="G119" s="2"/>
    </row>
    <row r="120" spans="1:7" ht="12.75" x14ac:dyDescent="0.2">
      <c r="A120" s="31"/>
      <c r="B120" s="31"/>
      <c r="C120" s="31"/>
      <c r="D120" s="2"/>
      <c r="E120" s="2"/>
      <c r="F120" s="2"/>
      <c r="G120" s="2"/>
    </row>
    <row r="121" spans="1:7" ht="12.75" x14ac:dyDescent="0.2">
      <c r="A121" s="31"/>
      <c r="B121" s="31"/>
      <c r="C121" s="31"/>
      <c r="D121" s="2"/>
      <c r="E121" s="2"/>
      <c r="F121" s="2"/>
      <c r="G121" s="2"/>
    </row>
    <row r="122" spans="1:7" ht="12.75" x14ac:dyDescent="0.2">
      <c r="A122" s="31"/>
      <c r="B122" s="31"/>
      <c r="C122" s="31"/>
      <c r="D122" s="2"/>
      <c r="E122" s="2"/>
      <c r="F122" s="2"/>
      <c r="G122" s="2"/>
    </row>
    <row r="123" spans="1:7" ht="12.75" x14ac:dyDescent="0.2">
      <c r="A123" s="31"/>
      <c r="B123" s="31"/>
      <c r="C123" s="31"/>
      <c r="D123" s="2"/>
      <c r="E123" s="2"/>
      <c r="F123" s="2"/>
      <c r="G123" s="2"/>
    </row>
    <row r="124" spans="1:7" ht="12.75" x14ac:dyDescent="0.2">
      <c r="A124" s="31"/>
      <c r="B124" s="31"/>
      <c r="C124" s="31"/>
      <c r="D124" s="2"/>
      <c r="E124" s="2"/>
      <c r="F124" s="2"/>
      <c r="G124" s="2"/>
    </row>
    <row r="125" spans="1:7" ht="12.75" x14ac:dyDescent="0.2">
      <c r="A125" s="31"/>
      <c r="B125" s="31"/>
      <c r="C125" s="31"/>
      <c r="D125" s="2"/>
      <c r="E125" s="2"/>
      <c r="F125" s="2"/>
      <c r="G125" s="2"/>
    </row>
    <row r="126" spans="1:7" ht="12.75" x14ac:dyDescent="0.2">
      <c r="A126" s="31"/>
      <c r="B126" s="31"/>
      <c r="C126" s="31"/>
      <c r="D126" s="2"/>
      <c r="E126" s="2"/>
      <c r="F126" s="2"/>
      <c r="G126" s="2"/>
    </row>
    <row r="127" spans="1:7" ht="12.75" x14ac:dyDescent="0.2">
      <c r="A127" s="31"/>
      <c r="B127" s="31"/>
      <c r="C127" s="31"/>
      <c r="D127" s="2"/>
      <c r="E127" s="2"/>
      <c r="F127" s="2"/>
      <c r="G127" s="2"/>
    </row>
    <row r="128" spans="1:7" ht="12.75" x14ac:dyDescent="0.2">
      <c r="A128" s="31"/>
      <c r="B128" s="31"/>
      <c r="C128" s="31"/>
      <c r="D128" s="2"/>
      <c r="E128" s="2"/>
      <c r="F128" s="2"/>
      <c r="G128" s="2"/>
    </row>
    <row r="129" spans="1:7" ht="12.75" x14ac:dyDescent="0.2">
      <c r="A129" s="31"/>
      <c r="B129" s="31"/>
      <c r="C129" s="31"/>
      <c r="D129" s="2"/>
      <c r="E129" s="2"/>
      <c r="F129" s="2"/>
      <c r="G129" s="2"/>
    </row>
    <row r="130" spans="1:7" ht="12.75" x14ac:dyDescent="0.2">
      <c r="A130" s="31"/>
      <c r="B130" s="31"/>
      <c r="C130" s="31"/>
      <c r="D130" s="2"/>
      <c r="E130" s="2"/>
      <c r="F130" s="2"/>
      <c r="G130" s="2"/>
    </row>
    <row r="131" spans="1:7" ht="12.75" x14ac:dyDescent="0.2">
      <c r="A131" s="31"/>
      <c r="B131" s="31"/>
      <c r="C131" s="31"/>
      <c r="D131" s="2"/>
      <c r="E131" s="2"/>
      <c r="F131" s="2"/>
      <c r="G131" s="2"/>
    </row>
    <row r="132" spans="1:7" ht="12.75" x14ac:dyDescent="0.2">
      <c r="A132" s="31"/>
      <c r="B132" s="31"/>
      <c r="C132" s="31"/>
      <c r="D132" s="2"/>
      <c r="E132" s="2"/>
      <c r="F132" s="2"/>
      <c r="G132" s="2"/>
    </row>
    <row r="133" spans="1:7" ht="12.75" x14ac:dyDescent="0.2">
      <c r="A133" s="31"/>
      <c r="B133" s="31"/>
      <c r="C133" s="31"/>
      <c r="D133" s="2"/>
      <c r="E133" s="2"/>
      <c r="F133" s="2"/>
      <c r="G133" s="2"/>
    </row>
    <row r="134" spans="1:7" ht="12.75" x14ac:dyDescent="0.2">
      <c r="A134" s="31"/>
      <c r="B134" s="31"/>
      <c r="C134" s="31"/>
      <c r="D134" s="2"/>
      <c r="E134" s="2"/>
      <c r="F134" s="2"/>
      <c r="G134" s="2"/>
    </row>
    <row r="135" spans="1:7" ht="12.75" x14ac:dyDescent="0.2">
      <c r="A135" s="31"/>
      <c r="B135" s="31"/>
      <c r="C135" s="31"/>
      <c r="D135" s="2"/>
      <c r="E135" s="2"/>
      <c r="F135" s="2"/>
      <c r="G135" s="2"/>
    </row>
    <row r="136" spans="1:7" ht="12.75" x14ac:dyDescent="0.2">
      <c r="A136" s="31"/>
      <c r="B136" s="31"/>
      <c r="C136" s="31"/>
      <c r="D136" s="2"/>
      <c r="E136" s="2"/>
      <c r="F136" s="2"/>
      <c r="G136" s="2"/>
    </row>
    <row r="137" spans="1:7" ht="12.75" x14ac:dyDescent="0.2">
      <c r="A137" s="31"/>
      <c r="B137" s="31"/>
      <c r="C137" s="31"/>
      <c r="D137" s="2"/>
      <c r="E137" s="2"/>
      <c r="F137" s="2"/>
      <c r="G137" s="2"/>
    </row>
    <row r="138" spans="1:7" ht="12.75" x14ac:dyDescent="0.2">
      <c r="A138" s="31"/>
      <c r="B138" s="31"/>
      <c r="C138" s="31"/>
      <c r="D138" s="2"/>
      <c r="E138" s="2"/>
      <c r="F138" s="2"/>
      <c r="G138" s="2"/>
    </row>
    <row r="139" spans="1:7" ht="12.75" x14ac:dyDescent="0.2">
      <c r="A139" s="31"/>
      <c r="B139" s="31"/>
      <c r="C139" s="31"/>
      <c r="D139" s="2"/>
      <c r="E139" s="2"/>
      <c r="F139" s="2"/>
      <c r="G139" s="2"/>
    </row>
    <row r="140" spans="1:7" ht="12.75" x14ac:dyDescent="0.2">
      <c r="A140" s="31"/>
      <c r="B140" s="31"/>
      <c r="C140" s="31"/>
      <c r="D140" s="2"/>
      <c r="E140" s="2"/>
      <c r="F140" s="2"/>
      <c r="G140" s="2"/>
    </row>
    <row r="141" spans="1:7" ht="12.75" x14ac:dyDescent="0.2">
      <c r="A141" s="31"/>
      <c r="B141" s="31"/>
      <c r="C141" s="31"/>
      <c r="D141" s="2"/>
      <c r="E141" s="2"/>
      <c r="F141" s="2"/>
      <c r="G141" s="2"/>
    </row>
    <row r="142" spans="1:7" ht="12.75" x14ac:dyDescent="0.2">
      <c r="A142" s="31"/>
      <c r="B142" s="31"/>
      <c r="C142" s="31"/>
      <c r="D142" s="2"/>
      <c r="E142" s="2"/>
      <c r="F142" s="2"/>
      <c r="G142" s="2"/>
    </row>
    <row r="143" spans="1:7" ht="12.75" x14ac:dyDescent="0.2">
      <c r="A143" s="31"/>
      <c r="B143" s="31"/>
      <c r="C143" s="31"/>
      <c r="D143" s="2"/>
      <c r="E143" s="2"/>
      <c r="F143" s="2"/>
      <c r="G143" s="2"/>
    </row>
    <row r="144" spans="1:7" ht="12.75" x14ac:dyDescent="0.2">
      <c r="A144" s="31"/>
      <c r="B144" s="31"/>
      <c r="C144" s="31"/>
      <c r="D144" s="2"/>
      <c r="E144" s="2"/>
      <c r="F144" s="2"/>
      <c r="G144" s="2"/>
    </row>
    <row r="145" spans="1:7" ht="12.75" x14ac:dyDescent="0.2">
      <c r="A145" s="31"/>
      <c r="B145" s="31"/>
      <c r="C145" s="31"/>
      <c r="D145" s="2"/>
      <c r="E145" s="2"/>
      <c r="F145" s="2"/>
      <c r="G145" s="2"/>
    </row>
    <row r="146" spans="1:7" ht="12.75" x14ac:dyDescent="0.2">
      <c r="A146" s="31"/>
      <c r="B146" s="31"/>
      <c r="C146" s="31"/>
      <c r="D146" s="2"/>
      <c r="E146" s="2"/>
      <c r="F146" s="2"/>
      <c r="G146" s="2"/>
    </row>
    <row r="147" spans="1:7" ht="12.75" x14ac:dyDescent="0.2">
      <c r="A147" s="31"/>
      <c r="B147" s="31"/>
      <c r="C147" s="31"/>
      <c r="D147" s="2"/>
      <c r="E147" s="2"/>
      <c r="F147" s="2"/>
      <c r="G147" s="2"/>
    </row>
    <row r="148" spans="1:7" ht="12.75" x14ac:dyDescent="0.2">
      <c r="A148" s="31"/>
      <c r="B148" s="31"/>
      <c r="C148" s="31"/>
      <c r="D148" s="2"/>
      <c r="E148" s="2"/>
      <c r="F148" s="2"/>
      <c r="G148" s="2"/>
    </row>
    <row r="149" spans="1:7" ht="12.75" x14ac:dyDescent="0.2">
      <c r="A149" s="31"/>
      <c r="B149" s="31"/>
      <c r="C149" s="31"/>
      <c r="D149" s="2"/>
      <c r="E149" s="2"/>
      <c r="F149" s="2"/>
      <c r="G149" s="2"/>
    </row>
    <row r="150" spans="1:7" ht="12.75" x14ac:dyDescent="0.2">
      <c r="A150" s="31"/>
      <c r="B150" s="31"/>
      <c r="C150" s="31"/>
      <c r="D150" s="2"/>
      <c r="E150" s="2"/>
      <c r="F150" s="2"/>
      <c r="G150" s="2"/>
    </row>
    <row r="151" spans="1:7" ht="12.75" x14ac:dyDescent="0.2">
      <c r="A151" s="31"/>
      <c r="B151" s="31"/>
      <c r="C151" s="31"/>
      <c r="D151" s="2"/>
      <c r="E151" s="2"/>
      <c r="F151" s="2"/>
      <c r="G151" s="2"/>
    </row>
    <row r="152" spans="1:7" ht="12.75" x14ac:dyDescent="0.2">
      <c r="A152" s="31"/>
      <c r="B152" s="31"/>
      <c r="C152" s="31"/>
      <c r="D152" s="2"/>
      <c r="E152" s="2"/>
      <c r="F152" s="2"/>
      <c r="G152" s="2"/>
    </row>
    <row r="153" spans="1:7" ht="12.75" x14ac:dyDescent="0.2">
      <c r="A153" s="31"/>
      <c r="B153" s="31"/>
      <c r="C153" s="31"/>
      <c r="D153" s="2"/>
      <c r="E153" s="2"/>
      <c r="F153" s="2"/>
      <c r="G153" s="2"/>
    </row>
    <row r="154" spans="1:7" ht="12.75" x14ac:dyDescent="0.2">
      <c r="A154" s="31"/>
      <c r="B154" s="31"/>
      <c r="C154" s="31"/>
      <c r="D154" s="2"/>
      <c r="E154" s="2"/>
      <c r="F154" s="2"/>
      <c r="G154" s="2"/>
    </row>
    <row r="155" spans="1:7" ht="12.75" x14ac:dyDescent="0.2">
      <c r="A155" s="31"/>
      <c r="B155" s="31"/>
      <c r="C155" s="31"/>
      <c r="D155" s="2"/>
      <c r="E155" s="2"/>
      <c r="F155" s="2"/>
      <c r="G155" s="2"/>
    </row>
    <row r="156" spans="1:7" ht="12.75" x14ac:dyDescent="0.2">
      <c r="A156" s="31"/>
      <c r="B156" s="31"/>
      <c r="C156" s="31"/>
      <c r="D156" s="2"/>
      <c r="E156" s="2"/>
      <c r="F156" s="2"/>
      <c r="G156" s="2"/>
    </row>
    <row r="157" spans="1:7" ht="12.75" x14ac:dyDescent="0.2">
      <c r="A157" s="31"/>
      <c r="B157" s="31"/>
      <c r="C157" s="31"/>
      <c r="D157" s="2"/>
      <c r="E157" s="2"/>
      <c r="F157" s="2"/>
      <c r="G157" s="2"/>
    </row>
    <row r="158" spans="1:7" ht="12.75" x14ac:dyDescent="0.2">
      <c r="A158" s="31"/>
      <c r="B158" s="31"/>
      <c r="C158" s="31"/>
      <c r="D158" s="2"/>
      <c r="E158" s="2"/>
      <c r="F158" s="2"/>
      <c r="G158" s="2"/>
    </row>
    <row r="159" spans="1:7" ht="12.75" x14ac:dyDescent="0.2">
      <c r="A159" s="31"/>
      <c r="B159" s="31"/>
      <c r="C159" s="31"/>
      <c r="D159" s="2"/>
      <c r="E159" s="2"/>
      <c r="F159" s="2"/>
      <c r="G159" s="2"/>
    </row>
    <row r="160" spans="1:7" ht="12.75" x14ac:dyDescent="0.2">
      <c r="A160" s="31"/>
      <c r="B160" s="31"/>
      <c r="C160" s="31"/>
      <c r="D160" s="2"/>
      <c r="E160" s="2"/>
      <c r="F160" s="2"/>
      <c r="G160" s="2"/>
    </row>
    <row r="161" spans="1:7" ht="12.75" x14ac:dyDescent="0.2">
      <c r="A161" s="31"/>
      <c r="B161" s="31"/>
      <c r="C161" s="31"/>
      <c r="D161" s="2"/>
      <c r="E161" s="2"/>
      <c r="F161" s="2"/>
      <c r="G161" s="2"/>
    </row>
    <row r="162" spans="1:7" ht="12.75" x14ac:dyDescent="0.2">
      <c r="A162" s="31"/>
      <c r="B162" s="31"/>
      <c r="C162" s="31"/>
      <c r="D162" s="2"/>
      <c r="E162" s="2"/>
      <c r="F162" s="2"/>
      <c r="G162" s="2"/>
    </row>
    <row r="163" spans="1:7" ht="12.75" x14ac:dyDescent="0.2">
      <c r="A163" s="31"/>
      <c r="B163" s="31"/>
      <c r="C163" s="31"/>
      <c r="D163" s="2"/>
      <c r="E163" s="2"/>
      <c r="F163" s="2"/>
      <c r="G163" s="2"/>
    </row>
    <row r="164" spans="1:7" ht="12.75" x14ac:dyDescent="0.2">
      <c r="A164" s="31"/>
      <c r="B164" s="31"/>
      <c r="C164" s="31"/>
      <c r="D164" s="2"/>
      <c r="E164" s="2"/>
      <c r="F164" s="2"/>
      <c r="G164" s="2"/>
    </row>
    <row r="165" spans="1:7" ht="12.75" x14ac:dyDescent="0.2">
      <c r="A165" s="31"/>
      <c r="B165" s="31"/>
      <c r="C165" s="31"/>
      <c r="D165" s="2"/>
      <c r="E165" s="2"/>
      <c r="F165" s="2"/>
      <c r="G165" s="2"/>
    </row>
    <row r="166" spans="1:7" ht="12.75" x14ac:dyDescent="0.2">
      <c r="A166" s="31"/>
      <c r="B166" s="31"/>
      <c r="C166" s="31"/>
      <c r="D166" s="2"/>
      <c r="E166" s="2"/>
      <c r="F166" s="2"/>
      <c r="G166" s="2"/>
    </row>
    <row r="167" spans="1:7" ht="12.75" x14ac:dyDescent="0.2">
      <c r="A167" s="31"/>
      <c r="B167" s="31"/>
      <c r="C167" s="31"/>
      <c r="D167" s="2"/>
      <c r="E167" s="2"/>
      <c r="F167" s="2"/>
      <c r="G167" s="2"/>
    </row>
    <row r="168" spans="1:7" ht="12.75" x14ac:dyDescent="0.2">
      <c r="A168" s="31"/>
      <c r="B168" s="31"/>
      <c r="C168" s="31"/>
      <c r="D168" s="2"/>
      <c r="E168" s="2"/>
      <c r="F168" s="2"/>
      <c r="G168" s="2"/>
    </row>
    <row r="169" spans="1:7" ht="12.75" x14ac:dyDescent="0.2">
      <c r="A169" s="31"/>
      <c r="B169" s="31"/>
      <c r="C169" s="31"/>
      <c r="D169" s="2"/>
      <c r="E169" s="2"/>
      <c r="F169" s="2"/>
      <c r="G169" s="2"/>
    </row>
    <row r="170" spans="1:7" ht="12.75" x14ac:dyDescent="0.2">
      <c r="A170" s="31"/>
      <c r="B170" s="31"/>
      <c r="C170" s="31"/>
      <c r="D170" s="2"/>
      <c r="E170" s="2"/>
      <c r="F170" s="2"/>
      <c r="G170" s="2"/>
    </row>
    <row r="171" spans="1:7" ht="12.75" x14ac:dyDescent="0.2">
      <c r="A171" s="31"/>
      <c r="B171" s="31"/>
      <c r="C171" s="31"/>
      <c r="D171" s="2"/>
      <c r="E171" s="2"/>
      <c r="F171" s="2"/>
      <c r="G171" s="2"/>
    </row>
    <row r="172" spans="1:7" ht="12.75" x14ac:dyDescent="0.2">
      <c r="A172" s="31"/>
      <c r="B172" s="31"/>
      <c r="C172" s="31"/>
      <c r="D172" s="2"/>
      <c r="E172" s="2"/>
      <c r="F172" s="2"/>
      <c r="G172" s="2"/>
    </row>
    <row r="173" spans="1:7" ht="12.75" x14ac:dyDescent="0.2">
      <c r="A173" s="31"/>
      <c r="B173" s="31"/>
      <c r="C173" s="31"/>
      <c r="D173" s="2"/>
      <c r="E173" s="2"/>
      <c r="F173" s="2"/>
      <c r="G173" s="2"/>
    </row>
    <row r="174" spans="1:7" ht="12.75" x14ac:dyDescent="0.2">
      <c r="A174" s="31"/>
      <c r="B174" s="31"/>
      <c r="C174" s="31"/>
      <c r="D174" s="2"/>
      <c r="E174" s="2"/>
      <c r="F174" s="2"/>
      <c r="G174" s="2"/>
    </row>
    <row r="175" spans="1:7" ht="12.75" x14ac:dyDescent="0.2">
      <c r="A175" s="31"/>
      <c r="B175" s="31"/>
      <c r="C175" s="31"/>
      <c r="D175" s="2"/>
      <c r="E175" s="2"/>
      <c r="F175" s="2"/>
      <c r="G175" s="2"/>
    </row>
    <row r="176" spans="1:7" ht="12.75" x14ac:dyDescent="0.2">
      <c r="A176" s="31"/>
      <c r="B176" s="31"/>
      <c r="C176" s="31"/>
      <c r="D176" s="2"/>
      <c r="E176" s="2"/>
      <c r="F176" s="2"/>
      <c r="G176" s="2"/>
    </row>
    <row r="177" spans="1:7" ht="12.75" x14ac:dyDescent="0.2">
      <c r="A177" s="31"/>
      <c r="B177" s="31"/>
      <c r="C177" s="31"/>
      <c r="D177" s="2"/>
      <c r="E177" s="2"/>
      <c r="F177" s="2"/>
      <c r="G177" s="2"/>
    </row>
    <row r="178" spans="1:7" ht="12.75" x14ac:dyDescent="0.2">
      <c r="A178" s="31"/>
      <c r="B178" s="31"/>
      <c r="C178" s="31"/>
      <c r="D178" s="2"/>
      <c r="E178" s="2"/>
      <c r="F178" s="2"/>
      <c r="G178" s="2"/>
    </row>
    <row r="179" spans="1:7" ht="12.75" x14ac:dyDescent="0.2">
      <c r="A179" s="31"/>
      <c r="B179" s="31"/>
      <c r="C179" s="31"/>
      <c r="D179" s="2"/>
      <c r="E179" s="2"/>
      <c r="F179" s="2"/>
      <c r="G179" s="2"/>
    </row>
    <row r="180" spans="1:7" ht="12.75" x14ac:dyDescent="0.2">
      <c r="A180" s="31"/>
      <c r="B180" s="31"/>
      <c r="C180" s="31"/>
      <c r="D180" s="2"/>
      <c r="E180" s="2"/>
      <c r="F180" s="2"/>
      <c r="G180" s="2"/>
    </row>
    <row r="181" spans="1:7" ht="12.75" x14ac:dyDescent="0.2">
      <c r="A181" s="31"/>
      <c r="B181" s="31"/>
      <c r="C181" s="31"/>
      <c r="D181" s="2"/>
      <c r="E181" s="2"/>
      <c r="F181" s="2"/>
      <c r="G181" s="2"/>
    </row>
    <row r="182" spans="1:7" ht="12.75" x14ac:dyDescent="0.2">
      <c r="A182" s="31"/>
      <c r="B182" s="31"/>
      <c r="C182" s="31"/>
      <c r="D182" s="2"/>
      <c r="E182" s="2"/>
      <c r="F182" s="2"/>
      <c r="G182" s="2"/>
    </row>
    <row r="183" spans="1:7" ht="12.75" x14ac:dyDescent="0.2">
      <c r="A183" s="31"/>
      <c r="B183" s="31"/>
      <c r="C183" s="31"/>
      <c r="D183" s="2"/>
      <c r="E183" s="2"/>
      <c r="F183" s="2"/>
      <c r="G183" s="2"/>
    </row>
    <row r="184" spans="1:7" ht="12.75" x14ac:dyDescent="0.2">
      <c r="A184" s="31"/>
      <c r="B184" s="31"/>
      <c r="C184" s="31"/>
      <c r="D184" s="2"/>
      <c r="E184" s="2"/>
      <c r="F184" s="2"/>
      <c r="G184" s="2"/>
    </row>
    <row r="185" spans="1:7" ht="12.75" x14ac:dyDescent="0.2">
      <c r="A185" s="31"/>
      <c r="B185" s="31"/>
      <c r="C185" s="31"/>
      <c r="D185" s="2"/>
      <c r="E185" s="2"/>
      <c r="F185" s="2"/>
      <c r="G185" s="2"/>
    </row>
    <row r="186" spans="1:7" ht="12.75" x14ac:dyDescent="0.2">
      <c r="A186" s="31"/>
      <c r="B186" s="31"/>
      <c r="C186" s="31"/>
      <c r="D186" s="2"/>
      <c r="E186" s="2"/>
      <c r="F186" s="2"/>
      <c r="G186" s="2"/>
    </row>
    <row r="187" spans="1:7" ht="12.75" x14ac:dyDescent="0.2">
      <c r="A187" s="31"/>
      <c r="B187" s="31"/>
      <c r="C187" s="31"/>
      <c r="D187" s="2"/>
      <c r="E187" s="2"/>
      <c r="F187" s="2"/>
      <c r="G187" s="2"/>
    </row>
    <row r="188" spans="1:7" ht="12.75" x14ac:dyDescent="0.2">
      <c r="A188" s="31"/>
      <c r="B188" s="31"/>
      <c r="C188" s="31"/>
      <c r="D188" s="2"/>
      <c r="E188" s="2"/>
      <c r="F188" s="2"/>
      <c r="G188" s="2"/>
    </row>
    <row r="189" spans="1:7" ht="12.75" x14ac:dyDescent="0.2">
      <c r="A189" s="31"/>
      <c r="B189" s="31"/>
      <c r="C189" s="31"/>
      <c r="D189" s="2"/>
      <c r="E189" s="2"/>
      <c r="F189" s="2"/>
      <c r="G189" s="2"/>
    </row>
    <row r="190" spans="1:7" ht="12.75" x14ac:dyDescent="0.2">
      <c r="A190" s="31"/>
      <c r="B190" s="31"/>
      <c r="C190" s="31"/>
      <c r="D190" s="2"/>
      <c r="E190" s="2"/>
      <c r="F190" s="2"/>
      <c r="G190" s="2"/>
    </row>
    <row r="191" spans="1:7" ht="12.75" x14ac:dyDescent="0.2">
      <c r="A191" s="31"/>
      <c r="B191" s="31"/>
      <c r="C191" s="31"/>
      <c r="D191" s="2"/>
      <c r="E191" s="2"/>
      <c r="F191" s="2"/>
      <c r="G191" s="2"/>
    </row>
    <row r="192" spans="1:7" ht="12.75" x14ac:dyDescent="0.2">
      <c r="A192" s="31"/>
      <c r="B192" s="31"/>
      <c r="C192" s="31"/>
      <c r="D192" s="2"/>
      <c r="E192" s="2"/>
      <c r="F192" s="2"/>
      <c r="G192" s="2"/>
    </row>
    <row r="193" spans="1:7" ht="12.75" x14ac:dyDescent="0.2">
      <c r="A193" s="31"/>
      <c r="B193" s="31"/>
      <c r="C193" s="31"/>
      <c r="D193" s="2"/>
      <c r="E193" s="2"/>
      <c r="F193" s="2"/>
      <c r="G193" s="2"/>
    </row>
    <row r="194" spans="1:7" ht="12.75" x14ac:dyDescent="0.2">
      <c r="A194" s="31"/>
      <c r="B194" s="31"/>
      <c r="C194" s="31"/>
      <c r="D194" s="2"/>
      <c r="E194" s="2"/>
      <c r="F194" s="2"/>
      <c r="G194" s="2"/>
    </row>
    <row r="195" spans="1:7" ht="12.75" x14ac:dyDescent="0.2">
      <c r="A195" s="31"/>
      <c r="B195" s="31"/>
      <c r="C195" s="31"/>
      <c r="D195" s="2"/>
      <c r="E195" s="2"/>
      <c r="F195" s="2"/>
      <c r="G195" s="2"/>
    </row>
    <row r="196" spans="1:7" ht="12.75" x14ac:dyDescent="0.2">
      <c r="A196" s="31"/>
      <c r="B196" s="31"/>
      <c r="C196" s="31"/>
      <c r="D196" s="2"/>
      <c r="E196" s="2"/>
      <c r="F196" s="2"/>
      <c r="G196" s="2"/>
    </row>
    <row r="197" spans="1:7" ht="12.75" x14ac:dyDescent="0.2">
      <c r="A197" s="31"/>
      <c r="B197" s="31"/>
      <c r="C197" s="31"/>
      <c r="D197" s="2"/>
      <c r="E197" s="2"/>
      <c r="F197" s="2"/>
      <c r="G197" s="2"/>
    </row>
    <row r="198" spans="1:7" ht="12.75" x14ac:dyDescent="0.2">
      <c r="A198" s="31"/>
      <c r="B198" s="31"/>
      <c r="C198" s="31"/>
      <c r="D198" s="2"/>
      <c r="E198" s="2"/>
      <c r="F198" s="2"/>
      <c r="G198" s="2"/>
    </row>
    <row r="199" spans="1:7" ht="12.75" x14ac:dyDescent="0.2">
      <c r="A199" s="31"/>
      <c r="B199" s="31"/>
      <c r="C199" s="31"/>
      <c r="D199" s="2"/>
      <c r="E199" s="2"/>
      <c r="F199" s="2"/>
      <c r="G199" s="2"/>
    </row>
    <row r="200" spans="1:7" ht="12.75" x14ac:dyDescent="0.2">
      <c r="A200" s="31"/>
      <c r="B200" s="31"/>
      <c r="C200" s="31"/>
      <c r="D200" s="2"/>
      <c r="E200" s="2"/>
      <c r="F200" s="2"/>
      <c r="G200" s="2"/>
    </row>
    <row r="201" spans="1:7" ht="12.75" x14ac:dyDescent="0.2">
      <c r="A201" s="31"/>
      <c r="B201" s="31"/>
      <c r="C201" s="31"/>
      <c r="D201" s="2"/>
      <c r="E201" s="2"/>
      <c r="F201" s="2"/>
      <c r="G201" s="2"/>
    </row>
    <row r="202" spans="1:7" ht="12.75" x14ac:dyDescent="0.2">
      <c r="A202" s="31"/>
      <c r="B202" s="31"/>
      <c r="C202" s="31"/>
      <c r="D202" s="2"/>
      <c r="E202" s="2"/>
      <c r="F202" s="2"/>
      <c r="G202" s="2"/>
    </row>
    <row r="203" spans="1:7" ht="12.75" x14ac:dyDescent="0.2">
      <c r="A203" s="31"/>
      <c r="B203" s="31"/>
      <c r="C203" s="31"/>
      <c r="D203" s="2"/>
      <c r="E203" s="2"/>
      <c r="F203" s="2"/>
      <c r="G203" s="2"/>
    </row>
    <row r="204" spans="1:7" ht="12.75" x14ac:dyDescent="0.2">
      <c r="A204" s="31"/>
      <c r="B204" s="31"/>
      <c r="C204" s="31"/>
      <c r="D204" s="2"/>
      <c r="E204" s="2"/>
      <c r="F204" s="2"/>
      <c r="G204" s="2"/>
    </row>
    <row r="205" spans="1:7" ht="12.75" x14ac:dyDescent="0.2">
      <c r="A205" s="31"/>
      <c r="B205" s="31"/>
      <c r="C205" s="31"/>
      <c r="D205" s="2"/>
      <c r="E205" s="2"/>
      <c r="F205" s="2"/>
      <c r="G205" s="2"/>
    </row>
    <row r="206" spans="1:7" ht="12.75" x14ac:dyDescent="0.2">
      <c r="A206" s="31"/>
      <c r="B206" s="31"/>
      <c r="C206" s="31"/>
      <c r="D206" s="2"/>
      <c r="E206" s="2"/>
      <c r="F206" s="2"/>
      <c r="G206" s="2"/>
    </row>
    <row r="207" spans="1:7" ht="12.75" x14ac:dyDescent="0.2">
      <c r="A207" s="31"/>
      <c r="B207" s="31"/>
      <c r="C207" s="31"/>
      <c r="D207" s="2"/>
      <c r="E207" s="2"/>
      <c r="F207" s="2"/>
      <c r="G207" s="2"/>
    </row>
    <row r="208" spans="1:7" ht="12.75" x14ac:dyDescent="0.2">
      <c r="A208" s="31"/>
      <c r="B208" s="31"/>
      <c r="C208" s="31"/>
      <c r="D208" s="2"/>
      <c r="E208" s="2"/>
      <c r="F208" s="2"/>
      <c r="G208" s="2"/>
    </row>
    <row r="209" spans="1:7" ht="12.75" x14ac:dyDescent="0.2">
      <c r="A209" s="31"/>
      <c r="B209" s="31"/>
      <c r="C209" s="31"/>
      <c r="D209" s="2"/>
      <c r="E209" s="2"/>
      <c r="F209" s="2"/>
      <c r="G209" s="2"/>
    </row>
    <row r="210" spans="1:7" ht="12.75" x14ac:dyDescent="0.2">
      <c r="A210" s="31"/>
      <c r="B210" s="31"/>
      <c r="C210" s="31"/>
      <c r="D210" s="2"/>
      <c r="E210" s="2"/>
      <c r="F210" s="2"/>
      <c r="G210" s="2"/>
    </row>
    <row r="211" spans="1:7" ht="12.75" x14ac:dyDescent="0.2">
      <c r="A211" s="31"/>
      <c r="B211" s="31"/>
      <c r="C211" s="31"/>
      <c r="D211" s="2"/>
      <c r="E211" s="2"/>
      <c r="F211" s="2"/>
      <c r="G211" s="2"/>
    </row>
    <row r="212" spans="1:7" ht="12.75" x14ac:dyDescent="0.2">
      <c r="A212" s="31"/>
      <c r="B212" s="31"/>
      <c r="C212" s="31"/>
      <c r="D212" s="2"/>
      <c r="E212" s="2"/>
      <c r="F212" s="2"/>
      <c r="G212" s="2"/>
    </row>
    <row r="213" spans="1:7" ht="12.75" x14ac:dyDescent="0.2">
      <c r="A213" s="31"/>
      <c r="B213" s="31"/>
      <c r="C213" s="31"/>
      <c r="D213" s="2"/>
      <c r="E213" s="2"/>
      <c r="F213" s="2"/>
      <c r="G213" s="2"/>
    </row>
    <row r="214" spans="1:7" ht="12.75" x14ac:dyDescent="0.2">
      <c r="A214" s="31"/>
      <c r="B214" s="31"/>
      <c r="C214" s="31"/>
      <c r="D214" s="2"/>
      <c r="E214" s="2"/>
      <c r="F214" s="2"/>
      <c r="G214" s="2"/>
    </row>
    <row r="215" spans="1:7" ht="12.75" x14ac:dyDescent="0.2">
      <c r="A215" s="31"/>
      <c r="B215" s="31"/>
      <c r="C215" s="31"/>
      <c r="D215" s="2"/>
      <c r="E215" s="2"/>
      <c r="F215" s="2"/>
      <c r="G215" s="2"/>
    </row>
    <row r="216" spans="1:7" ht="12.75" x14ac:dyDescent="0.2">
      <c r="A216" s="31"/>
      <c r="B216" s="31"/>
      <c r="C216" s="31"/>
      <c r="D216" s="2"/>
      <c r="E216" s="2"/>
      <c r="F216" s="2"/>
      <c r="G216" s="2"/>
    </row>
    <row r="217" spans="1:7" ht="12.75" x14ac:dyDescent="0.2">
      <c r="A217" s="31"/>
      <c r="B217" s="31"/>
      <c r="C217" s="31"/>
      <c r="D217" s="2"/>
      <c r="E217" s="2"/>
      <c r="F217" s="2"/>
      <c r="G217" s="2"/>
    </row>
    <row r="218" spans="1:7" ht="12.75" x14ac:dyDescent="0.2">
      <c r="A218" s="31"/>
      <c r="B218" s="31"/>
      <c r="C218" s="31"/>
      <c r="D218" s="2"/>
      <c r="E218" s="2"/>
      <c r="F218" s="2"/>
      <c r="G218" s="2"/>
    </row>
    <row r="219" spans="1:7" ht="12.75" x14ac:dyDescent="0.2">
      <c r="A219" s="31"/>
      <c r="B219" s="31"/>
      <c r="C219" s="31"/>
      <c r="D219" s="2"/>
      <c r="E219" s="2"/>
      <c r="F219" s="2"/>
      <c r="G219" s="2"/>
    </row>
    <row r="220" spans="1:7" ht="12.75" x14ac:dyDescent="0.2">
      <c r="A220" s="31"/>
      <c r="B220" s="31"/>
      <c r="C220" s="31"/>
      <c r="D220" s="2"/>
      <c r="E220" s="2"/>
      <c r="F220" s="2"/>
      <c r="G220" s="2"/>
    </row>
    <row r="221" spans="1:7" ht="12.75" x14ac:dyDescent="0.2">
      <c r="A221" s="31"/>
      <c r="B221" s="31"/>
      <c r="C221" s="31"/>
      <c r="D221" s="2"/>
      <c r="E221" s="2"/>
      <c r="F221" s="2"/>
      <c r="G221" s="2"/>
    </row>
    <row r="222" spans="1:7" ht="12.75" x14ac:dyDescent="0.2">
      <c r="A222" s="31"/>
      <c r="B222" s="31"/>
      <c r="C222" s="31"/>
      <c r="D222" s="2"/>
      <c r="E222" s="2"/>
      <c r="F222" s="2"/>
      <c r="G222" s="2"/>
    </row>
    <row r="223" spans="1:7" ht="12.75" x14ac:dyDescent="0.2">
      <c r="A223" s="31"/>
      <c r="B223" s="31"/>
      <c r="C223" s="31"/>
      <c r="D223" s="2"/>
      <c r="E223" s="2"/>
      <c r="F223" s="2"/>
      <c r="G223" s="2"/>
    </row>
    <row r="224" spans="1:7" ht="12.75" x14ac:dyDescent="0.2">
      <c r="A224" s="31"/>
      <c r="B224" s="31"/>
      <c r="C224" s="31"/>
      <c r="D224" s="2"/>
      <c r="E224" s="2"/>
      <c r="F224" s="2"/>
      <c r="G224" s="2"/>
    </row>
    <row r="225" spans="1:7" ht="12.75" x14ac:dyDescent="0.2">
      <c r="A225" s="31"/>
      <c r="B225" s="31"/>
      <c r="C225" s="31"/>
      <c r="D225" s="2"/>
      <c r="E225" s="2"/>
      <c r="F225" s="2"/>
      <c r="G225" s="2"/>
    </row>
    <row r="226" spans="1:7" ht="12.75" x14ac:dyDescent="0.2">
      <c r="A226" s="31"/>
      <c r="B226" s="31"/>
      <c r="C226" s="31"/>
      <c r="D226" s="2"/>
      <c r="E226" s="2"/>
      <c r="F226" s="2"/>
      <c r="G226" s="2"/>
    </row>
    <row r="227" spans="1:7" ht="12.75" x14ac:dyDescent="0.2">
      <c r="A227" s="31"/>
      <c r="B227" s="31"/>
      <c r="C227" s="31"/>
      <c r="D227" s="2"/>
      <c r="E227" s="2"/>
      <c r="F227" s="2"/>
      <c r="G227" s="2"/>
    </row>
    <row r="228" spans="1:7" ht="12.75" x14ac:dyDescent="0.2">
      <c r="A228" s="31"/>
      <c r="B228" s="31"/>
      <c r="C228" s="31"/>
      <c r="D228" s="2"/>
      <c r="E228" s="2"/>
      <c r="F228" s="2"/>
      <c r="G228" s="2"/>
    </row>
    <row r="229" spans="1:7" ht="12.75" x14ac:dyDescent="0.2">
      <c r="A229" s="31"/>
      <c r="B229" s="31"/>
      <c r="C229" s="31"/>
      <c r="D229" s="2"/>
      <c r="E229" s="2"/>
      <c r="F229" s="2"/>
      <c r="G229" s="2"/>
    </row>
    <row r="230" spans="1:7" ht="12.75" x14ac:dyDescent="0.2">
      <c r="A230" s="31"/>
      <c r="B230" s="31"/>
      <c r="C230" s="31"/>
      <c r="D230" s="2"/>
      <c r="E230" s="2"/>
      <c r="F230" s="2"/>
      <c r="G230" s="2"/>
    </row>
    <row r="231" spans="1:7" ht="12.75" x14ac:dyDescent="0.2">
      <c r="A231" s="31"/>
      <c r="B231" s="31"/>
      <c r="C231" s="31"/>
      <c r="D231" s="2"/>
      <c r="E231" s="2"/>
      <c r="F231" s="2"/>
      <c r="G231" s="2"/>
    </row>
    <row r="232" spans="1:7" ht="12.75" x14ac:dyDescent="0.2">
      <c r="A232" s="31"/>
      <c r="B232" s="31"/>
      <c r="C232" s="31"/>
      <c r="D232" s="2"/>
      <c r="E232" s="2"/>
      <c r="F232" s="2"/>
      <c r="G232" s="2"/>
    </row>
    <row r="233" spans="1:7" ht="12.75" x14ac:dyDescent="0.2">
      <c r="A233" s="31"/>
      <c r="B233" s="31"/>
      <c r="C233" s="31"/>
      <c r="D233" s="2"/>
      <c r="E233" s="2"/>
      <c r="F233" s="2"/>
      <c r="G233" s="2"/>
    </row>
    <row r="234" spans="1:7" ht="12.75" x14ac:dyDescent="0.2">
      <c r="A234" s="31"/>
      <c r="B234" s="31"/>
      <c r="C234" s="31"/>
      <c r="D234" s="2"/>
      <c r="E234" s="2"/>
      <c r="F234" s="2"/>
      <c r="G234" s="2"/>
    </row>
    <row r="235" spans="1:7" ht="12.75" x14ac:dyDescent="0.2">
      <c r="A235" s="31"/>
      <c r="B235" s="31"/>
      <c r="C235" s="31"/>
      <c r="D235" s="2"/>
      <c r="E235" s="2"/>
      <c r="F235" s="2"/>
      <c r="G235" s="2"/>
    </row>
    <row r="236" spans="1:7" ht="12.75" x14ac:dyDescent="0.2">
      <c r="A236" s="31"/>
      <c r="B236" s="31"/>
      <c r="C236" s="31"/>
      <c r="D236" s="2"/>
      <c r="E236" s="2"/>
      <c r="F236" s="2"/>
      <c r="G236" s="2"/>
    </row>
    <row r="237" spans="1:7" ht="12.75" x14ac:dyDescent="0.2">
      <c r="A237" s="31"/>
      <c r="B237" s="31"/>
      <c r="C237" s="31"/>
      <c r="D237" s="2"/>
      <c r="E237" s="2"/>
      <c r="F237" s="2"/>
      <c r="G237" s="2"/>
    </row>
    <row r="238" spans="1:7" ht="12.75" x14ac:dyDescent="0.2">
      <c r="A238" s="31"/>
      <c r="B238" s="31"/>
      <c r="C238" s="31"/>
      <c r="D238" s="2"/>
      <c r="E238" s="2"/>
      <c r="F238" s="2"/>
      <c r="G238" s="2"/>
    </row>
    <row r="239" spans="1:7" ht="12.75" x14ac:dyDescent="0.2">
      <c r="A239" s="31"/>
      <c r="B239" s="31"/>
      <c r="C239" s="31"/>
      <c r="D239" s="2"/>
      <c r="E239" s="2"/>
      <c r="F239" s="2"/>
      <c r="G239" s="2"/>
    </row>
    <row r="240" spans="1:7" ht="12.75" x14ac:dyDescent="0.2">
      <c r="A240" s="31"/>
      <c r="B240" s="31"/>
      <c r="C240" s="31"/>
      <c r="D240" s="2"/>
      <c r="E240" s="2"/>
      <c r="F240" s="2"/>
      <c r="G240" s="2"/>
    </row>
    <row r="241" spans="1:7" ht="12.75" x14ac:dyDescent="0.2">
      <c r="A241" s="31"/>
      <c r="B241" s="31"/>
      <c r="C241" s="31"/>
      <c r="D241" s="2"/>
      <c r="E241" s="2"/>
      <c r="F241" s="2"/>
      <c r="G241" s="2"/>
    </row>
    <row r="242" spans="1:7" ht="12.75" x14ac:dyDescent="0.2">
      <c r="A242" s="31"/>
      <c r="B242" s="31"/>
      <c r="C242" s="31"/>
      <c r="D242" s="2"/>
      <c r="E242" s="2"/>
      <c r="F242" s="2"/>
      <c r="G242" s="2"/>
    </row>
    <row r="243" spans="1:7" ht="12.75" x14ac:dyDescent="0.2">
      <c r="A243" s="31"/>
      <c r="B243" s="31"/>
      <c r="C243" s="31"/>
      <c r="D243" s="2"/>
      <c r="E243" s="2"/>
      <c r="F243" s="2"/>
      <c r="G243" s="2"/>
    </row>
    <row r="244" spans="1:7" ht="12.75" x14ac:dyDescent="0.2">
      <c r="A244" s="31"/>
      <c r="B244" s="31"/>
      <c r="C244" s="31"/>
      <c r="D244" s="2"/>
      <c r="E244" s="2"/>
      <c r="F244" s="2"/>
      <c r="G244" s="2"/>
    </row>
    <row r="245" spans="1:7" ht="12.75" x14ac:dyDescent="0.2">
      <c r="A245" s="31"/>
      <c r="B245" s="31"/>
      <c r="C245" s="31"/>
      <c r="D245" s="2"/>
      <c r="E245" s="2"/>
      <c r="F245" s="2"/>
      <c r="G245" s="2"/>
    </row>
    <row r="246" spans="1:7" ht="12.75" x14ac:dyDescent="0.2">
      <c r="A246" s="31"/>
      <c r="B246" s="31"/>
      <c r="C246" s="31"/>
      <c r="D246" s="2"/>
      <c r="E246" s="2"/>
      <c r="F246" s="2"/>
      <c r="G246" s="2"/>
    </row>
    <row r="247" spans="1:7" ht="12.75" x14ac:dyDescent="0.2">
      <c r="A247" s="31"/>
      <c r="B247" s="31"/>
      <c r="C247" s="31"/>
      <c r="D247" s="2"/>
      <c r="E247" s="2"/>
      <c r="F247" s="2"/>
      <c r="G247" s="2"/>
    </row>
    <row r="248" spans="1:7" ht="12.75" x14ac:dyDescent="0.2">
      <c r="A248" s="31"/>
      <c r="B248" s="31"/>
      <c r="C248" s="31"/>
      <c r="D248" s="2"/>
      <c r="E248" s="2"/>
      <c r="F248" s="2"/>
      <c r="G248" s="2"/>
    </row>
    <row r="249" spans="1:7" ht="12.75" x14ac:dyDescent="0.2">
      <c r="A249" s="31"/>
      <c r="B249" s="31"/>
      <c r="C249" s="31"/>
      <c r="D249" s="2"/>
      <c r="E249" s="2"/>
      <c r="F249" s="2"/>
      <c r="G249" s="2"/>
    </row>
    <row r="250" spans="1:7" ht="12.75" x14ac:dyDescent="0.2">
      <c r="A250" s="31"/>
      <c r="B250" s="31"/>
      <c r="C250" s="31"/>
      <c r="D250" s="2"/>
      <c r="E250" s="2"/>
      <c r="F250" s="2"/>
      <c r="G250" s="2"/>
    </row>
    <row r="251" spans="1:7" ht="12.75" x14ac:dyDescent="0.2">
      <c r="A251" s="31"/>
      <c r="B251" s="31"/>
      <c r="C251" s="31"/>
      <c r="D251" s="2"/>
      <c r="E251" s="2"/>
      <c r="F251" s="2"/>
      <c r="G251" s="2"/>
    </row>
    <row r="252" spans="1:7" ht="12.75" x14ac:dyDescent="0.2">
      <c r="A252" s="31"/>
      <c r="B252" s="31"/>
      <c r="C252" s="31"/>
      <c r="D252" s="2"/>
      <c r="E252" s="2"/>
      <c r="F252" s="2"/>
      <c r="G252" s="2"/>
    </row>
    <row r="253" spans="1:7" ht="12.75" x14ac:dyDescent="0.2">
      <c r="A253" s="31"/>
      <c r="B253" s="31"/>
      <c r="C253" s="31"/>
      <c r="D253" s="2"/>
      <c r="E253" s="2"/>
      <c r="F253" s="2"/>
      <c r="G253" s="2"/>
    </row>
    <row r="254" spans="1:7" ht="12.75" x14ac:dyDescent="0.2">
      <c r="A254" s="31"/>
      <c r="B254" s="31"/>
      <c r="C254" s="31"/>
      <c r="D254" s="2"/>
      <c r="E254" s="2"/>
      <c r="F254" s="2"/>
      <c r="G254" s="2"/>
    </row>
    <row r="255" spans="1:7" ht="12.75" x14ac:dyDescent="0.2">
      <c r="A255" s="31"/>
      <c r="B255" s="31"/>
      <c r="C255" s="31"/>
      <c r="D255" s="2"/>
      <c r="E255" s="2"/>
      <c r="F255" s="2"/>
      <c r="G255" s="2"/>
    </row>
    <row r="256" spans="1:7" ht="12.75" x14ac:dyDescent="0.2">
      <c r="A256" s="31"/>
      <c r="B256" s="31"/>
      <c r="C256" s="31"/>
      <c r="D256" s="2"/>
      <c r="E256" s="2"/>
      <c r="F256" s="2"/>
      <c r="G256" s="2"/>
    </row>
    <row r="257" spans="1:7" ht="12.75" x14ac:dyDescent="0.2">
      <c r="A257" s="31"/>
      <c r="B257" s="31"/>
      <c r="C257" s="31"/>
      <c r="D257" s="2"/>
      <c r="E257" s="2"/>
      <c r="F257" s="2"/>
      <c r="G257" s="2"/>
    </row>
    <row r="258" spans="1:7" ht="12.75" x14ac:dyDescent="0.2">
      <c r="A258" s="31"/>
      <c r="B258" s="31"/>
      <c r="C258" s="31"/>
      <c r="D258" s="2"/>
      <c r="E258" s="2"/>
      <c r="F258" s="2"/>
      <c r="G258" s="2"/>
    </row>
    <row r="259" spans="1:7" ht="12.75" x14ac:dyDescent="0.2">
      <c r="A259" s="31"/>
      <c r="B259" s="31"/>
      <c r="C259" s="31"/>
      <c r="D259" s="2"/>
      <c r="E259" s="2"/>
      <c r="F259" s="2"/>
      <c r="G259" s="2"/>
    </row>
    <row r="260" spans="1:7" ht="12.75" x14ac:dyDescent="0.2">
      <c r="A260" s="31"/>
      <c r="B260" s="31"/>
      <c r="C260" s="31"/>
      <c r="D260" s="2"/>
      <c r="E260" s="2"/>
      <c r="F260" s="2"/>
      <c r="G260" s="2"/>
    </row>
    <row r="261" spans="1:7" ht="12.75" x14ac:dyDescent="0.2">
      <c r="A261" s="31"/>
      <c r="B261" s="31"/>
      <c r="C261" s="31"/>
      <c r="D261" s="2"/>
      <c r="E261" s="2"/>
      <c r="F261" s="2"/>
      <c r="G261" s="2"/>
    </row>
    <row r="262" spans="1:7" ht="12.75" x14ac:dyDescent="0.2">
      <c r="A262" s="31"/>
      <c r="B262" s="31"/>
      <c r="C262" s="31"/>
      <c r="D262" s="2"/>
      <c r="E262" s="2"/>
      <c r="F262" s="2"/>
      <c r="G262" s="2"/>
    </row>
    <row r="263" spans="1:7" ht="12.75" x14ac:dyDescent="0.2">
      <c r="A263" s="31"/>
      <c r="B263" s="31"/>
      <c r="C263" s="31"/>
      <c r="D263" s="2"/>
      <c r="E263" s="2"/>
      <c r="F263" s="2"/>
      <c r="G263" s="2"/>
    </row>
    <row r="264" spans="1:7" ht="12.75" x14ac:dyDescent="0.2">
      <c r="A264" s="31"/>
      <c r="B264" s="31"/>
      <c r="C264" s="31"/>
      <c r="D264" s="2"/>
      <c r="E264" s="2"/>
      <c r="F264" s="2"/>
      <c r="G264" s="2"/>
    </row>
    <row r="265" spans="1:7" ht="12.75" x14ac:dyDescent="0.2">
      <c r="A265" s="31"/>
      <c r="B265" s="31"/>
      <c r="C265" s="31"/>
      <c r="D265" s="2"/>
      <c r="E265" s="2"/>
      <c r="F265" s="2"/>
      <c r="G265" s="2"/>
    </row>
    <row r="266" spans="1:7" ht="12.75" x14ac:dyDescent="0.2">
      <c r="A266" s="31"/>
      <c r="B266" s="31"/>
      <c r="C266" s="31"/>
      <c r="D266" s="2"/>
      <c r="E266" s="2"/>
      <c r="F266" s="2"/>
      <c r="G266" s="2"/>
    </row>
    <row r="267" spans="1:7" ht="12.75" x14ac:dyDescent="0.2">
      <c r="A267" s="31"/>
      <c r="B267" s="31"/>
      <c r="C267" s="31"/>
      <c r="D267" s="2"/>
      <c r="E267" s="2"/>
      <c r="F267" s="2"/>
      <c r="G267" s="2"/>
    </row>
    <row r="268" spans="1:7" ht="12.75" x14ac:dyDescent="0.2">
      <c r="A268" s="31"/>
      <c r="B268" s="31"/>
      <c r="C268" s="31"/>
      <c r="D268" s="2"/>
      <c r="E268" s="2"/>
      <c r="F268" s="2"/>
      <c r="G268" s="2"/>
    </row>
    <row r="269" spans="1:7" ht="12.75" x14ac:dyDescent="0.2">
      <c r="A269" s="31"/>
      <c r="B269" s="31"/>
      <c r="C269" s="31"/>
      <c r="D269" s="2"/>
      <c r="E269" s="2"/>
      <c r="F269" s="2"/>
      <c r="G269" s="2"/>
    </row>
    <row r="270" spans="1:7" ht="12.75" x14ac:dyDescent="0.2">
      <c r="A270" s="31"/>
      <c r="B270" s="31"/>
      <c r="C270" s="31"/>
      <c r="D270" s="2"/>
      <c r="E270" s="2"/>
      <c r="F270" s="2"/>
      <c r="G270" s="2"/>
    </row>
    <row r="271" spans="1:7" ht="12.75" x14ac:dyDescent="0.2">
      <c r="A271" s="31"/>
      <c r="B271" s="31"/>
      <c r="C271" s="31"/>
      <c r="D271" s="2"/>
      <c r="E271" s="2"/>
      <c r="F271" s="2"/>
      <c r="G271" s="2"/>
    </row>
    <row r="272" spans="1:7" ht="12.75" x14ac:dyDescent="0.2">
      <c r="A272" s="31"/>
      <c r="B272" s="31"/>
      <c r="C272" s="31"/>
      <c r="D272" s="2"/>
      <c r="E272" s="2"/>
      <c r="F272" s="2"/>
      <c r="G272" s="2"/>
    </row>
    <row r="273" spans="1:7" ht="12.75" x14ac:dyDescent="0.2">
      <c r="A273" s="31"/>
      <c r="B273" s="31"/>
      <c r="C273" s="31"/>
      <c r="D273" s="2"/>
      <c r="E273" s="2"/>
      <c r="F273" s="2"/>
      <c r="G273" s="2"/>
    </row>
    <row r="274" spans="1:7" ht="12.75" x14ac:dyDescent="0.2">
      <c r="A274" s="31"/>
      <c r="B274" s="31"/>
      <c r="C274" s="31"/>
      <c r="D274" s="2"/>
      <c r="E274" s="2"/>
      <c r="F274" s="2"/>
      <c r="G274" s="2"/>
    </row>
    <row r="275" spans="1:7" ht="12.75" x14ac:dyDescent="0.2">
      <c r="A275" s="31"/>
      <c r="B275" s="31"/>
      <c r="C275" s="31"/>
      <c r="D275" s="2"/>
      <c r="E275" s="2"/>
      <c r="F275" s="2"/>
      <c r="G275" s="2"/>
    </row>
    <row r="276" spans="1:7" ht="12.75" x14ac:dyDescent="0.2">
      <c r="A276" s="31"/>
      <c r="B276" s="31"/>
      <c r="C276" s="31"/>
      <c r="D276" s="2"/>
      <c r="E276" s="2"/>
      <c r="F276" s="2"/>
      <c r="G276" s="2"/>
    </row>
    <row r="277" spans="1:7" ht="12.75" x14ac:dyDescent="0.2">
      <c r="A277" s="31"/>
      <c r="B277" s="31"/>
      <c r="C277" s="31"/>
      <c r="D277" s="2"/>
      <c r="E277" s="2"/>
      <c r="F277" s="2"/>
      <c r="G277" s="2"/>
    </row>
    <row r="278" spans="1:7" ht="12.75" x14ac:dyDescent="0.2">
      <c r="A278" s="31"/>
      <c r="B278" s="31"/>
      <c r="C278" s="31"/>
      <c r="D278" s="2"/>
      <c r="E278" s="2"/>
      <c r="F278" s="2"/>
      <c r="G278" s="2"/>
    </row>
    <row r="279" spans="1:7" ht="12.75" x14ac:dyDescent="0.2">
      <c r="A279" s="31"/>
      <c r="B279" s="31"/>
      <c r="C279" s="31"/>
      <c r="D279" s="2"/>
      <c r="E279" s="2"/>
      <c r="F279" s="2"/>
      <c r="G279" s="2"/>
    </row>
    <row r="280" spans="1:7" ht="12.75" x14ac:dyDescent="0.2">
      <c r="A280" s="31"/>
      <c r="B280" s="31"/>
      <c r="C280" s="31"/>
      <c r="D280" s="2"/>
      <c r="E280" s="2"/>
      <c r="F280" s="2"/>
      <c r="G280" s="2"/>
    </row>
    <row r="281" spans="1:7" ht="12.75" x14ac:dyDescent="0.2">
      <c r="A281" s="31"/>
      <c r="B281" s="31"/>
      <c r="C281" s="31"/>
      <c r="D281" s="2"/>
      <c r="E281" s="2"/>
      <c r="F281" s="2"/>
      <c r="G281" s="2"/>
    </row>
    <row r="282" spans="1:7" ht="12.75" x14ac:dyDescent="0.2">
      <c r="A282" s="31"/>
      <c r="B282" s="31"/>
      <c r="C282" s="31"/>
      <c r="D282" s="2"/>
      <c r="E282" s="2"/>
      <c r="F282" s="2"/>
      <c r="G282" s="2"/>
    </row>
    <row r="283" spans="1:7" ht="12.75" x14ac:dyDescent="0.2">
      <c r="A283" s="31"/>
      <c r="B283" s="31"/>
      <c r="C283" s="31"/>
      <c r="D283" s="2"/>
      <c r="E283" s="2"/>
      <c r="F283" s="2"/>
      <c r="G283" s="2"/>
    </row>
    <row r="284" spans="1:7" ht="12.75" x14ac:dyDescent="0.2">
      <c r="A284" s="31"/>
      <c r="B284" s="31"/>
      <c r="C284" s="31"/>
      <c r="D284" s="2"/>
      <c r="E284" s="2"/>
      <c r="F284" s="2"/>
      <c r="G284" s="2"/>
    </row>
    <row r="285" spans="1:7" ht="12.75" x14ac:dyDescent="0.2">
      <c r="A285" s="31"/>
      <c r="B285" s="31"/>
      <c r="C285" s="31"/>
      <c r="D285" s="2"/>
      <c r="E285" s="2"/>
      <c r="F285" s="2"/>
      <c r="G285" s="2"/>
    </row>
    <row r="286" spans="1:7" ht="12.75" x14ac:dyDescent="0.2">
      <c r="A286" s="31"/>
      <c r="B286" s="31"/>
      <c r="C286" s="31"/>
      <c r="D286" s="2"/>
      <c r="E286" s="2"/>
      <c r="F286" s="2"/>
      <c r="G286" s="2"/>
    </row>
    <row r="287" spans="1:7" ht="12.75" x14ac:dyDescent="0.2">
      <c r="A287" s="31"/>
      <c r="B287" s="31"/>
      <c r="C287" s="31"/>
      <c r="D287" s="2"/>
      <c r="E287" s="2"/>
      <c r="F287" s="2"/>
      <c r="G287" s="2"/>
    </row>
    <row r="288" spans="1:7" ht="12.75" x14ac:dyDescent="0.2">
      <c r="A288" s="31"/>
      <c r="B288" s="31"/>
      <c r="C288" s="31"/>
      <c r="D288" s="2"/>
      <c r="E288" s="2"/>
      <c r="F288" s="2"/>
      <c r="G288" s="2"/>
    </row>
    <row r="289" spans="1:7" ht="12.75" x14ac:dyDescent="0.2">
      <c r="A289" s="31"/>
      <c r="B289" s="31"/>
      <c r="C289" s="31"/>
      <c r="D289" s="2"/>
      <c r="E289" s="2"/>
      <c r="F289" s="2"/>
      <c r="G289" s="2"/>
    </row>
    <row r="290" spans="1:7" ht="12.75" x14ac:dyDescent="0.2">
      <c r="A290" s="31"/>
      <c r="B290" s="31"/>
      <c r="C290" s="31"/>
      <c r="D290" s="2"/>
      <c r="E290" s="2"/>
      <c r="F290" s="2"/>
      <c r="G290" s="2"/>
    </row>
    <row r="291" spans="1:7" ht="12.75" x14ac:dyDescent="0.2">
      <c r="A291" s="31"/>
      <c r="B291" s="31"/>
      <c r="C291" s="31"/>
      <c r="D291" s="2"/>
      <c r="E291" s="2"/>
      <c r="F291" s="2"/>
      <c r="G291" s="2"/>
    </row>
    <row r="292" spans="1:7" ht="12.75" x14ac:dyDescent="0.2">
      <c r="A292" s="31"/>
      <c r="B292" s="31"/>
      <c r="C292" s="31"/>
      <c r="D292" s="2"/>
      <c r="E292" s="2"/>
      <c r="F292" s="2"/>
      <c r="G292" s="2"/>
    </row>
    <row r="293" spans="1:7" ht="12.75" x14ac:dyDescent="0.2">
      <c r="A293" s="31"/>
      <c r="B293" s="31"/>
      <c r="C293" s="31"/>
      <c r="D293" s="2"/>
      <c r="E293" s="2"/>
      <c r="F293" s="2"/>
      <c r="G293" s="2"/>
    </row>
    <row r="294" spans="1:7" ht="12.75" x14ac:dyDescent="0.2">
      <c r="A294" s="31"/>
      <c r="B294" s="31"/>
      <c r="C294" s="31"/>
      <c r="D294" s="2"/>
      <c r="E294" s="2"/>
      <c r="F294" s="2"/>
      <c r="G294" s="2"/>
    </row>
    <row r="295" spans="1:7" ht="12.75" x14ac:dyDescent="0.2">
      <c r="A295" s="31"/>
      <c r="B295" s="31"/>
      <c r="C295" s="31"/>
      <c r="D295" s="2"/>
      <c r="E295" s="2"/>
      <c r="F295" s="2"/>
      <c r="G295" s="2"/>
    </row>
    <row r="296" spans="1:7" ht="12.75" x14ac:dyDescent="0.2">
      <c r="A296" s="31"/>
      <c r="B296" s="31"/>
      <c r="C296" s="31"/>
      <c r="D296" s="2"/>
      <c r="E296" s="2"/>
      <c r="F296" s="2"/>
      <c r="G296" s="2"/>
    </row>
    <row r="297" spans="1:7" ht="12.75" x14ac:dyDescent="0.2">
      <c r="A297" s="31"/>
      <c r="B297" s="31"/>
      <c r="C297" s="31"/>
      <c r="D297" s="2"/>
      <c r="E297" s="2"/>
      <c r="F297" s="2"/>
      <c r="G297" s="2"/>
    </row>
    <row r="298" spans="1:7" ht="12.75" x14ac:dyDescent="0.2">
      <c r="A298" s="31"/>
      <c r="B298" s="31"/>
      <c r="C298" s="31"/>
      <c r="D298" s="2"/>
      <c r="E298" s="2"/>
      <c r="F298" s="2"/>
      <c r="G298" s="2"/>
    </row>
    <row r="299" spans="1:7" ht="12.75" x14ac:dyDescent="0.2">
      <c r="A299" s="31"/>
      <c r="B299" s="31"/>
      <c r="C299" s="31"/>
      <c r="D299" s="2"/>
      <c r="E299" s="2"/>
      <c r="F299" s="2"/>
      <c r="G299" s="2"/>
    </row>
    <row r="300" spans="1:7" ht="12.75" x14ac:dyDescent="0.2">
      <c r="A300" s="31"/>
      <c r="B300" s="31"/>
      <c r="C300" s="31"/>
      <c r="D300" s="2"/>
      <c r="E300" s="2"/>
      <c r="F300" s="2"/>
      <c r="G300" s="2"/>
    </row>
    <row r="301" spans="1:7" ht="12.75" x14ac:dyDescent="0.2">
      <c r="A301" s="31"/>
      <c r="B301" s="31"/>
      <c r="C301" s="31"/>
      <c r="D301" s="2"/>
      <c r="E301" s="2"/>
      <c r="F301" s="2"/>
      <c r="G301" s="2"/>
    </row>
    <row r="302" spans="1:7" ht="12.75" x14ac:dyDescent="0.2">
      <c r="A302" s="31"/>
      <c r="B302" s="31"/>
      <c r="C302" s="31"/>
      <c r="D302" s="2"/>
      <c r="E302" s="2"/>
      <c r="F302" s="2"/>
      <c r="G302" s="2"/>
    </row>
    <row r="303" spans="1:7" ht="12.75" x14ac:dyDescent="0.2">
      <c r="A303" s="31"/>
      <c r="B303" s="31"/>
      <c r="C303" s="31"/>
      <c r="D303" s="2"/>
      <c r="E303" s="2"/>
      <c r="F303" s="2"/>
      <c r="G303" s="2"/>
    </row>
    <row r="304" spans="1:7" ht="12.75" x14ac:dyDescent="0.2">
      <c r="A304" s="31"/>
      <c r="B304" s="31"/>
      <c r="C304" s="31"/>
      <c r="D304" s="2"/>
      <c r="E304" s="2"/>
      <c r="F304" s="2"/>
      <c r="G304" s="2"/>
    </row>
    <row r="305" spans="1:7" ht="12.75" x14ac:dyDescent="0.2">
      <c r="A305" s="31"/>
      <c r="B305" s="31"/>
      <c r="C305" s="31"/>
      <c r="D305" s="2"/>
      <c r="E305" s="2"/>
      <c r="F305" s="2"/>
      <c r="G305" s="2"/>
    </row>
    <row r="306" spans="1:7" ht="12.75" x14ac:dyDescent="0.2">
      <c r="A306" s="31"/>
      <c r="B306" s="31"/>
      <c r="C306" s="31"/>
      <c r="D306" s="2"/>
      <c r="E306" s="2"/>
      <c r="F306" s="2"/>
      <c r="G306" s="2"/>
    </row>
    <row r="307" spans="1:7" ht="12.75" x14ac:dyDescent="0.2">
      <c r="A307" s="31"/>
      <c r="B307" s="31"/>
      <c r="C307" s="31"/>
      <c r="D307" s="2"/>
      <c r="E307" s="2"/>
      <c r="F307" s="2"/>
      <c r="G307" s="2"/>
    </row>
    <row r="308" spans="1:7" ht="12.75" x14ac:dyDescent="0.2">
      <c r="A308" s="31"/>
      <c r="B308" s="31"/>
      <c r="C308" s="31"/>
      <c r="D308" s="2"/>
      <c r="E308" s="2"/>
      <c r="F308" s="2"/>
      <c r="G308" s="2"/>
    </row>
    <row r="309" spans="1:7" ht="12.75" x14ac:dyDescent="0.2">
      <c r="A309" s="31"/>
      <c r="B309" s="31"/>
      <c r="C309" s="31"/>
      <c r="D309" s="2"/>
      <c r="E309" s="2"/>
      <c r="F309" s="2"/>
      <c r="G309" s="2"/>
    </row>
    <row r="310" spans="1:7" ht="12.75" x14ac:dyDescent="0.2">
      <c r="A310" s="31"/>
      <c r="B310" s="31"/>
      <c r="C310" s="31"/>
      <c r="D310" s="2"/>
      <c r="E310" s="2"/>
      <c r="F310" s="2"/>
      <c r="G310" s="2"/>
    </row>
    <row r="311" spans="1:7" ht="12.75" x14ac:dyDescent="0.2">
      <c r="A311" s="31"/>
      <c r="B311" s="31"/>
      <c r="C311" s="31"/>
      <c r="D311" s="2"/>
      <c r="E311" s="2"/>
      <c r="F311" s="2"/>
      <c r="G311" s="2"/>
    </row>
    <row r="312" spans="1:7" ht="12.75" x14ac:dyDescent="0.2">
      <c r="A312" s="31"/>
      <c r="B312" s="31"/>
      <c r="C312" s="31"/>
      <c r="D312" s="2"/>
      <c r="E312" s="2"/>
      <c r="F312" s="2"/>
      <c r="G312" s="2"/>
    </row>
    <row r="313" spans="1:7" ht="12.75" x14ac:dyDescent="0.2">
      <c r="A313" s="31"/>
      <c r="B313" s="31"/>
      <c r="C313" s="31"/>
      <c r="D313" s="2"/>
      <c r="E313" s="2"/>
      <c r="F313" s="2"/>
      <c r="G313" s="2"/>
    </row>
    <row r="314" spans="1:7" ht="12.75" x14ac:dyDescent="0.2">
      <c r="A314" s="31"/>
      <c r="B314" s="31"/>
      <c r="C314" s="31"/>
      <c r="D314" s="2"/>
      <c r="E314" s="2"/>
      <c r="F314" s="2"/>
      <c r="G314" s="2"/>
    </row>
    <row r="315" spans="1:7" ht="12.75" x14ac:dyDescent="0.2">
      <c r="A315" s="31"/>
      <c r="B315" s="31"/>
      <c r="C315" s="31"/>
      <c r="D315" s="2"/>
      <c r="E315" s="2"/>
      <c r="F315" s="2"/>
      <c r="G315" s="2"/>
    </row>
    <row r="316" spans="1:7" ht="12.75" x14ac:dyDescent="0.2">
      <c r="A316" s="31"/>
      <c r="B316" s="31"/>
      <c r="C316" s="31"/>
      <c r="D316" s="2"/>
      <c r="E316" s="2"/>
      <c r="F316" s="2"/>
      <c r="G316" s="2"/>
    </row>
    <row r="317" spans="1:7" ht="12.75" x14ac:dyDescent="0.2">
      <c r="A317" s="31"/>
      <c r="B317" s="31"/>
      <c r="C317" s="31"/>
      <c r="D317" s="2"/>
      <c r="E317" s="2"/>
      <c r="F317" s="2"/>
      <c r="G317" s="2"/>
    </row>
    <row r="318" spans="1:7" ht="12.75" x14ac:dyDescent="0.2">
      <c r="A318" s="31"/>
      <c r="B318" s="31"/>
      <c r="C318" s="31"/>
      <c r="D318" s="2"/>
      <c r="E318" s="2"/>
      <c r="F318" s="2"/>
      <c r="G318" s="2"/>
    </row>
    <row r="319" spans="1:7" ht="12.75" x14ac:dyDescent="0.2">
      <c r="A319" s="31"/>
      <c r="B319" s="31"/>
      <c r="C319" s="31"/>
      <c r="D319" s="2"/>
      <c r="E319" s="2"/>
      <c r="F319" s="2"/>
      <c r="G319" s="2"/>
    </row>
    <row r="320" spans="1:7" ht="12.75" x14ac:dyDescent="0.2">
      <c r="A320" s="31"/>
      <c r="B320" s="31"/>
      <c r="C320" s="31"/>
      <c r="D320" s="2"/>
      <c r="E320" s="2"/>
      <c r="F320" s="2"/>
      <c r="G320" s="2"/>
    </row>
    <row r="321" spans="1:7" ht="12.75" x14ac:dyDescent="0.2">
      <c r="A321" s="31"/>
      <c r="B321" s="31"/>
      <c r="C321" s="31"/>
      <c r="D321" s="2"/>
      <c r="E321" s="2"/>
      <c r="F321" s="2"/>
      <c r="G321" s="2"/>
    </row>
    <row r="322" spans="1:7" ht="12.75" x14ac:dyDescent="0.2">
      <c r="A322" s="31"/>
      <c r="B322" s="31"/>
      <c r="C322" s="31"/>
      <c r="D322" s="2"/>
      <c r="E322" s="2"/>
      <c r="F322" s="2"/>
      <c r="G322" s="2"/>
    </row>
    <row r="323" spans="1:7" ht="12.75" x14ac:dyDescent="0.2">
      <c r="A323" s="31"/>
      <c r="B323" s="31"/>
      <c r="C323" s="31"/>
      <c r="D323" s="2"/>
      <c r="E323" s="2"/>
      <c r="F323" s="2"/>
      <c r="G323" s="2"/>
    </row>
    <row r="324" spans="1:7" ht="12.75" x14ac:dyDescent="0.2">
      <c r="A324" s="31"/>
      <c r="B324" s="31"/>
      <c r="C324" s="31"/>
      <c r="D324" s="2"/>
      <c r="E324" s="2"/>
      <c r="F324" s="2"/>
      <c r="G324" s="2"/>
    </row>
    <row r="325" spans="1:7" ht="12.75" x14ac:dyDescent="0.2">
      <c r="A325" s="31"/>
      <c r="B325" s="31"/>
      <c r="C325" s="31"/>
      <c r="D325" s="2"/>
      <c r="E325" s="2"/>
      <c r="F325" s="2"/>
      <c r="G325" s="2"/>
    </row>
    <row r="326" spans="1:7" ht="12.75" x14ac:dyDescent="0.2">
      <c r="A326" s="31"/>
      <c r="B326" s="31"/>
      <c r="C326" s="31"/>
      <c r="D326" s="2"/>
      <c r="E326" s="2"/>
      <c r="F326" s="2"/>
      <c r="G326" s="2"/>
    </row>
    <row r="327" spans="1:7" ht="12.75" x14ac:dyDescent="0.2">
      <c r="A327" s="31"/>
      <c r="B327" s="31"/>
      <c r="C327" s="31"/>
      <c r="D327" s="2"/>
      <c r="E327" s="2"/>
      <c r="F327" s="2"/>
      <c r="G327" s="2"/>
    </row>
    <row r="328" spans="1:7" ht="12.75" x14ac:dyDescent="0.2">
      <c r="A328" s="31"/>
      <c r="B328" s="31"/>
      <c r="C328" s="31"/>
      <c r="D328" s="2"/>
      <c r="E328" s="2"/>
      <c r="F328" s="2"/>
      <c r="G328" s="2"/>
    </row>
    <row r="329" spans="1:7" ht="12.75" x14ac:dyDescent="0.2">
      <c r="A329" s="31"/>
      <c r="B329" s="31"/>
      <c r="C329" s="31"/>
      <c r="D329" s="2"/>
      <c r="E329" s="2"/>
      <c r="F329" s="2"/>
      <c r="G329" s="2"/>
    </row>
    <row r="330" spans="1:7" ht="12.75" x14ac:dyDescent="0.2">
      <c r="A330" s="31"/>
      <c r="B330" s="31"/>
      <c r="C330" s="31"/>
      <c r="D330" s="2"/>
      <c r="E330" s="2"/>
      <c r="F330" s="2"/>
      <c r="G330" s="2"/>
    </row>
    <row r="331" spans="1:7" ht="12.75" x14ac:dyDescent="0.2">
      <c r="A331" s="31"/>
      <c r="B331" s="31"/>
      <c r="C331" s="31"/>
      <c r="D331" s="2"/>
      <c r="E331" s="2"/>
      <c r="F331" s="2"/>
      <c r="G331" s="2"/>
    </row>
    <row r="332" spans="1:7" ht="12.75" x14ac:dyDescent="0.2">
      <c r="A332" s="31"/>
      <c r="B332" s="31"/>
      <c r="C332" s="31"/>
      <c r="D332" s="2"/>
      <c r="E332" s="2"/>
      <c r="F332" s="2"/>
      <c r="G332" s="2"/>
    </row>
    <row r="333" spans="1:7" ht="12.75" x14ac:dyDescent="0.2">
      <c r="A333" s="31"/>
      <c r="B333" s="31"/>
      <c r="C333" s="31"/>
      <c r="D333" s="2"/>
      <c r="E333" s="2"/>
      <c r="F333" s="2"/>
      <c r="G333" s="2"/>
    </row>
    <row r="334" spans="1:7" ht="12.75" x14ac:dyDescent="0.2">
      <c r="A334" s="31"/>
      <c r="B334" s="31"/>
      <c r="C334" s="31"/>
      <c r="D334" s="2"/>
      <c r="E334" s="2"/>
      <c r="F334" s="2"/>
      <c r="G334" s="2"/>
    </row>
    <row r="335" spans="1:7" ht="12.75" x14ac:dyDescent="0.2">
      <c r="A335" s="31"/>
      <c r="B335" s="31"/>
      <c r="C335" s="31"/>
      <c r="D335" s="2"/>
      <c r="E335" s="2"/>
      <c r="F335" s="2"/>
      <c r="G335" s="2"/>
    </row>
    <row r="336" spans="1:7" ht="12.75" x14ac:dyDescent="0.2">
      <c r="A336" s="31"/>
      <c r="B336" s="31"/>
      <c r="C336" s="31"/>
      <c r="D336" s="2"/>
      <c r="E336" s="2"/>
      <c r="F336" s="2"/>
      <c r="G336" s="2"/>
    </row>
    <row r="337" spans="1:7" ht="12.75" x14ac:dyDescent="0.2">
      <c r="A337" s="31"/>
      <c r="B337" s="31"/>
      <c r="C337" s="31"/>
      <c r="D337" s="2"/>
      <c r="E337" s="2"/>
      <c r="F337" s="2"/>
      <c r="G337" s="2"/>
    </row>
    <row r="338" spans="1:7" ht="12.75" x14ac:dyDescent="0.2">
      <c r="A338" s="31"/>
      <c r="B338" s="31"/>
      <c r="C338" s="31"/>
      <c r="D338" s="2"/>
      <c r="E338" s="2"/>
      <c r="F338" s="2"/>
      <c r="G338" s="2"/>
    </row>
    <row r="339" spans="1:7" ht="12.75" x14ac:dyDescent="0.2">
      <c r="A339" s="31"/>
      <c r="B339" s="31"/>
      <c r="C339" s="31"/>
      <c r="D339" s="2"/>
      <c r="E339" s="2"/>
      <c r="F339" s="2"/>
      <c r="G339" s="2"/>
    </row>
    <row r="340" spans="1:7" ht="12.75" x14ac:dyDescent="0.2">
      <c r="A340" s="31"/>
      <c r="B340" s="31"/>
      <c r="C340" s="31"/>
      <c r="D340" s="2"/>
      <c r="E340" s="2"/>
      <c r="F340" s="2"/>
      <c r="G340" s="2"/>
    </row>
    <row r="341" spans="1:7" ht="12.75" x14ac:dyDescent="0.2">
      <c r="A341" s="31"/>
      <c r="B341" s="31"/>
      <c r="C341" s="31"/>
      <c r="D341" s="2"/>
      <c r="E341" s="2"/>
      <c r="F341" s="2"/>
      <c r="G341" s="2"/>
    </row>
    <row r="342" spans="1:7" ht="12.75" x14ac:dyDescent="0.2">
      <c r="A342" s="31"/>
      <c r="B342" s="31"/>
      <c r="C342" s="31"/>
      <c r="D342" s="2"/>
      <c r="E342" s="2"/>
      <c r="F342" s="2"/>
      <c r="G342" s="2"/>
    </row>
    <row r="343" spans="1:7" ht="12.75" x14ac:dyDescent="0.2">
      <c r="A343" s="31"/>
      <c r="B343" s="31"/>
      <c r="C343" s="31"/>
      <c r="D343" s="2"/>
      <c r="E343" s="2"/>
      <c r="F343" s="2"/>
      <c r="G343" s="2"/>
    </row>
    <row r="344" spans="1:7" ht="12.75" x14ac:dyDescent="0.2">
      <c r="A344" s="31"/>
      <c r="B344" s="31"/>
      <c r="C344" s="31"/>
      <c r="D344" s="2"/>
      <c r="E344" s="2"/>
      <c r="F344" s="2"/>
      <c r="G344" s="2"/>
    </row>
    <row r="345" spans="1:7" ht="12.75" x14ac:dyDescent="0.2">
      <c r="A345" s="31"/>
      <c r="B345" s="31"/>
      <c r="C345" s="31"/>
      <c r="D345" s="2"/>
      <c r="E345" s="2"/>
      <c r="F345" s="2"/>
      <c r="G345" s="2"/>
    </row>
    <row r="346" spans="1:7" ht="12.75" x14ac:dyDescent="0.2">
      <c r="A346" s="31"/>
      <c r="B346" s="31"/>
      <c r="C346" s="31"/>
      <c r="D346" s="2"/>
      <c r="E346" s="2"/>
      <c r="F346" s="2"/>
      <c r="G346" s="2"/>
    </row>
    <row r="347" spans="1:7" ht="12.75" x14ac:dyDescent="0.2">
      <c r="A347" s="31"/>
      <c r="B347" s="31"/>
      <c r="C347" s="31"/>
      <c r="D347" s="2"/>
      <c r="E347" s="2"/>
      <c r="F347" s="2"/>
      <c r="G347" s="2"/>
    </row>
    <row r="348" spans="1:7" ht="12.75" x14ac:dyDescent="0.2">
      <c r="A348" s="31"/>
      <c r="B348" s="31"/>
      <c r="C348" s="31"/>
      <c r="D348" s="2"/>
      <c r="E348" s="2"/>
      <c r="F348" s="2"/>
      <c r="G348" s="2"/>
    </row>
    <row r="349" spans="1:7" ht="12.75" x14ac:dyDescent="0.2">
      <c r="A349" s="31"/>
      <c r="B349" s="31"/>
      <c r="C349" s="31"/>
      <c r="D349" s="2"/>
      <c r="E349" s="2"/>
      <c r="F349" s="2"/>
      <c r="G349" s="2"/>
    </row>
    <row r="350" spans="1:7" ht="12.75" x14ac:dyDescent="0.2">
      <c r="A350" s="31"/>
      <c r="B350" s="31"/>
      <c r="C350" s="31"/>
      <c r="D350" s="2"/>
      <c r="E350" s="2"/>
      <c r="F350" s="2"/>
      <c r="G350" s="2"/>
    </row>
    <row r="351" spans="1:7" ht="12.75" x14ac:dyDescent="0.2">
      <c r="A351" s="31"/>
      <c r="B351" s="31"/>
      <c r="C351" s="31"/>
      <c r="D351" s="2"/>
      <c r="E351" s="2"/>
      <c r="F351" s="2"/>
      <c r="G351" s="2"/>
    </row>
    <row r="352" spans="1:7" ht="12.75" x14ac:dyDescent="0.2">
      <c r="A352" s="31"/>
      <c r="B352" s="31"/>
      <c r="C352" s="31"/>
      <c r="D352" s="2"/>
      <c r="E352" s="2"/>
      <c r="F352" s="2"/>
      <c r="G352" s="2"/>
    </row>
    <row r="353" spans="1:7" ht="12.75" x14ac:dyDescent="0.2">
      <c r="A353" s="31"/>
      <c r="B353" s="31"/>
      <c r="C353" s="31"/>
      <c r="D353" s="2"/>
      <c r="E353" s="2"/>
      <c r="F353" s="2"/>
      <c r="G353" s="2"/>
    </row>
    <row r="354" spans="1:7" ht="12.75" x14ac:dyDescent="0.2">
      <c r="A354" s="31"/>
      <c r="B354" s="31"/>
      <c r="C354" s="31"/>
      <c r="D354" s="2"/>
      <c r="E354" s="2"/>
      <c r="F354" s="2"/>
      <c r="G354" s="2"/>
    </row>
    <row r="355" spans="1:7" ht="12.75" x14ac:dyDescent="0.2">
      <c r="A355" s="31"/>
      <c r="B355" s="31"/>
      <c r="C355" s="31"/>
      <c r="D355" s="2"/>
      <c r="E355" s="2"/>
      <c r="F355" s="2"/>
      <c r="G355" s="2"/>
    </row>
    <row r="356" spans="1:7" ht="12.75" x14ac:dyDescent="0.2">
      <c r="A356" s="31"/>
      <c r="B356" s="31"/>
      <c r="C356" s="31"/>
      <c r="D356" s="2"/>
      <c r="E356" s="2"/>
      <c r="F356" s="2"/>
      <c r="G356" s="2"/>
    </row>
    <row r="357" spans="1:7" ht="12.75" x14ac:dyDescent="0.2">
      <c r="A357" s="31"/>
      <c r="B357" s="31"/>
      <c r="C357" s="31"/>
      <c r="D357" s="2"/>
      <c r="E357" s="2"/>
      <c r="F357" s="2"/>
      <c r="G357" s="2"/>
    </row>
    <row r="358" spans="1:7" ht="12.75" x14ac:dyDescent="0.2">
      <c r="A358" s="31"/>
      <c r="B358" s="31"/>
      <c r="C358" s="31"/>
      <c r="D358" s="2"/>
      <c r="E358" s="2"/>
      <c r="F358" s="2"/>
      <c r="G358" s="2"/>
    </row>
    <row r="359" spans="1:7" ht="12.75" x14ac:dyDescent="0.2">
      <c r="A359" s="31"/>
      <c r="B359" s="31"/>
      <c r="C359" s="31"/>
      <c r="D359" s="2"/>
      <c r="E359" s="2"/>
      <c r="F359" s="2"/>
      <c r="G359" s="2"/>
    </row>
    <row r="360" spans="1:7" ht="12.75" x14ac:dyDescent="0.2">
      <c r="A360" s="31"/>
      <c r="B360" s="31"/>
      <c r="C360" s="31"/>
      <c r="D360" s="2"/>
      <c r="E360" s="2"/>
      <c r="F360" s="2"/>
      <c r="G360" s="2"/>
    </row>
    <row r="361" spans="1:7" ht="12.75" x14ac:dyDescent="0.2">
      <c r="A361" s="31"/>
      <c r="B361" s="31"/>
      <c r="C361" s="31"/>
      <c r="D361" s="2"/>
      <c r="E361" s="2"/>
      <c r="F361" s="2"/>
      <c r="G361" s="2"/>
    </row>
    <row r="362" spans="1:7" ht="12.75" x14ac:dyDescent="0.2">
      <c r="A362" s="31"/>
      <c r="B362" s="31"/>
      <c r="C362" s="31"/>
      <c r="D362" s="2"/>
      <c r="E362" s="2"/>
      <c r="F362" s="2"/>
      <c r="G362" s="2"/>
    </row>
    <row r="363" spans="1:7" ht="12.75" x14ac:dyDescent="0.2">
      <c r="A363" s="31"/>
      <c r="B363" s="31"/>
      <c r="C363" s="31"/>
      <c r="D363" s="2"/>
      <c r="E363" s="2"/>
      <c r="F363" s="2"/>
      <c r="G363" s="2"/>
    </row>
    <row r="364" spans="1:7" ht="12.75" x14ac:dyDescent="0.2">
      <c r="A364" s="31"/>
      <c r="B364" s="31"/>
      <c r="C364" s="31"/>
      <c r="D364" s="2"/>
      <c r="E364" s="2"/>
      <c r="F364" s="2"/>
      <c r="G364" s="2"/>
    </row>
    <row r="365" spans="1:7" ht="12.75" x14ac:dyDescent="0.2">
      <c r="A365" s="31"/>
      <c r="B365" s="31"/>
      <c r="C365" s="31"/>
      <c r="D365" s="2"/>
      <c r="E365" s="2"/>
      <c r="F365" s="2"/>
      <c r="G365" s="2"/>
    </row>
    <row r="366" spans="1:7" ht="12.75" x14ac:dyDescent="0.2">
      <c r="A366" s="31"/>
      <c r="B366" s="31"/>
      <c r="C366" s="31"/>
      <c r="D366" s="2"/>
      <c r="E366" s="2"/>
      <c r="F366" s="2"/>
      <c r="G366" s="2"/>
    </row>
    <row r="367" spans="1:7" ht="12.75" x14ac:dyDescent="0.2">
      <c r="A367" s="31"/>
      <c r="B367" s="31"/>
      <c r="C367" s="31"/>
      <c r="D367" s="2"/>
      <c r="E367" s="2"/>
      <c r="F367" s="2"/>
      <c r="G367" s="2"/>
    </row>
    <row r="368" spans="1:7" ht="12.75" x14ac:dyDescent="0.2">
      <c r="A368" s="31"/>
      <c r="B368" s="31"/>
      <c r="C368" s="31"/>
      <c r="D368" s="2"/>
      <c r="E368" s="2"/>
      <c r="F368" s="2"/>
      <c r="G368" s="2"/>
    </row>
    <row r="369" spans="1:7" ht="12.75" x14ac:dyDescent="0.2">
      <c r="A369" s="31"/>
      <c r="B369" s="31"/>
      <c r="C369" s="31"/>
      <c r="D369" s="2"/>
      <c r="E369" s="2"/>
      <c r="F369" s="2"/>
      <c r="G369" s="2"/>
    </row>
    <row r="370" spans="1:7" ht="12.75" x14ac:dyDescent="0.2">
      <c r="A370" s="31"/>
      <c r="B370" s="31"/>
      <c r="C370" s="31"/>
      <c r="D370" s="2"/>
      <c r="E370" s="2"/>
      <c r="F370" s="2"/>
      <c r="G370" s="2"/>
    </row>
    <row r="371" spans="1:7" ht="12.75" x14ac:dyDescent="0.2">
      <c r="A371" s="31"/>
      <c r="B371" s="31"/>
      <c r="C371" s="31"/>
      <c r="D371" s="2"/>
      <c r="E371" s="2"/>
      <c r="F371" s="2"/>
      <c r="G371" s="2"/>
    </row>
    <row r="372" spans="1:7" ht="12.75" x14ac:dyDescent="0.2">
      <c r="A372" s="31"/>
      <c r="B372" s="31"/>
      <c r="C372" s="31"/>
      <c r="D372" s="2"/>
      <c r="E372" s="2"/>
      <c r="F372" s="2"/>
      <c r="G372" s="2"/>
    </row>
    <row r="373" spans="1:7" ht="12.75" x14ac:dyDescent="0.2">
      <c r="A373" s="31"/>
      <c r="B373" s="31"/>
      <c r="C373" s="31"/>
      <c r="D373" s="2"/>
      <c r="E373" s="2"/>
      <c r="F373" s="2"/>
      <c r="G373" s="2"/>
    </row>
    <row r="374" spans="1:7" ht="12.75" x14ac:dyDescent="0.2">
      <c r="A374" s="31"/>
      <c r="B374" s="31"/>
      <c r="C374" s="31"/>
      <c r="D374" s="2"/>
      <c r="E374" s="2"/>
      <c r="F374" s="2"/>
      <c r="G374" s="2"/>
    </row>
    <row r="375" spans="1:7" ht="12.75" x14ac:dyDescent="0.2">
      <c r="A375" s="31"/>
      <c r="B375" s="31"/>
      <c r="C375" s="31"/>
      <c r="D375" s="2"/>
      <c r="E375" s="2"/>
      <c r="F375" s="2"/>
      <c r="G375" s="2"/>
    </row>
    <row r="376" spans="1:7" ht="12.75" x14ac:dyDescent="0.2">
      <c r="A376" s="31"/>
      <c r="B376" s="31"/>
      <c r="C376" s="31"/>
      <c r="D376" s="2"/>
      <c r="E376" s="2"/>
      <c r="F376" s="2"/>
      <c r="G376" s="2"/>
    </row>
    <row r="377" spans="1:7" ht="12.75" x14ac:dyDescent="0.2">
      <c r="A377" s="31"/>
      <c r="B377" s="31"/>
      <c r="C377" s="31"/>
      <c r="D377" s="2"/>
      <c r="E377" s="2"/>
      <c r="F377" s="2"/>
      <c r="G377" s="2"/>
    </row>
    <row r="378" spans="1:7" ht="12.75" x14ac:dyDescent="0.2">
      <c r="A378" s="31"/>
      <c r="B378" s="31"/>
      <c r="C378" s="31"/>
      <c r="D378" s="2"/>
      <c r="E378" s="2"/>
      <c r="F378" s="2"/>
      <c r="G378" s="2"/>
    </row>
    <row r="379" spans="1:7" ht="12.75" x14ac:dyDescent="0.2">
      <c r="A379" s="31"/>
      <c r="B379" s="31"/>
      <c r="C379" s="31"/>
      <c r="D379" s="2"/>
      <c r="E379" s="2"/>
      <c r="F379" s="2"/>
      <c r="G379" s="2"/>
    </row>
    <row r="380" spans="1:7" ht="12.75" x14ac:dyDescent="0.2">
      <c r="A380" s="31"/>
      <c r="B380" s="31"/>
      <c r="C380" s="31"/>
      <c r="D380" s="2"/>
      <c r="E380" s="2"/>
      <c r="F380" s="2"/>
      <c r="G380" s="2"/>
    </row>
    <row r="381" spans="1:7" ht="12.75" x14ac:dyDescent="0.2">
      <c r="A381" s="31"/>
      <c r="B381" s="31"/>
      <c r="C381" s="31"/>
      <c r="D381" s="2"/>
      <c r="E381" s="2"/>
      <c r="F381" s="2"/>
      <c r="G381" s="2"/>
    </row>
    <row r="382" spans="1:7" ht="12.75" x14ac:dyDescent="0.2">
      <c r="A382" s="31"/>
      <c r="B382" s="31"/>
      <c r="C382" s="31"/>
      <c r="D382" s="2"/>
      <c r="E382" s="2"/>
      <c r="F382" s="2"/>
      <c r="G382" s="2"/>
    </row>
    <row r="383" spans="1:7" ht="12.75" x14ac:dyDescent="0.2">
      <c r="A383" s="31"/>
      <c r="B383" s="31"/>
      <c r="C383" s="31"/>
      <c r="D383" s="2"/>
      <c r="E383" s="2"/>
      <c r="F383" s="2"/>
      <c r="G383" s="2"/>
    </row>
    <row r="384" spans="1:7" ht="12.75" x14ac:dyDescent="0.2">
      <c r="A384" s="31"/>
      <c r="B384" s="31"/>
      <c r="C384" s="31"/>
      <c r="D384" s="2"/>
      <c r="E384" s="2"/>
      <c r="F384" s="2"/>
      <c r="G384" s="2"/>
    </row>
    <row r="385" spans="1:7" ht="12.75" x14ac:dyDescent="0.2">
      <c r="A385" s="31"/>
      <c r="B385" s="31"/>
      <c r="C385" s="31"/>
      <c r="D385" s="2"/>
      <c r="E385" s="2"/>
      <c r="F385" s="2"/>
      <c r="G385" s="2"/>
    </row>
    <row r="386" spans="1:7" ht="12.75" x14ac:dyDescent="0.2">
      <c r="A386" s="31"/>
      <c r="B386" s="31"/>
      <c r="C386" s="31"/>
      <c r="D386" s="2"/>
      <c r="E386" s="2"/>
      <c r="F386" s="2"/>
      <c r="G386" s="2"/>
    </row>
    <row r="387" spans="1:7" ht="12.75" x14ac:dyDescent="0.2">
      <c r="A387" s="31"/>
      <c r="B387" s="31"/>
      <c r="C387" s="31"/>
      <c r="D387" s="2"/>
      <c r="E387" s="2"/>
      <c r="F387" s="2"/>
      <c r="G387" s="2"/>
    </row>
    <row r="388" spans="1:7" ht="12.75" x14ac:dyDescent="0.2">
      <c r="A388" s="31"/>
      <c r="B388" s="31"/>
      <c r="C388" s="31"/>
      <c r="D388" s="2"/>
      <c r="E388" s="2"/>
      <c r="F388" s="2"/>
      <c r="G388" s="2"/>
    </row>
    <row r="389" spans="1:7" ht="12.75" x14ac:dyDescent="0.2">
      <c r="A389" s="31"/>
      <c r="B389" s="31"/>
      <c r="C389" s="31"/>
      <c r="D389" s="2"/>
      <c r="E389" s="2"/>
      <c r="F389" s="2"/>
      <c r="G389" s="2"/>
    </row>
    <row r="390" spans="1:7" ht="12.75" x14ac:dyDescent="0.2">
      <c r="A390" s="31"/>
      <c r="B390" s="31"/>
      <c r="C390" s="31"/>
      <c r="D390" s="2"/>
      <c r="E390" s="2"/>
      <c r="F390" s="2"/>
      <c r="G390" s="2"/>
    </row>
    <row r="391" spans="1:7" ht="12.75" x14ac:dyDescent="0.2">
      <c r="A391" s="31"/>
      <c r="B391" s="31"/>
      <c r="C391" s="31"/>
      <c r="D391" s="2"/>
      <c r="E391" s="2"/>
      <c r="F391" s="2"/>
      <c r="G391" s="2"/>
    </row>
    <row r="392" spans="1:7" ht="12.75" x14ac:dyDescent="0.2">
      <c r="A392" s="31"/>
      <c r="B392" s="31"/>
      <c r="C392" s="31"/>
      <c r="D392" s="2"/>
      <c r="E392" s="2"/>
      <c r="F392" s="2"/>
      <c r="G392" s="2"/>
    </row>
    <row r="393" spans="1:7" ht="12.75" x14ac:dyDescent="0.2">
      <c r="A393" s="31"/>
      <c r="B393" s="31"/>
      <c r="C393" s="31"/>
      <c r="D393" s="2"/>
      <c r="E393" s="2"/>
      <c r="F393" s="2"/>
      <c r="G393" s="2"/>
    </row>
    <row r="394" spans="1:7" ht="12.75" x14ac:dyDescent="0.2">
      <c r="A394" s="31"/>
      <c r="B394" s="31"/>
      <c r="C394" s="31"/>
      <c r="D394" s="2"/>
      <c r="E394" s="2"/>
      <c r="F394" s="2"/>
      <c r="G394" s="2"/>
    </row>
    <row r="395" spans="1:7" ht="12.75" x14ac:dyDescent="0.2">
      <c r="A395" s="31"/>
      <c r="B395" s="31"/>
      <c r="C395" s="31"/>
      <c r="D395" s="2"/>
      <c r="E395" s="2"/>
      <c r="F395" s="2"/>
      <c r="G395" s="2"/>
    </row>
    <row r="396" spans="1:7" ht="12.75" x14ac:dyDescent="0.2">
      <c r="A396" s="31"/>
      <c r="B396" s="31"/>
      <c r="C396" s="31"/>
      <c r="D396" s="2"/>
      <c r="E396" s="2"/>
      <c r="F396" s="2"/>
      <c r="G396" s="2"/>
    </row>
    <row r="397" spans="1:7" ht="12.75" x14ac:dyDescent="0.2">
      <c r="A397" s="31"/>
      <c r="B397" s="31"/>
      <c r="C397" s="31"/>
      <c r="D397" s="2"/>
      <c r="E397" s="2"/>
      <c r="F397" s="2"/>
      <c r="G397" s="2"/>
    </row>
    <row r="398" spans="1:7" ht="12.75" x14ac:dyDescent="0.2">
      <c r="A398" s="31"/>
      <c r="B398" s="31"/>
      <c r="C398" s="31"/>
      <c r="D398" s="2"/>
      <c r="E398" s="2"/>
      <c r="F398" s="2"/>
      <c r="G398" s="2"/>
    </row>
    <row r="399" spans="1:7" ht="12.75" x14ac:dyDescent="0.2">
      <c r="A399" s="31"/>
      <c r="B399" s="31"/>
      <c r="C399" s="31"/>
      <c r="D399" s="2"/>
      <c r="E399" s="2"/>
      <c r="F399" s="2"/>
      <c r="G399" s="2"/>
    </row>
    <row r="400" spans="1:7" ht="12.75" x14ac:dyDescent="0.2">
      <c r="A400" s="31"/>
      <c r="B400" s="31"/>
      <c r="C400" s="31"/>
      <c r="D400" s="2"/>
      <c r="E400" s="2"/>
      <c r="F400" s="2"/>
      <c r="G400" s="2"/>
    </row>
    <row r="401" spans="1:7" ht="12.75" x14ac:dyDescent="0.2">
      <c r="A401" s="31"/>
      <c r="B401" s="31"/>
      <c r="C401" s="31"/>
      <c r="D401" s="2"/>
      <c r="E401" s="2"/>
      <c r="F401" s="2"/>
      <c r="G401" s="2"/>
    </row>
    <row r="402" spans="1:7" ht="12.75" x14ac:dyDescent="0.2">
      <c r="A402" s="31"/>
      <c r="B402" s="31"/>
      <c r="C402" s="31"/>
      <c r="D402" s="2"/>
      <c r="E402" s="2"/>
      <c r="F402" s="2"/>
      <c r="G402" s="2"/>
    </row>
    <row r="403" spans="1:7" ht="12.75" x14ac:dyDescent="0.2">
      <c r="A403" s="31"/>
      <c r="B403" s="31"/>
      <c r="C403" s="31"/>
      <c r="D403" s="2"/>
      <c r="E403" s="2"/>
      <c r="F403" s="2"/>
      <c r="G403" s="2"/>
    </row>
    <row r="404" spans="1:7" ht="12.75" x14ac:dyDescent="0.2">
      <c r="A404" s="31"/>
      <c r="B404" s="31"/>
      <c r="C404" s="31"/>
      <c r="D404" s="2"/>
      <c r="E404" s="2"/>
      <c r="F404" s="2"/>
      <c r="G404" s="2"/>
    </row>
    <row r="405" spans="1:7" ht="12.75" x14ac:dyDescent="0.2">
      <c r="A405" s="31"/>
      <c r="B405" s="31"/>
      <c r="C405" s="31"/>
      <c r="D405" s="2"/>
      <c r="E405" s="2"/>
      <c r="F405" s="2"/>
      <c r="G405" s="2"/>
    </row>
    <row r="406" spans="1:7" ht="12.75" x14ac:dyDescent="0.2">
      <c r="A406" s="31"/>
      <c r="B406" s="31"/>
      <c r="C406" s="31"/>
      <c r="D406" s="2"/>
      <c r="E406" s="2"/>
      <c r="F406" s="2"/>
      <c r="G406" s="2"/>
    </row>
    <row r="407" spans="1:7" ht="12.75" x14ac:dyDescent="0.2">
      <c r="A407" s="31"/>
      <c r="B407" s="31"/>
      <c r="C407" s="31"/>
      <c r="D407" s="2"/>
      <c r="E407" s="2"/>
      <c r="F407" s="2"/>
      <c r="G407" s="2"/>
    </row>
    <row r="408" spans="1:7" ht="12.75" x14ac:dyDescent="0.2">
      <c r="A408" s="31"/>
      <c r="B408" s="31"/>
      <c r="C408" s="31"/>
      <c r="D408" s="2"/>
      <c r="E408" s="2"/>
      <c r="F408" s="2"/>
      <c r="G408" s="2"/>
    </row>
    <row r="409" spans="1:7" ht="12.75" x14ac:dyDescent="0.2">
      <c r="A409" s="31"/>
      <c r="B409" s="31"/>
      <c r="C409" s="31"/>
      <c r="D409" s="2"/>
      <c r="E409" s="2"/>
      <c r="F409" s="2"/>
      <c r="G409" s="2"/>
    </row>
    <row r="410" spans="1:7" ht="12.75" x14ac:dyDescent="0.2">
      <c r="A410" s="31"/>
      <c r="B410" s="31"/>
      <c r="C410" s="31"/>
      <c r="D410" s="2"/>
      <c r="E410" s="2"/>
      <c r="F410" s="2"/>
      <c r="G410" s="2"/>
    </row>
    <row r="411" spans="1:7" ht="12.75" x14ac:dyDescent="0.2">
      <c r="A411" s="31"/>
      <c r="B411" s="31"/>
      <c r="C411" s="31"/>
      <c r="D411" s="2"/>
      <c r="E411" s="2"/>
      <c r="F411" s="2"/>
      <c r="G411" s="2"/>
    </row>
    <row r="412" spans="1:7" ht="12.75" x14ac:dyDescent="0.2">
      <c r="A412" s="31"/>
      <c r="B412" s="31"/>
      <c r="C412" s="31"/>
      <c r="D412" s="2"/>
      <c r="E412" s="2"/>
      <c r="F412" s="2"/>
      <c r="G412" s="2"/>
    </row>
    <row r="413" spans="1:7" ht="12.75" x14ac:dyDescent="0.2">
      <c r="A413" s="31"/>
      <c r="B413" s="31"/>
      <c r="C413" s="31"/>
      <c r="D413" s="2"/>
      <c r="E413" s="2"/>
      <c r="F413" s="2"/>
      <c r="G413" s="2"/>
    </row>
    <row r="414" spans="1:7" ht="12.75" x14ac:dyDescent="0.2">
      <c r="A414" s="31"/>
      <c r="B414" s="31"/>
      <c r="C414" s="31"/>
      <c r="D414" s="2"/>
      <c r="E414" s="2"/>
      <c r="F414" s="2"/>
      <c r="G414" s="2"/>
    </row>
    <row r="415" spans="1:7" ht="12.75" x14ac:dyDescent="0.2">
      <c r="A415" s="31"/>
      <c r="B415" s="31"/>
      <c r="C415" s="31"/>
      <c r="D415" s="2"/>
      <c r="E415" s="2"/>
      <c r="F415" s="2"/>
      <c r="G415" s="2"/>
    </row>
    <row r="416" spans="1:7" ht="12.75" x14ac:dyDescent="0.2">
      <c r="A416" s="31"/>
      <c r="B416" s="31"/>
      <c r="C416" s="31"/>
      <c r="D416" s="2"/>
      <c r="E416" s="2"/>
      <c r="F416" s="2"/>
      <c r="G416" s="2"/>
    </row>
    <row r="417" spans="1:7" ht="12.75" x14ac:dyDescent="0.2">
      <c r="A417" s="31"/>
      <c r="B417" s="31"/>
      <c r="C417" s="31"/>
      <c r="D417" s="2"/>
      <c r="E417" s="2"/>
      <c r="F417" s="2"/>
      <c r="G417" s="2"/>
    </row>
    <row r="418" spans="1:7" ht="12.75" x14ac:dyDescent="0.2">
      <c r="A418" s="31"/>
      <c r="B418" s="31"/>
      <c r="C418" s="31"/>
      <c r="D418" s="2"/>
      <c r="E418" s="2"/>
      <c r="F418" s="2"/>
      <c r="G418" s="2"/>
    </row>
    <row r="419" spans="1:7" ht="12.75" x14ac:dyDescent="0.2">
      <c r="A419" s="31"/>
      <c r="B419" s="31"/>
      <c r="C419" s="31"/>
      <c r="D419" s="2"/>
      <c r="E419" s="2"/>
      <c r="F419" s="2"/>
      <c r="G419" s="2"/>
    </row>
    <row r="420" spans="1:7" ht="12.75" x14ac:dyDescent="0.2">
      <c r="A420" s="31"/>
      <c r="B420" s="31"/>
      <c r="C420" s="31"/>
      <c r="D420" s="2"/>
      <c r="E420" s="2"/>
      <c r="F420" s="2"/>
      <c r="G420" s="2"/>
    </row>
    <row r="421" spans="1:7" ht="12.75" x14ac:dyDescent="0.2">
      <c r="A421" s="31"/>
      <c r="B421" s="31"/>
      <c r="C421" s="31"/>
      <c r="D421" s="2"/>
      <c r="E421" s="2"/>
      <c r="F421" s="2"/>
      <c r="G421" s="2"/>
    </row>
    <row r="422" spans="1:7" ht="12.75" x14ac:dyDescent="0.2">
      <c r="A422" s="31"/>
      <c r="B422" s="31"/>
      <c r="C422" s="31"/>
      <c r="D422" s="2"/>
      <c r="E422" s="2"/>
      <c r="F422" s="2"/>
      <c r="G422" s="2"/>
    </row>
    <row r="423" spans="1:7" ht="12.75" x14ac:dyDescent="0.2">
      <c r="A423" s="31"/>
      <c r="B423" s="31"/>
      <c r="C423" s="31"/>
      <c r="D423" s="2"/>
      <c r="E423" s="2"/>
      <c r="F423" s="2"/>
      <c r="G423" s="2"/>
    </row>
    <row r="424" spans="1:7" ht="12.75" x14ac:dyDescent="0.2">
      <c r="A424" s="31"/>
      <c r="B424" s="31"/>
      <c r="C424" s="31"/>
      <c r="D424" s="2"/>
      <c r="E424" s="2"/>
      <c r="F424" s="2"/>
      <c r="G424" s="2"/>
    </row>
    <row r="425" spans="1:7" ht="12.75" x14ac:dyDescent="0.2">
      <c r="A425" s="31"/>
      <c r="B425" s="31"/>
      <c r="C425" s="31"/>
      <c r="D425" s="2"/>
      <c r="E425" s="2"/>
      <c r="F425" s="2"/>
      <c r="G425" s="2"/>
    </row>
    <row r="426" spans="1:7" ht="12.75" x14ac:dyDescent="0.2">
      <c r="A426" s="31"/>
      <c r="B426" s="31"/>
      <c r="C426" s="31"/>
      <c r="D426" s="2"/>
      <c r="E426" s="2"/>
      <c r="F426" s="2"/>
      <c r="G426" s="2"/>
    </row>
    <row r="427" spans="1:7" ht="12.75" x14ac:dyDescent="0.2">
      <c r="A427" s="31"/>
      <c r="B427" s="31"/>
      <c r="C427" s="31"/>
      <c r="D427" s="2"/>
      <c r="E427" s="2"/>
      <c r="F427" s="2"/>
      <c r="G427" s="2"/>
    </row>
    <row r="428" spans="1:7" ht="12.75" x14ac:dyDescent="0.2">
      <c r="A428" s="31"/>
      <c r="B428" s="31"/>
      <c r="C428" s="31"/>
      <c r="D428" s="2"/>
      <c r="E428" s="2"/>
      <c r="F428" s="2"/>
      <c r="G428" s="2"/>
    </row>
    <row r="429" spans="1:7" ht="12.75" x14ac:dyDescent="0.2">
      <c r="A429" s="31"/>
      <c r="B429" s="31"/>
      <c r="C429" s="31"/>
      <c r="D429" s="2"/>
      <c r="E429" s="2"/>
      <c r="F429" s="2"/>
      <c r="G429" s="2"/>
    </row>
    <row r="430" spans="1:7" ht="12.75" x14ac:dyDescent="0.2">
      <c r="A430" s="31"/>
      <c r="B430" s="31"/>
      <c r="C430" s="31"/>
      <c r="D430" s="2"/>
      <c r="E430" s="2"/>
      <c r="F430" s="2"/>
      <c r="G430" s="2"/>
    </row>
    <row r="431" spans="1:7" ht="12.75" x14ac:dyDescent="0.2">
      <c r="A431" s="31"/>
      <c r="B431" s="31"/>
      <c r="C431" s="31"/>
      <c r="D431" s="2"/>
      <c r="E431" s="2"/>
      <c r="F431" s="2"/>
      <c r="G431" s="2"/>
    </row>
    <row r="432" spans="1:7" ht="12.75" x14ac:dyDescent="0.2">
      <c r="A432" s="31"/>
      <c r="B432" s="31"/>
      <c r="C432" s="31"/>
      <c r="D432" s="2"/>
      <c r="E432" s="2"/>
      <c r="F432" s="2"/>
      <c r="G432" s="2"/>
    </row>
    <row r="433" spans="1:7" ht="12.75" x14ac:dyDescent="0.2">
      <c r="A433" s="31"/>
      <c r="B433" s="31"/>
      <c r="C433" s="31"/>
      <c r="D433" s="2"/>
      <c r="E433" s="2"/>
      <c r="F433" s="2"/>
      <c r="G433" s="2"/>
    </row>
    <row r="434" spans="1:7" ht="12.75" x14ac:dyDescent="0.2">
      <c r="A434" s="31"/>
      <c r="B434" s="31"/>
      <c r="C434" s="31"/>
      <c r="D434" s="2"/>
      <c r="E434" s="2"/>
      <c r="F434" s="2"/>
      <c r="G434" s="2"/>
    </row>
    <row r="435" spans="1:7" ht="12.75" x14ac:dyDescent="0.2">
      <c r="A435" s="31"/>
      <c r="B435" s="31"/>
      <c r="C435" s="31"/>
      <c r="D435" s="2"/>
      <c r="E435" s="2"/>
      <c r="F435" s="2"/>
      <c r="G435" s="2"/>
    </row>
    <row r="436" spans="1:7" ht="12.75" x14ac:dyDescent="0.2">
      <c r="A436" s="31"/>
      <c r="B436" s="31"/>
      <c r="C436" s="31"/>
      <c r="D436" s="2"/>
      <c r="E436" s="2"/>
      <c r="F436" s="2"/>
      <c r="G436" s="2"/>
    </row>
    <row r="437" spans="1:7" ht="12.75" x14ac:dyDescent="0.2">
      <c r="A437" s="31"/>
      <c r="B437" s="31"/>
      <c r="C437" s="31"/>
      <c r="D437" s="2"/>
      <c r="E437" s="2"/>
      <c r="F437" s="2"/>
      <c r="G437" s="2"/>
    </row>
    <row r="438" spans="1:7" ht="12.75" x14ac:dyDescent="0.2">
      <c r="A438" s="31"/>
      <c r="B438" s="31"/>
      <c r="C438" s="31"/>
      <c r="D438" s="2"/>
      <c r="E438" s="2"/>
      <c r="F438" s="2"/>
      <c r="G438" s="2"/>
    </row>
    <row r="439" spans="1:7" ht="12.75" x14ac:dyDescent="0.2">
      <c r="A439" s="31"/>
      <c r="B439" s="31"/>
      <c r="C439" s="31"/>
      <c r="D439" s="2"/>
      <c r="E439" s="2"/>
      <c r="F439" s="2"/>
      <c r="G439" s="2"/>
    </row>
    <row r="440" spans="1:7" ht="12.75" x14ac:dyDescent="0.2">
      <c r="A440" s="31"/>
      <c r="B440" s="31"/>
      <c r="C440" s="31"/>
      <c r="D440" s="2"/>
      <c r="E440" s="2"/>
      <c r="F440" s="2"/>
      <c r="G440" s="2"/>
    </row>
    <row r="441" spans="1:7" ht="12.75" x14ac:dyDescent="0.2">
      <c r="A441" s="31"/>
      <c r="B441" s="31"/>
      <c r="C441" s="31"/>
      <c r="D441" s="2"/>
      <c r="E441" s="2"/>
      <c r="F441" s="2"/>
      <c r="G441" s="2"/>
    </row>
    <row r="442" spans="1:7" ht="12.75" x14ac:dyDescent="0.2">
      <c r="A442" s="31"/>
      <c r="B442" s="31"/>
      <c r="C442" s="31"/>
      <c r="D442" s="2"/>
      <c r="E442" s="2"/>
      <c r="F442" s="2"/>
      <c r="G442" s="2"/>
    </row>
    <row r="443" spans="1:7" ht="12.75" x14ac:dyDescent="0.2">
      <c r="A443" s="31"/>
      <c r="B443" s="31"/>
      <c r="C443" s="31"/>
      <c r="D443" s="2"/>
      <c r="E443" s="2"/>
      <c r="F443" s="2"/>
      <c r="G443" s="2"/>
    </row>
    <row r="444" spans="1:7" ht="12.75" x14ac:dyDescent="0.2">
      <c r="A444" s="31"/>
      <c r="B444" s="31"/>
      <c r="C444" s="31"/>
      <c r="D444" s="2"/>
      <c r="E444" s="2"/>
      <c r="F444" s="2"/>
      <c r="G444" s="2"/>
    </row>
    <row r="445" spans="1:7" ht="12.75" x14ac:dyDescent="0.2">
      <c r="A445" s="31"/>
      <c r="B445" s="31"/>
      <c r="C445" s="31"/>
      <c r="D445" s="2"/>
      <c r="E445" s="2"/>
      <c r="F445" s="2"/>
      <c r="G445" s="2"/>
    </row>
    <row r="446" spans="1:7" ht="12.75" x14ac:dyDescent="0.2">
      <c r="A446" s="31"/>
      <c r="B446" s="31"/>
      <c r="C446" s="31"/>
      <c r="D446" s="2"/>
      <c r="E446" s="2"/>
      <c r="F446" s="2"/>
      <c r="G446" s="2"/>
    </row>
    <row r="447" spans="1:7" ht="12.75" x14ac:dyDescent="0.2">
      <c r="A447" s="31"/>
      <c r="B447" s="31"/>
      <c r="C447" s="31"/>
      <c r="D447" s="2"/>
      <c r="E447" s="2"/>
      <c r="F447" s="2"/>
      <c r="G447" s="2"/>
    </row>
    <row r="448" spans="1:7" ht="12.75" x14ac:dyDescent="0.2">
      <c r="A448" s="31"/>
      <c r="B448" s="31"/>
      <c r="C448" s="31"/>
      <c r="D448" s="2"/>
      <c r="E448" s="2"/>
      <c r="F448" s="2"/>
      <c r="G448" s="2"/>
    </row>
    <row r="449" spans="1:7" ht="12.75" x14ac:dyDescent="0.2">
      <c r="A449" s="31"/>
      <c r="B449" s="31"/>
      <c r="C449" s="31"/>
      <c r="D449" s="2"/>
      <c r="E449" s="2"/>
      <c r="F449" s="2"/>
      <c r="G449" s="2"/>
    </row>
    <row r="450" spans="1:7" ht="12.75" x14ac:dyDescent="0.2">
      <c r="A450" s="31"/>
      <c r="B450" s="31"/>
      <c r="C450" s="31"/>
      <c r="D450" s="2"/>
      <c r="E450" s="2"/>
      <c r="F450" s="2"/>
      <c r="G450" s="2"/>
    </row>
    <row r="451" spans="1:7" ht="12.75" x14ac:dyDescent="0.2">
      <c r="A451" s="31"/>
      <c r="B451" s="31"/>
      <c r="C451" s="31"/>
      <c r="D451" s="2"/>
      <c r="E451" s="2"/>
      <c r="F451" s="2"/>
      <c r="G451" s="2"/>
    </row>
    <row r="452" spans="1:7" ht="12.75" x14ac:dyDescent="0.2">
      <c r="A452" s="31"/>
      <c r="B452" s="31"/>
      <c r="C452" s="31"/>
      <c r="D452" s="2"/>
      <c r="E452" s="2"/>
      <c r="F452" s="2"/>
      <c r="G452" s="2"/>
    </row>
    <row r="453" spans="1:7" ht="12.75" x14ac:dyDescent="0.2">
      <c r="A453" s="31"/>
      <c r="B453" s="31"/>
      <c r="C453" s="31"/>
      <c r="D453" s="2"/>
      <c r="E453" s="2"/>
      <c r="F453" s="2"/>
      <c r="G453" s="2"/>
    </row>
    <row r="454" spans="1:7" ht="12.75" x14ac:dyDescent="0.2">
      <c r="A454" s="31"/>
      <c r="B454" s="31"/>
      <c r="C454" s="31"/>
      <c r="D454" s="2"/>
      <c r="E454" s="2"/>
      <c r="F454" s="2"/>
      <c r="G454" s="2"/>
    </row>
    <row r="455" spans="1:7" ht="12.75" x14ac:dyDescent="0.2">
      <c r="A455" s="31"/>
      <c r="B455" s="31"/>
      <c r="C455" s="31"/>
      <c r="D455" s="2"/>
      <c r="E455" s="2"/>
      <c r="F455" s="2"/>
      <c r="G455" s="2"/>
    </row>
    <row r="456" spans="1:7" ht="12.75" x14ac:dyDescent="0.2">
      <c r="A456" s="31"/>
      <c r="B456" s="31"/>
      <c r="C456" s="31"/>
      <c r="D456" s="2"/>
      <c r="E456" s="2"/>
      <c r="F456" s="2"/>
      <c r="G456" s="2"/>
    </row>
    <row r="457" spans="1:7" ht="12.75" x14ac:dyDescent="0.2">
      <c r="A457" s="31"/>
      <c r="B457" s="31"/>
      <c r="C457" s="31"/>
      <c r="D457" s="2"/>
      <c r="E457" s="2"/>
      <c r="F457" s="2"/>
      <c r="G457" s="2"/>
    </row>
    <row r="458" spans="1:7" ht="12.75" x14ac:dyDescent="0.2">
      <c r="A458" s="31"/>
      <c r="B458" s="31"/>
      <c r="C458" s="31"/>
      <c r="D458" s="2"/>
      <c r="E458" s="2"/>
      <c r="F458" s="2"/>
      <c r="G458" s="2"/>
    </row>
    <row r="459" spans="1:7" ht="12.75" x14ac:dyDescent="0.2">
      <c r="A459" s="31"/>
      <c r="B459" s="31"/>
      <c r="C459" s="31"/>
      <c r="D459" s="2"/>
      <c r="E459" s="2"/>
      <c r="F459" s="2"/>
      <c r="G459" s="2"/>
    </row>
    <row r="460" spans="1:7" ht="12.75" x14ac:dyDescent="0.2">
      <c r="A460" s="31"/>
      <c r="B460" s="31"/>
      <c r="C460" s="31"/>
      <c r="D460" s="2"/>
      <c r="E460" s="2"/>
      <c r="F460" s="2"/>
      <c r="G460" s="2"/>
    </row>
    <row r="461" spans="1:7" ht="12.75" x14ac:dyDescent="0.2">
      <c r="A461" s="31"/>
      <c r="B461" s="31"/>
      <c r="C461" s="31"/>
      <c r="D461" s="2"/>
      <c r="E461" s="2"/>
      <c r="F461" s="2"/>
      <c r="G461" s="2"/>
    </row>
    <row r="462" spans="1:7" ht="12.75" x14ac:dyDescent="0.2">
      <c r="A462" s="31"/>
      <c r="B462" s="31"/>
      <c r="C462" s="31"/>
      <c r="D462" s="2"/>
      <c r="E462" s="2"/>
      <c r="F462" s="2"/>
      <c r="G462" s="2"/>
    </row>
    <row r="463" spans="1:7" ht="12.75" x14ac:dyDescent="0.2">
      <c r="A463" s="31"/>
      <c r="B463" s="31"/>
      <c r="C463" s="31"/>
      <c r="D463" s="2"/>
      <c r="E463" s="2"/>
      <c r="F463" s="2"/>
      <c r="G463" s="2"/>
    </row>
    <row r="464" spans="1:7" ht="12.75" x14ac:dyDescent="0.2">
      <c r="A464" s="31"/>
      <c r="B464" s="31"/>
      <c r="C464" s="31"/>
      <c r="D464" s="2"/>
      <c r="E464" s="2"/>
      <c r="F464" s="2"/>
      <c r="G464" s="2"/>
    </row>
    <row r="465" spans="1:7" ht="12.75" x14ac:dyDescent="0.2">
      <c r="A465" s="31"/>
      <c r="B465" s="31"/>
      <c r="C465" s="31"/>
      <c r="D465" s="2"/>
      <c r="E465" s="2"/>
      <c r="F465" s="2"/>
      <c r="G465" s="2"/>
    </row>
    <row r="466" spans="1:7" ht="12.75" x14ac:dyDescent="0.2">
      <c r="A466" s="31"/>
      <c r="B466" s="31"/>
      <c r="C466" s="31"/>
      <c r="D466" s="2"/>
      <c r="E466" s="2"/>
      <c r="F466" s="2"/>
      <c r="G466" s="2"/>
    </row>
    <row r="467" spans="1:7" ht="12.75" x14ac:dyDescent="0.2">
      <c r="A467" s="31"/>
      <c r="B467" s="31"/>
      <c r="C467" s="31"/>
      <c r="D467" s="2"/>
      <c r="E467" s="2"/>
      <c r="F467" s="2"/>
      <c r="G467" s="2"/>
    </row>
    <row r="468" spans="1:7" ht="12.75" x14ac:dyDescent="0.2">
      <c r="A468" s="31"/>
      <c r="B468" s="31"/>
      <c r="C468" s="31"/>
      <c r="D468" s="2"/>
      <c r="E468" s="2"/>
      <c r="F468" s="2"/>
      <c r="G468" s="2"/>
    </row>
    <row r="469" spans="1:7" ht="12.75" x14ac:dyDescent="0.2">
      <c r="A469" s="31"/>
      <c r="B469" s="31"/>
      <c r="C469" s="31"/>
      <c r="D469" s="2"/>
      <c r="E469" s="2"/>
      <c r="F469" s="2"/>
      <c r="G469" s="2"/>
    </row>
    <row r="470" spans="1:7" ht="12.75" x14ac:dyDescent="0.2">
      <c r="A470" s="31"/>
      <c r="B470" s="31"/>
      <c r="C470" s="31"/>
      <c r="D470" s="2"/>
      <c r="E470" s="2"/>
      <c r="F470" s="2"/>
      <c r="G470" s="2"/>
    </row>
    <row r="471" spans="1:7" ht="12.75" x14ac:dyDescent="0.2">
      <c r="A471" s="31"/>
      <c r="B471" s="31"/>
      <c r="C471" s="31"/>
      <c r="D471" s="2"/>
      <c r="E471" s="2"/>
      <c r="F471" s="2"/>
      <c r="G471" s="2"/>
    </row>
    <row r="472" spans="1:7" ht="12.75" x14ac:dyDescent="0.2">
      <c r="A472" s="31"/>
      <c r="B472" s="31"/>
      <c r="C472" s="31"/>
      <c r="D472" s="2"/>
      <c r="E472" s="2"/>
      <c r="F472" s="2"/>
      <c r="G472" s="2"/>
    </row>
    <row r="473" spans="1:7" ht="12.75" x14ac:dyDescent="0.2">
      <c r="A473" s="31"/>
      <c r="B473" s="31"/>
      <c r="C473" s="31"/>
      <c r="D473" s="2"/>
      <c r="E473" s="2"/>
      <c r="F473" s="2"/>
      <c r="G473" s="2"/>
    </row>
    <row r="474" spans="1:7" ht="12.75" x14ac:dyDescent="0.2">
      <c r="A474" s="31"/>
      <c r="B474" s="31"/>
      <c r="C474" s="31"/>
      <c r="D474" s="2"/>
      <c r="E474" s="2"/>
      <c r="F474" s="2"/>
      <c r="G474" s="2"/>
    </row>
    <row r="475" spans="1:7" ht="12.75" x14ac:dyDescent="0.2">
      <c r="A475" s="31"/>
      <c r="B475" s="31"/>
      <c r="C475" s="31"/>
      <c r="D475" s="2"/>
      <c r="E475" s="2"/>
      <c r="F475" s="2"/>
      <c r="G475" s="2"/>
    </row>
    <row r="476" spans="1:7" ht="12.75" x14ac:dyDescent="0.2">
      <c r="A476" s="31"/>
      <c r="B476" s="31"/>
      <c r="C476" s="31"/>
      <c r="D476" s="2"/>
      <c r="E476" s="2"/>
      <c r="F476" s="2"/>
      <c r="G476" s="2"/>
    </row>
    <row r="477" spans="1:7" ht="12.75" x14ac:dyDescent="0.2">
      <c r="A477" s="31"/>
      <c r="B477" s="31"/>
      <c r="C477" s="31"/>
      <c r="D477" s="2"/>
      <c r="E477" s="2"/>
      <c r="F477" s="2"/>
      <c r="G477" s="2"/>
    </row>
    <row r="478" spans="1:7" ht="12.75" x14ac:dyDescent="0.2">
      <c r="A478" s="31"/>
      <c r="B478" s="31"/>
      <c r="C478" s="31"/>
      <c r="D478" s="2"/>
      <c r="E478" s="2"/>
      <c r="F478" s="2"/>
      <c r="G478" s="2"/>
    </row>
    <row r="479" spans="1:7" ht="12.75" x14ac:dyDescent="0.2">
      <c r="A479" s="31"/>
      <c r="B479" s="31"/>
      <c r="C479" s="31"/>
      <c r="D479" s="2"/>
      <c r="E479" s="2"/>
      <c r="F479" s="2"/>
      <c r="G479" s="2"/>
    </row>
    <row r="480" spans="1:7" ht="12.75" x14ac:dyDescent="0.2">
      <c r="A480" s="31"/>
      <c r="B480" s="31"/>
      <c r="C480" s="31"/>
      <c r="D480" s="2"/>
      <c r="E480" s="2"/>
      <c r="F480" s="2"/>
      <c r="G480" s="2"/>
    </row>
    <row r="481" spans="1:7" ht="12.75" x14ac:dyDescent="0.2">
      <c r="A481" s="31"/>
      <c r="B481" s="31"/>
      <c r="C481" s="31"/>
      <c r="D481" s="2"/>
      <c r="E481" s="2"/>
      <c r="F481" s="2"/>
      <c r="G481" s="2"/>
    </row>
    <row r="482" spans="1:7" ht="12.75" x14ac:dyDescent="0.2">
      <c r="A482" s="31"/>
      <c r="B482" s="31"/>
      <c r="C482" s="31"/>
      <c r="D482" s="2"/>
      <c r="E482" s="2"/>
      <c r="F482" s="2"/>
      <c r="G482" s="2"/>
    </row>
    <row r="483" spans="1:7" ht="12.75" x14ac:dyDescent="0.2">
      <c r="A483" s="31"/>
      <c r="B483" s="31"/>
      <c r="C483" s="31"/>
      <c r="D483" s="2"/>
      <c r="E483" s="2"/>
      <c r="F483" s="2"/>
      <c r="G483" s="2"/>
    </row>
    <row r="484" spans="1:7" ht="12.75" x14ac:dyDescent="0.2">
      <c r="A484" s="31"/>
      <c r="B484" s="31"/>
      <c r="C484" s="31"/>
      <c r="D484" s="2"/>
      <c r="E484" s="2"/>
      <c r="F484" s="2"/>
      <c r="G484" s="2"/>
    </row>
    <row r="485" spans="1:7" ht="12.75" x14ac:dyDescent="0.2">
      <c r="A485" s="31"/>
      <c r="B485" s="31"/>
      <c r="C485" s="31"/>
      <c r="D485" s="2"/>
      <c r="E485" s="2"/>
      <c r="F485" s="2"/>
      <c r="G485" s="2"/>
    </row>
    <row r="486" spans="1:7" ht="12.75" x14ac:dyDescent="0.2">
      <c r="A486" s="31"/>
      <c r="B486" s="31"/>
      <c r="C486" s="31"/>
      <c r="D486" s="2"/>
      <c r="E486" s="2"/>
      <c r="F486" s="2"/>
      <c r="G486" s="2"/>
    </row>
    <row r="487" spans="1:7" ht="12.75" x14ac:dyDescent="0.2">
      <c r="A487" s="31"/>
      <c r="B487" s="31"/>
      <c r="C487" s="31"/>
      <c r="D487" s="2"/>
      <c r="E487" s="2"/>
      <c r="F487" s="2"/>
      <c r="G487" s="2"/>
    </row>
    <row r="488" spans="1:7" ht="12.75" x14ac:dyDescent="0.2">
      <c r="A488" s="31"/>
      <c r="B488" s="31"/>
      <c r="C488" s="31"/>
      <c r="D488" s="2"/>
      <c r="E488" s="2"/>
      <c r="F488" s="2"/>
      <c r="G488" s="2"/>
    </row>
    <row r="489" spans="1:7" ht="12.75" x14ac:dyDescent="0.2">
      <c r="A489" s="31"/>
      <c r="B489" s="31"/>
      <c r="C489" s="31"/>
      <c r="D489" s="2"/>
      <c r="E489" s="2"/>
      <c r="F489" s="2"/>
      <c r="G489" s="2"/>
    </row>
    <row r="490" spans="1:7" ht="12.75" x14ac:dyDescent="0.2">
      <c r="A490" s="31"/>
      <c r="B490" s="31"/>
      <c r="C490" s="31"/>
      <c r="D490" s="2"/>
      <c r="E490" s="2"/>
      <c r="F490" s="2"/>
      <c r="G490" s="2"/>
    </row>
    <row r="491" spans="1:7" ht="12.75" x14ac:dyDescent="0.2">
      <c r="A491" s="31"/>
      <c r="B491" s="31"/>
      <c r="C491" s="31"/>
      <c r="D491" s="2"/>
      <c r="E491" s="2"/>
      <c r="F491" s="2"/>
      <c r="G491" s="2"/>
    </row>
    <row r="492" spans="1:7" ht="12.75" x14ac:dyDescent="0.2">
      <c r="A492" s="31"/>
      <c r="B492" s="31"/>
      <c r="C492" s="31"/>
      <c r="D492" s="2"/>
      <c r="E492" s="2"/>
      <c r="F492" s="2"/>
      <c r="G492" s="2"/>
    </row>
    <row r="493" spans="1:7" ht="12.75" x14ac:dyDescent="0.2">
      <c r="A493" s="31"/>
      <c r="B493" s="31"/>
      <c r="C493" s="31"/>
      <c r="D493" s="2"/>
      <c r="E493" s="2"/>
      <c r="F493" s="2"/>
      <c r="G493" s="2"/>
    </row>
    <row r="494" spans="1:7" ht="12.75" x14ac:dyDescent="0.2">
      <c r="A494" s="31"/>
      <c r="B494" s="31"/>
      <c r="C494" s="31"/>
      <c r="D494" s="2"/>
      <c r="E494" s="2"/>
      <c r="F494" s="2"/>
      <c r="G494" s="2"/>
    </row>
    <row r="495" spans="1:7" ht="12.75" x14ac:dyDescent="0.2">
      <c r="A495" s="31"/>
      <c r="B495" s="31"/>
      <c r="C495" s="31"/>
      <c r="D495" s="2"/>
      <c r="E495" s="2"/>
      <c r="F495" s="2"/>
      <c r="G495" s="2"/>
    </row>
    <row r="496" spans="1:7" ht="12.75" x14ac:dyDescent="0.2">
      <c r="A496" s="31"/>
      <c r="B496" s="31"/>
      <c r="C496" s="31"/>
      <c r="D496" s="2"/>
      <c r="E496" s="2"/>
      <c r="F496" s="2"/>
      <c r="G496" s="2"/>
    </row>
    <row r="497" spans="1:7" ht="12.75" x14ac:dyDescent="0.2">
      <c r="A497" s="31"/>
      <c r="B497" s="31"/>
      <c r="C497" s="31"/>
      <c r="D497" s="2"/>
      <c r="E497" s="2"/>
      <c r="F497" s="2"/>
      <c r="G497" s="2"/>
    </row>
    <row r="498" spans="1:7" ht="12.75" x14ac:dyDescent="0.2">
      <c r="A498" s="31"/>
      <c r="B498" s="31"/>
      <c r="C498" s="31"/>
      <c r="D498" s="2"/>
      <c r="E498" s="2"/>
      <c r="F498" s="2"/>
      <c r="G498" s="2"/>
    </row>
    <row r="499" spans="1:7" ht="12.75" x14ac:dyDescent="0.2">
      <c r="A499" s="31"/>
      <c r="B499" s="31"/>
      <c r="C499" s="31"/>
      <c r="D499" s="2"/>
      <c r="E499" s="2"/>
      <c r="F499" s="2"/>
      <c r="G499" s="2"/>
    </row>
    <row r="500" spans="1:7" ht="12.75" x14ac:dyDescent="0.2">
      <c r="A500" s="31"/>
      <c r="B500" s="31"/>
      <c r="C500" s="31"/>
      <c r="D500" s="2"/>
      <c r="E500" s="2"/>
      <c r="F500" s="2"/>
      <c r="G500" s="2"/>
    </row>
    <row r="501" spans="1:7" ht="12.75" x14ac:dyDescent="0.2">
      <c r="A501" s="31"/>
      <c r="B501" s="31"/>
      <c r="C501" s="31"/>
      <c r="D501" s="2"/>
      <c r="E501" s="2"/>
      <c r="F501" s="2"/>
      <c r="G501" s="2"/>
    </row>
    <row r="502" spans="1:7" ht="12.75" x14ac:dyDescent="0.2">
      <c r="A502" s="31"/>
      <c r="B502" s="31"/>
      <c r="C502" s="31"/>
      <c r="D502" s="2"/>
      <c r="E502" s="2"/>
      <c r="F502" s="2"/>
      <c r="G502" s="2"/>
    </row>
    <row r="503" spans="1:7" ht="12.75" x14ac:dyDescent="0.2">
      <c r="A503" s="31"/>
      <c r="B503" s="31"/>
      <c r="C503" s="31"/>
      <c r="D503" s="2"/>
      <c r="E503" s="2"/>
      <c r="F503" s="2"/>
      <c r="G503" s="2"/>
    </row>
    <row r="504" spans="1:7" ht="12.75" x14ac:dyDescent="0.2">
      <c r="A504" s="31"/>
      <c r="B504" s="31"/>
      <c r="C504" s="31"/>
      <c r="D504" s="2"/>
      <c r="E504" s="2"/>
      <c r="F504" s="2"/>
      <c r="G504" s="2"/>
    </row>
    <row r="505" spans="1:7" ht="12.75" x14ac:dyDescent="0.2">
      <c r="A505" s="31"/>
      <c r="B505" s="31"/>
      <c r="C505" s="31"/>
      <c r="D505" s="2"/>
      <c r="E505" s="2"/>
      <c r="F505" s="2"/>
      <c r="G505" s="2"/>
    </row>
    <row r="506" spans="1:7" ht="12.75" x14ac:dyDescent="0.2">
      <c r="A506" s="31"/>
      <c r="B506" s="31"/>
      <c r="C506" s="31"/>
      <c r="D506" s="2"/>
      <c r="E506" s="2"/>
      <c r="F506" s="2"/>
      <c r="G506" s="2"/>
    </row>
    <row r="507" spans="1:7" ht="12.75" x14ac:dyDescent="0.2">
      <c r="A507" s="31"/>
      <c r="B507" s="31"/>
      <c r="C507" s="31"/>
      <c r="D507" s="2"/>
      <c r="E507" s="2"/>
      <c r="F507" s="2"/>
      <c r="G507" s="2"/>
    </row>
    <row r="508" spans="1:7" ht="12.75" x14ac:dyDescent="0.2">
      <c r="A508" s="31"/>
      <c r="B508" s="31"/>
      <c r="C508" s="31"/>
      <c r="D508" s="2"/>
      <c r="E508" s="2"/>
      <c r="F508" s="2"/>
      <c r="G508" s="2"/>
    </row>
    <row r="509" spans="1:7" ht="12.75" x14ac:dyDescent="0.2">
      <c r="A509" s="31"/>
      <c r="B509" s="31"/>
      <c r="C509" s="31"/>
      <c r="D509" s="2"/>
      <c r="E509" s="2"/>
      <c r="F509" s="2"/>
      <c r="G509" s="2"/>
    </row>
    <row r="510" spans="1:7" ht="12.75" x14ac:dyDescent="0.2">
      <c r="A510" s="31"/>
      <c r="B510" s="31"/>
      <c r="C510" s="31"/>
      <c r="D510" s="2"/>
      <c r="E510" s="2"/>
      <c r="F510" s="2"/>
      <c r="G510" s="2"/>
    </row>
    <row r="511" spans="1:7" ht="12.75" x14ac:dyDescent="0.2">
      <c r="A511" s="31"/>
      <c r="B511" s="31"/>
      <c r="C511" s="31"/>
      <c r="D511" s="2"/>
      <c r="E511" s="2"/>
      <c r="F511" s="2"/>
      <c r="G511" s="2"/>
    </row>
    <row r="512" spans="1:7" ht="12.75" x14ac:dyDescent="0.2">
      <c r="A512" s="31"/>
      <c r="B512" s="31"/>
      <c r="C512" s="31"/>
      <c r="D512" s="2"/>
      <c r="E512" s="2"/>
      <c r="F512" s="2"/>
      <c r="G512" s="2"/>
    </row>
    <row r="513" spans="1:7" ht="12.75" x14ac:dyDescent="0.2">
      <c r="A513" s="31"/>
      <c r="B513" s="31"/>
      <c r="C513" s="31"/>
      <c r="D513" s="2"/>
      <c r="E513" s="2"/>
      <c r="F513" s="2"/>
      <c r="G513" s="2"/>
    </row>
    <row r="514" spans="1:7" ht="12.75" x14ac:dyDescent="0.2">
      <c r="A514" s="31"/>
      <c r="B514" s="31"/>
      <c r="C514" s="31"/>
      <c r="D514" s="2"/>
      <c r="E514" s="2"/>
      <c r="F514" s="2"/>
      <c r="G514" s="2"/>
    </row>
    <row r="515" spans="1:7" ht="12.75" x14ac:dyDescent="0.2">
      <c r="A515" s="31"/>
      <c r="B515" s="31"/>
      <c r="C515" s="31"/>
      <c r="D515" s="2"/>
      <c r="E515" s="2"/>
      <c r="F515" s="2"/>
      <c r="G515" s="2"/>
    </row>
    <row r="516" spans="1:7" ht="12.75" x14ac:dyDescent="0.2">
      <c r="A516" s="31"/>
      <c r="B516" s="31"/>
      <c r="C516" s="31"/>
      <c r="D516" s="2"/>
      <c r="E516" s="2"/>
      <c r="F516" s="2"/>
      <c r="G516" s="2"/>
    </row>
    <row r="517" spans="1:7" ht="12.75" x14ac:dyDescent="0.2">
      <c r="A517" s="31"/>
      <c r="B517" s="31"/>
      <c r="C517" s="31"/>
      <c r="D517" s="2"/>
      <c r="E517" s="2"/>
      <c r="F517" s="2"/>
      <c r="G517" s="2"/>
    </row>
    <row r="518" spans="1:7" ht="12.75" x14ac:dyDescent="0.2">
      <c r="A518" s="31"/>
      <c r="B518" s="31"/>
      <c r="C518" s="31"/>
      <c r="D518" s="2"/>
      <c r="E518" s="2"/>
      <c r="F518" s="2"/>
      <c r="G518" s="2"/>
    </row>
    <row r="519" spans="1:7" ht="12.75" x14ac:dyDescent="0.2">
      <c r="A519" s="31"/>
      <c r="B519" s="31"/>
      <c r="C519" s="31"/>
      <c r="D519" s="2"/>
      <c r="E519" s="2"/>
      <c r="F519" s="2"/>
      <c r="G519" s="2"/>
    </row>
    <row r="520" spans="1:7" ht="12.75" x14ac:dyDescent="0.2">
      <c r="A520" s="31"/>
      <c r="B520" s="31"/>
      <c r="C520" s="31"/>
      <c r="D520" s="2"/>
      <c r="E520" s="2"/>
      <c r="F520" s="2"/>
      <c r="G520" s="2"/>
    </row>
    <row r="521" spans="1:7" ht="12.75" x14ac:dyDescent="0.2">
      <c r="A521" s="31"/>
      <c r="B521" s="31"/>
      <c r="C521" s="31"/>
      <c r="D521" s="2"/>
      <c r="E521" s="2"/>
      <c r="F521" s="2"/>
      <c r="G521" s="2"/>
    </row>
    <row r="522" spans="1:7" ht="12.75" x14ac:dyDescent="0.2">
      <c r="A522" s="31"/>
      <c r="B522" s="31"/>
      <c r="C522" s="31"/>
      <c r="D522" s="2"/>
      <c r="E522" s="2"/>
      <c r="F522" s="2"/>
      <c r="G522" s="2"/>
    </row>
    <row r="523" spans="1:7" ht="12.75" x14ac:dyDescent="0.2">
      <c r="A523" s="31"/>
      <c r="B523" s="31"/>
      <c r="C523" s="31"/>
      <c r="D523" s="2"/>
      <c r="E523" s="2"/>
      <c r="F523" s="2"/>
      <c r="G523" s="2"/>
    </row>
    <row r="524" spans="1:7" ht="12.75" x14ac:dyDescent="0.2">
      <c r="A524" s="31"/>
      <c r="B524" s="31"/>
      <c r="C524" s="31"/>
      <c r="D524" s="2"/>
      <c r="E524" s="2"/>
      <c r="F524" s="2"/>
      <c r="G524" s="2"/>
    </row>
    <row r="525" spans="1:7" ht="12.75" x14ac:dyDescent="0.2">
      <c r="A525" s="31"/>
      <c r="B525" s="31"/>
      <c r="C525" s="31"/>
      <c r="D525" s="2"/>
      <c r="E525" s="2"/>
      <c r="F525" s="2"/>
      <c r="G525" s="2"/>
    </row>
    <row r="526" spans="1:7" ht="12.75" x14ac:dyDescent="0.2">
      <c r="A526" s="31"/>
      <c r="B526" s="31"/>
      <c r="C526" s="31"/>
      <c r="D526" s="2"/>
      <c r="E526" s="2"/>
      <c r="F526" s="2"/>
      <c r="G526" s="2"/>
    </row>
    <row r="527" spans="1:7" ht="12.75" x14ac:dyDescent="0.2">
      <c r="A527" s="31"/>
      <c r="B527" s="31"/>
      <c r="C527" s="31"/>
      <c r="D527" s="2"/>
      <c r="E527" s="2"/>
      <c r="F527" s="2"/>
      <c r="G527" s="2"/>
    </row>
    <row r="528" spans="1:7" ht="12.75" x14ac:dyDescent="0.2">
      <c r="A528" s="31"/>
      <c r="B528" s="31"/>
      <c r="C528" s="31"/>
      <c r="D528" s="2"/>
      <c r="E528" s="2"/>
      <c r="F528" s="2"/>
      <c r="G528" s="2"/>
    </row>
    <row r="529" spans="1:7" ht="12.75" x14ac:dyDescent="0.2">
      <c r="A529" s="31"/>
      <c r="B529" s="31"/>
      <c r="C529" s="31"/>
      <c r="D529" s="2"/>
      <c r="E529" s="2"/>
      <c r="F529" s="2"/>
      <c r="G529" s="2"/>
    </row>
    <row r="530" spans="1:7" ht="12.75" x14ac:dyDescent="0.2">
      <c r="A530" s="31"/>
      <c r="B530" s="31"/>
      <c r="C530" s="31"/>
      <c r="D530" s="2"/>
      <c r="E530" s="2"/>
      <c r="F530" s="2"/>
      <c r="G530" s="2"/>
    </row>
    <row r="531" spans="1:7" ht="12.75" x14ac:dyDescent="0.2">
      <c r="A531" s="31"/>
      <c r="B531" s="31"/>
      <c r="C531" s="31"/>
      <c r="D531" s="2"/>
      <c r="E531" s="2"/>
      <c r="F531" s="2"/>
      <c r="G531" s="2"/>
    </row>
    <row r="532" spans="1:7" ht="12.75" x14ac:dyDescent="0.2">
      <c r="A532" s="31"/>
      <c r="B532" s="31"/>
      <c r="C532" s="31"/>
      <c r="D532" s="2"/>
      <c r="E532" s="2"/>
      <c r="F532" s="2"/>
      <c r="G532" s="2"/>
    </row>
    <row r="533" spans="1:7" ht="12.75" x14ac:dyDescent="0.2">
      <c r="A533" s="31"/>
      <c r="B533" s="31"/>
      <c r="C533" s="31"/>
      <c r="D533" s="2"/>
      <c r="E533" s="2"/>
      <c r="F533" s="2"/>
      <c r="G533" s="2"/>
    </row>
    <row r="534" spans="1:7" ht="12.75" x14ac:dyDescent="0.2">
      <c r="A534" s="31"/>
      <c r="B534" s="31"/>
      <c r="C534" s="31"/>
      <c r="D534" s="2"/>
      <c r="E534" s="2"/>
      <c r="F534" s="2"/>
      <c r="G534" s="2"/>
    </row>
    <row r="535" spans="1:7" ht="12.75" x14ac:dyDescent="0.2">
      <c r="A535" s="31"/>
      <c r="B535" s="31"/>
      <c r="C535" s="31"/>
      <c r="D535" s="2"/>
      <c r="E535" s="2"/>
      <c r="F535" s="2"/>
      <c r="G535" s="2"/>
    </row>
    <row r="536" spans="1:7" ht="12.75" x14ac:dyDescent="0.2">
      <c r="A536" s="31"/>
      <c r="B536" s="31"/>
      <c r="C536" s="31"/>
      <c r="D536" s="2"/>
      <c r="E536" s="2"/>
      <c r="F536" s="2"/>
      <c r="G536" s="2"/>
    </row>
    <row r="537" spans="1:7" ht="12.75" x14ac:dyDescent="0.2">
      <c r="A537" s="31"/>
      <c r="B537" s="31"/>
      <c r="C537" s="31"/>
      <c r="D537" s="2"/>
      <c r="E537" s="2"/>
      <c r="F537" s="2"/>
      <c r="G537" s="2"/>
    </row>
    <row r="538" spans="1:7" ht="12.75" x14ac:dyDescent="0.2">
      <c r="A538" s="31"/>
      <c r="B538" s="31"/>
      <c r="C538" s="31"/>
      <c r="D538" s="2"/>
      <c r="E538" s="2"/>
      <c r="F538" s="2"/>
      <c r="G538" s="2"/>
    </row>
    <row r="539" spans="1:7" ht="12.75" x14ac:dyDescent="0.2">
      <c r="A539" s="31"/>
      <c r="B539" s="31"/>
      <c r="C539" s="31"/>
      <c r="D539" s="2"/>
      <c r="E539" s="2"/>
      <c r="F539" s="2"/>
      <c r="G539" s="2"/>
    </row>
    <row r="540" spans="1:7" ht="12.75" x14ac:dyDescent="0.2">
      <c r="A540" s="31"/>
      <c r="B540" s="31"/>
      <c r="C540" s="31"/>
      <c r="D540" s="2"/>
      <c r="E540" s="2"/>
      <c r="F540" s="2"/>
      <c r="G540" s="2"/>
    </row>
    <row r="541" spans="1:7" ht="12.75" x14ac:dyDescent="0.2">
      <c r="A541" s="31"/>
      <c r="B541" s="31"/>
      <c r="C541" s="31"/>
      <c r="D541" s="2"/>
      <c r="E541" s="2"/>
      <c r="F541" s="2"/>
      <c r="G541" s="2"/>
    </row>
    <row r="542" spans="1:7" ht="12.75" x14ac:dyDescent="0.2">
      <c r="A542" s="31"/>
      <c r="B542" s="31"/>
      <c r="C542" s="31"/>
      <c r="D542" s="2"/>
      <c r="E542" s="2"/>
      <c r="F542" s="2"/>
      <c r="G542" s="2"/>
    </row>
    <row r="543" spans="1:7" ht="12.75" x14ac:dyDescent="0.2">
      <c r="A543" s="31"/>
      <c r="B543" s="31"/>
      <c r="C543" s="31"/>
      <c r="D543" s="2"/>
      <c r="E543" s="2"/>
      <c r="F543" s="2"/>
      <c r="G543" s="2"/>
    </row>
    <row r="544" spans="1:7" ht="12.75" x14ac:dyDescent="0.2">
      <c r="A544" s="31"/>
      <c r="B544" s="31"/>
      <c r="C544" s="31"/>
      <c r="D544" s="2"/>
      <c r="E544" s="2"/>
      <c r="F544" s="2"/>
      <c r="G544" s="2"/>
    </row>
    <row r="545" spans="1:7" ht="12.75" x14ac:dyDescent="0.2">
      <c r="A545" s="31"/>
      <c r="B545" s="31"/>
      <c r="C545" s="31"/>
      <c r="D545" s="2"/>
      <c r="E545" s="2"/>
      <c r="F545" s="2"/>
      <c r="G545" s="2"/>
    </row>
    <row r="546" spans="1:7" ht="12.75" x14ac:dyDescent="0.2">
      <c r="A546" s="31"/>
      <c r="B546" s="31"/>
      <c r="C546" s="31"/>
      <c r="D546" s="2"/>
      <c r="E546" s="2"/>
      <c r="F546" s="2"/>
      <c r="G546" s="2"/>
    </row>
    <row r="547" spans="1:7" ht="12.75" x14ac:dyDescent="0.2">
      <c r="A547" s="31"/>
      <c r="B547" s="31"/>
      <c r="C547" s="31"/>
      <c r="D547" s="2"/>
      <c r="E547" s="2"/>
      <c r="F547" s="2"/>
      <c r="G547" s="2"/>
    </row>
    <row r="548" spans="1:7" ht="12.75" x14ac:dyDescent="0.2">
      <c r="A548" s="31"/>
      <c r="B548" s="31"/>
      <c r="C548" s="31"/>
      <c r="D548" s="2"/>
      <c r="E548" s="2"/>
      <c r="F548" s="2"/>
      <c r="G548" s="2"/>
    </row>
    <row r="549" spans="1:7" ht="12.75" x14ac:dyDescent="0.2">
      <c r="A549" s="31"/>
      <c r="B549" s="31"/>
      <c r="C549" s="31"/>
      <c r="D549" s="2"/>
      <c r="E549" s="2"/>
      <c r="F549" s="2"/>
      <c r="G549" s="2"/>
    </row>
    <row r="550" spans="1:7" ht="12.75" x14ac:dyDescent="0.2">
      <c r="A550" s="31"/>
      <c r="B550" s="31"/>
      <c r="C550" s="31"/>
      <c r="D550" s="2"/>
      <c r="E550" s="2"/>
      <c r="F550" s="2"/>
      <c r="G550" s="2"/>
    </row>
    <row r="551" spans="1:7" ht="12.75" x14ac:dyDescent="0.2">
      <c r="A551" s="31"/>
      <c r="B551" s="31"/>
      <c r="C551" s="31"/>
      <c r="D551" s="2"/>
      <c r="E551" s="2"/>
      <c r="F551" s="2"/>
      <c r="G551" s="2"/>
    </row>
    <row r="552" spans="1:7" ht="12.75" x14ac:dyDescent="0.2">
      <c r="A552" s="31"/>
      <c r="B552" s="31"/>
      <c r="C552" s="31"/>
      <c r="D552" s="2"/>
      <c r="E552" s="2"/>
      <c r="F552" s="2"/>
      <c r="G552" s="2"/>
    </row>
    <row r="553" spans="1:7" ht="12.75" x14ac:dyDescent="0.2">
      <c r="A553" s="31"/>
      <c r="B553" s="31"/>
      <c r="C553" s="31"/>
      <c r="D553" s="2"/>
      <c r="E553" s="2"/>
      <c r="F553" s="2"/>
      <c r="G553" s="2"/>
    </row>
    <row r="554" spans="1:7" ht="12.75" x14ac:dyDescent="0.2">
      <c r="A554" s="31"/>
      <c r="B554" s="31"/>
      <c r="C554" s="31"/>
      <c r="D554" s="2"/>
      <c r="E554" s="2"/>
      <c r="F554" s="2"/>
      <c r="G554" s="2"/>
    </row>
    <row r="555" spans="1:7" ht="12.75" x14ac:dyDescent="0.2">
      <c r="A555" s="31"/>
      <c r="B555" s="31"/>
      <c r="C555" s="31"/>
      <c r="D555" s="2"/>
      <c r="E555" s="2"/>
      <c r="F555" s="2"/>
      <c r="G555" s="2"/>
    </row>
    <row r="556" spans="1:7" ht="12.75" x14ac:dyDescent="0.2">
      <c r="A556" s="31"/>
      <c r="B556" s="31"/>
      <c r="C556" s="31"/>
      <c r="D556" s="2"/>
      <c r="E556" s="2"/>
      <c r="F556" s="2"/>
      <c r="G556" s="2"/>
    </row>
    <row r="557" spans="1:7" ht="12.75" x14ac:dyDescent="0.2">
      <c r="A557" s="31"/>
      <c r="B557" s="31"/>
      <c r="C557" s="31"/>
      <c r="D557" s="2"/>
      <c r="E557" s="2"/>
      <c r="F557" s="2"/>
      <c r="G557" s="2"/>
    </row>
    <row r="558" spans="1:7" ht="12.75" x14ac:dyDescent="0.2">
      <c r="A558" s="31"/>
      <c r="B558" s="31"/>
      <c r="C558" s="31"/>
      <c r="D558" s="2"/>
      <c r="E558" s="2"/>
      <c r="F558" s="2"/>
      <c r="G558" s="2"/>
    </row>
    <row r="559" spans="1:7" ht="12.75" x14ac:dyDescent="0.2">
      <c r="A559" s="31"/>
      <c r="B559" s="31"/>
      <c r="C559" s="31"/>
      <c r="D559" s="2"/>
      <c r="E559" s="2"/>
      <c r="F559" s="2"/>
      <c r="G559" s="2"/>
    </row>
    <row r="560" spans="1:7" ht="12.75" x14ac:dyDescent="0.2">
      <c r="A560" s="31"/>
      <c r="B560" s="31"/>
      <c r="C560" s="31"/>
      <c r="D560" s="2"/>
      <c r="E560" s="2"/>
      <c r="F560" s="2"/>
      <c r="G560" s="2"/>
    </row>
    <row r="561" spans="1:7" ht="12.75" x14ac:dyDescent="0.2">
      <c r="A561" s="31"/>
      <c r="B561" s="31"/>
      <c r="C561" s="31"/>
      <c r="D561" s="2"/>
      <c r="E561" s="2"/>
      <c r="F561" s="2"/>
      <c r="G561" s="2"/>
    </row>
    <row r="562" spans="1:7" ht="12.75" x14ac:dyDescent="0.2">
      <c r="A562" s="31"/>
      <c r="B562" s="31"/>
      <c r="C562" s="31"/>
      <c r="D562" s="2"/>
      <c r="E562" s="2"/>
      <c r="F562" s="2"/>
      <c r="G562" s="2"/>
    </row>
    <row r="563" spans="1:7" ht="12.75" x14ac:dyDescent="0.2">
      <c r="A563" s="31"/>
      <c r="B563" s="31"/>
      <c r="C563" s="31"/>
      <c r="D563" s="2"/>
      <c r="E563" s="2"/>
      <c r="F563" s="2"/>
      <c r="G563" s="2"/>
    </row>
    <row r="564" spans="1:7" ht="12.75" x14ac:dyDescent="0.2">
      <c r="A564" s="31"/>
      <c r="B564" s="31"/>
      <c r="C564" s="31"/>
      <c r="D564" s="2"/>
      <c r="E564" s="2"/>
      <c r="F564" s="2"/>
      <c r="G564" s="2"/>
    </row>
    <row r="565" spans="1:7" ht="12.75" x14ac:dyDescent="0.2">
      <c r="A565" s="31"/>
      <c r="B565" s="31"/>
      <c r="C565" s="31"/>
      <c r="D565" s="2"/>
      <c r="E565" s="2"/>
      <c r="F565" s="2"/>
      <c r="G565" s="2"/>
    </row>
    <row r="566" spans="1:7" ht="12.75" x14ac:dyDescent="0.2">
      <c r="A566" s="31"/>
      <c r="B566" s="31"/>
      <c r="C566" s="31"/>
      <c r="D566" s="2"/>
      <c r="E566" s="2"/>
      <c r="F566" s="2"/>
      <c r="G566" s="2"/>
    </row>
    <row r="567" spans="1:7" ht="12.75" x14ac:dyDescent="0.2">
      <c r="A567" s="31"/>
      <c r="B567" s="31"/>
      <c r="C567" s="31"/>
      <c r="D567" s="2"/>
      <c r="E567" s="2"/>
      <c r="F567" s="2"/>
      <c r="G567" s="2"/>
    </row>
    <row r="568" spans="1:7" ht="12.75" x14ac:dyDescent="0.2">
      <c r="A568" s="31"/>
      <c r="B568" s="31"/>
      <c r="C568" s="31"/>
      <c r="D568" s="2"/>
      <c r="E568" s="2"/>
      <c r="F568" s="2"/>
      <c r="G568" s="2"/>
    </row>
    <row r="569" spans="1:7" ht="12.75" x14ac:dyDescent="0.2">
      <c r="A569" s="31"/>
      <c r="B569" s="31"/>
      <c r="C569" s="31"/>
      <c r="D569" s="2"/>
      <c r="E569" s="2"/>
      <c r="F569" s="2"/>
      <c r="G569" s="2"/>
    </row>
    <row r="570" spans="1:7" ht="12.75" x14ac:dyDescent="0.2">
      <c r="A570" s="31"/>
      <c r="B570" s="31"/>
      <c r="C570" s="31"/>
      <c r="D570" s="2"/>
      <c r="E570" s="2"/>
      <c r="F570" s="2"/>
      <c r="G570" s="2"/>
    </row>
    <row r="571" spans="1:7" ht="12.75" x14ac:dyDescent="0.2">
      <c r="A571" s="31"/>
      <c r="B571" s="31"/>
      <c r="C571" s="31"/>
      <c r="D571" s="2"/>
      <c r="E571" s="2"/>
      <c r="F571" s="2"/>
      <c r="G571" s="2"/>
    </row>
    <row r="572" spans="1:7" ht="12.75" x14ac:dyDescent="0.2">
      <c r="A572" s="31"/>
      <c r="B572" s="31"/>
      <c r="C572" s="31"/>
      <c r="D572" s="2"/>
      <c r="E572" s="2"/>
      <c r="F572" s="2"/>
      <c r="G572" s="2"/>
    </row>
    <row r="573" spans="1:7" ht="12.75" x14ac:dyDescent="0.2">
      <c r="A573" s="31"/>
      <c r="B573" s="31"/>
      <c r="C573" s="31"/>
      <c r="D573" s="2"/>
      <c r="E573" s="2"/>
      <c r="F573" s="2"/>
      <c r="G573" s="2"/>
    </row>
    <row r="574" spans="1:7" ht="12.75" x14ac:dyDescent="0.2">
      <c r="A574" s="31"/>
      <c r="B574" s="31"/>
      <c r="C574" s="31"/>
      <c r="D574" s="2"/>
      <c r="E574" s="2"/>
      <c r="F574" s="2"/>
      <c r="G574" s="2"/>
    </row>
    <row r="575" spans="1:7" ht="12.75" x14ac:dyDescent="0.2">
      <c r="A575" s="31"/>
      <c r="B575" s="31"/>
      <c r="C575" s="31"/>
      <c r="D575" s="2"/>
      <c r="E575" s="2"/>
      <c r="F575" s="2"/>
      <c r="G575" s="2"/>
    </row>
    <row r="576" spans="1:7" ht="12.75" x14ac:dyDescent="0.2">
      <c r="A576" s="31"/>
      <c r="B576" s="31"/>
      <c r="C576" s="31"/>
      <c r="D576" s="2"/>
      <c r="E576" s="2"/>
      <c r="F576" s="2"/>
      <c r="G576" s="2"/>
    </row>
    <row r="577" spans="1:7" ht="12.75" x14ac:dyDescent="0.2">
      <c r="A577" s="31"/>
      <c r="B577" s="31"/>
      <c r="C577" s="31"/>
      <c r="D577" s="2"/>
      <c r="E577" s="2"/>
      <c r="F577" s="2"/>
      <c r="G577" s="2"/>
    </row>
    <row r="578" spans="1:7" ht="12.75" x14ac:dyDescent="0.2">
      <c r="A578" s="31"/>
      <c r="B578" s="31"/>
      <c r="C578" s="31"/>
      <c r="D578" s="2"/>
      <c r="E578" s="2"/>
      <c r="F578" s="2"/>
      <c r="G578" s="2"/>
    </row>
    <row r="579" spans="1:7" ht="12.75" x14ac:dyDescent="0.2">
      <c r="A579" s="31"/>
      <c r="B579" s="31"/>
      <c r="C579" s="31"/>
      <c r="D579" s="2"/>
      <c r="E579" s="2"/>
      <c r="F579" s="2"/>
      <c r="G579" s="2"/>
    </row>
    <row r="580" spans="1:7" ht="12.75" x14ac:dyDescent="0.2">
      <c r="A580" s="31"/>
      <c r="B580" s="31"/>
      <c r="C580" s="31"/>
      <c r="D580" s="2"/>
      <c r="E580" s="2"/>
      <c r="F580" s="2"/>
      <c r="G580" s="2"/>
    </row>
    <row r="581" spans="1:7" ht="12.75" x14ac:dyDescent="0.2">
      <c r="A581" s="31"/>
      <c r="B581" s="31"/>
      <c r="C581" s="31"/>
      <c r="D581" s="2"/>
      <c r="E581" s="2"/>
      <c r="F581" s="2"/>
      <c r="G581" s="2"/>
    </row>
    <row r="582" spans="1:7" ht="12.75" x14ac:dyDescent="0.2">
      <c r="A582" s="31"/>
      <c r="B582" s="31"/>
      <c r="C582" s="31"/>
      <c r="D582" s="2"/>
      <c r="E582" s="2"/>
      <c r="F582" s="2"/>
      <c r="G582" s="2"/>
    </row>
    <row r="583" spans="1:7" ht="12.75" x14ac:dyDescent="0.2">
      <c r="A583" s="31"/>
      <c r="B583" s="31"/>
      <c r="C583" s="31"/>
      <c r="D583" s="2"/>
      <c r="E583" s="2"/>
      <c r="F583" s="2"/>
      <c r="G583" s="2"/>
    </row>
    <row r="584" spans="1:7" ht="12.75" x14ac:dyDescent="0.2">
      <c r="A584" s="31"/>
      <c r="B584" s="31"/>
      <c r="C584" s="31"/>
      <c r="D584" s="2"/>
      <c r="E584" s="2"/>
      <c r="F584" s="2"/>
      <c r="G584" s="2"/>
    </row>
    <row r="585" spans="1:7" ht="12.75" x14ac:dyDescent="0.2">
      <c r="A585" s="31"/>
      <c r="B585" s="31"/>
      <c r="C585" s="31"/>
      <c r="D585" s="2"/>
      <c r="E585" s="2"/>
      <c r="F585" s="2"/>
      <c r="G585" s="2"/>
    </row>
    <row r="586" spans="1:7" ht="12.75" x14ac:dyDescent="0.2">
      <c r="A586" s="31"/>
      <c r="B586" s="31"/>
      <c r="C586" s="31"/>
      <c r="D586" s="2"/>
      <c r="E586" s="2"/>
      <c r="F586" s="2"/>
      <c r="G586" s="2"/>
    </row>
    <row r="587" spans="1:7" ht="12.75" x14ac:dyDescent="0.2">
      <c r="A587" s="31"/>
      <c r="B587" s="31"/>
      <c r="C587" s="31"/>
      <c r="D587" s="2"/>
      <c r="E587" s="2"/>
      <c r="F587" s="2"/>
      <c r="G587" s="2"/>
    </row>
    <row r="588" spans="1:7" ht="12.75" x14ac:dyDescent="0.2">
      <c r="A588" s="31"/>
      <c r="B588" s="31"/>
      <c r="C588" s="31"/>
      <c r="D588" s="2"/>
      <c r="E588" s="2"/>
      <c r="F588" s="2"/>
      <c r="G588" s="2"/>
    </row>
    <row r="589" spans="1:7" ht="12.75" x14ac:dyDescent="0.2">
      <c r="A589" s="31"/>
      <c r="B589" s="31"/>
      <c r="C589" s="31"/>
      <c r="D589" s="2"/>
      <c r="E589" s="2"/>
      <c r="F589" s="2"/>
      <c r="G589" s="2"/>
    </row>
    <row r="590" spans="1:7" ht="12.75" x14ac:dyDescent="0.2">
      <c r="A590" s="31"/>
      <c r="B590" s="31"/>
      <c r="C590" s="31"/>
      <c r="D590" s="2"/>
      <c r="E590" s="2"/>
      <c r="F590" s="2"/>
      <c r="G590" s="2"/>
    </row>
    <row r="591" spans="1:7" ht="12.75" x14ac:dyDescent="0.2">
      <c r="A591" s="31"/>
      <c r="B591" s="31"/>
      <c r="C591" s="31"/>
      <c r="D591" s="2"/>
      <c r="E591" s="2"/>
      <c r="F591" s="2"/>
      <c r="G591" s="2"/>
    </row>
    <row r="592" spans="1:7" ht="12.75" x14ac:dyDescent="0.2">
      <c r="A592" s="31"/>
      <c r="B592" s="31"/>
      <c r="C592" s="31"/>
      <c r="D592" s="2"/>
      <c r="E592" s="2"/>
      <c r="F592" s="2"/>
      <c r="G592" s="2"/>
    </row>
    <row r="593" spans="1:7" ht="12.75" x14ac:dyDescent="0.2">
      <c r="A593" s="31"/>
      <c r="B593" s="31"/>
      <c r="C593" s="31"/>
      <c r="D593" s="2"/>
      <c r="E593" s="2"/>
      <c r="F593" s="2"/>
      <c r="G593" s="2"/>
    </row>
    <row r="594" spans="1:7" ht="12.75" x14ac:dyDescent="0.2">
      <c r="A594" s="31"/>
      <c r="B594" s="31"/>
      <c r="C594" s="31"/>
      <c r="D594" s="2"/>
      <c r="E594" s="2"/>
      <c r="F594" s="2"/>
      <c r="G594" s="2"/>
    </row>
    <row r="595" spans="1:7" ht="12.75" x14ac:dyDescent="0.2">
      <c r="A595" s="31"/>
      <c r="B595" s="31"/>
      <c r="C595" s="31"/>
      <c r="D595" s="2"/>
      <c r="E595" s="2"/>
      <c r="F595" s="2"/>
      <c r="G595" s="2"/>
    </row>
    <row r="596" spans="1:7" ht="12.75" x14ac:dyDescent="0.2">
      <c r="A596" s="31"/>
      <c r="B596" s="31"/>
      <c r="C596" s="31"/>
      <c r="D596" s="2"/>
      <c r="E596" s="2"/>
      <c r="F596" s="2"/>
      <c r="G596" s="2"/>
    </row>
    <row r="597" spans="1:7" ht="12.75" x14ac:dyDescent="0.2">
      <c r="A597" s="31"/>
      <c r="B597" s="31"/>
      <c r="C597" s="31"/>
      <c r="D597" s="2"/>
      <c r="E597" s="2"/>
      <c r="F597" s="2"/>
      <c r="G597" s="2"/>
    </row>
    <row r="598" spans="1:7" ht="12.75" x14ac:dyDescent="0.2">
      <c r="A598" s="31"/>
      <c r="B598" s="31"/>
      <c r="C598" s="31"/>
      <c r="D598" s="2"/>
      <c r="E598" s="2"/>
      <c r="F598" s="2"/>
      <c r="G598" s="2"/>
    </row>
    <row r="599" spans="1:7" ht="12.75" x14ac:dyDescent="0.2">
      <c r="A599" s="31"/>
      <c r="B599" s="31"/>
      <c r="C599" s="31"/>
      <c r="D599" s="2"/>
      <c r="E599" s="2"/>
      <c r="F599" s="2"/>
      <c r="G599" s="2"/>
    </row>
    <row r="600" spans="1:7" ht="12.75" x14ac:dyDescent="0.2">
      <c r="A600" s="31"/>
      <c r="B600" s="31"/>
      <c r="C600" s="31"/>
      <c r="D600" s="2"/>
      <c r="E600" s="2"/>
      <c r="F600" s="2"/>
      <c r="G600" s="2"/>
    </row>
    <row r="601" spans="1:7" ht="12.75" x14ac:dyDescent="0.2">
      <c r="A601" s="31"/>
      <c r="B601" s="31"/>
      <c r="C601" s="31"/>
      <c r="D601" s="2"/>
      <c r="E601" s="2"/>
      <c r="F601" s="2"/>
      <c r="G601" s="2"/>
    </row>
    <row r="602" spans="1:7" ht="12.75" x14ac:dyDescent="0.2">
      <c r="A602" s="31"/>
      <c r="B602" s="31"/>
      <c r="C602" s="31"/>
      <c r="D602" s="2"/>
      <c r="E602" s="2"/>
      <c r="F602" s="2"/>
      <c r="G602" s="2"/>
    </row>
    <row r="603" spans="1:7" ht="12.75" x14ac:dyDescent="0.2">
      <c r="A603" s="31"/>
      <c r="B603" s="31"/>
      <c r="C603" s="31"/>
      <c r="D603" s="2"/>
      <c r="E603" s="2"/>
      <c r="F603" s="2"/>
      <c r="G603" s="2"/>
    </row>
    <row r="604" spans="1:7" ht="12.75" x14ac:dyDescent="0.2">
      <c r="A604" s="31"/>
      <c r="B604" s="31"/>
      <c r="C604" s="31"/>
      <c r="D604" s="2"/>
      <c r="E604" s="2"/>
      <c r="F604" s="2"/>
      <c r="G604" s="2"/>
    </row>
    <row r="605" spans="1:7" ht="12.75" x14ac:dyDescent="0.2">
      <c r="A605" s="31"/>
      <c r="B605" s="31"/>
      <c r="C605" s="31"/>
      <c r="D605" s="2"/>
      <c r="E605" s="2"/>
      <c r="F605" s="2"/>
      <c r="G605" s="2"/>
    </row>
    <row r="606" spans="1:7" ht="12.75" x14ac:dyDescent="0.2">
      <c r="A606" s="31"/>
      <c r="B606" s="31"/>
      <c r="C606" s="31"/>
      <c r="D606" s="2"/>
      <c r="E606" s="2"/>
      <c r="F606" s="2"/>
      <c r="G606" s="2"/>
    </row>
    <row r="607" spans="1:7" ht="12.75" x14ac:dyDescent="0.2">
      <c r="A607" s="31"/>
      <c r="B607" s="31"/>
      <c r="C607" s="31"/>
      <c r="D607" s="2"/>
      <c r="E607" s="2"/>
      <c r="F607" s="2"/>
      <c r="G607" s="2"/>
    </row>
    <row r="608" spans="1:7" ht="12.75" x14ac:dyDescent="0.2">
      <c r="A608" s="31"/>
      <c r="B608" s="31"/>
      <c r="C608" s="31"/>
      <c r="D608" s="2"/>
      <c r="E608" s="2"/>
      <c r="F608" s="2"/>
      <c r="G608" s="2"/>
    </row>
    <row r="609" spans="1:7" ht="12.75" x14ac:dyDescent="0.2">
      <c r="A609" s="31"/>
      <c r="B609" s="31"/>
      <c r="C609" s="31"/>
      <c r="D609" s="2"/>
      <c r="E609" s="2"/>
      <c r="F609" s="2"/>
      <c r="G609" s="2"/>
    </row>
    <row r="610" spans="1:7" ht="12.75" x14ac:dyDescent="0.2">
      <c r="A610" s="31"/>
      <c r="B610" s="31"/>
      <c r="C610" s="31"/>
      <c r="D610" s="2"/>
      <c r="E610" s="2"/>
      <c r="F610" s="2"/>
      <c r="G610" s="2"/>
    </row>
    <row r="611" spans="1:7" ht="12.75" x14ac:dyDescent="0.2">
      <c r="A611" s="31"/>
      <c r="B611" s="31"/>
      <c r="C611" s="31"/>
      <c r="D611" s="2"/>
      <c r="E611" s="2"/>
      <c r="F611" s="2"/>
      <c r="G611" s="2"/>
    </row>
    <row r="612" spans="1:7" ht="12.75" x14ac:dyDescent="0.2">
      <c r="A612" s="31"/>
      <c r="B612" s="31"/>
      <c r="C612" s="31"/>
      <c r="D612" s="2"/>
      <c r="E612" s="2"/>
      <c r="F612" s="2"/>
      <c r="G612" s="2"/>
    </row>
    <row r="613" spans="1:7" ht="12.75" x14ac:dyDescent="0.2">
      <c r="A613" s="31"/>
      <c r="B613" s="31"/>
      <c r="C613" s="31"/>
      <c r="D613" s="2"/>
      <c r="E613" s="2"/>
      <c r="F613" s="2"/>
      <c r="G613" s="2"/>
    </row>
    <row r="614" spans="1:7" ht="12.75" x14ac:dyDescent="0.2">
      <c r="A614" s="31"/>
      <c r="B614" s="31"/>
      <c r="C614" s="31"/>
      <c r="D614" s="2"/>
      <c r="E614" s="2"/>
      <c r="F614" s="2"/>
      <c r="G614" s="2"/>
    </row>
    <row r="615" spans="1:7" ht="12.75" x14ac:dyDescent="0.2">
      <c r="A615" s="31"/>
      <c r="B615" s="31"/>
      <c r="C615" s="31"/>
      <c r="D615" s="2"/>
      <c r="E615" s="2"/>
      <c r="F615" s="2"/>
      <c r="G615" s="2"/>
    </row>
    <row r="616" spans="1:7" ht="12.75" x14ac:dyDescent="0.2">
      <c r="A616" s="31"/>
      <c r="B616" s="31"/>
      <c r="C616" s="31"/>
      <c r="D616" s="2"/>
      <c r="E616" s="2"/>
      <c r="F616" s="2"/>
      <c r="G616" s="2"/>
    </row>
    <row r="617" spans="1:7" ht="12.75" x14ac:dyDescent="0.2">
      <c r="A617" s="31"/>
      <c r="B617" s="31"/>
      <c r="C617" s="31"/>
      <c r="D617" s="2"/>
      <c r="E617" s="2"/>
      <c r="F617" s="2"/>
      <c r="G617" s="2"/>
    </row>
    <row r="618" spans="1:7" ht="12.75" x14ac:dyDescent="0.2">
      <c r="A618" s="31"/>
      <c r="B618" s="31"/>
      <c r="C618" s="31"/>
      <c r="D618" s="2"/>
      <c r="E618" s="2"/>
      <c r="F618" s="2"/>
      <c r="G618" s="2"/>
    </row>
    <row r="619" spans="1:7" ht="12.75" x14ac:dyDescent="0.2">
      <c r="A619" s="31"/>
      <c r="B619" s="31"/>
      <c r="C619" s="31"/>
      <c r="D619" s="2"/>
      <c r="E619" s="2"/>
      <c r="F619" s="2"/>
      <c r="G619" s="2"/>
    </row>
    <row r="620" spans="1:7" ht="12.75" x14ac:dyDescent="0.2">
      <c r="A620" s="31"/>
      <c r="B620" s="31"/>
      <c r="C620" s="31"/>
      <c r="D620" s="2"/>
      <c r="E620" s="2"/>
      <c r="F620" s="2"/>
      <c r="G620" s="2"/>
    </row>
    <row r="621" spans="1:7" ht="12.75" x14ac:dyDescent="0.2">
      <c r="A621" s="31"/>
      <c r="B621" s="31"/>
      <c r="C621" s="31"/>
      <c r="D621" s="2"/>
      <c r="E621" s="2"/>
      <c r="F621" s="2"/>
      <c r="G621" s="2"/>
    </row>
    <row r="622" spans="1:7" ht="12.75" x14ac:dyDescent="0.2">
      <c r="A622" s="31"/>
      <c r="B622" s="31"/>
      <c r="C622" s="31"/>
      <c r="D622" s="2"/>
      <c r="E622" s="2"/>
      <c r="F622" s="2"/>
      <c r="G622" s="2"/>
    </row>
    <row r="623" spans="1:7" ht="12.75" x14ac:dyDescent="0.2">
      <c r="A623" s="31"/>
      <c r="B623" s="31"/>
      <c r="C623" s="31"/>
      <c r="D623" s="2"/>
      <c r="E623" s="2"/>
      <c r="F623" s="2"/>
      <c r="G623" s="2"/>
    </row>
    <row r="624" spans="1:7" ht="12.75" x14ac:dyDescent="0.2">
      <c r="A624" s="31"/>
      <c r="B624" s="31"/>
      <c r="C624" s="31"/>
      <c r="D624" s="2"/>
      <c r="E624" s="2"/>
      <c r="F624" s="2"/>
      <c r="G624" s="2"/>
    </row>
    <row r="625" spans="1:7" ht="12.75" x14ac:dyDescent="0.2">
      <c r="A625" s="31"/>
      <c r="B625" s="31"/>
      <c r="C625" s="31"/>
      <c r="D625" s="2"/>
      <c r="E625" s="2"/>
      <c r="F625" s="2"/>
      <c r="G625" s="2"/>
    </row>
    <row r="626" spans="1:7" ht="12.75" x14ac:dyDescent="0.2">
      <c r="A626" s="31"/>
      <c r="B626" s="31"/>
      <c r="C626" s="31"/>
      <c r="D626" s="2"/>
      <c r="E626" s="2"/>
      <c r="F626" s="2"/>
      <c r="G626" s="2"/>
    </row>
    <row r="627" spans="1:7" ht="12.75" x14ac:dyDescent="0.2">
      <c r="A627" s="31"/>
      <c r="B627" s="31"/>
      <c r="C627" s="31"/>
      <c r="D627" s="2"/>
      <c r="E627" s="2"/>
      <c r="F627" s="2"/>
      <c r="G627" s="2"/>
    </row>
    <row r="628" spans="1:7" ht="12.75" x14ac:dyDescent="0.2">
      <c r="A628" s="31"/>
      <c r="B628" s="31"/>
      <c r="C628" s="31"/>
      <c r="D628" s="2"/>
      <c r="E628" s="2"/>
      <c r="F628" s="2"/>
      <c r="G628" s="2"/>
    </row>
    <row r="629" spans="1:7" ht="12.75" x14ac:dyDescent="0.2">
      <c r="A629" s="31"/>
      <c r="B629" s="31"/>
      <c r="C629" s="31"/>
      <c r="D629" s="2"/>
      <c r="E629" s="2"/>
      <c r="F629" s="2"/>
      <c r="G629" s="2"/>
    </row>
    <row r="630" spans="1:7" ht="12.75" x14ac:dyDescent="0.2">
      <c r="A630" s="31"/>
      <c r="B630" s="31"/>
      <c r="C630" s="31"/>
      <c r="D630" s="2"/>
      <c r="E630" s="2"/>
      <c r="F630" s="2"/>
      <c r="G630" s="2"/>
    </row>
    <row r="631" spans="1:7" ht="12.75" x14ac:dyDescent="0.2">
      <c r="A631" s="31"/>
      <c r="B631" s="31"/>
      <c r="C631" s="31"/>
      <c r="D631" s="2"/>
      <c r="E631" s="2"/>
      <c r="F631" s="2"/>
      <c r="G631" s="2"/>
    </row>
    <row r="632" spans="1:7" ht="12.75" x14ac:dyDescent="0.2">
      <c r="A632" s="31"/>
      <c r="B632" s="31"/>
      <c r="C632" s="31"/>
      <c r="D632" s="2"/>
      <c r="E632" s="2"/>
      <c r="F632" s="2"/>
      <c r="G632" s="2"/>
    </row>
    <row r="633" spans="1:7" ht="12.75" x14ac:dyDescent="0.2">
      <c r="A633" s="31"/>
      <c r="B633" s="31"/>
      <c r="C633" s="31"/>
      <c r="D633" s="2"/>
      <c r="E633" s="2"/>
      <c r="F633" s="2"/>
      <c r="G633" s="2"/>
    </row>
    <row r="634" spans="1:7" ht="12.75" x14ac:dyDescent="0.2">
      <c r="A634" s="31"/>
      <c r="B634" s="31"/>
      <c r="C634" s="31"/>
      <c r="D634" s="2"/>
      <c r="E634" s="2"/>
      <c r="F634" s="2"/>
      <c r="G634" s="2"/>
    </row>
    <row r="635" spans="1:7" ht="12.75" x14ac:dyDescent="0.2">
      <c r="A635" s="31"/>
      <c r="B635" s="31"/>
      <c r="C635" s="31"/>
      <c r="D635" s="2"/>
      <c r="E635" s="2"/>
      <c r="F635" s="2"/>
      <c r="G635" s="2"/>
    </row>
    <row r="636" spans="1:7" ht="12.75" x14ac:dyDescent="0.2">
      <c r="A636" s="31"/>
      <c r="B636" s="31"/>
      <c r="C636" s="31"/>
      <c r="D636" s="2"/>
      <c r="E636" s="2"/>
      <c r="F636" s="2"/>
      <c r="G636" s="2"/>
    </row>
    <row r="637" spans="1:7" ht="12.75" x14ac:dyDescent="0.2">
      <c r="A637" s="31"/>
      <c r="B637" s="31"/>
      <c r="C637" s="31"/>
      <c r="D637" s="2"/>
      <c r="E637" s="2"/>
      <c r="F637" s="2"/>
      <c r="G637" s="2"/>
    </row>
    <row r="638" spans="1:7" ht="12.75" x14ac:dyDescent="0.2">
      <c r="A638" s="31"/>
      <c r="B638" s="31"/>
      <c r="C638" s="31"/>
      <c r="D638" s="2"/>
      <c r="E638" s="2"/>
      <c r="F638" s="2"/>
      <c r="G638" s="2"/>
    </row>
    <row r="639" spans="1:7" ht="12.75" x14ac:dyDescent="0.2">
      <c r="A639" s="31"/>
      <c r="B639" s="31"/>
      <c r="C639" s="31"/>
      <c r="D639" s="2"/>
      <c r="E639" s="2"/>
      <c r="F639" s="2"/>
      <c r="G639" s="2"/>
    </row>
    <row r="640" spans="1:7" ht="12.75" x14ac:dyDescent="0.2">
      <c r="A640" s="31"/>
      <c r="B640" s="31"/>
      <c r="C640" s="31"/>
      <c r="D640" s="2"/>
      <c r="E640" s="2"/>
      <c r="F640" s="2"/>
      <c r="G640" s="2"/>
    </row>
    <row r="641" spans="1:7" ht="12.75" x14ac:dyDescent="0.2">
      <c r="A641" s="31"/>
      <c r="B641" s="31"/>
      <c r="C641" s="31"/>
      <c r="D641" s="2"/>
      <c r="E641" s="2"/>
      <c r="F641" s="2"/>
      <c r="G641" s="2"/>
    </row>
    <row r="642" spans="1:7" ht="12.75" x14ac:dyDescent="0.2">
      <c r="A642" s="31"/>
      <c r="B642" s="31"/>
      <c r="C642" s="31"/>
      <c r="D642" s="2"/>
      <c r="E642" s="2"/>
      <c r="F642" s="2"/>
      <c r="G642" s="2"/>
    </row>
    <row r="643" spans="1:7" ht="12.75" x14ac:dyDescent="0.2">
      <c r="A643" s="31"/>
      <c r="B643" s="31"/>
      <c r="C643" s="31"/>
      <c r="D643" s="2"/>
      <c r="E643" s="2"/>
      <c r="F643" s="2"/>
      <c r="G643" s="2"/>
    </row>
    <row r="644" spans="1:7" ht="12.75" x14ac:dyDescent="0.2">
      <c r="A644" s="31"/>
      <c r="B644" s="31"/>
      <c r="C644" s="31"/>
      <c r="D644" s="2"/>
      <c r="E644" s="2"/>
      <c r="F644" s="2"/>
      <c r="G644" s="2"/>
    </row>
    <row r="645" spans="1:7" ht="12.75" x14ac:dyDescent="0.2">
      <c r="A645" s="31"/>
      <c r="B645" s="31"/>
      <c r="C645" s="31"/>
      <c r="D645" s="2"/>
      <c r="E645" s="2"/>
      <c r="F645" s="2"/>
      <c r="G645" s="2"/>
    </row>
    <row r="646" spans="1:7" ht="12.75" x14ac:dyDescent="0.2">
      <c r="A646" s="31"/>
      <c r="B646" s="31"/>
      <c r="C646" s="31"/>
      <c r="D646" s="2"/>
      <c r="E646" s="2"/>
      <c r="F646" s="2"/>
      <c r="G646" s="2"/>
    </row>
    <row r="647" spans="1:7" ht="12.75" x14ac:dyDescent="0.2">
      <c r="A647" s="31"/>
      <c r="B647" s="31"/>
      <c r="C647" s="31"/>
      <c r="D647" s="2"/>
      <c r="E647" s="2"/>
      <c r="F647" s="2"/>
      <c r="G647" s="2"/>
    </row>
    <row r="648" spans="1:7" ht="12.75" x14ac:dyDescent="0.2">
      <c r="A648" s="31"/>
      <c r="B648" s="31"/>
      <c r="C648" s="31"/>
      <c r="D648" s="2"/>
      <c r="E648" s="2"/>
      <c r="F648" s="2"/>
      <c r="G648" s="2"/>
    </row>
    <row r="649" spans="1:7" ht="12.75" x14ac:dyDescent="0.2">
      <c r="A649" s="31"/>
      <c r="B649" s="31"/>
      <c r="C649" s="31"/>
      <c r="D649" s="2"/>
      <c r="E649" s="2"/>
      <c r="F649" s="2"/>
      <c r="G649" s="2"/>
    </row>
    <row r="650" spans="1:7" ht="12.75" x14ac:dyDescent="0.2">
      <c r="A650" s="31"/>
      <c r="B650" s="31"/>
      <c r="C650" s="31"/>
      <c r="D650" s="2"/>
      <c r="E650" s="2"/>
      <c r="F650" s="2"/>
      <c r="G650" s="2"/>
    </row>
    <row r="651" spans="1:7" ht="12.75" x14ac:dyDescent="0.2">
      <c r="A651" s="31"/>
      <c r="B651" s="31"/>
      <c r="C651" s="31"/>
      <c r="D651" s="2"/>
      <c r="E651" s="2"/>
      <c r="F651" s="2"/>
      <c r="G651" s="2"/>
    </row>
    <row r="652" spans="1:7" ht="12.75" x14ac:dyDescent="0.2">
      <c r="A652" s="31"/>
      <c r="B652" s="31"/>
      <c r="C652" s="31"/>
      <c r="D652" s="2"/>
      <c r="E652" s="2"/>
      <c r="F652" s="2"/>
      <c r="G652" s="2"/>
    </row>
    <row r="653" spans="1:7" ht="12.75" x14ac:dyDescent="0.2">
      <c r="A653" s="31"/>
      <c r="B653" s="31"/>
      <c r="C653" s="31"/>
      <c r="D653" s="2"/>
      <c r="E653" s="2"/>
      <c r="F653" s="2"/>
      <c r="G653" s="2"/>
    </row>
    <row r="654" spans="1:7" ht="12.75" x14ac:dyDescent="0.2">
      <c r="A654" s="31"/>
      <c r="B654" s="31"/>
      <c r="C654" s="31"/>
      <c r="D654" s="2"/>
      <c r="E654" s="2"/>
      <c r="F654" s="2"/>
      <c r="G654" s="2"/>
    </row>
    <row r="655" spans="1:7" ht="12.75" x14ac:dyDescent="0.2">
      <c r="A655" s="31"/>
      <c r="B655" s="31"/>
      <c r="C655" s="31"/>
      <c r="D655" s="2"/>
      <c r="E655" s="2"/>
      <c r="F655" s="2"/>
      <c r="G655" s="2"/>
    </row>
    <row r="656" spans="1:7" ht="12.75" x14ac:dyDescent="0.2">
      <c r="A656" s="31"/>
      <c r="B656" s="31"/>
      <c r="C656" s="31"/>
      <c r="D656" s="2"/>
      <c r="E656" s="2"/>
      <c r="F656" s="2"/>
      <c r="G656" s="2"/>
    </row>
    <row r="657" spans="1:7" ht="12.75" x14ac:dyDescent="0.2">
      <c r="A657" s="31"/>
      <c r="B657" s="31"/>
      <c r="C657" s="31"/>
      <c r="D657" s="2"/>
      <c r="E657" s="2"/>
      <c r="F657" s="2"/>
      <c r="G657" s="2"/>
    </row>
    <row r="658" spans="1:7" ht="12.75" x14ac:dyDescent="0.2">
      <c r="A658" s="31"/>
      <c r="B658" s="31"/>
      <c r="C658" s="31"/>
      <c r="D658" s="2"/>
      <c r="E658" s="2"/>
      <c r="F658" s="2"/>
      <c r="G658" s="2"/>
    </row>
    <row r="659" spans="1:7" ht="12.75" x14ac:dyDescent="0.2">
      <c r="A659" s="31"/>
      <c r="B659" s="31"/>
      <c r="C659" s="31"/>
      <c r="D659" s="2"/>
      <c r="E659" s="2"/>
      <c r="F659" s="2"/>
      <c r="G659" s="2"/>
    </row>
    <row r="660" spans="1:7" ht="12.75" x14ac:dyDescent="0.2">
      <c r="A660" s="31"/>
      <c r="B660" s="31"/>
      <c r="C660" s="31"/>
      <c r="D660" s="2"/>
      <c r="E660" s="2"/>
      <c r="F660" s="2"/>
      <c r="G660" s="2"/>
    </row>
    <row r="661" spans="1:7" ht="12.75" x14ac:dyDescent="0.2">
      <c r="A661" s="31"/>
      <c r="B661" s="31"/>
      <c r="C661" s="31"/>
      <c r="D661" s="2"/>
      <c r="E661" s="2"/>
      <c r="F661" s="2"/>
      <c r="G661" s="2"/>
    </row>
    <row r="662" spans="1:7" ht="12.75" x14ac:dyDescent="0.2">
      <c r="A662" s="31"/>
      <c r="B662" s="31"/>
      <c r="C662" s="31"/>
      <c r="D662" s="2"/>
      <c r="E662" s="2"/>
      <c r="F662" s="2"/>
      <c r="G662" s="2"/>
    </row>
    <row r="663" spans="1:7" ht="12.75" x14ac:dyDescent="0.2">
      <c r="A663" s="31"/>
      <c r="B663" s="31"/>
      <c r="C663" s="31"/>
      <c r="D663" s="2"/>
      <c r="E663" s="2"/>
      <c r="F663" s="2"/>
      <c r="G663" s="2"/>
    </row>
    <row r="664" spans="1:7" ht="12.75" x14ac:dyDescent="0.2">
      <c r="A664" s="31"/>
      <c r="B664" s="31"/>
      <c r="C664" s="31"/>
      <c r="D664" s="2"/>
      <c r="E664" s="2"/>
      <c r="F664" s="2"/>
      <c r="G664" s="2"/>
    </row>
    <row r="665" spans="1:7" ht="12.75" x14ac:dyDescent="0.2">
      <c r="A665" s="31"/>
      <c r="B665" s="31"/>
      <c r="C665" s="31"/>
      <c r="D665" s="2"/>
      <c r="E665" s="2"/>
      <c r="F665" s="2"/>
      <c r="G665" s="2"/>
    </row>
    <row r="666" spans="1:7" ht="12.75" x14ac:dyDescent="0.2">
      <c r="A666" s="31"/>
      <c r="B666" s="31"/>
      <c r="C666" s="31"/>
      <c r="D666" s="2"/>
      <c r="E666" s="2"/>
      <c r="F666" s="2"/>
      <c r="G666" s="2"/>
    </row>
    <row r="667" spans="1:7" ht="12.75" x14ac:dyDescent="0.2">
      <c r="A667" s="31"/>
      <c r="B667" s="31"/>
      <c r="C667" s="31"/>
      <c r="D667" s="2"/>
      <c r="E667" s="2"/>
      <c r="F667" s="2"/>
      <c r="G667" s="2"/>
    </row>
    <row r="668" spans="1:7" ht="12.75" x14ac:dyDescent="0.2">
      <c r="A668" s="31"/>
      <c r="B668" s="31"/>
      <c r="C668" s="31"/>
      <c r="D668" s="2"/>
      <c r="E668" s="2"/>
      <c r="F668" s="2"/>
      <c r="G668" s="2"/>
    </row>
    <row r="669" spans="1:7" ht="12.75" x14ac:dyDescent="0.2">
      <c r="A669" s="31"/>
      <c r="B669" s="31"/>
      <c r="C669" s="31"/>
      <c r="D669" s="2"/>
      <c r="E669" s="2"/>
      <c r="F669" s="2"/>
      <c r="G669" s="2"/>
    </row>
    <row r="670" spans="1:7" ht="12.75" x14ac:dyDescent="0.2">
      <c r="A670" s="31"/>
      <c r="B670" s="31"/>
      <c r="C670" s="31"/>
      <c r="D670" s="2"/>
      <c r="E670" s="2"/>
      <c r="F670" s="2"/>
      <c r="G670" s="2"/>
    </row>
    <row r="671" spans="1:7" ht="12.75" x14ac:dyDescent="0.2">
      <c r="A671" s="31"/>
      <c r="B671" s="31"/>
      <c r="C671" s="31"/>
      <c r="D671" s="2"/>
      <c r="E671" s="2"/>
      <c r="F671" s="2"/>
      <c r="G671" s="2"/>
    </row>
    <row r="672" spans="1:7" ht="12.75" x14ac:dyDescent="0.2">
      <c r="A672" s="31"/>
      <c r="B672" s="31"/>
      <c r="C672" s="31"/>
      <c r="D672" s="2"/>
      <c r="E672" s="2"/>
      <c r="F672" s="2"/>
      <c r="G672" s="2"/>
    </row>
    <row r="673" spans="1:7" ht="12.75" x14ac:dyDescent="0.2">
      <c r="A673" s="31"/>
      <c r="B673" s="31"/>
      <c r="C673" s="31"/>
      <c r="D673" s="2"/>
      <c r="E673" s="2"/>
      <c r="F673" s="2"/>
      <c r="G673" s="2"/>
    </row>
    <row r="674" spans="1:7" ht="12.75" x14ac:dyDescent="0.2">
      <c r="A674" s="31"/>
      <c r="B674" s="31"/>
      <c r="C674" s="31"/>
      <c r="D674" s="2"/>
      <c r="E674" s="2"/>
      <c r="F674" s="2"/>
      <c r="G674" s="2"/>
    </row>
    <row r="675" spans="1:7" ht="12.75" x14ac:dyDescent="0.2">
      <c r="A675" s="31"/>
      <c r="B675" s="31"/>
      <c r="C675" s="31"/>
      <c r="D675" s="2"/>
      <c r="E675" s="2"/>
      <c r="F675" s="2"/>
      <c r="G675" s="2"/>
    </row>
    <row r="676" spans="1:7" ht="12.75" x14ac:dyDescent="0.2">
      <c r="A676" s="31"/>
      <c r="B676" s="31"/>
      <c r="C676" s="31"/>
      <c r="D676" s="2"/>
      <c r="E676" s="2"/>
      <c r="F676" s="2"/>
      <c r="G676" s="2"/>
    </row>
    <row r="677" spans="1:7" ht="12.75" x14ac:dyDescent="0.2">
      <c r="A677" s="31"/>
      <c r="B677" s="31"/>
      <c r="C677" s="31"/>
      <c r="D677" s="2"/>
      <c r="E677" s="2"/>
      <c r="F677" s="2"/>
      <c r="G677" s="2"/>
    </row>
    <row r="678" spans="1:7" ht="12.75" x14ac:dyDescent="0.2">
      <c r="A678" s="31"/>
      <c r="B678" s="31"/>
      <c r="C678" s="31"/>
      <c r="D678" s="2"/>
      <c r="E678" s="2"/>
      <c r="F678" s="2"/>
      <c r="G678" s="2"/>
    </row>
    <row r="679" spans="1:7" ht="12.75" x14ac:dyDescent="0.2">
      <c r="A679" s="31"/>
      <c r="B679" s="31"/>
      <c r="C679" s="31"/>
      <c r="D679" s="2"/>
      <c r="E679" s="2"/>
      <c r="F679" s="2"/>
      <c r="G679" s="2"/>
    </row>
    <row r="680" spans="1:7" ht="12.75" x14ac:dyDescent="0.2">
      <c r="A680" s="31"/>
      <c r="B680" s="31"/>
      <c r="C680" s="31"/>
      <c r="D680" s="2"/>
      <c r="E680" s="2"/>
      <c r="F680" s="2"/>
      <c r="G680" s="2"/>
    </row>
    <row r="681" spans="1:7" ht="12.75" x14ac:dyDescent="0.2">
      <c r="A681" s="31"/>
      <c r="B681" s="31"/>
      <c r="C681" s="31"/>
      <c r="D681" s="2"/>
      <c r="E681" s="2"/>
      <c r="F681" s="2"/>
      <c r="G681" s="2"/>
    </row>
    <row r="682" spans="1:7" ht="12.75" x14ac:dyDescent="0.2">
      <c r="A682" s="31"/>
      <c r="B682" s="31"/>
      <c r="C682" s="31"/>
      <c r="D682" s="2"/>
      <c r="E682" s="2"/>
      <c r="F682" s="2"/>
      <c r="G682" s="2"/>
    </row>
    <row r="683" spans="1:7" ht="12.75" x14ac:dyDescent="0.2">
      <c r="A683" s="31"/>
      <c r="B683" s="31"/>
      <c r="C683" s="31"/>
      <c r="D683" s="2"/>
      <c r="E683" s="2"/>
      <c r="F683" s="2"/>
      <c r="G683" s="2"/>
    </row>
    <row r="684" spans="1:7" ht="12.75" x14ac:dyDescent="0.2">
      <c r="A684" s="31"/>
      <c r="B684" s="31"/>
      <c r="C684" s="31"/>
      <c r="D684" s="2"/>
      <c r="E684" s="2"/>
      <c r="F684" s="2"/>
      <c r="G684" s="2"/>
    </row>
    <row r="685" spans="1:7" ht="12.75" x14ac:dyDescent="0.2">
      <c r="A685" s="31"/>
      <c r="B685" s="31"/>
      <c r="C685" s="31"/>
      <c r="D685" s="2"/>
      <c r="E685" s="2"/>
      <c r="F685" s="2"/>
      <c r="G685" s="2"/>
    </row>
    <row r="686" spans="1:7" ht="12.75" x14ac:dyDescent="0.2">
      <c r="A686" s="31"/>
      <c r="B686" s="31"/>
      <c r="C686" s="31"/>
      <c r="D686" s="2"/>
      <c r="E686" s="2"/>
      <c r="F686" s="2"/>
      <c r="G686" s="2"/>
    </row>
    <row r="687" spans="1:7" ht="12.75" x14ac:dyDescent="0.2">
      <c r="A687" s="31"/>
      <c r="B687" s="31"/>
      <c r="C687" s="31"/>
      <c r="D687" s="2"/>
      <c r="E687" s="2"/>
      <c r="F687" s="2"/>
      <c r="G687" s="2"/>
    </row>
    <row r="688" spans="1:7" ht="12.75" x14ac:dyDescent="0.2">
      <c r="A688" s="31"/>
      <c r="B688" s="31"/>
      <c r="C688" s="31"/>
      <c r="D688" s="2"/>
      <c r="E688" s="2"/>
      <c r="F688" s="2"/>
      <c r="G688" s="2"/>
    </row>
    <row r="689" spans="1:7" ht="12.75" x14ac:dyDescent="0.2">
      <c r="A689" s="31"/>
      <c r="B689" s="31"/>
      <c r="C689" s="31"/>
      <c r="D689" s="2"/>
      <c r="E689" s="2"/>
      <c r="F689" s="2"/>
      <c r="G689" s="2"/>
    </row>
    <row r="690" spans="1:7" ht="12.75" x14ac:dyDescent="0.2">
      <c r="A690" s="31"/>
      <c r="B690" s="31"/>
      <c r="C690" s="31"/>
      <c r="D690" s="2"/>
      <c r="E690" s="2"/>
      <c r="F690" s="2"/>
      <c r="G690" s="2"/>
    </row>
    <row r="691" spans="1:7" ht="12.75" x14ac:dyDescent="0.2">
      <c r="A691" s="31"/>
      <c r="B691" s="31"/>
      <c r="C691" s="31"/>
      <c r="D691" s="2"/>
      <c r="E691" s="2"/>
      <c r="F691" s="2"/>
      <c r="G691" s="2"/>
    </row>
    <row r="692" spans="1:7" ht="12.75" x14ac:dyDescent="0.2">
      <c r="A692" s="31"/>
      <c r="B692" s="31"/>
      <c r="C692" s="31"/>
      <c r="D692" s="2"/>
      <c r="E692" s="2"/>
      <c r="F692" s="2"/>
      <c r="G692" s="2"/>
    </row>
    <row r="693" spans="1:7" ht="12.75" x14ac:dyDescent="0.2">
      <c r="A693" s="31"/>
      <c r="B693" s="31"/>
      <c r="C693" s="31"/>
      <c r="D693" s="2"/>
      <c r="E693" s="2"/>
      <c r="F693" s="2"/>
      <c r="G693" s="2"/>
    </row>
    <row r="694" spans="1:7" ht="12.75" x14ac:dyDescent="0.2">
      <c r="A694" s="31"/>
      <c r="B694" s="31"/>
      <c r="C694" s="31"/>
      <c r="D694" s="2"/>
      <c r="E694" s="2"/>
      <c r="F694" s="2"/>
      <c r="G694" s="2"/>
    </row>
    <row r="695" spans="1:7" ht="12.75" x14ac:dyDescent="0.2">
      <c r="A695" s="31"/>
      <c r="B695" s="31"/>
      <c r="C695" s="31"/>
      <c r="D695" s="2"/>
      <c r="E695" s="2"/>
      <c r="F695" s="2"/>
      <c r="G695" s="2"/>
    </row>
    <row r="696" spans="1:7" ht="12.75" x14ac:dyDescent="0.2">
      <c r="A696" s="31"/>
      <c r="B696" s="31"/>
      <c r="C696" s="31"/>
      <c r="D696" s="2"/>
      <c r="E696" s="2"/>
      <c r="F696" s="2"/>
      <c r="G696" s="2"/>
    </row>
    <row r="697" spans="1:7" ht="12.75" x14ac:dyDescent="0.2">
      <c r="A697" s="31"/>
      <c r="B697" s="31"/>
      <c r="C697" s="31"/>
      <c r="D697" s="2"/>
      <c r="E697" s="2"/>
      <c r="F697" s="2"/>
      <c r="G697" s="2"/>
    </row>
    <row r="698" spans="1:7" ht="12.75" x14ac:dyDescent="0.2">
      <c r="A698" s="31"/>
      <c r="B698" s="31"/>
      <c r="C698" s="31"/>
      <c r="D698" s="2"/>
      <c r="E698" s="2"/>
      <c r="F698" s="2"/>
      <c r="G698" s="2"/>
    </row>
    <row r="699" spans="1:7" ht="12.75" x14ac:dyDescent="0.2">
      <c r="A699" s="31"/>
      <c r="B699" s="31"/>
      <c r="C699" s="31"/>
      <c r="D699" s="2"/>
      <c r="E699" s="2"/>
      <c r="F699" s="2"/>
      <c r="G699" s="2"/>
    </row>
    <row r="700" spans="1:7" ht="12.75" x14ac:dyDescent="0.2">
      <c r="A700" s="31"/>
      <c r="B700" s="31"/>
      <c r="C700" s="31"/>
      <c r="D700" s="2"/>
      <c r="E700" s="2"/>
      <c r="F700" s="2"/>
      <c r="G700" s="2"/>
    </row>
    <row r="701" spans="1:7" ht="12.75" x14ac:dyDescent="0.2">
      <c r="A701" s="31"/>
      <c r="B701" s="31"/>
      <c r="C701" s="31"/>
      <c r="D701" s="2"/>
      <c r="E701" s="2"/>
      <c r="F701" s="2"/>
      <c r="G701" s="2"/>
    </row>
    <row r="702" spans="1:7" ht="12.75" x14ac:dyDescent="0.2">
      <c r="A702" s="31"/>
      <c r="B702" s="31"/>
      <c r="C702" s="31"/>
      <c r="D702" s="2"/>
      <c r="E702" s="2"/>
      <c r="F702" s="2"/>
      <c r="G702" s="2"/>
    </row>
    <row r="703" spans="1:7" ht="12.75" x14ac:dyDescent="0.2">
      <c r="A703" s="31"/>
      <c r="B703" s="31"/>
      <c r="C703" s="31"/>
      <c r="D703" s="2"/>
      <c r="E703" s="2"/>
      <c r="F703" s="2"/>
      <c r="G703" s="2"/>
    </row>
    <row r="704" spans="1:7" ht="12.75" x14ac:dyDescent="0.2">
      <c r="A704" s="31"/>
      <c r="B704" s="31"/>
      <c r="C704" s="31"/>
      <c r="D704" s="2"/>
      <c r="E704" s="2"/>
      <c r="F704" s="2"/>
      <c r="G704" s="2"/>
    </row>
    <row r="705" spans="1:7" ht="12.75" x14ac:dyDescent="0.2">
      <c r="A705" s="31"/>
      <c r="B705" s="31"/>
      <c r="C705" s="31"/>
      <c r="D705" s="2"/>
      <c r="E705" s="2"/>
      <c r="F705" s="2"/>
      <c r="G705" s="2"/>
    </row>
    <row r="706" spans="1:7" ht="12.75" x14ac:dyDescent="0.2">
      <c r="A706" s="31"/>
      <c r="B706" s="31"/>
      <c r="C706" s="31"/>
      <c r="D706" s="2"/>
      <c r="E706" s="2"/>
      <c r="F706" s="2"/>
      <c r="G706" s="2"/>
    </row>
    <row r="707" spans="1:7" ht="12.75" x14ac:dyDescent="0.2">
      <c r="A707" s="31"/>
      <c r="B707" s="31"/>
      <c r="C707" s="31"/>
      <c r="D707" s="2"/>
      <c r="E707" s="2"/>
      <c r="F707" s="2"/>
      <c r="G707" s="2"/>
    </row>
    <row r="708" spans="1:7" ht="12.75" x14ac:dyDescent="0.2">
      <c r="A708" s="31"/>
      <c r="B708" s="31"/>
      <c r="C708" s="31"/>
      <c r="D708" s="2"/>
      <c r="E708" s="2"/>
      <c r="F708" s="2"/>
      <c r="G708" s="2"/>
    </row>
    <row r="709" spans="1:7" ht="12.75" x14ac:dyDescent="0.2">
      <c r="A709" s="31"/>
      <c r="B709" s="31"/>
      <c r="C709" s="31"/>
      <c r="D709" s="2"/>
      <c r="E709" s="2"/>
      <c r="F709" s="2"/>
      <c r="G709" s="2"/>
    </row>
    <row r="710" spans="1:7" ht="12.75" x14ac:dyDescent="0.2">
      <c r="A710" s="31"/>
      <c r="B710" s="31"/>
      <c r="C710" s="31"/>
      <c r="D710" s="2"/>
      <c r="E710" s="2"/>
      <c r="F710" s="2"/>
      <c r="G710" s="2"/>
    </row>
    <row r="711" spans="1:7" ht="12.75" x14ac:dyDescent="0.2">
      <c r="A711" s="31"/>
      <c r="B711" s="31"/>
      <c r="C711" s="31"/>
      <c r="D711" s="2"/>
      <c r="E711" s="2"/>
      <c r="F711" s="2"/>
      <c r="G711" s="2"/>
    </row>
    <row r="712" spans="1:7" ht="12.75" x14ac:dyDescent="0.2">
      <c r="A712" s="31"/>
      <c r="B712" s="31"/>
      <c r="C712" s="31"/>
      <c r="D712" s="2"/>
      <c r="E712" s="2"/>
      <c r="F712" s="2"/>
      <c r="G712" s="2"/>
    </row>
    <row r="713" spans="1:7" ht="12.75" x14ac:dyDescent="0.2">
      <c r="A713" s="31"/>
      <c r="B713" s="31"/>
      <c r="C713" s="31"/>
      <c r="D713" s="2"/>
      <c r="E713" s="2"/>
      <c r="F713" s="2"/>
      <c r="G713" s="2"/>
    </row>
    <row r="714" spans="1:7" ht="12.75" x14ac:dyDescent="0.2">
      <c r="A714" s="31"/>
      <c r="B714" s="31"/>
      <c r="C714" s="31"/>
      <c r="D714" s="2"/>
      <c r="E714" s="2"/>
      <c r="F714" s="2"/>
      <c r="G714" s="2"/>
    </row>
    <row r="715" spans="1:7" ht="12.75" x14ac:dyDescent="0.2">
      <c r="A715" s="31"/>
      <c r="B715" s="31"/>
      <c r="C715" s="31"/>
      <c r="D715" s="2"/>
      <c r="E715" s="2"/>
      <c r="F715" s="2"/>
      <c r="G715" s="2"/>
    </row>
    <row r="716" spans="1:7" ht="12.75" x14ac:dyDescent="0.2">
      <c r="A716" s="31"/>
      <c r="B716" s="31"/>
      <c r="C716" s="31"/>
      <c r="D716" s="2"/>
      <c r="E716" s="2"/>
      <c r="F716" s="2"/>
      <c r="G716" s="2"/>
    </row>
    <row r="717" spans="1:7" ht="12.75" x14ac:dyDescent="0.2">
      <c r="A717" s="31"/>
      <c r="B717" s="31"/>
      <c r="C717" s="31"/>
      <c r="D717" s="2"/>
      <c r="E717" s="2"/>
      <c r="F717" s="2"/>
      <c r="G717" s="2"/>
    </row>
    <row r="718" spans="1:7" ht="12.75" x14ac:dyDescent="0.2">
      <c r="A718" s="31"/>
      <c r="B718" s="31"/>
      <c r="C718" s="31"/>
      <c r="D718" s="2"/>
      <c r="E718" s="2"/>
      <c r="F718" s="2"/>
      <c r="G718" s="2"/>
    </row>
    <row r="719" spans="1:7" ht="12.75" x14ac:dyDescent="0.2">
      <c r="A719" s="31"/>
      <c r="B719" s="31"/>
      <c r="C719" s="31"/>
      <c r="D719" s="2"/>
      <c r="E719" s="2"/>
      <c r="F719" s="2"/>
      <c r="G719" s="2"/>
    </row>
    <row r="720" spans="1:7" ht="12.75" x14ac:dyDescent="0.2">
      <c r="A720" s="31"/>
      <c r="B720" s="31"/>
      <c r="C720" s="31"/>
      <c r="D720" s="2"/>
      <c r="E720" s="2"/>
      <c r="F720" s="2"/>
      <c r="G720" s="2"/>
    </row>
    <row r="721" spans="1:7" ht="12.75" x14ac:dyDescent="0.2">
      <c r="A721" s="31"/>
      <c r="B721" s="31"/>
      <c r="C721" s="31"/>
      <c r="D721" s="2"/>
      <c r="E721" s="2"/>
      <c r="F721" s="2"/>
      <c r="G721" s="2"/>
    </row>
    <row r="722" spans="1:7" ht="12.75" x14ac:dyDescent="0.2">
      <c r="A722" s="31"/>
      <c r="B722" s="31"/>
      <c r="C722" s="31"/>
      <c r="D722" s="2"/>
      <c r="E722" s="2"/>
      <c r="F722" s="2"/>
      <c r="G722" s="2"/>
    </row>
    <row r="723" spans="1:7" ht="12.75" x14ac:dyDescent="0.2">
      <c r="A723" s="31"/>
      <c r="B723" s="31"/>
      <c r="C723" s="31"/>
      <c r="D723" s="2"/>
      <c r="E723" s="2"/>
      <c r="F723" s="2"/>
      <c r="G723" s="2"/>
    </row>
    <row r="724" spans="1:7" ht="12.75" x14ac:dyDescent="0.2">
      <c r="A724" s="31"/>
      <c r="B724" s="31"/>
      <c r="C724" s="31"/>
      <c r="D724" s="2"/>
      <c r="E724" s="2"/>
      <c r="F724" s="2"/>
      <c r="G724" s="2"/>
    </row>
    <row r="725" spans="1:7" ht="12.75" x14ac:dyDescent="0.2">
      <c r="A725" s="31"/>
      <c r="B725" s="31"/>
      <c r="C725" s="31"/>
      <c r="D725" s="2"/>
      <c r="E725" s="2"/>
      <c r="F725" s="2"/>
      <c r="G725" s="2"/>
    </row>
    <row r="726" spans="1:7" ht="12.75" x14ac:dyDescent="0.2">
      <c r="A726" s="31"/>
      <c r="B726" s="31"/>
      <c r="C726" s="31"/>
      <c r="D726" s="2"/>
      <c r="E726" s="2"/>
      <c r="F726" s="2"/>
      <c r="G726" s="2"/>
    </row>
    <row r="727" spans="1:7" ht="12.75" x14ac:dyDescent="0.2">
      <c r="A727" s="31"/>
      <c r="B727" s="31"/>
      <c r="C727" s="31"/>
      <c r="D727" s="2"/>
      <c r="E727" s="2"/>
      <c r="F727" s="2"/>
      <c r="G727" s="2"/>
    </row>
    <row r="728" spans="1:7" ht="12.75" x14ac:dyDescent="0.2">
      <c r="A728" s="31"/>
      <c r="B728" s="31"/>
      <c r="C728" s="31"/>
      <c r="D728" s="2"/>
      <c r="E728" s="2"/>
      <c r="F728" s="2"/>
      <c r="G728" s="2"/>
    </row>
    <row r="729" spans="1:7" ht="12.75" x14ac:dyDescent="0.2">
      <c r="A729" s="31"/>
      <c r="B729" s="31"/>
      <c r="C729" s="31"/>
      <c r="D729" s="2"/>
      <c r="E729" s="2"/>
      <c r="F729" s="2"/>
      <c r="G729" s="2"/>
    </row>
    <row r="730" spans="1:7" ht="12.75" x14ac:dyDescent="0.2">
      <c r="A730" s="31"/>
      <c r="B730" s="31"/>
      <c r="C730" s="31"/>
      <c r="D730" s="2"/>
      <c r="E730" s="2"/>
      <c r="F730" s="2"/>
      <c r="G730" s="2"/>
    </row>
    <row r="731" spans="1:7" ht="12.75" x14ac:dyDescent="0.2">
      <c r="A731" s="31"/>
      <c r="B731" s="31"/>
      <c r="C731" s="31"/>
      <c r="D731" s="2"/>
      <c r="E731" s="2"/>
      <c r="F731" s="2"/>
      <c r="G731" s="2"/>
    </row>
    <row r="732" spans="1:7" ht="12.75" x14ac:dyDescent="0.2">
      <c r="A732" s="31"/>
      <c r="B732" s="31"/>
      <c r="C732" s="31"/>
      <c r="D732" s="2"/>
      <c r="E732" s="2"/>
      <c r="F732" s="2"/>
      <c r="G732" s="2"/>
    </row>
    <row r="733" spans="1:7" ht="12.75" x14ac:dyDescent="0.2">
      <c r="A733" s="31"/>
      <c r="B733" s="31"/>
      <c r="C733" s="31"/>
      <c r="D733" s="2"/>
      <c r="E733" s="2"/>
      <c r="F733" s="2"/>
      <c r="G733" s="2"/>
    </row>
    <row r="734" spans="1:7" ht="12.75" x14ac:dyDescent="0.2">
      <c r="A734" s="31"/>
      <c r="B734" s="31"/>
      <c r="C734" s="31"/>
      <c r="D734" s="2"/>
      <c r="E734" s="2"/>
      <c r="F734" s="2"/>
      <c r="G734" s="2"/>
    </row>
    <row r="735" spans="1:7" ht="12.75" x14ac:dyDescent="0.2">
      <c r="A735" s="31"/>
      <c r="B735" s="31"/>
      <c r="C735" s="31"/>
      <c r="D735" s="2"/>
      <c r="E735" s="2"/>
      <c r="F735" s="2"/>
      <c r="G735" s="2"/>
    </row>
    <row r="736" spans="1:7" ht="12.75" x14ac:dyDescent="0.2">
      <c r="A736" s="31"/>
      <c r="B736" s="31"/>
      <c r="C736" s="31"/>
      <c r="D736" s="2"/>
      <c r="E736" s="2"/>
      <c r="F736" s="2"/>
      <c r="G736" s="2"/>
    </row>
    <row r="737" spans="1:7" ht="12.75" x14ac:dyDescent="0.2">
      <c r="A737" s="31"/>
      <c r="B737" s="31"/>
      <c r="C737" s="31"/>
      <c r="D737" s="2"/>
      <c r="E737" s="2"/>
      <c r="F737" s="2"/>
      <c r="G737" s="2"/>
    </row>
    <row r="738" spans="1:7" ht="12.75" x14ac:dyDescent="0.2">
      <c r="A738" s="31"/>
      <c r="B738" s="31"/>
      <c r="C738" s="31"/>
      <c r="D738" s="2"/>
      <c r="E738" s="2"/>
      <c r="F738" s="2"/>
      <c r="G738" s="2"/>
    </row>
    <row r="739" spans="1:7" ht="12.75" x14ac:dyDescent="0.2">
      <c r="A739" s="31"/>
      <c r="B739" s="31"/>
      <c r="C739" s="31"/>
      <c r="D739" s="2"/>
      <c r="E739" s="2"/>
      <c r="F739" s="2"/>
      <c r="G739" s="2"/>
    </row>
    <row r="740" spans="1:7" ht="12.75" x14ac:dyDescent="0.2">
      <c r="A740" s="31"/>
      <c r="B740" s="31"/>
      <c r="C740" s="31"/>
      <c r="D740" s="2"/>
      <c r="E740" s="2"/>
      <c r="F740" s="2"/>
      <c r="G740" s="2"/>
    </row>
    <row r="741" spans="1:7" ht="12.75" x14ac:dyDescent="0.2">
      <c r="A741" s="31"/>
      <c r="B741" s="31"/>
      <c r="C741" s="31"/>
      <c r="D741" s="2"/>
      <c r="E741" s="2"/>
      <c r="F741" s="2"/>
      <c r="G741" s="2"/>
    </row>
    <row r="742" spans="1:7" ht="12.75" x14ac:dyDescent="0.2">
      <c r="A742" s="31"/>
      <c r="B742" s="31"/>
      <c r="C742" s="31"/>
      <c r="D742" s="2"/>
      <c r="E742" s="2"/>
      <c r="F742" s="2"/>
      <c r="G742" s="2"/>
    </row>
    <row r="743" spans="1:7" ht="12.75" x14ac:dyDescent="0.2">
      <c r="A743" s="31"/>
      <c r="B743" s="31"/>
      <c r="C743" s="31"/>
      <c r="D743" s="2"/>
      <c r="E743" s="2"/>
      <c r="F743" s="2"/>
      <c r="G743" s="2"/>
    </row>
    <row r="744" spans="1:7" ht="12.75" x14ac:dyDescent="0.2">
      <c r="A744" s="31"/>
      <c r="B744" s="31"/>
      <c r="C744" s="31"/>
      <c r="D744" s="2"/>
      <c r="E744" s="2"/>
      <c r="F744" s="2"/>
      <c r="G744" s="2"/>
    </row>
    <row r="745" spans="1:7" ht="12.75" x14ac:dyDescent="0.2">
      <c r="A745" s="31"/>
      <c r="B745" s="31"/>
      <c r="C745" s="31"/>
      <c r="D745" s="2"/>
      <c r="E745" s="2"/>
      <c r="F745" s="2"/>
      <c r="G745" s="2"/>
    </row>
    <row r="746" spans="1:7" ht="12.75" x14ac:dyDescent="0.2">
      <c r="A746" s="31"/>
      <c r="B746" s="31"/>
      <c r="C746" s="31"/>
      <c r="D746" s="2"/>
      <c r="E746" s="2"/>
      <c r="F746" s="2"/>
      <c r="G746" s="2"/>
    </row>
    <row r="747" spans="1:7" ht="12.75" x14ac:dyDescent="0.2">
      <c r="A747" s="31"/>
      <c r="B747" s="31"/>
      <c r="C747" s="31"/>
      <c r="D747" s="2"/>
      <c r="E747" s="2"/>
      <c r="F747" s="2"/>
      <c r="G747" s="2"/>
    </row>
    <row r="748" spans="1:7" ht="12.75" x14ac:dyDescent="0.2">
      <c r="A748" s="31"/>
      <c r="B748" s="31"/>
      <c r="C748" s="31"/>
      <c r="D748" s="2"/>
      <c r="E748" s="2"/>
      <c r="F748" s="2"/>
      <c r="G748" s="2"/>
    </row>
    <row r="749" spans="1:7" ht="12.75" x14ac:dyDescent="0.2">
      <c r="A749" s="31"/>
      <c r="B749" s="31"/>
      <c r="C749" s="31"/>
      <c r="D749" s="2"/>
      <c r="E749" s="2"/>
      <c r="F749" s="2"/>
      <c r="G749" s="2"/>
    </row>
    <row r="750" spans="1:7" ht="12.75" x14ac:dyDescent="0.2">
      <c r="A750" s="31"/>
      <c r="B750" s="31"/>
      <c r="C750" s="31"/>
      <c r="D750" s="2"/>
      <c r="E750" s="2"/>
      <c r="F750" s="2"/>
      <c r="G750" s="2"/>
    </row>
    <row r="751" spans="1:7" ht="12.75" x14ac:dyDescent="0.2">
      <c r="A751" s="31"/>
      <c r="B751" s="31"/>
      <c r="C751" s="31"/>
      <c r="D751" s="2"/>
      <c r="E751" s="2"/>
      <c r="F751" s="2"/>
      <c r="G751" s="2"/>
    </row>
    <row r="752" spans="1:7" ht="12.75" x14ac:dyDescent="0.2">
      <c r="A752" s="31"/>
      <c r="B752" s="31"/>
      <c r="C752" s="31"/>
      <c r="D752" s="2"/>
      <c r="E752" s="2"/>
      <c r="F752" s="2"/>
      <c r="G752" s="2"/>
    </row>
    <row r="753" spans="1:7" ht="12.75" x14ac:dyDescent="0.2">
      <c r="A753" s="31"/>
      <c r="B753" s="31"/>
      <c r="C753" s="31"/>
      <c r="D753" s="2"/>
      <c r="E753" s="2"/>
      <c r="F753" s="2"/>
      <c r="G753" s="2"/>
    </row>
    <row r="754" spans="1:7" ht="12.75" x14ac:dyDescent="0.2">
      <c r="A754" s="31"/>
      <c r="B754" s="31"/>
      <c r="C754" s="31"/>
      <c r="D754" s="2"/>
      <c r="E754" s="2"/>
      <c r="F754" s="2"/>
      <c r="G754" s="2"/>
    </row>
    <row r="755" spans="1:7" ht="12.75" x14ac:dyDescent="0.2">
      <c r="A755" s="31"/>
      <c r="B755" s="31"/>
      <c r="C755" s="31"/>
      <c r="D755" s="2"/>
      <c r="E755" s="2"/>
      <c r="F755" s="2"/>
      <c r="G755" s="2"/>
    </row>
    <row r="756" spans="1:7" ht="12.75" x14ac:dyDescent="0.2">
      <c r="A756" s="31"/>
      <c r="B756" s="31"/>
      <c r="C756" s="31"/>
      <c r="D756" s="2"/>
      <c r="E756" s="2"/>
      <c r="F756" s="2"/>
      <c r="G756" s="2"/>
    </row>
    <row r="757" spans="1:7" ht="12.75" x14ac:dyDescent="0.2">
      <c r="A757" s="31"/>
      <c r="B757" s="31"/>
      <c r="C757" s="31"/>
      <c r="D757" s="2"/>
      <c r="E757" s="2"/>
      <c r="F757" s="2"/>
      <c r="G757" s="2"/>
    </row>
    <row r="758" spans="1:7" ht="12.75" x14ac:dyDescent="0.2">
      <c r="A758" s="31"/>
      <c r="B758" s="31"/>
      <c r="C758" s="31"/>
      <c r="D758" s="2"/>
      <c r="E758" s="2"/>
      <c r="F758" s="2"/>
      <c r="G758" s="2"/>
    </row>
    <row r="759" spans="1:7" ht="12.75" x14ac:dyDescent="0.2">
      <c r="A759" s="31"/>
      <c r="B759" s="31"/>
      <c r="C759" s="31"/>
      <c r="D759" s="2"/>
      <c r="E759" s="2"/>
      <c r="F759" s="2"/>
      <c r="G759" s="2"/>
    </row>
    <row r="760" spans="1:7" ht="12.75" x14ac:dyDescent="0.2">
      <c r="A760" s="31"/>
      <c r="B760" s="31"/>
      <c r="C760" s="31"/>
      <c r="D760" s="2"/>
      <c r="E760" s="2"/>
      <c r="F760" s="2"/>
      <c r="G760" s="2"/>
    </row>
    <row r="761" spans="1:7" ht="12.75" x14ac:dyDescent="0.2">
      <c r="A761" s="31"/>
      <c r="B761" s="31"/>
      <c r="C761" s="31"/>
      <c r="D761" s="2"/>
      <c r="E761" s="2"/>
      <c r="F761" s="2"/>
      <c r="G761" s="2"/>
    </row>
    <row r="762" spans="1:7" ht="12.75" x14ac:dyDescent="0.2">
      <c r="A762" s="31"/>
      <c r="B762" s="31"/>
      <c r="C762" s="31"/>
      <c r="D762" s="2"/>
      <c r="E762" s="2"/>
      <c r="F762" s="2"/>
      <c r="G762" s="2"/>
    </row>
    <row r="763" spans="1:7" ht="12.75" x14ac:dyDescent="0.2">
      <c r="A763" s="31"/>
      <c r="B763" s="31"/>
      <c r="C763" s="31"/>
      <c r="D763" s="2"/>
      <c r="E763" s="2"/>
      <c r="F763" s="2"/>
      <c r="G763" s="2"/>
    </row>
    <row r="764" spans="1:7" ht="12.75" x14ac:dyDescent="0.2">
      <c r="A764" s="31"/>
      <c r="B764" s="31"/>
      <c r="C764" s="31"/>
      <c r="D764" s="2"/>
      <c r="E764" s="2"/>
      <c r="F764" s="2"/>
      <c r="G764" s="2"/>
    </row>
    <row r="765" spans="1:7" ht="12.75" x14ac:dyDescent="0.2">
      <c r="A765" s="31"/>
      <c r="B765" s="31"/>
      <c r="C765" s="31"/>
      <c r="D765" s="2"/>
      <c r="E765" s="2"/>
      <c r="F765" s="2"/>
      <c r="G765" s="2"/>
    </row>
    <row r="766" spans="1:7" ht="12.75" x14ac:dyDescent="0.2">
      <c r="A766" s="31"/>
      <c r="B766" s="31"/>
      <c r="C766" s="31"/>
      <c r="D766" s="2"/>
      <c r="E766" s="2"/>
      <c r="F766" s="2"/>
      <c r="G766" s="2"/>
    </row>
    <row r="767" spans="1:7" ht="12.75" x14ac:dyDescent="0.2">
      <c r="A767" s="31"/>
      <c r="B767" s="31"/>
      <c r="C767" s="31"/>
      <c r="D767" s="2"/>
      <c r="E767" s="2"/>
      <c r="F767" s="2"/>
      <c r="G767" s="2"/>
    </row>
    <row r="768" spans="1:7" ht="12.75" x14ac:dyDescent="0.2">
      <c r="A768" s="31"/>
      <c r="B768" s="31"/>
      <c r="C768" s="31"/>
      <c r="D768" s="2"/>
      <c r="E768" s="2"/>
      <c r="F768" s="2"/>
      <c r="G768" s="2"/>
    </row>
    <row r="769" spans="1:7" ht="12.75" x14ac:dyDescent="0.2">
      <c r="A769" s="31"/>
      <c r="B769" s="31"/>
      <c r="C769" s="31"/>
      <c r="D769" s="2"/>
      <c r="E769" s="2"/>
      <c r="F769" s="2"/>
      <c r="G769" s="2"/>
    </row>
    <row r="770" spans="1:7" ht="12.75" x14ac:dyDescent="0.2">
      <c r="A770" s="31"/>
      <c r="B770" s="31"/>
      <c r="C770" s="31"/>
      <c r="D770" s="2"/>
      <c r="E770" s="2"/>
      <c r="F770" s="2"/>
      <c r="G770" s="2"/>
    </row>
    <row r="771" spans="1:7" ht="12.75" x14ac:dyDescent="0.2">
      <c r="A771" s="31"/>
      <c r="B771" s="31"/>
      <c r="C771" s="31"/>
      <c r="D771" s="2"/>
      <c r="E771" s="2"/>
      <c r="F771" s="2"/>
      <c r="G771" s="2"/>
    </row>
    <row r="772" spans="1:7" ht="12.75" x14ac:dyDescent="0.2">
      <c r="A772" s="31"/>
      <c r="B772" s="31"/>
      <c r="C772" s="31"/>
      <c r="D772" s="2"/>
      <c r="E772" s="2"/>
      <c r="F772" s="2"/>
      <c r="G772" s="2"/>
    </row>
    <row r="773" spans="1:7" ht="12.75" x14ac:dyDescent="0.2">
      <c r="A773" s="31"/>
      <c r="B773" s="31"/>
      <c r="C773" s="31"/>
      <c r="D773" s="2"/>
      <c r="E773" s="2"/>
      <c r="F773" s="2"/>
      <c r="G773" s="2"/>
    </row>
    <row r="774" spans="1:7" ht="12.75" x14ac:dyDescent="0.2">
      <c r="A774" s="31"/>
      <c r="B774" s="31"/>
      <c r="C774" s="31"/>
      <c r="D774" s="2"/>
      <c r="E774" s="2"/>
      <c r="F774" s="2"/>
      <c r="G774" s="2"/>
    </row>
    <row r="775" spans="1:7" ht="12.75" x14ac:dyDescent="0.2">
      <c r="A775" s="31"/>
      <c r="B775" s="31"/>
      <c r="C775" s="31"/>
      <c r="D775" s="2"/>
      <c r="E775" s="2"/>
      <c r="F775" s="2"/>
      <c r="G775" s="2"/>
    </row>
    <row r="776" spans="1:7" ht="12.75" x14ac:dyDescent="0.2">
      <c r="A776" s="31"/>
      <c r="B776" s="31"/>
      <c r="C776" s="31"/>
      <c r="D776" s="2"/>
      <c r="E776" s="2"/>
      <c r="F776" s="2"/>
      <c r="G776" s="2"/>
    </row>
    <row r="777" spans="1:7" ht="12.75" x14ac:dyDescent="0.2">
      <c r="A777" s="31"/>
      <c r="B777" s="31"/>
      <c r="C777" s="31"/>
      <c r="D777" s="2"/>
      <c r="E777" s="2"/>
      <c r="F777" s="2"/>
      <c r="G777" s="2"/>
    </row>
    <row r="778" spans="1:7" ht="12.75" x14ac:dyDescent="0.2">
      <c r="A778" s="31"/>
      <c r="B778" s="31"/>
      <c r="C778" s="31"/>
      <c r="D778" s="2"/>
      <c r="E778" s="2"/>
      <c r="F778" s="2"/>
      <c r="G778" s="2"/>
    </row>
    <row r="779" spans="1:7" ht="12.75" x14ac:dyDescent="0.2">
      <c r="A779" s="31"/>
      <c r="B779" s="31"/>
      <c r="C779" s="31"/>
      <c r="D779" s="2"/>
      <c r="E779" s="2"/>
      <c r="F779" s="2"/>
      <c r="G779" s="2"/>
    </row>
    <row r="780" spans="1:7" ht="12.75" x14ac:dyDescent="0.2">
      <c r="A780" s="31"/>
      <c r="B780" s="31"/>
      <c r="C780" s="31"/>
      <c r="D780" s="2"/>
      <c r="E780" s="2"/>
      <c r="F780" s="2"/>
      <c r="G780" s="2"/>
    </row>
    <row r="781" spans="1:7" ht="12.75" x14ac:dyDescent="0.2">
      <c r="A781" s="31"/>
      <c r="B781" s="31"/>
      <c r="C781" s="31"/>
      <c r="D781" s="2"/>
      <c r="E781" s="2"/>
      <c r="F781" s="2"/>
      <c r="G781" s="2"/>
    </row>
    <row r="782" spans="1:7" ht="12.75" x14ac:dyDescent="0.2">
      <c r="A782" s="31"/>
      <c r="B782" s="31"/>
      <c r="C782" s="31"/>
      <c r="D782" s="2"/>
      <c r="E782" s="2"/>
      <c r="F782" s="2"/>
      <c r="G782" s="2"/>
    </row>
    <row r="783" spans="1:7" ht="12.75" x14ac:dyDescent="0.2">
      <c r="A783" s="31"/>
      <c r="B783" s="31"/>
      <c r="C783" s="31"/>
      <c r="D783" s="2"/>
      <c r="E783" s="2"/>
      <c r="F783" s="2"/>
      <c r="G783" s="2"/>
    </row>
    <row r="784" spans="1:7" ht="12.75" x14ac:dyDescent="0.2">
      <c r="A784" s="31"/>
      <c r="B784" s="31"/>
      <c r="C784" s="31"/>
      <c r="D784" s="2"/>
      <c r="E784" s="2"/>
      <c r="F784" s="2"/>
      <c r="G784" s="2"/>
    </row>
    <row r="785" spans="1:7" ht="12.75" x14ac:dyDescent="0.2">
      <c r="A785" s="31"/>
      <c r="B785" s="31"/>
      <c r="C785" s="31"/>
      <c r="D785" s="2"/>
      <c r="E785" s="2"/>
      <c r="F785" s="2"/>
      <c r="G785" s="2"/>
    </row>
    <row r="786" spans="1:7" ht="12.75" x14ac:dyDescent="0.2">
      <c r="A786" s="31"/>
      <c r="B786" s="31"/>
      <c r="C786" s="31"/>
      <c r="D786" s="2"/>
      <c r="E786" s="2"/>
      <c r="F786" s="2"/>
      <c r="G786" s="2"/>
    </row>
    <row r="787" spans="1:7" ht="12.75" x14ac:dyDescent="0.2">
      <c r="A787" s="31"/>
      <c r="B787" s="31"/>
      <c r="C787" s="31"/>
      <c r="D787" s="2"/>
      <c r="E787" s="2"/>
      <c r="F787" s="2"/>
      <c r="G787" s="2"/>
    </row>
    <row r="788" spans="1:7" ht="12.75" x14ac:dyDescent="0.2">
      <c r="A788" s="31"/>
      <c r="B788" s="31"/>
      <c r="C788" s="31"/>
      <c r="D788" s="2"/>
      <c r="E788" s="2"/>
      <c r="F788" s="2"/>
      <c r="G788" s="2"/>
    </row>
    <row r="789" spans="1:7" ht="12.75" x14ac:dyDescent="0.2">
      <c r="A789" s="31"/>
      <c r="B789" s="31"/>
      <c r="C789" s="31"/>
      <c r="D789" s="2"/>
      <c r="E789" s="2"/>
      <c r="F789" s="2"/>
      <c r="G789" s="2"/>
    </row>
    <row r="790" spans="1:7" ht="12.75" x14ac:dyDescent="0.2">
      <c r="A790" s="31"/>
      <c r="B790" s="31"/>
      <c r="C790" s="31"/>
      <c r="D790" s="2"/>
      <c r="E790" s="2"/>
      <c r="F790" s="2"/>
      <c r="G790" s="2"/>
    </row>
    <row r="791" spans="1:7" ht="12.75" x14ac:dyDescent="0.2">
      <c r="A791" s="31"/>
      <c r="B791" s="31"/>
      <c r="C791" s="31"/>
      <c r="D791" s="2"/>
      <c r="E791" s="2"/>
      <c r="F791" s="2"/>
      <c r="G791" s="2"/>
    </row>
    <row r="792" spans="1:7" ht="12.75" x14ac:dyDescent="0.2">
      <c r="A792" s="31"/>
      <c r="B792" s="31"/>
      <c r="C792" s="31"/>
      <c r="D792" s="2"/>
      <c r="E792" s="2"/>
      <c r="F792" s="2"/>
      <c r="G792" s="2"/>
    </row>
    <row r="793" spans="1:7" ht="12.75" x14ac:dyDescent="0.2">
      <c r="A793" s="31"/>
      <c r="B793" s="31"/>
      <c r="C793" s="31"/>
      <c r="D793" s="2"/>
      <c r="E793" s="2"/>
      <c r="F793" s="2"/>
      <c r="G793" s="2"/>
    </row>
    <row r="794" spans="1:7" ht="12.75" x14ac:dyDescent="0.2">
      <c r="A794" s="31"/>
      <c r="B794" s="31"/>
      <c r="C794" s="31"/>
      <c r="D794" s="2"/>
      <c r="E794" s="2"/>
      <c r="F794" s="2"/>
      <c r="G794" s="2"/>
    </row>
    <row r="795" spans="1:7" ht="12.75" x14ac:dyDescent="0.2">
      <c r="A795" s="31"/>
      <c r="B795" s="31"/>
      <c r="C795" s="31"/>
      <c r="D795" s="2"/>
      <c r="E795" s="2"/>
      <c r="F795" s="2"/>
      <c r="G795" s="2"/>
    </row>
    <row r="796" spans="1:7" ht="12.75" x14ac:dyDescent="0.2">
      <c r="A796" s="31"/>
      <c r="B796" s="31"/>
      <c r="C796" s="31"/>
      <c r="D796" s="2"/>
      <c r="E796" s="2"/>
      <c r="F796" s="2"/>
      <c r="G796" s="2"/>
    </row>
    <row r="797" spans="1:7" ht="12.75" x14ac:dyDescent="0.2">
      <c r="A797" s="31"/>
      <c r="B797" s="31"/>
      <c r="C797" s="31"/>
      <c r="D797" s="2"/>
      <c r="E797" s="2"/>
      <c r="F797" s="2"/>
      <c r="G797" s="2"/>
    </row>
    <row r="798" spans="1:7" ht="12.75" x14ac:dyDescent="0.2">
      <c r="A798" s="31"/>
      <c r="B798" s="31"/>
      <c r="C798" s="31"/>
      <c r="D798" s="2"/>
      <c r="E798" s="2"/>
      <c r="F798" s="2"/>
      <c r="G798" s="2"/>
    </row>
    <row r="799" spans="1:7" ht="12.75" x14ac:dyDescent="0.2">
      <c r="A799" s="31"/>
      <c r="B799" s="31"/>
      <c r="C799" s="31"/>
      <c r="D799" s="2"/>
      <c r="E799" s="2"/>
      <c r="F799" s="2"/>
      <c r="G799" s="2"/>
    </row>
    <row r="800" spans="1:7" ht="12.75" x14ac:dyDescent="0.2">
      <c r="A800" s="31"/>
      <c r="B800" s="31"/>
      <c r="C800" s="31"/>
      <c r="D800" s="2"/>
      <c r="E800" s="2"/>
      <c r="F800" s="2"/>
      <c r="G800" s="2"/>
    </row>
    <row r="801" spans="1:7" ht="12.75" x14ac:dyDescent="0.2">
      <c r="A801" s="31"/>
      <c r="B801" s="31"/>
      <c r="C801" s="31"/>
      <c r="D801" s="2"/>
      <c r="E801" s="2"/>
      <c r="F801" s="2"/>
      <c r="G801" s="2"/>
    </row>
    <row r="802" spans="1:7" ht="12.75" x14ac:dyDescent="0.2">
      <c r="A802" s="31"/>
      <c r="B802" s="31"/>
      <c r="C802" s="31"/>
      <c r="D802" s="2"/>
      <c r="E802" s="2"/>
      <c r="F802" s="2"/>
      <c r="G802" s="2"/>
    </row>
    <row r="803" spans="1:7" ht="12.75" x14ac:dyDescent="0.2">
      <c r="A803" s="31"/>
      <c r="B803" s="31"/>
      <c r="C803" s="31"/>
      <c r="D803" s="2"/>
      <c r="E803" s="2"/>
      <c r="F803" s="2"/>
      <c r="G803" s="2"/>
    </row>
    <row r="804" spans="1:7" ht="12.75" x14ac:dyDescent="0.2">
      <c r="A804" s="31"/>
      <c r="B804" s="31"/>
      <c r="C804" s="31"/>
      <c r="D804" s="2"/>
      <c r="E804" s="2"/>
      <c r="F804" s="2"/>
      <c r="G804" s="2"/>
    </row>
    <row r="805" spans="1:7" ht="12.75" x14ac:dyDescent="0.2">
      <c r="A805" s="31"/>
      <c r="B805" s="31"/>
      <c r="C805" s="31"/>
      <c r="D805" s="2"/>
      <c r="E805" s="2"/>
      <c r="F805" s="2"/>
      <c r="G805" s="2"/>
    </row>
    <row r="806" spans="1:7" ht="12.75" x14ac:dyDescent="0.2">
      <c r="A806" s="31"/>
      <c r="B806" s="31"/>
      <c r="C806" s="31"/>
      <c r="D806" s="2"/>
      <c r="E806" s="2"/>
      <c r="F806" s="2"/>
      <c r="G806" s="2"/>
    </row>
    <row r="807" spans="1:7" ht="12.75" x14ac:dyDescent="0.2">
      <c r="A807" s="31"/>
      <c r="B807" s="31"/>
      <c r="C807" s="31"/>
      <c r="D807" s="2"/>
      <c r="E807" s="2"/>
      <c r="F807" s="2"/>
      <c r="G807" s="2"/>
    </row>
    <row r="808" spans="1:7" ht="12.75" x14ac:dyDescent="0.2">
      <c r="A808" s="31"/>
      <c r="B808" s="31"/>
      <c r="C808" s="31"/>
      <c r="D808" s="2"/>
      <c r="E808" s="2"/>
      <c r="F808" s="2"/>
      <c r="G808" s="2"/>
    </row>
    <row r="809" spans="1:7" ht="12.75" x14ac:dyDescent="0.2">
      <c r="A809" s="31"/>
      <c r="B809" s="31"/>
      <c r="C809" s="31"/>
      <c r="D809" s="2"/>
      <c r="E809" s="2"/>
      <c r="F809" s="2"/>
      <c r="G809" s="2"/>
    </row>
    <row r="810" spans="1:7" ht="12.75" x14ac:dyDescent="0.2">
      <c r="A810" s="31"/>
      <c r="B810" s="31"/>
      <c r="C810" s="31"/>
      <c r="D810" s="2"/>
      <c r="E810" s="2"/>
      <c r="F810" s="2"/>
      <c r="G810" s="2"/>
    </row>
    <row r="811" spans="1:7" ht="12.75" x14ac:dyDescent="0.2">
      <c r="A811" s="31"/>
      <c r="B811" s="31"/>
      <c r="C811" s="31"/>
      <c r="D811" s="2"/>
      <c r="E811" s="2"/>
      <c r="F811" s="2"/>
      <c r="G811" s="2"/>
    </row>
    <row r="812" spans="1:7" ht="12.75" x14ac:dyDescent="0.2">
      <c r="A812" s="31"/>
      <c r="B812" s="31"/>
      <c r="C812" s="31"/>
      <c r="D812" s="2"/>
      <c r="E812" s="2"/>
      <c r="F812" s="2"/>
      <c r="G812" s="2"/>
    </row>
    <row r="813" spans="1:7" ht="12.75" x14ac:dyDescent="0.2">
      <c r="A813" s="31"/>
      <c r="B813" s="31"/>
      <c r="C813" s="31"/>
      <c r="D813" s="2"/>
      <c r="E813" s="2"/>
      <c r="F813" s="2"/>
      <c r="G813" s="2"/>
    </row>
    <row r="814" spans="1:7" ht="12.75" x14ac:dyDescent="0.2">
      <c r="A814" s="31"/>
      <c r="B814" s="31"/>
      <c r="C814" s="31"/>
      <c r="D814" s="2"/>
      <c r="E814" s="2"/>
      <c r="F814" s="2"/>
      <c r="G814" s="2"/>
    </row>
    <row r="815" spans="1:7" ht="12.75" x14ac:dyDescent="0.2">
      <c r="A815" s="31"/>
      <c r="B815" s="31"/>
      <c r="C815" s="31"/>
      <c r="D815" s="2"/>
      <c r="E815" s="2"/>
      <c r="F815" s="2"/>
      <c r="G815" s="2"/>
    </row>
    <row r="816" spans="1:7" ht="12.75" x14ac:dyDescent="0.2">
      <c r="A816" s="31"/>
      <c r="B816" s="31"/>
      <c r="C816" s="31"/>
      <c r="D816" s="2"/>
      <c r="E816" s="2"/>
      <c r="F816" s="2"/>
      <c r="G816" s="2"/>
    </row>
    <row r="817" spans="1:7" ht="12.75" x14ac:dyDescent="0.2">
      <c r="A817" s="31"/>
      <c r="B817" s="31"/>
      <c r="C817" s="31"/>
      <c r="D817" s="2"/>
      <c r="E817" s="2"/>
      <c r="F817" s="2"/>
      <c r="G817" s="2"/>
    </row>
    <row r="818" spans="1:7" ht="12.75" x14ac:dyDescent="0.2">
      <c r="A818" s="31"/>
      <c r="B818" s="31"/>
      <c r="C818" s="31"/>
      <c r="D818" s="2"/>
      <c r="E818" s="2"/>
      <c r="F818" s="2"/>
      <c r="G818" s="2"/>
    </row>
    <row r="819" spans="1:7" ht="12.75" x14ac:dyDescent="0.2">
      <c r="A819" s="31"/>
      <c r="B819" s="31"/>
      <c r="C819" s="31"/>
      <c r="D819" s="2"/>
      <c r="E819" s="2"/>
      <c r="F819" s="2"/>
      <c r="G819" s="2"/>
    </row>
    <row r="820" spans="1:7" ht="12.75" x14ac:dyDescent="0.2">
      <c r="A820" s="31"/>
      <c r="B820" s="31"/>
      <c r="C820" s="31"/>
      <c r="D820" s="2"/>
      <c r="E820" s="2"/>
      <c r="F820" s="2"/>
      <c r="G820" s="2"/>
    </row>
    <row r="821" spans="1:7" ht="12.75" x14ac:dyDescent="0.2">
      <c r="A821" s="31"/>
      <c r="B821" s="31"/>
      <c r="C821" s="31"/>
      <c r="D821" s="2"/>
      <c r="E821" s="2"/>
      <c r="F821" s="2"/>
      <c r="G821" s="2"/>
    </row>
    <row r="822" spans="1:7" ht="12.75" x14ac:dyDescent="0.2">
      <c r="A822" s="31"/>
      <c r="B822" s="31"/>
      <c r="C822" s="31"/>
      <c r="D822" s="2"/>
      <c r="E822" s="2"/>
      <c r="F822" s="2"/>
      <c r="G822" s="2"/>
    </row>
    <row r="823" spans="1:7" ht="12.75" x14ac:dyDescent="0.2">
      <c r="A823" s="31"/>
      <c r="B823" s="31"/>
      <c r="C823" s="31"/>
      <c r="D823" s="2"/>
      <c r="E823" s="2"/>
      <c r="F823" s="2"/>
      <c r="G823" s="2"/>
    </row>
    <row r="824" spans="1:7" ht="12.75" x14ac:dyDescent="0.2">
      <c r="A824" s="31"/>
      <c r="B824" s="31"/>
      <c r="C824" s="31"/>
      <c r="D824" s="2"/>
      <c r="E824" s="2"/>
      <c r="F824" s="2"/>
      <c r="G824" s="2"/>
    </row>
    <row r="825" spans="1:7" ht="12.75" x14ac:dyDescent="0.2">
      <c r="A825" s="31"/>
      <c r="B825" s="31"/>
      <c r="C825" s="31"/>
      <c r="D825" s="2"/>
      <c r="E825" s="2"/>
      <c r="F825" s="2"/>
      <c r="G825" s="2"/>
    </row>
    <row r="826" spans="1:7" ht="12.75" x14ac:dyDescent="0.2">
      <c r="A826" s="31"/>
      <c r="B826" s="31"/>
      <c r="C826" s="31"/>
      <c r="D826" s="2"/>
      <c r="E826" s="2"/>
      <c r="F826" s="2"/>
      <c r="G826" s="2"/>
    </row>
    <row r="827" spans="1:7" ht="12.75" x14ac:dyDescent="0.2">
      <c r="A827" s="31"/>
      <c r="B827" s="31"/>
      <c r="C827" s="31"/>
      <c r="D827" s="2"/>
      <c r="E827" s="2"/>
      <c r="F827" s="2"/>
      <c r="G827" s="2"/>
    </row>
    <row r="828" spans="1:7" ht="12.75" x14ac:dyDescent="0.2">
      <c r="A828" s="31"/>
      <c r="B828" s="31"/>
      <c r="C828" s="31"/>
      <c r="D828" s="2"/>
      <c r="E828" s="2"/>
      <c r="F828" s="2"/>
      <c r="G828" s="2"/>
    </row>
    <row r="829" spans="1:7" ht="12.75" x14ac:dyDescent="0.2">
      <c r="A829" s="31"/>
      <c r="B829" s="31"/>
      <c r="C829" s="31"/>
      <c r="D829" s="2"/>
      <c r="E829" s="2"/>
      <c r="F829" s="2"/>
      <c r="G829" s="2"/>
    </row>
    <row r="830" spans="1:7" ht="12.75" x14ac:dyDescent="0.2">
      <c r="A830" s="31"/>
      <c r="B830" s="31"/>
      <c r="C830" s="31"/>
      <c r="D830" s="2"/>
      <c r="E830" s="2"/>
      <c r="F830" s="2"/>
      <c r="G830" s="2"/>
    </row>
    <row r="831" spans="1:7" ht="12.75" x14ac:dyDescent="0.2">
      <c r="A831" s="31"/>
      <c r="B831" s="31"/>
      <c r="C831" s="31"/>
      <c r="D831" s="2"/>
      <c r="E831" s="2"/>
      <c r="F831" s="2"/>
      <c r="G831" s="2"/>
    </row>
    <row r="832" spans="1:7" ht="12.75" x14ac:dyDescent="0.2">
      <c r="A832" s="31"/>
      <c r="B832" s="31"/>
      <c r="C832" s="31"/>
      <c r="D832" s="2"/>
      <c r="E832" s="2"/>
      <c r="F832" s="2"/>
      <c r="G832" s="2"/>
    </row>
    <row r="833" spans="1:7" ht="12.75" x14ac:dyDescent="0.2">
      <c r="A833" s="31"/>
      <c r="B833" s="31"/>
      <c r="C833" s="31"/>
      <c r="D833" s="2"/>
      <c r="E833" s="2"/>
      <c r="F833" s="2"/>
      <c r="G833" s="2"/>
    </row>
    <row r="834" spans="1:7" ht="12.75" x14ac:dyDescent="0.2">
      <c r="A834" s="31"/>
      <c r="B834" s="31"/>
      <c r="C834" s="31"/>
      <c r="D834" s="2"/>
      <c r="E834" s="2"/>
      <c r="F834" s="2"/>
      <c r="G834" s="2"/>
    </row>
    <row r="835" spans="1:7" ht="12.75" x14ac:dyDescent="0.2">
      <c r="A835" s="31"/>
      <c r="B835" s="31"/>
      <c r="C835" s="31"/>
      <c r="D835" s="2"/>
      <c r="E835" s="2"/>
      <c r="F835" s="2"/>
      <c r="G835" s="2"/>
    </row>
    <row r="836" spans="1:7" ht="12.75" x14ac:dyDescent="0.2">
      <c r="A836" s="31"/>
      <c r="B836" s="31"/>
      <c r="C836" s="31"/>
      <c r="D836" s="2"/>
      <c r="E836" s="2"/>
      <c r="F836" s="2"/>
      <c r="G836" s="2"/>
    </row>
    <row r="837" spans="1:7" ht="12.75" x14ac:dyDescent="0.2">
      <c r="A837" s="31"/>
      <c r="B837" s="31"/>
      <c r="C837" s="31"/>
      <c r="D837" s="2"/>
      <c r="E837" s="2"/>
      <c r="F837" s="2"/>
      <c r="G837" s="2"/>
    </row>
    <row r="838" spans="1:7" ht="12.75" x14ac:dyDescent="0.2">
      <c r="A838" s="31"/>
      <c r="B838" s="31"/>
      <c r="C838" s="31"/>
      <c r="D838" s="2"/>
      <c r="E838" s="2"/>
      <c r="F838" s="2"/>
      <c r="G838" s="2"/>
    </row>
    <row r="839" spans="1:7" ht="12.75" x14ac:dyDescent="0.2">
      <c r="A839" s="31"/>
      <c r="B839" s="31"/>
      <c r="C839" s="31"/>
      <c r="D839" s="2"/>
      <c r="E839" s="2"/>
      <c r="F839" s="2"/>
      <c r="G839" s="2"/>
    </row>
    <row r="840" spans="1:7" ht="12.75" x14ac:dyDescent="0.2">
      <c r="A840" s="31"/>
      <c r="B840" s="31"/>
      <c r="C840" s="31"/>
      <c r="D840" s="2"/>
      <c r="E840" s="2"/>
      <c r="F840" s="2"/>
      <c r="G840" s="2"/>
    </row>
    <row r="841" spans="1:7" ht="12.75" x14ac:dyDescent="0.2">
      <c r="A841" s="31"/>
      <c r="B841" s="31"/>
      <c r="C841" s="31"/>
      <c r="D841" s="2"/>
      <c r="E841" s="2"/>
      <c r="F841" s="2"/>
      <c r="G841" s="2"/>
    </row>
    <row r="842" spans="1:7" ht="12.75" x14ac:dyDescent="0.2">
      <c r="A842" s="31"/>
      <c r="B842" s="31"/>
      <c r="C842" s="31"/>
      <c r="D842" s="2"/>
      <c r="E842" s="2"/>
      <c r="F842" s="2"/>
      <c r="G842" s="2"/>
    </row>
    <row r="843" spans="1:7" ht="12.75" x14ac:dyDescent="0.2">
      <c r="A843" s="31"/>
      <c r="B843" s="31"/>
      <c r="C843" s="31"/>
      <c r="D843" s="2"/>
      <c r="E843" s="2"/>
      <c r="F843" s="2"/>
      <c r="G843" s="2"/>
    </row>
    <row r="844" spans="1:7" ht="12.75" x14ac:dyDescent="0.2">
      <c r="A844" s="31"/>
      <c r="B844" s="31"/>
      <c r="C844" s="31"/>
      <c r="D844" s="2"/>
      <c r="E844" s="2"/>
      <c r="F844" s="2"/>
      <c r="G844" s="2"/>
    </row>
    <row r="845" spans="1:7" ht="12.75" x14ac:dyDescent="0.2">
      <c r="A845" s="31"/>
      <c r="B845" s="31"/>
      <c r="C845" s="31"/>
      <c r="D845" s="2"/>
      <c r="E845" s="2"/>
      <c r="F845" s="2"/>
      <c r="G845" s="2"/>
    </row>
    <row r="846" spans="1:7" ht="12.75" x14ac:dyDescent="0.2">
      <c r="A846" s="31"/>
      <c r="B846" s="31"/>
      <c r="C846" s="31"/>
      <c r="D846" s="2"/>
      <c r="E846" s="2"/>
      <c r="F846" s="2"/>
      <c r="G846" s="2"/>
    </row>
    <row r="847" spans="1:7" ht="12.75" x14ac:dyDescent="0.2">
      <c r="A847" s="31"/>
      <c r="B847" s="31"/>
      <c r="C847" s="31"/>
      <c r="D847" s="2"/>
      <c r="E847" s="2"/>
      <c r="F847" s="2"/>
      <c r="G847" s="2"/>
    </row>
    <row r="848" spans="1:7" ht="12.75" x14ac:dyDescent="0.2">
      <c r="A848" s="31"/>
      <c r="B848" s="31"/>
      <c r="C848" s="31"/>
      <c r="D848" s="2"/>
      <c r="E848" s="2"/>
      <c r="F848" s="2"/>
      <c r="G848" s="2"/>
    </row>
    <row r="849" spans="1:7" ht="12.75" x14ac:dyDescent="0.2">
      <c r="A849" s="31"/>
      <c r="B849" s="31"/>
      <c r="C849" s="31"/>
      <c r="D849" s="2"/>
      <c r="E849" s="2"/>
      <c r="F849" s="2"/>
      <c r="G849" s="2"/>
    </row>
    <row r="850" spans="1:7" ht="12.75" x14ac:dyDescent="0.2">
      <c r="A850" s="31"/>
      <c r="B850" s="31"/>
      <c r="C850" s="31"/>
      <c r="D850" s="2"/>
      <c r="E850" s="2"/>
      <c r="F850" s="2"/>
      <c r="G850" s="2"/>
    </row>
    <row r="851" spans="1:7" ht="12.75" x14ac:dyDescent="0.2">
      <c r="A851" s="31"/>
      <c r="B851" s="31"/>
      <c r="C851" s="31"/>
      <c r="D851" s="2"/>
      <c r="E851" s="2"/>
      <c r="F851" s="2"/>
      <c r="G851" s="2"/>
    </row>
    <row r="852" spans="1:7" ht="12.75" x14ac:dyDescent="0.2">
      <c r="A852" s="31"/>
      <c r="B852" s="31"/>
      <c r="C852" s="31"/>
      <c r="D852" s="2"/>
      <c r="E852" s="2"/>
      <c r="F852" s="2"/>
      <c r="G852" s="2"/>
    </row>
    <row r="853" spans="1:7" ht="12.75" x14ac:dyDescent="0.2">
      <c r="A853" s="31"/>
      <c r="B853" s="31"/>
      <c r="C853" s="31"/>
      <c r="D853" s="2"/>
      <c r="E853" s="2"/>
      <c r="F853" s="2"/>
      <c r="G853" s="2"/>
    </row>
    <row r="854" spans="1:7" ht="12.75" x14ac:dyDescent="0.2">
      <c r="A854" s="31"/>
      <c r="B854" s="31"/>
      <c r="C854" s="31"/>
      <c r="D854" s="2"/>
      <c r="E854" s="2"/>
      <c r="F854" s="2"/>
      <c r="G854" s="2"/>
    </row>
    <row r="855" spans="1:7" ht="12.75" x14ac:dyDescent="0.2">
      <c r="A855" s="31"/>
      <c r="B855" s="31"/>
      <c r="C855" s="31"/>
      <c r="D855" s="2"/>
      <c r="E855" s="2"/>
      <c r="F855" s="2"/>
      <c r="G855" s="2"/>
    </row>
    <row r="856" spans="1:7" ht="12.75" x14ac:dyDescent="0.2">
      <c r="A856" s="31"/>
      <c r="B856" s="31"/>
      <c r="C856" s="31"/>
      <c r="D856" s="2"/>
      <c r="E856" s="2"/>
      <c r="F856" s="2"/>
      <c r="G856" s="2"/>
    </row>
    <row r="857" spans="1:7" ht="12.75" x14ac:dyDescent="0.2">
      <c r="A857" s="31"/>
      <c r="B857" s="31"/>
      <c r="C857" s="31"/>
      <c r="D857" s="2"/>
      <c r="E857" s="2"/>
      <c r="F857" s="2"/>
      <c r="G857" s="2"/>
    </row>
    <row r="858" spans="1:7" ht="12.75" x14ac:dyDescent="0.2">
      <c r="A858" s="31"/>
      <c r="B858" s="31"/>
      <c r="C858" s="31"/>
      <c r="D858" s="2"/>
      <c r="E858" s="2"/>
      <c r="F858" s="2"/>
      <c r="G858" s="2"/>
    </row>
    <row r="859" spans="1:7" ht="12.75" x14ac:dyDescent="0.2">
      <c r="A859" s="31"/>
      <c r="B859" s="31"/>
      <c r="C859" s="31"/>
      <c r="D859" s="2"/>
      <c r="E859" s="2"/>
      <c r="F859" s="2"/>
      <c r="G859" s="2"/>
    </row>
    <row r="860" spans="1:7" ht="12.75" x14ac:dyDescent="0.2">
      <c r="A860" s="31"/>
      <c r="B860" s="31"/>
      <c r="C860" s="31"/>
      <c r="D860" s="2"/>
      <c r="E860" s="2"/>
      <c r="F860" s="2"/>
      <c r="G860" s="2"/>
    </row>
    <row r="861" spans="1:7" ht="12.75" x14ac:dyDescent="0.2">
      <c r="A861" s="31"/>
      <c r="B861" s="31"/>
      <c r="C861" s="31"/>
      <c r="D861" s="2"/>
      <c r="E861" s="2"/>
      <c r="F861" s="2"/>
      <c r="G861" s="2"/>
    </row>
    <row r="862" spans="1:7" ht="12.75" x14ac:dyDescent="0.2">
      <c r="A862" s="31"/>
      <c r="B862" s="31"/>
      <c r="C862" s="31"/>
      <c r="D862" s="2"/>
      <c r="E862" s="2"/>
      <c r="F862" s="2"/>
      <c r="G862" s="2"/>
    </row>
    <row r="863" spans="1:7" ht="12.75" x14ac:dyDescent="0.2">
      <c r="A863" s="31"/>
      <c r="B863" s="31"/>
      <c r="C863" s="31"/>
      <c r="D863" s="2"/>
      <c r="E863" s="2"/>
      <c r="F863" s="2"/>
      <c r="G863" s="2"/>
    </row>
    <row r="864" spans="1:7" ht="12.75" x14ac:dyDescent="0.2">
      <c r="A864" s="31"/>
      <c r="B864" s="31"/>
      <c r="C864" s="31"/>
      <c r="D864" s="2"/>
      <c r="E864" s="2"/>
      <c r="F864" s="2"/>
      <c r="G864" s="2"/>
    </row>
    <row r="865" spans="1:7" ht="12.75" x14ac:dyDescent="0.2">
      <c r="A865" s="31"/>
      <c r="B865" s="31"/>
      <c r="C865" s="31"/>
      <c r="D865" s="2"/>
      <c r="E865" s="2"/>
      <c r="F865" s="2"/>
      <c r="G865" s="2"/>
    </row>
    <row r="866" spans="1:7" ht="12.75" x14ac:dyDescent="0.2">
      <c r="A866" s="31"/>
      <c r="B866" s="31"/>
      <c r="C866" s="31"/>
      <c r="D866" s="2"/>
      <c r="E866" s="2"/>
      <c r="F866" s="2"/>
      <c r="G866" s="2"/>
    </row>
    <row r="867" spans="1:7" ht="12.75" x14ac:dyDescent="0.2">
      <c r="A867" s="31"/>
      <c r="B867" s="31"/>
      <c r="C867" s="31"/>
      <c r="D867" s="2"/>
      <c r="E867" s="2"/>
      <c r="F867" s="2"/>
      <c r="G867" s="2"/>
    </row>
    <row r="868" spans="1:7" ht="12.75" x14ac:dyDescent="0.2">
      <c r="A868" s="31"/>
      <c r="B868" s="31"/>
      <c r="C868" s="31"/>
      <c r="D868" s="2"/>
      <c r="E868" s="2"/>
      <c r="F868" s="2"/>
      <c r="G868" s="2"/>
    </row>
    <row r="869" spans="1:7" ht="12.75" x14ac:dyDescent="0.2">
      <c r="A869" s="31"/>
      <c r="B869" s="31"/>
      <c r="C869" s="31"/>
      <c r="D869" s="2"/>
      <c r="E869" s="2"/>
      <c r="F869" s="2"/>
      <c r="G869" s="2"/>
    </row>
    <row r="870" spans="1:7" ht="12.75" x14ac:dyDescent="0.2">
      <c r="A870" s="31"/>
      <c r="B870" s="31"/>
      <c r="C870" s="31"/>
      <c r="D870" s="2"/>
      <c r="E870" s="2"/>
      <c r="F870" s="2"/>
      <c r="G870" s="2"/>
    </row>
    <row r="871" spans="1:7" ht="12.75" x14ac:dyDescent="0.2">
      <c r="A871" s="31"/>
      <c r="B871" s="31"/>
      <c r="C871" s="31"/>
      <c r="D871" s="2"/>
      <c r="E871" s="2"/>
      <c r="F871" s="2"/>
      <c r="G871" s="2"/>
    </row>
    <row r="872" spans="1:7" ht="12.75" x14ac:dyDescent="0.2">
      <c r="A872" s="31"/>
      <c r="B872" s="31"/>
      <c r="C872" s="31"/>
      <c r="D872" s="2"/>
      <c r="E872" s="2"/>
      <c r="F872" s="2"/>
      <c r="G872" s="2"/>
    </row>
    <row r="873" spans="1:7" ht="12.75" x14ac:dyDescent="0.2">
      <c r="A873" s="31"/>
      <c r="B873" s="31"/>
      <c r="C873" s="31"/>
      <c r="D873" s="2"/>
      <c r="E873" s="2"/>
      <c r="F873" s="2"/>
      <c r="G873" s="2"/>
    </row>
    <row r="874" spans="1:7" ht="12.75" x14ac:dyDescent="0.2">
      <c r="A874" s="31"/>
      <c r="B874" s="31"/>
      <c r="C874" s="31"/>
      <c r="D874" s="2"/>
      <c r="E874" s="2"/>
      <c r="F874" s="2"/>
      <c r="G874" s="2"/>
    </row>
    <row r="875" spans="1:7" ht="12.75" x14ac:dyDescent="0.2">
      <c r="A875" s="31"/>
      <c r="B875" s="31"/>
      <c r="C875" s="31"/>
      <c r="D875" s="2"/>
      <c r="E875" s="2"/>
      <c r="F875" s="2"/>
      <c r="G875" s="2"/>
    </row>
    <row r="876" spans="1:7" ht="12.75" x14ac:dyDescent="0.2">
      <c r="A876" s="31"/>
      <c r="B876" s="31"/>
      <c r="C876" s="31"/>
      <c r="D876" s="2"/>
      <c r="E876" s="2"/>
      <c r="F876" s="2"/>
      <c r="G876" s="2"/>
    </row>
    <row r="877" spans="1:7" ht="12.75" x14ac:dyDescent="0.2">
      <c r="A877" s="31"/>
      <c r="B877" s="31"/>
      <c r="C877" s="31"/>
      <c r="D877" s="2"/>
      <c r="E877" s="2"/>
      <c r="F877" s="2"/>
      <c r="G877" s="2"/>
    </row>
    <row r="878" spans="1:7" ht="12.75" x14ac:dyDescent="0.2">
      <c r="A878" s="31"/>
      <c r="B878" s="31"/>
      <c r="C878" s="31"/>
      <c r="D878" s="2"/>
      <c r="E878" s="2"/>
      <c r="F878" s="2"/>
      <c r="G878" s="2"/>
    </row>
    <row r="879" spans="1:7" ht="12.75" x14ac:dyDescent="0.2">
      <c r="A879" s="31"/>
      <c r="B879" s="31"/>
      <c r="C879" s="31"/>
      <c r="D879" s="2"/>
      <c r="E879" s="2"/>
      <c r="F879" s="2"/>
      <c r="G879" s="2"/>
    </row>
    <row r="880" spans="1:7" ht="12.75" x14ac:dyDescent="0.2">
      <c r="A880" s="31"/>
      <c r="B880" s="31"/>
      <c r="C880" s="31"/>
      <c r="D880" s="2"/>
      <c r="E880" s="2"/>
      <c r="F880" s="2"/>
      <c r="G880" s="2"/>
    </row>
    <row r="881" spans="1:7" ht="12.75" x14ac:dyDescent="0.2">
      <c r="A881" s="31"/>
      <c r="B881" s="31"/>
      <c r="C881" s="31"/>
      <c r="D881" s="2"/>
      <c r="E881" s="2"/>
      <c r="F881" s="2"/>
      <c r="G881" s="2"/>
    </row>
    <row r="882" spans="1:7" ht="12.75" x14ac:dyDescent="0.2">
      <c r="A882" s="31"/>
      <c r="B882" s="31"/>
      <c r="C882" s="31"/>
      <c r="D882" s="2"/>
      <c r="E882" s="2"/>
      <c r="F882" s="2"/>
      <c r="G882" s="2"/>
    </row>
    <row r="883" spans="1:7" ht="12.75" x14ac:dyDescent="0.2">
      <c r="A883" s="31"/>
      <c r="B883" s="31"/>
      <c r="C883" s="31"/>
      <c r="D883" s="2"/>
      <c r="E883" s="2"/>
      <c r="F883" s="2"/>
      <c r="G883" s="2"/>
    </row>
    <row r="884" spans="1:7" ht="12.75" x14ac:dyDescent="0.2">
      <c r="A884" s="31"/>
      <c r="B884" s="31"/>
      <c r="C884" s="31"/>
      <c r="D884" s="2"/>
      <c r="E884" s="2"/>
      <c r="F884" s="2"/>
      <c r="G884" s="2"/>
    </row>
    <row r="885" spans="1:7" ht="12.75" x14ac:dyDescent="0.2">
      <c r="A885" s="31"/>
      <c r="B885" s="31"/>
      <c r="C885" s="31"/>
      <c r="D885" s="2"/>
      <c r="E885" s="2"/>
      <c r="F885" s="2"/>
      <c r="G885" s="2"/>
    </row>
    <row r="886" spans="1:7" ht="12.75" x14ac:dyDescent="0.2">
      <c r="A886" s="31"/>
      <c r="B886" s="31"/>
      <c r="C886" s="31"/>
      <c r="D886" s="2"/>
      <c r="E886" s="2"/>
      <c r="F886" s="2"/>
      <c r="G886" s="2"/>
    </row>
    <row r="887" spans="1:7" ht="12.75" x14ac:dyDescent="0.2">
      <c r="A887" s="31"/>
      <c r="B887" s="31"/>
      <c r="C887" s="31"/>
      <c r="D887" s="2"/>
      <c r="E887" s="2"/>
      <c r="F887" s="2"/>
      <c r="G887" s="2"/>
    </row>
    <row r="888" spans="1:7" ht="12.75" x14ac:dyDescent="0.2">
      <c r="A888" s="31"/>
      <c r="B888" s="31"/>
      <c r="C888" s="31"/>
      <c r="D888" s="2"/>
      <c r="E888" s="2"/>
      <c r="F888" s="2"/>
      <c r="G888" s="2"/>
    </row>
    <row r="889" spans="1:7" ht="12.75" x14ac:dyDescent="0.2">
      <c r="A889" s="31"/>
      <c r="B889" s="31"/>
      <c r="C889" s="31"/>
      <c r="D889" s="2"/>
      <c r="E889" s="2"/>
      <c r="F889" s="2"/>
      <c r="G889" s="2"/>
    </row>
    <row r="890" spans="1:7" ht="12.75" x14ac:dyDescent="0.2">
      <c r="A890" s="31"/>
      <c r="B890" s="31"/>
      <c r="C890" s="31"/>
      <c r="D890" s="2"/>
      <c r="E890" s="2"/>
      <c r="F890" s="2"/>
      <c r="G890" s="2"/>
    </row>
    <row r="891" spans="1:7" ht="12.75" x14ac:dyDescent="0.2">
      <c r="A891" s="31"/>
      <c r="B891" s="31"/>
      <c r="C891" s="31"/>
      <c r="D891" s="2"/>
      <c r="E891" s="2"/>
      <c r="F891" s="2"/>
      <c r="G891" s="2"/>
    </row>
    <row r="892" spans="1:7" ht="12.75" x14ac:dyDescent="0.2">
      <c r="A892" s="31"/>
      <c r="B892" s="31"/>
      <c r="C892" s="31"/>
      <c r="D892" s="2"/>
      <c r="E892" s="2"/>
      <c r="F892" s="2"/>
      <c r="G892" s="2"/>
    </row>
    <row r="893" spans="1:7" ht="12.75" x14ac:dyDescent="0.2">
      <c r="A893" s="31"/>
      <c r="B893" s="31"/>
      <c r="C893" s="31"/>
      <c r="D893" s="2"/>
      <c r="E893" s="2"/>
      <c r="F893" s="2"/>
      <c r="G893" s="2"/>
    </row>
    <row r="894" spans="1:7" ht="12.75" x14ac:dyDescent="0.2">
      <c r="A894" s="31"/>
      <c r="B894" s="31"/>
      <c r="C894" s="31"/>
      <c r="D894" s="2"/>
      <c r="E894" s="2"/>
      <c r="F894" s="2"/>
      <c r="G894" s="2"/>
    </row>
    <row r="895" spans="1:7" ht="12.75" x14ac:dyDescent="0.2">
      <c r="A895" s="31"/>
      <c r="B895" s="31"/>
      <c r="C895" s="31"/>
      <c r="D895" s="2"/>
      <c r="E895" s="2"/>
      <c r="F895" s="2"/>
      <c r="G895" s="2"/>
    </row>
    <row r="896" spans="1:7" ht="12.75" x14ac:dyDescent="0.2">
      <c r="A896" s="31"/>
      <c r="B896" s="31"/>
      <c r="C896" s="31"/>
      <c r="D896" s="2"/>
      <c r="E896" s="2"/>
      <c r="F896" s="2"/>
      <c r="G896" s="2"/>
    </row>
    <row r="897" spans="1:7" ht="12.75" x14ac:dyDescent="0.2">
      <c r="A897" s="31"/>
      <c r="B897" s="31"/>
      <c r="C897" s="31"/>
      <c r="D897" s="2"/>
      <c r="E897" s="2"/>
      <c r="F897" s="2"/>
      <c r="G897" s="2"/>
    </row>
    <row r="898" spans="1:7" ht="12.75" x14ac:dyDescent="0.2">
      <c r="A898" s="31"/>
      <c r="B898" s="31"/>
      <c r="C898" s="31"/>
      <c r="D898" s="2"/>
      <c r="E898" s="2"/>
      <c r="F898" s="2"/>
      <c r="G898" s="2"/>
    </row>
    <row r="899" spans="1:7" ht="12.75" x14ac:dyDescent="0.2">
      <c r="A899" s="31"/>
      <c r="B899" s="31"/>
      <c r="C899" s="31"/>
      <c r="D899" s="2"/>
      <c r="E899" s="2"/>
      <c r="F899" s="2"/>
      <c r="G899" s="2"/>
    </row>
    <row r="900" spans="1:7" ht="12.75" x14ac:dyDescent="0.2">
      <c r="A900" s="31"/>
      <c r="B900" s="31"/>
      <c r="C900" s="31"/>
      <c r="D900" s="2"/>
      <c r="E900" s="2"/>
      <c r="F900" s="2"/>
      <c r="G900" s="2"/>
    </row>
    <row r="901" spans="1:7" ht="12.75" x14ac:dyDescent="0.2">
      <c r="A901" s="31"/>
      <c r="B901" s="31"/>
      <c r="C901" s="31"/>
      <c r="D901" s="2"/>
      <c r="E901" s="2"/>
      <c r="F901" s="2"/>
      <c r="G901" s="2"/>
    </row>
    <row r="902" spans="1:7" ht="12.75" x14ac:dyDescent="0.2">
      <c r="A902" s="31"/>
      <c r="B902" s="31"/>
      <c r="C902" s="31"/>
      <c r="D902" s="2"/>
      <c r="E902" s="2"/>
      <c r="F902" s="2"/>
      <c r="G902" s="2"/>
    </row>
    <row r="903" spans="1:7" ht="12.75" x14ac:dyDescent="0.2">
      <c r="A903" s="31"/>
      <c r="B903" s="31"/>
      <c r="C903" s="31"/>
      <c r="D903" s="2"/>
      <c r="E903" s="2"/>
      <c r="F903" s="2"/>
      <c r="G903" s="2"/>
    </row>
    <row r="904" spans="1:7" ht="12.75" x14ac:dyDescent="0.2">
      <c r="A904" s="31"/>
      <c r="B904" s="31"/>
      <c r="C904" s="31"/>
      <c r="D904" s="2"/>
      <c r="E904" s="2"/>
      <c r="F904" s="2"/>
      <c r="G904" s="2"/>
    </row>
    <row r="905" spans="1:7" ht="12.75" x14ac:dyDescent="0.2">
      <c r="A905" s="31"/>
      <c r="B905" s="31"/>
      <c r="C905" s="31"/>
      <c r="D905" s="2"/>
      <c r="E905" s="2"/>
      <c r="F905" s="2"/>
      <c r="G905" s="2"/>
    </row>
    <row r="906" spans="1:7" ht="12.75" x14ac:dyDescent="0.2">
      <c r="A906" s="31"/>
      <c r="B906" s="31"/>
      <c r="C906" s="31"/>
      <c r="D906" s="2"/>
      <c r="E906" s="2"/>
      <c r="F906" s="2"/>
      <c r="G906" s="2"/>
    </row>
    <row r="907" spans="1:7" ht="12.75" x14ac:dyDescent="0.2">
      <c r="A907" s="31"/>
      <c r="B907" s="31"/>
      <c r="C907" s="31"/>
      <c r="D907" s="2"/>
      <c r="E907" s="2"/>
      <c r="F907" s="2"/>
      <c r="G907" s="2"/>
    </row>
    <row r="908" spans="1:7" ht="12.75" x14ac:dyDescent="0.2">
      <c r="A908" s="31"/>
      <c r="B908" s="31"/>
      <c r="C908" s="31"/>
      <c r="D908" s="2"/>
      <c r="E908" s="2"/>
      <c r="F908" s="2"/>
      <c r="G908" s="2"/>
    </row>
    <row r="909" spans="1:7" ht="12.75" x14ac:dyDescent="0.2">
      <c r="A909" s="31"/>
      <c r="B909" s="31"/>
      <c r="C909" s="31"/>
      <c r="D909" s="2"/>
      <c r="E909" s="2"/>
      <c r="F909" s="2"/>
      <c r="G909" s="2"/>
    </row>
    <row r="910" spans="1:7" ht="12.75" x14ac:dyDescent="0.2">
      <c r="A910" s="31"/>
      <c r="B910" s="31"/>
      <c r="C910" s="31"/>
      <c r="D910" s="2"/>
      <c r="E910" s="2"/>
      <c r="F910" s="2"/>
      <c r="G910" s="2"/>
    </row>
    <row r="911" spans="1:7" ht="12.75" x14ac:dyDescent="0.2">
      <c r="A911" s="31"/>
      <c r="B911" s="31"/>
      <c r="C911" s="31"/>
      <c r="D911" s="2"/>
      <c r="E911" s="2"/>
      <c r="F911" s="2"/>
      <c r="G911" s="2"/>
    </row>
    <row r="912" spans="1:7" ht="12.75" x14ac:dyDescent="0.2">
      <c r="A912" s="31"/>
      <c r="B912" s="31"/>
      <c r="C912" s="31"/>
      <c r="D912" s="2"/>
      <c r="E912" s="2"/>
      <c r="F912" s="2"/>
      <c r="G912" s="2"/>
    </row>
    <row r="913" spans="1:7" ht="12.75" x14ac:dyDescent="0.2">
      <c r="A913" s="31"/>
      <c r="B913" s="31"/>
      <c r="C913" s="31"/>
      <c r="D913" s="2"/>
      <c r="E913" s="2"/>
      <c r="F913" s="2"/>
      <c r="G913" s="2"/>
    </row>
    <row r="914" spans="1:7" ht="12.75" x14ac:dyDescent="0.2">
      <c r="A914" s="31"/>
      <c r="B914" s="31"/>
      <c r="C914" s="31"/>
      <c r="D914" s="2"/>
      <c r="E914" s="2"/>
      <c r="F914" s="2"/>
      <c r="G914" s="2"/>
    </row>
    <row r="915" spans="1:7" ht="12.75" x14ac:dyDescent="0.2">
      <c r="A915" s="31"/>
      <c r="B915" s="31"/>
      <c r="C915" s="31"/>
      <c r="D915" s="2"/>
      <c r="E915" s="2"/>
      <c r="F915" s="2"/>
      <c r="G915" s="2"/>
    </row>
    <row r="916" spans="1:7" ht="12.75" x14ac:dyDescent="0.2">
      <c r="A916" s="31"/>
      <c r="B916" s="31"/>
      <c r="C916" s="31"/>
      <c r="D916" s="2"/>
      <c r="E916" s="2"/>
      <c r="F916" s="2"/>
      <c r="G916" s="2"/>
    </row>
    <row r="917" spans="1:7" ht="12.75" x14ac:dyDescent="0.2">
      <c r="A917" s="31"/>
      <c r="B917" s="31"/>
      <c r="C917" s="31"/>
      <c r="D917" s="2"/>
      <c r="E917" s="2"/>
      <c r="F917" s="2"/>
      <c r="G917" s="2"/>
    </row>
    <row r="918" spans="1:7" ht="12.75" x14ac:dyDescent="0.2">
      <c r="A918" s="31"/>
      <c r="B918" s="31"/>
      <c r="C918" s="31"/>
      <c r="D918" s="2"/>
      <c r="E918" s="2"/>
      <c r="F918" s="2"/>
      <c r="G918" s="2"/>
    </row>
    <row r="919" spans="1:7" ht="12.75" x14ac:dyDescent="0.2">
      <c r="A919" s="31"/>
      <c r="B919" s="31"/>
      <c r="C919" s="31"/>
      <c r="D919" s="2"/>
      <c r="E919" s="2"/>
      <c r="F919" s="2"/>
      <c r="G919" s="2"/>
    </row>
    <row r="920" spans="1:7" ht="12.75" x14ac:dyDescent="0.2">
      <c r="A920" s="31"/>
      <c r="B920" s="31"/>
      <c r="C920" s="31"/>
      <c r="D920" s="2"/>
      <c r="E920" s="2"/>
      <c r="F920" s="2"/>
      <c r="G920" s="2"/>
    </row>
    <row r="921" spans="1:7" ht="12.75" x14ac:dyDescent="0.2">
      <c r="A921" s="31"/>
      <c r="B921" s="31"/>
      <c r="C921" s="31"/>
      <c r="D921" s="2"/>
      <c r="E921" s="2"/>
      <c r="F921" s="2"/>
      <c r="G921" s="2"/>
    </row>
    <row r="922" spans="1:7" ht="12.75" x14ac:dyDescent="0.2">
      <c r="A922" s="31"/>
      <c r="B922" s="31"/>
      <c r="C922" s="31"/>
      <c r="D922" s="2"/>
      <c r="E922" s="2"/>
      <c r="F922" s="2"/>
      <c r="G922" s="2"/>
    </row>
    <row r="923" spans="1:7" ht="12.75" x14ac:dyDescent="0.2">
      <c r="A923" s="31"/>
      <c r="B923" s="31"/>
      <c r="C923" s="31"/>
      <c r="D923" s="2"/>
      <c r="E923" s="2"/>
      <c r="F923" s="2"/>
      <c r="G923" s="2"/>
    </row>
    <row r="924" spans="1:7" ht="12.75" x14ac:dyDescent="0.2">
      <c r="A924" s="31"/>
      <c r="B924" s="31"/>
      <c r="C924" s="31"/>
      <c r="D924" s="2"/>
      <c r="E924" s="2"/>
      <c r="F924" s="2"/>
      <c r="G924" s="2"/>
    </row>
    <row r="925" spans="1:7" ht="12.75" x14ac:dyDescent="0.2">
      <c r="A925" s="31"/>
      <c r="B925" s="31"/>
      <c r="C925" s="31"/>
      <c r="D925" s="2"/>
      <c r="E925" s="2"/>
      <c r="F925" s="2"/>
      <c r="G925" s="2"/>
    </row>
    <row r="926" spans="1:7" ht="12.75" x14ac:dyDescent="0.2">
      <c r="A926" s="31"/>
      <c r="B926" s="31"/>
      <c r="C926" s="31"/>
      <c r="D926" s="2"/>
      <c r="E926" s="2"/>
      <c r="F926" s="2"/>
      <c r="G926" s="2"/>
    </row>
    <row r="927" spans="1:7" ht="12.75" x14ac:dyDescent="0.2">
      <c r="A927" s="31"/>
      <c r="B927" s="31"/>
      <c r="C927" s="31"/>
      <c r="D927" s="2"/>
      <c r="E927" s="2"/>
      <c r="F927" s="2"/>
      <c r="G927" s="2"/>
    </row>
    <row r="928" spans="1:7" ht="12.75" x14ac:dyDescent="0.2">
      <c r="A928" s="31"/>
      <c r="B928" s="31"/>
      <c r="C928" s="31"/>
      <c r="D928" s="2"/>
      <c r="E928" s="2"/>
      <c r="F928" s="2"/>
      <c r="G928" s="2"/>
    </row>
    <row r="929" spans="1:7" ht="12.75" x14ac:dyDescent="0.2">
      <c r="A929" s="31"/>
      <c r="B929" s="31"/>
      <c r="C929" s="31"/>
      <c r="D929" s="2"/>
      <c r="E929" s="2"/>
      <c r="F929" s="2"/>
      <c r="G929" s="2"/>
    </row>
    <row r="930" spans="1:7" ht="12.75" x14ac:dyDescent="0.2">
      <c r="A930" s="31"/>
      <c r="B930" s="31"/>
      <c r="C930" s="31"/>
      <c r="D930" s="2"/>
      <c r="E930" s="2"/>
      <c r="F930" s="2"/>
      <c r="G930" s="2"/>
    </row>
    <row r="931" spans="1:7" ht="12.75" x14ac:dyDescent="0.2">
      <c r="A931" s="31"/>
      <c r="B931" s="31"/>
      <c r="C931" s="31"/>
      <c r="D931" s="2"/>
      <c r="E931" s="2"/>
      <c r="F931" s="2"/>
      <c r="G931" s="2"/>
    </row>
    <row r="932" spans="1:7" ht="12.75" x14ac:dyDescent="0.2">
      <c r="A932" s="31"/>
      <c r="B932" s="31"/>
      <c r="C932" s="31"/>
      <c r="D932" s="2"/>
      <c r="E932" s="2"/>
      <c r="F932" s="2"/>
      <c r="G932" s="2"/>
    </row>
    <row r="933" spans="1:7" ht="12.75" x14ac:dyDescent="0.2">
      <c r="A933" s="31"/>
      <c r="B933" s="31"/>
      <c r="C933" s="31"/>
      <c r="D933" s="2"/>
      <c r="E933" s="2"/>
      <c r="F933" s="2"/>
      <c r="G933" s="2"/>
    </row>
    <row r="934" spans="1:7" ht="12.75" x14ac:dyDescent="0.2">
      <c r="A934" s="31"/>
      <c r="B934" s="31"/>
      <c r="C934" s="31"/>
      <c r="D934" s="2"/>
      <c r="E934" s="2"/>
      <c r="F934" s="2"/>
      <c r="G934" s="2"/>
    </row>
    <row r="935" spans="1:7" ht="12.75" x14ac:dyDescent="0.2">
      <c r="A935" s="31"/>
      <c r="B935" s="31"/>
      <c r="C935" s="31"/>
      <c r="D935" s="2"/>
      <c r="E935" s="2"/>
      <c r="F935" s="2"/>
      <c r="G935" s="2"/>
    </row>
    <row r="936" spans="1:7" ht="12.75" x14ac:dyDescent="0.2">
      <c r="A936" s="31"/>
      <c r="B936" s="31"/>
      <c r="C936" s="31"/>
      <c r="D936" s="2"/>
      <c r="E936" s="2"/>
      <c r="F936" s="2"/>
      <c r="G936" s="2"/>
    </row>
    <row r="937" spans="1:7" ht="12.75" x14ac:dyDescent="0.2">
      <c r="A937" s="31"/>
      <c r="B937" s="31"/>
      <c r="C937" s="31"/>
      <c r="D937" s="2"/>
      <c r="E937" s="2"/>
      <c r="F937" s="2"/>
      <c r="G937" s="2"/>
    </row>
    <row r="938" spans="1:7" ht="12.75" x14ac:dyDescent="0.2">
      <c r="A938" s="31"/>
      <c r="B938" s="31"/>
      <c r="C938" s="31"/>
      <c r="D938" s="2"/>
      <c r="E938" s="2"/>
      <c r="F938" s="2"/>
      <c r="G938" s="2"/>
    </row>
    <row r="939" spans="1:7" ht="12.75" x14ac:dyDescent="0.2">
      <c r="A939" s="31"/>
      <c r="B939" s="31"/>
      <c r="C939" s="31"/>
      <c r="D939" s="2"/>
      <c r="E939" s="2"/>
      <c r="F939" s="2"/>
      <c r="G939" s="2"/>
    </row>
    <row r="940" spans="1:7" ht="12.75" x14ac:dyDescent="0.2">
      <c r="A940" s="31"/>
      <c r="B940" s="31"/>
      <c r="C940" s="31"/>
      <c r="D940" s="2"/>
      <c r="E940" s="2"/>
      <c r="F940" s="2"/>
      <c r="G940" s="2"/>
    </row>
    <row r="941" spans="1:7" ht="12.75" x14ac:dyDescent="0.2">
      <c r="A941" s="31"/>
      <c r="B941" s="31"/>
      <c r="C941" s="31"/>
      <c r="D941" s="2"/>
      <c r="E941" s="2"/>
      <c r="F941" s="2"/>
      <c r="G941" s="2"/>
    </row>
    <row r="942" spans="1:7" ht="12.75" x14ac:dyDescent="0.2">
      <c r="A942" s="31"/>
      <c r="B942" s="31"/>
      <c r="C942" s="31"/>
      <c r="D942" s="2"/>
      <c r="E942" s="2"/>
      <c r="F942" s="2"/>
      <c r="G942" s="2"/>
    </row>
    <row r="943" spans="1:7" ht="12.75" x14ac:dyDescent="0.2">
      <c r="A943" s="31"/>
      <c r="B943" s="31"/>
      <c r="C943" s="31"/>
      <c r="D943" s="2"/>
      <c r="E943" s="2"/>
      <c r="F943" s="2"/>
      <c r="G943" s="2"/>
    </row>
    <row r="944" spans="1:7" ht="12.75" x14ac:dyDescent="0.2">
      <c r="A944" s="31"/>
      <c r="B944" s="31"/>
      <c r="C944" s="31"/>
      <c r="D944" s="2"/>
      <c r="E944" s="2"/>
      <c r="F944" s="2"/>
      <c r="G944" s="2"/>
    </row>
    <row r="945" spans="1:7" ht="12.75" x14ac:dyDescent="0.2">
      <c r="A945" s="31"/>
      <c r="B945" s="31"/>
      <c r="C945" s="31"/>
      <c r="D945" s="2"/>
      <c r="E945" s="2"/>
      <c r="F945" s="2"/>
      <c r="G945" s="2"/>
    </row>
    <row r="946" spans="1:7" ht="12.75" x14ac:dyDescent="0.2">
      <c r="A946" s="31"/>
      <c r="B946" s="31"/>
      <c r="C946" s="31"/>
      <c r="D946" s="2"/>
      <c r="E946" s="2"/>
      <c r="F946" s="2"/>
      <c r="G946" s="2"/>
    </row>
    <row r="947" spans="1:7" ht="12.75" x14ac:dyDescent="0.2">
      <c r="A947" s="31"/>
      <c r="B947" s="31"/>
      <c r="C947" s="31"/>
      <c r="D947" s="2"/>
      <c r="E947" s="2"/>
      <c r="F947" s="2"/>
      <c r="G947" s="2"/>
    </row>
    <row r="948" spans="1:7" ht="12.75" x14ac:dyDescent="0.2">
      <c r="A948" s="31"/>
      <c r="B948" s="31"/>
      <c r="C948" s="31"/>
      <c r="D948" s="2"/>
      <c r="E948" s="2"/>
      <c r="F948" s="2"/>
      <c r="G948" s="2"/>
    </row>
    <row r="949" spans="1:7" ht="12.75" x14ac:dyDescent="0.2">
      <c r="A949" s="31"/>
      <c r="B949" s="31"/>
      <c r="C949" s="31"/>
      <c r="D949" s="2"/>
      <c r="E949" s="2"/>
      <c r="F949" s="2"/>
      <c r="G949" s="2"/>
    </row>
    <row r="950" spans="1:7" ht="12.75" x14ac:dyDescent="0.2">
      <c r="A950" s="31"/>
      <c r="B950" s="31"/>
      <c r="C950" s="31"/>
      <c r="D950" s="2"/>
      <c r="E950" s="2"/>
      <c r="F950" s="2"/>
      <c r="G950" s="2"/>
    </row>
    <row r="951" spans="1:7" ht="12.75" x14ac:dyDescent="0.2">
      <c r="A951" s="31"/>
      <c r="B951" s="31"/>
      <c r="C951" s="31"/>
      <c r="D951" s="2"/>
      <c r="E951" s="2"/>
      <c r="F951" s="2"/>
      <c r="G951" s="2"/>
    </row>
    <row r="952" spans="1:7" ht="12.75" x14ac:dyDescent="0.2">
      <c r="A952" s="31"/>
      <c r="B952" s="31"/>
      <c r="C952" s="31"/>
      <c r="D952" s="2"/>
      <c r="E952" s="2"/>
      <c r="F952" s="2"/>
      <c r="G952" s="2"/>
    </row>
    <row r="953" spans="1:7" ht="12.75" x14ac:dyDescent="0.2">
      <c r="A953" s="31"/>
      <c r="B953" s="31"/>
      <c r="C953" s="31"/>
      <c r="D953" s="2"/>
      <c r="E953" s="2"/>
      <c r="F953" s="2"/>
      <c r="G953" s="2"/>
    </row>
    <row r="954" spans="1:7" ht="12.75" x14ac:dyDescent="0.2">
      <c r="A954" s="31"/>
      <c r="B954" s="31"/>
      <c r="C954" s="31"/>
      <c r="D954" s="2"/>
      <c r="E954" s="2"/>
      <c r="F954" s="2"/>
      <c r="G954" s="2"/>
    </row>
    <row r="955" spans="1:7" ht="12.75" x14ac:dyDescent="0.2">
      <c r="A955" s="31"/>
      <c r="B955" s="31"/>
      <c r="C955" s="31"/>
      <c r="D955" s="2"/>
      <c r="E955" s="2"/>
      <c r="F955" s="2"/>
      <c r="G955" s="2"/>
    </row>
    <row r="956" spans="1:7" ht="12.75" x14ac:dyDescent="0.2">
      <c r="A956" s="31"/>
      <c r="B956" s="31"/>
      <c r="C956" s="31"/>
      <c r="D956" s="2"/>
      <c r="E956" s="2"/>
      <c r="F956" s="2"/>
      <c r="G956" s="2"/>
    </row>
    <row r="957" spans="1:7" ht="12.75" x14ac:dyDescent="0.2">
      <c r="A957" s="31"/>
      <c r="B957" s="31"/>
      <c r="C957" s="31"/>
      <c r="D957" s="2"/>
      <c r="E957" s="2"/>
      <c r="F957" s="2"/>
      <c r="G957" s="2"/>
    </row>
    <row r="958" spans="1:7" ht="12.75" x14ac:dyDescent="0.2">
      <c r="A958" s="31"/>
      <c r="B958" s="31"/>
      <c r="C958" s="31"/>
      <c r="D958" s="2"/>
      <c r="E958" s="2"/>
      <c r="F958" s="2"/>
      <c r="G958" s="2"/>
    </row>
    <row r="959" spans="1:7" ht="12.75" x14ac:dyDescent="0.2">
      <c r="A959" s="31"/>
      <c r="B959" s="31"/>
      <c r="C959" s="31"/>
      <c r="D959" s="2"/>
      <c r="E959" s="2"/>
      <c r="F959" s="2"/>
      <c r="G959" s="2"/>
    </row>
    <row r="960" spans="1:7" ht="12.75" x14ac:dyDescent="0.2">
      <c r="A960" s="31"/>
      <c r="B960" s="31"/>
      <c r="C960" s="31"/>
      <c r="D960" s="2"/>
      <c r="E960" s="2"/>
      <c r="F960" s="2"/>
      <c r="G960" s="2"/>
    </row>
    <row r="961" spans="1:7" ht="12.75" x14ac:dyDescent="0.2">
      <c r="A961" s="31"/>
      <c r="B961" s="31"/>
      <c r="C961" s="31"/>
      <c r="D961" s="2"/>
      <c r="E961" s="2"/>
      <c r="F961" s="2"/>
      <c r="G961" s="2"/>
    </row>
    <row r="962" spans="1:7" ht="12.75" x14ac:dyDescent="0.2">
      <c r="A962" s="31"/>
      <c r="B962" s="31"/>
      <c r="C962" s="31"/>
      <c r="D962" s="2"/>
      <c r="E962" s="2"/>
      <c r="F962" s="2"/>
      <c r="G962" s="2"/>
    </row>
    <row r="963" spans="1:7" ht="12.75" x14ac:dyDescent="0.2">
      <c r="A963" s="31"/>
      <c r="B963" s="31"/>
      <c r="C963" s="31"/>
      <c r="D963" s="2"/>
      <c r="E963" s="2"/>
      <c r="F963" s="2"/>
      <c r="G963" s="2"/>
    </row>
    <row r="964" spans="1:7" ht="12.75" x14ac:dyDescent="0.2">
      <c r="A964" s="31"/>
      <c r="B964" s="31"/>
      <c r="C964" s="31"/>
      <c r="D964" s="2"/>
      <c r="E964" s="2"/>
      <c r="F964" s="2"/>
      <c r="G964" s="2"/>
    </row>
    <row r="965" spans="1:7" ht="12.75" x14ac:dyDescent="0.2">
      <c r="A965" s="31"/>
      <c r="B965" s="31"/>
      <c r="C965" s="31"/>
      <c r="D965" s="2"/>
      <c r="E965" s="2"/>
      <c r="F965" s="2"/>
      <c r="G965" s="2"/>
    </row>
    <row r="966" spans="1:7" ht="12.75" x14ac:dyDescent="0.2">
      <c r="A966" s="31"/>
      <c r="B966" s="31"/>
      <c r="C966" s="31"/>
      <c r="D966" s="2"/>
      <c r="E966" s="2"/>
      <c r="F966" s="2"/>
      <c r="G966" s="2"/>
    </row>
    <row r="967" spans="1:7" ht="12.75" x14ac:dyDescent="0.2">
      <c r="A967" s="31"/>
      <c r="B967" s="31"/>
      <c r="C967" s="31"/>
      <c r="D967" s="2"/>
      <c r="E967" s="2"/>
      <c r="F967" s="2"/>
      <c r="G967" s="2"/>
    </row>
    <row r="968" spans="1:7" ht="12.75" x14ac:dyDescent="0.2">
      <c r="A968" s="31"/>
      <c r="B968" s="31"/>
      <c r="C968" s="31"/>
      <c r="D968" s="2"/>
      <c r="E968" s="2"/>
      <c r="F968" s="2"/>
      <c r="G968" s="2"/>
    </row>
    <row r="969" spans="1:7" ht="12.75" x14ac:dyDescent="0.2">
      <c r="A969" s="31"/>
      <c r="B969" s="31"/>
      <c r="C969" s="31"/>
      <c r="D969" s="2"/>
      <c r="E969" s="2"/>
      <c r="F969" s="2"/>
      <c r="G969" s="2"/>
    </row>
    <row r="970" spans="1:7" ht="12.75" x14ac:dyDescent="0.2">
      <c r="A970" s="31"/>
      <c r="B970" s="31"/>
      <c r="C970" s="31"/>
      <c r="D970" s="2"/>
      <c r="E970" s="2"/>
      <c r="F970" s="2"/>
      <c r="G970" s="2"/>
    </row>
    <row r="971" spans="1:7" ht="12.75" x14ac:dyDescent="0.2">
      <c r="A971" s="31"/>
      <c r="B971" s="31"/>
      <c r="C971" s="31"/>
      <c r="D971" s="2"/>
      <c r="E971" s="2"/>
      <c r="F971" s="2"/>
      <c r="G971" s="2"/>
    </row>
    <row r="972" spans="1:7" ht="12.75" x14ac:dyDescent="0.2">
      <c r="A972" s="31"/>
      <c r="B972" s="31"/>
      <c r="C972" s="31"/>
      <c r="D972" s="2"/>
      <c r="E972" s="2"/>
      <c r="F972" s="2"/>
      <c r="G972" s="2"/>
    </row>
    <row r="973" spans="1:7" ht="12.75" x14ac:dyDescent="0.2">
      <c r="A973" s="31"/>
      <c r="B973" s="31"/>
      <c r="C973" s="31"/>
      <c r="D973" s="2"/>
      <c r="E973" s="2"/>
      <c r="F973" s="2"/>
      <c r="G973" s="2"/>
    </row>
    <row r="974" spans="1:7" ht="12.75" x14ac:dyDescent="0.2">
      <c r="A974" s="31"/>
      <c r="B974" s="31"/>
      <c r="C974" s="31"/>
      <c r="D974" s="2"/>
      <c r="E974" s="2"/>
      <c r="F974" s="2"/>
      <c r="G974" s="2"/>
    </row>
    <row r="975" spans="1:7" ht="12.75" x14ac:dyDescent="0.2">
      <c r="A975" s="31"/>
      <c r="B975" s="31"/>
      <c r="C975" s="31"/>
      <c r="D975" s="2"/>
      <c r="E975" s="2"/>
      <c r="F975" s="2"/>
      <c r="G975" s="2"/>
    </row>
    <row r="976" spans="1:7" ht="12.75" x14ac:dyDescent="0.2">
      <c r="A976" s="31"/>
      <c r="B976" s="31"/>
      <c r="C976" s="31"/>
      <c r="D976" s="2"/>
      <c r="E976" s="2"/>
      <c r="F976" s="2"/>
      <c r="G976" s="2"/>
    </row>
    <row r="977" spans="1:7" ht="12.75" x14ac:dyDescent="0.2">
      <c r="A977" s="31"/>
      <c r="B977" s="31"/>
      <c r="C977" s="31"/>
      <c r="D977" s="2"/>
      <c r="E977" s="2"/>
      <c r="F977" s="2"/>
      <c r="G977" s="2"/>
    </row>
    <row r="978" spans="1:7" ht="12.75" x14ac:dyDescent="0.2">
      <c r="A978" s="31"/>
      <c r="B978" s="31"/>
      <c r="C978" s="31"/>
      <c r="D978" s="2"/>
      <c r="E978" s="2"/>
      <c r="F978" s="2"/>
      <c r="G978" s="2"/>
    </row>
    <row r="979" spans="1:7" ht="12.75" x14ac:dyDescent="0.2">
      <c r="A979" s="31"/>
      <c r="B979" s="31"/>
      <c r="C979" s="31"/>
      <c r="D979" s="2"/>
      <c r="E979" s="2"/>
      <c r="F979" s="2"/>
      <c r="G979" s="2"/>
    </row>
    <row r="980" spans="1:7" ht="12.75" x14ac:dyDescent="0.2">
      <c r="A980" s="31"/>
      <c r="B980" s="31"/>
      <c r="C980" s="31"/>
      <c r="D980" s="2"/>
      <c r="E980" s="2"/>
      <c r="F980" s="2"/>
      <c r="G980" s="2"/>
    </row>
    <row r="981" spans="1:7" ht="12.75" x14ac:dyDescent="0.2">
      <c r="A981" s="31"/>
      <c r="B981" s="31"/>
      <c r="C981" s="31"/>
      <c r="D981" s="2"/>
      <c r="E981" s="2"/>
      <c r="F981" s="2"/>
      <c r="G981" s="2"/>
    </row>
    <row r="982" spans="1:7" ht="12.75" x14ac:dyDescent="0.2">
      <c r="A982" s="31"/>
      <c r="B982" s="31"/>
      <c r="C982" s="31"/>
      <c r="D982" s="2"/>
      <c r="E982" s="2"/>
      <c r="F982" s="2"/>
      <c r="G982" s="2"/>
    </row>
    <row r="983" spans="1:7" ht="12.75" x14ac:dyDescent="0.2">
      <c r="A983" s="31"/>
      <c r="B983" s="31"/>
      <c r="C983" s="31"/>
      <c r="D983" s="2"/>
      <c r="E983" s="2"/>
      <c r="F983" s="2"/>
      <c r="G983" s="2"/>
    </row>
    <row r="984" spans="1:7" ht="12.75" x14ac:dyDescent="0.2">
      <c r="A984" s="31"/>
      <c r="B984" s="31"/>
      <c r="C984" s="31"/>
      <c r="D984" s="2"/>
      <c r="E984" s="2"/>
      <c r="F984" s="2"/>
      <c r="G984" s="2"/>
    </row>
    <row r="985" spans="1:7" ht="12.75" x14ac:dyDescent="0.2">
      <c r="A985" s="31"/>
      <c r="B985" s="31"/>
      <c r="C985" s="31"/>
      <c r="D985" s="2"/>
      <c r="E985" s="2"/>
      <c r="F985" s="2"/>
      <c r="G985" s="2"/>
    </row>
    <row r="986" spans="1:7" ht="12.75" x14ac:dyDescent="0.2">
      <c r="A986" s="31"/>
      <c r="B986" s="31"/>
      <c r="C986" s="31"/>
      <c r="D986" s="2"/>
      <c r="E986" s="2"/>
      <c r="F986" s="2"/>
      <c r="G986" s="2"/>
    </row>
    <row r="987" spans="1:7" ht="12.75" x14ac:dyDescent="0.2">
      <c r="A987" s="31"/>
      <c r="B987" s="31"/>
      <c r="C987" s="31"/>
      <c r="D987" s="2"/>
      <c r="E987" s="2"/>
      <c r="F987" s="2"/>
      <c r="G987" s="2"/>
    </row>
    <row r="988" spans="1:7" ht="12.75" x14ac:dyDescent="0.2">
      <c r="A988" s="31"/>
      <c r="B988" s="31"/>
      <c r="C988" s="31"/>
      <c r="D988" s="2"/>
      <c r="E988" s="2"/>
      <c r="F988" s="2"/>
      <c r="G988" s="2"/>
    </row>
    <row r="989" spans="1:7" ht="12.75" x14ac:dyDescent="0.2">
      <c r="A989" s="31"/>
      <c r="B989" s="31"/>
      <c r="C989" s="31"/>
      <c r="D989" s="2"/>
      <c r="E989" s="2"/>
      <c r="F989" s="2"/>
      <c r="G989" s="2"/>
    </row>
    <row r="990" spans="1:7" ht="12.75" x14ac:dyDescent="0.2">
      <c r="A990" s="31"/>
      <c r="B990" s="31"/>
      <c r="C990" s="31"/>
      <c r="D990" s="2"/>
      <c r="E990" s="2"/>
      <c r="F990" s="2"/>
      <c r="G990" s="2"/>
    </row>
    <row r="991" spans="1:7" ht="12.75" x14ac:dyDescent="0.2">
      <c r="A991" s="31"/>
      <c r="B991" s="31"/>
      <c r="C991" s="31"/>
      <c r="D991" s="2"/>
      <c r="E991" s="2"/>
      <c r="F991" s="2"/>
      <c r="G991" s="2"/>
    </row>
    <row r="992" spans="1:7" ht="12.75" x14ac:dyDescent="0.2">
      <c r="A992" s="31"/>
      <c r="B992" s="31"/>
      <c r="C992" s="31"/>
      <c r="D992" s="2"/>
      <c r="E992" s="2"/>
      <c r="F992" s="2"/>
      <c r="G992" s="2"/>
    </row>
    <row r="993" spans="1:7" ht="12.75" x14ac:dyDescent="0.2">
      <c r="A993" s="31"/>
      <c r="B993" s="31"/>
      <c r="C993" s="31"/>
      <c r="D993" s="2"/>
      <c r="E993" s="2"/>
      <c r="F993" s="2"/>
      <c r="G993" s="2"/>
    </row>
    <row r="994" spans="1:7" ht="12.75" x14ac:dyDescent="0.2">
      <c r="A994" s="31"/>
      <c r="B994" s="31"/>
      <c r="C994" s="31"/>
      <c r="D994" s="2"/>
      <c r="E994" s="2"/>
      <c r="F994" s="2"/>
      <c r="G994" s="2"/>
    </row>
    <row r="995" spans="1:7" ht="12.75" x14ac:dyDescent="0.2">
      <c r="A995" s="31"/>
      <c r="B995" s="31"/>
      <c r="C995" s="31"/>
      <c r="D995" s="2"/>
      <c r="E995" s="2"/>
      <c r="F995" s="2"/>
      <c r="G995" s="2"/>
    </row>
    <row r="996" spans="1:7" ht="12.75" x14ac:dyDescent="0.2">
      <c r="A996" s="31"/>
      <c r="B996" s="31"/>
      <c r="C996" s="31"/>
      <c r="D996" s="2"/>
      <c r="E996" s="2"/>
      <c r="F996" s="2"/>
      <c r="G996" s="2"/>
    </row>
    <row r="997" spans="1:7" ht="12.75" x14ac:dyDescent="0.2">
      <c r="A997" s="31"/>
      <c r="B997" s="31"/>
      <c r="C997" s="31"/>
      <c r="D997" s="2"/>
      <c r="E997" s="2"/>
      <c r="F997" s="2"/>
      <c r="G997" s="2"/>
    </row>
    <row r="998" spans="1:7" ht="12.75" x14ac:dyDescent="0.2">
      <c r="A998" s="31"/>
      <c r="B998" s="31"/>
      <c r="C998" s="31"/>
      <c r="D998" s="2"/>
      <c r="E998" s="2"/>
      <c r="F998" s="2"/>
      <c r="G998" s="2"/>
    </row>
  </sheetData>
  <mergeCells count="2">
    <mergeCell ref="A1:F1"/>
    <mergeCell ref="A29:F2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T1003"/>
  <sheetViews>
    <sheetView workbookViewId="0"/>
  </sheetViews>
  <sheetFormatPr defaultColWidth="12.42578125" defaultRowHeight="15.75" customHeight="1" x14ac:dyDescent="0.2"/>
  <cols>
    <col min="7" max="7" width="24.42578125" customWidth="1"/>
    <col min="8" max="8" width="18" customWidth="1"/>
    <col min="9" max="20" width="12.42578125" hidden="1"/>
  </cols>
  <sheetData>
    <row r="1" spans="1:20" ht="12.75" x14ac:dyDescent="0.2">
      <c r="A1" s="32"/>
      <c r="B1" s="227" t="s">
        <v>611</v>
      </c>
      <c r="C1" s="228"/>
      <c r="D1" s="228"/>
      <c r="E1" s="228"/>
      <c r="F1" s="228"/>
      <c r="G1" s="228"/>
      <c r="H1" s="229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2.75" x14ac:dyDescent="0.2">
      <c r="A2" s="33"/>
      <c r="B2" s="230"/>
      <c r="C2" s="231"/>
      <c r="D2" s="231"/>
      <c r="E2" s="231"/>
      <c r="F2" s="231"/>
      <c r="G2" s="231"/>
      <c r="H2" s="232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2.75" x14ac:dyDescent="0.2">
      <c r="A3" s="8" t="s">
        <v>612</v>
      </c>
      <c r="B3" s="34" t="s">
        <v>582</v>
      </c>
      <c r="C3" s="35" t="s">
        <v>578</v>
      </c>
      <c r="D3" s="35" t="s">
        <v>579</v>
      </c>
      <c r="E3" s="35" t="s">
        <v>580</v>
      </c>
      <c r="F3" s="34" t="s">
        <v>581</v>
      </c>
      <c r="G3" s="34" t="s">
        <v>551</v>
      </c>
      <c r="H3" s="34" t="s">
        <v>613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customHeight="1" x14ac:dyDescent="0.25">
      <c r="A4" s="36" t="s">
        <v>614</v>
      </c>
      <c r="B4" s="36" t="s">
        <v>585</v>
      </c>
      <c r="C4" s="37">
        <v>1.388503</v>
      </c>
      <c r="D4" s="38">
        <v>1.015566</v>
      </c>
      <c r="E4" s="38">
        <v>1.8983909999999999</v>
      </c>
      <c r="F4" s="39">
        <v>3.9710000000000002E-2</v>
      </c>
      <c r="G4" s="36" t="s">
        <v>584</v>
      </c>
      <c r="H4" s="36" t="s">
        <v>586</v>
      </c>
      <c r="J4" s="23"/>
    </row>
    <row r="5" spans="1:20" ht="15.75" customHeight="1" x14ac:dyDescent="0.25">
      <c r="A5" s="36" t="s">
        <v>614</v>
      </c>
      <c r="B5" s="36" t="s">
        <v>585</v>
      </c>
      <c r="C5" s="38">
        <v>1.207014</v>
      </c>
      <c r="D5" s="38">
        <v>0.89759</v>
      </c>
      <c r="E5" s="38">
        <v>1.623105</v>
      </c>
      <c r="F5" s="39">
        <v>0.213121</v>
      </c>
      <c r="G5" s="36" t="s">
        <v>590</v>
      </c>
      <c r="H5" s="36" t="s">
        <v>591</v>
      </c>
      <c r="J5" s="23"/>
    </row>
    <row r="6" spans="1:20" ht="15.75" customHeight="1" x14ac:dyDescent="0.25">
      <c r="A6" s="36" t="s">
        <v>614</v>
      </c>
      <c r="B6" s="36" t="s">
        <v>585</v>
      </c>
      <c r="C6" s="38">
        <v>1.621605</v>
      </c>
      <c r="D6" s="38">
        <v>1.145303</v>
      </c>
      <c r="E6" s="38">
        <v>2.2959879999999999</v>
      </c>
      <c r="F6" s="39">
        <v>6.4380000000000001E-3</v>
      </c>
      <c r="G6" s="36" t="s">
        <v>594</v>
      </c>
      <c r="H6" s="36" t="s">
        <v>595</v>
      </c>
      <c r="J6" s="23"/>
    </row>
    <row r="7" spans="1:20" ht="15.75" customHeight="1" x14ac:dyDescent="0.25">
      <c r="A7" s="36" t="s">
        <v>614</v>
      </c>
      <c r="B7" s="36" t="s">
        <v>585</v>
      </c>
      <c r="C7" s="38">
        <v>1.818187</v>
      </c>
      <c r="D7" s="38">
        <v>1.1603049999999999</v>
      </c>
      <c r="E7" s="38">
        <v>2.8490829999999998</v>
      </c>
      <c r="F7" s="39">
        <v>9.0869999999999996E-3</v>
      </c>
      <c r="G7" s="36" t="s">
        <v>615</v>
      </c>
      <c r="H7" s="36" t="s">
        <v>593</v>
      </c>
      <c r="J7" s="23"/>
    </row>
    <row r="8" spans="1:20" ht="15.75" customHeight="1" x14ac:dyDescent="0.25">
      <c r="A8" s="36" t="s">
        <v>614</v>
      </c>
      <c r="B8" s="36" t="s">
        <v>585</v>
      </c>
      <c r="C8" s="38">
        <v>1.9767589999999999</v>
      </c>
      <c r="D8" s="38">
        <v>1.3165340000000001</v>
      </c>
      <c r="E8" s="38">
        <v>2.9680770000000001</v>
      </c>
      <c r="F8" s="39">
        <v>1.016E-3</v>
      </c>
      <c r="G8" s="36" t="s">
        <v>598</v>
      </c>
      <c r="H8" s="36" t="s">
        <v>599</v>
      </c>
      <c r="J8" s="23"/>
    </row>
    <row r="9" spans="1:20" ht="15.75" customHeight="1" x14ac:dyDescent="0.25">
      <c r="A9" s="36" t="s">
        <v>614</v>
      </c>
      <c r="B9" s="36" t="s">
        <v>585</v>
      </c>
      <c r="C9" s="38">
        <v>1.103982</v>
      </c>
      <c r="D9" s="38">
        <v>0.80424799999999996</v>
      </c>
      <c r="E9" s="38">
        <v>1.5154240000000001</v>
      </c>
      <c r="F9" s="39">
        <v>0.54049100000000005</v>
      </c>
      <c r="G9" s="36" t="s">
        <v>600</v>
      </c>
      <c r="H9" s="36" t="s">
        <v>601</v>
      </c>
      <c r="J9" s="23"/>
    </row>
    <row r="10" spans="1:20" ht="15.75" customHeight="1" x14ac:dyDescent="0.25">
      <c r="A10" s="36" t="s">
        <v>614</v>
      </c>
      <c r="B10" s="36" t="s">
        <v>585</v>
      </c>
      <c r="C10" s="38">
        <v>1.2825040000000001</v>
      </c>
      <c r="D10" s="38">
        <v>0.82158200000000003</v>
      </c>
      <c r="E10" s="38">
        <v>2.002011</v>
      </c>
      <c r="F10" s="39">
        <v>0.27349600000000002</v>
      </c>
      <c r="G10" s="36" t="s">
        <v>604</v>
      </c>
      <c r="H10" s="36" t="s">
        <v>605</v>
      </c>
      <c r="J10" s="23"/>
    </row>
    <row r="11" spans="1:20" ht="15.75" customHeight="1" x14ac:dyDescent="0.25">
      <c r="A11" s="36" t="s">
        <v>614</v>
      </c>
      <c r="B11" s="36" t="s">
        <v>585</v>
      </c>
      <c r="C11" s="38">
        <v>1.342041</v>
      </c>
      <c r="D11" s="38">
        <v>0.95860900000000004</v>
      </c>
      <c r="E11" s="38">
        <v>1.8788419999999999</v>
      </c>
      <c r="F11" s="39">
        <v>8.6580000000000004E-2</v>
      </c>
      <c r="G11" s="36" t="s">
        <v>616</v>
      </c>
      <c r="H11" s="36" t="s">
        <v>607</v>
      </c>
      <c r="J11" s="23"/>
    </row>
    <row r="12" spans="1:20" ht="15.75" customHeight="1" x14ac:dyDescent="0.25">
      <c r="A12" s="36" t="s">
        <v>614</v>
      </c>
      <c r="B12" s="36" t="s">
        <v>585</v>
      </c>
      <c r="C12" s="38">
        <v>0.70397399999999999</v>
      </c>
      <c r="D12" s="38">
        <v>0.52036099999999996</v>
      </c>
      <c r="E12" s="38">
        <v>0.952376</v>
      </c>
      <c r="F12" s="39">
        <v>2.2821000000000001E-2</v>
      </c>
      <c r="G12" s="36" t="s">
        <v>596</v>
      </c>
      <c r="H12" s="36" t="s">
        <v>597</v>
      </c>
      <c r="J12" s="23"/>
    </row>
    <row r="13" spans="1:20" ht="15.75" customHeight="1" x14ac:dyDescent="0.25">
      <c r="A13" s="36" t="s">
        <v>614</v>
      </c>
      <c r="B13" s="20" t="s">
        <v>553</v>
      </c>
      <c r="C13" s="40">
        <v>2.0358149999999999</v>
      </c>
      <c r="D13" s="27">
        <v>1.3741380000000001</v>
      </c>
      <c r="E13" s="27">
        <v>3.0161039999999999</v>
      </c>
      <c r="F13" s="28">
        <v>3.9300000000000001E-4</v>
      </c>
      <c r="G13" s="20" t="s">
        <v>584</v>
      </c>
      <c r="H13" s="20" t="s">
        <v>586</v>
      </c>
      <c r="J13" s="23"/>
    </row>
    <row r="14" spans="1:20" ht="15.75" customHeight="1" x14ac:dyDescent="0.25">
      <c r="A14" s="36" t="s">
        <v>614</v>
      </c>
      <c r="B14" s="20" t="s">
        <v>553</v>
      </c>
      <c r="C14" s="27">
        <v>1.7480519999999999</v>
      </c>
      <c r="D14" s="27">
        <v>1.198752</v>
      </c>
      <c r="E14" s="27">
        <v>2.5490560000000002</v>
      </c>
      <c r="F14" s="30">
        <v>3.7090000000000001E-3</v>
      </c>
      <c r="G14" s="20" t="s">
        <v>590</v>
      </c>
      <c r="H14" s="20" t="s">
        <v>591</v>
      </c>
      <c r="J14" s="23"/>
    </row>
    <row r="15" spans="1:20" ht="15.75" customHeight="1" x14ac:dyDescent="0.25">
      <c r="A15" s="36" t="s">
        <v>614</v>
      </c>
      <c r="B15" s="20" t="s">
        <v>553</v>
      </c>
      <c r="C15" s="27">
        <v>1.4089210000000001</v>
      </c>
      <c r="D15" s="27">
        <v>0.95109200000000005</v>
      </c>
      <c r="E15" s="27">
        <v>2.087135</v>
      </c>
      <c r="F15" s="30">
        <v>8.7290999999999994E-2</v>
      </c>
      <c r="G15" s="20" t="s">
        <v>594</v>
      </c>
      <c r="H15" s="20" t="s">
        <v>595</v>
      </c>
      <c r="J15" s="23"/>
    </row>
    <row r="16" spans="1:20" ht="15.75" customHeight="1" x14ac:dyDescent="0.25">
      <c r="A16" s="36" t="s">
        <v>614</v>
      </c>
      <c r="B16" s="20" t="s">
        <v>553</v>
      </c>
      <c r="C16" s="27">
        <v>2.6074950000000001</v>
      </c>
      <c r="D16" s="27">
        <v>1.4651449999999999</v>
      </c>
      <c r="E16" s="27">
        <v>4.6405139999999996</v>
      </c>
      <c r="F16" s="30">
        <v>1.119E-3</v>
      </c>
      <c r="G16" s="20" t="s">
        <v>615</v>
      </c>
      <c r="H16" s="20" t="s">
        <v>593</v>
      </c>
      <c r="J16" s="23"/>
    </row>
    <row r="17" spans="1:10" ht="15.75" customHeight="1" x14ac:dyDescent="0.25">
      <c r="A17" s="36" t="s">
        <v>614</v>
      </c>
      <c r="B17" s="20" t="s">
        <v>553</v>
      </c>
      <c r="C17" s="27">
        <v>2.4294389999999999</v>
      </c>
      <c r="D17" s="27">
        <v>1.438793</v>
      </c>
      <c r="E17" s="27">
        <v>4.1021700000000001</v>
      </c>
      <c r="F17" s="28">
        <v>8.9700000000000001E-4</v>
      </c>
      <c r="G17" s="20" t="s">
        <v>598</v>
      </c>
      <c r="H17" s="20" t="s">
        <v>599</v>
      </c>
      <c r="J17" s="23"/>
    </row>
    <row r="18" spans="1:10" ht="15.75" customHeight="1" x14ac:dyDescent="0.25">
      <c r="A18" s="36" t="s">
        <v>614</v>
      </c>
      <c r="B18" s="20" t="s">
        <v>553</v>
      </c>
      <c r="C18" s="27">
        <v>1.123407</v>
      </c>
      <c r="D18" s="27">
        <v>0.76114099999999996</v>
      </c>
      <c r="E18" s="27">
        <v>1.6580950000000001</v>
      </c>
      <c r="F18" s="30">
        <v>0.557975</v>
      </c>
      <c r="G18" s="20" t="s">
        <v>600</v>
      </c>
      <c r="H18" s="20" t="s">
        <v>601</v>
      </c>
      <c r="J18" s="23"/>
    </row>
    <row r="19" spans="1:10" ht="15.75" customHeight="1" x14ac:dyDescent="0.25">
      <c r="A19" s="36" t="s">
        <v>614</v>
      </c>
      <c r="B19" s="20" t="s">
        <v>553</v>
      </c>
      <c r="C19" s="27">
        <v>1.691055</v>
      </c>
      <c r="D19" s="27">
        <v>1.0335559999999999</v>
      </c>
      <c r="E19" s="27">
        <v>2.766826</v>
      </c>
      <c r="F19" s="30">
        <v>3.6497000000000002E-2</v>
      </c>
      <c r="G19" s="20" t="s">
        <v>604</v>
      </c>
      <c r="H19" s="20" t="s">
        <v>605</v>
      </c>
      <c r="J19" s="23"/>
    </row>
    <row r="20" spans="1:10" ht="15.75" customHeight="1" x14ac:dyDescent="0.25">
      <c r="A20" s="36" t="s">
        <v>614</v>
      </c>
      <c r="B20" s="20" t="s">
        <v>553</v>
      </c>
      <c r="C20" s="27">
        <v>1.0013510000000001</v>
      </c>
      <c r="D20" s="27">
        <v>0.68127099999999996</v>
      </c>
      <c r="E20" s="27">
        <v>1.471813</v>
      </c>
      <c r="F20" s="28">
        <v>0.99451900000000004</v>
      </c>
      <c r="G20" s="20" t="s">
        <v>616</v>
      </c>
      <c r="H20" s="20" t="s">
        <v>607</v>
      </c>
      <c r="J20" s="23"/>
    </row>
    <row r="21" spans="1:10" ht="15.75" customHeight="1" x14ac:dyDescent="0.25">
      <c r="A21" s="36" t="s">
        <v>614</v>
      </c>
      <c r="B21" s="20" t="s">
        <v>553</v>
      </c>
      <c r="C21" s="27">
        <v>0.63622299999999998</v>
      </c>
      <c r="D21" s="27">
        <v>0.44563700000000001</v>
      </c>
      <c r="E21" s="27">
        <v>0.90831700000000004</v>
      </c>
      <c r="F21" s="30">
        <v>1.2799E-2</v>
      </c>
      <c r="G21" s="20" t="s">
        <v>596</v>
      </c>
      <c r="H21" s="20" t="s">
        <v>597</v>
      </c>
      <c r="J21" s="23"/>
    </row>
    <row r="22" spans="1:10" ht="15.75" customHeight="1" x14ac:dyDescent="0.25">
      <c r="A22" s="36" t="s">
        <v>614</v>
      </c>
      <c r="B22" s="36" t="s">
        <v>585</v>
      </c>
      <c r="C22" s="37">
        <v>3.9826350000000001</v>
      </c>
      <c r="D22" s="38">
        <v>2.495282</v>
      </c>
      <c r="E22" s="38">
        <v>6.3565459999999998</v>
      </c>
      <c r="F22" s="41">
        <v>6.9100000000000003E-9</v>
      </c>
      <c r="G22" s="36" t="s">
        <v>617</v>
      </c>
      <c r="H22" s="36" t="s">
        <v>586</v>
      </c>
      <c r="J22" s="23"/>
    </row>
    <row r="23" spans="1:10" ht="15.75" customHeight="1" x14ac:dyDescent="0.25">
      <c r="A23" s="36" t="s">
        <v>614</v>
      </c>
      <c r="B23" s="36" t="s">
        <v>585</v>
      </c>
      <c r="C23" s="38">
        <v>1.876492</v>
      </c>
      <c r="D23" s="38">
        <v>1.3330979999999999</v>
      </c>
      <c r="E23" s="38">
        <v>2.641384</v>
      </c>
      <c r="F23" s="39">
        <v>3.0800000000000001E-4</v>
      </c>
      <c r="G23" s="36" t="s">
        <v>590</v>
      </c>
      <c r="H23" s="36" t="s">
        <v>591</v>
      </c>
      <c r="J23" s="23"/>
    </row>
    <row r="24" spans="1:10" ht="15.75" customHeight="1" x14ac:dyDescent="0.25">
      <c r="A24" s="36" t="s">
        <v>614</v>
      </c>
      <c r="B24" s="36" t="s">
        <v>585</v>
      </c>
      <c r="C24" s="38">
        <v>1.176695</v>
      </c>
      <c r="D24" s="38">
        <v>0.77256499999999995</v>
      </c>
      <c r="E24" s="38">
        <v>1.792224</v>
      </c>
      <c r="F24" s="39">
        <v>0.44848300000000002</v>
      </c>
      <c r="G24" s="36" t="s">
        <v>594</v>
      </c>
      <c r="H24" s="36" t="s">
        <v>595</v>
      </c>
      <c r="J24" s="23"/>
    </row>
    <row r="25" spans="1:10" ht="15.75" customHeight="1" x14ac:dyDescent="0.25">
      <c r="A25" s="36" t="s">
        <v>614</v>
      </c>
      <c r="B25" s="36" t="s">
        <v>585</v>
      </c>
      <c r="C25" s="38">
        <v>1.0619959999999999</v>
      </c>
      <c r="D25" s="38">
        <v>0.65068300000000001</v>
      </c>
      <c r="E25" s="38">
        <v>1.733311</v>
      </c>
      <c r="F25" s="39">
        <v>0.80982200000000004</v>
      </c>
      <c r="G25" s="36" t="s">
        <v>615</v>
      </c>
      <c r="H25" s="36" t="s">
        <v>593</v>
      </c>
      <c r="J25" s="23"/>
    </row>
    <row r="26" spans="1:10" ht="15.75" customHeight="1" x14ac:dyDescent="0.25">
      <c r="A26" s="36" t="s">
        <v>614</v>
      </c>
      <c r="B26" s="36" t="s">
        <v>585</v>
      </c>
      <c r="C26" s="38">
        <v>2.621391</v>
      </c>
      <c r="D26" s="38">
        <v>1.6388069999999999</v>
      </c>
      <c r="E26" s="38">
        <v>4.1931060000000002</v>
      </c>
      <c r="F26" s="41">
        <v>5.7899999999999998E-5</v>
      </c>
      <c r="G26" s="36" t="s">
        <v>598</v>
      </c>
      <c r="H26" s="36" t="s">
        <v>599</v>
      </c>
      <c r="J26" s="23"/>
    </row>
    <row r="27" spans="1:10" ht="15.75" customHeight="1" x14ac:dyDescent="0.25">
      <c r="A27" s="36" t="s">
        <v>614</v>
      </c>
      <c r="B27" s="36" t="s">
        <v>585</v>
      </c>
      <c r="C27" s="38">
        <v>1.2522310000000001</v>
      </c>
      <c r="D27" s="38">
        <v>0.85723800000000006</v>
      </c>
      <c r="E27" s="38">
        <v>1.8292250000000001</v>
      </c>
      <c r="F27" s="39">
        <v>0.24471100000000001</v>
      </c>
      <c r="G27" s="36" t="s">
        <v>600</v>
      </c>
      <c r="H27" s="36" t="s">
        <v>601</v>
      </c>
      <c r="J27" s="23"/>
    </row>
    <row r="28" spans="1:10" ht="15.75" customHeight="1" x14ac:dyDescent="0.25">
      <c r="A28" s="36" t="s">
        <v>614</v>
      </c>
      <c r="B28" s="36" t="s">
        <v>585</v>
      </c>
      <c r="C28" s="38">
        <v>2.3867440000000002</v>
      </c>
      <c r="D28" s="38">
        <v>1.54312</v>
      </c>
      <c r="E28" s="38">
        <v>3.6915770000000001</v>
      </c>
      <c r="F28" s="41">
        <v>9.2499999999999999E-5</v>
      </c>
      <c r="G28" s="36" t="s">
        <v>604</v>
      </c>
      <c r="H28" s="36" t="s">
        <v>605</v>
      </c>
    </row>
    <row r="29" spans="1:10" ht="15.75" customHeight="1" x14ac:dyDescent="0.25">
      <c r="A29" s="36" t="s">
        <v>614</v>
      </c>
      <c r="B29" s="36" t="s">
        <v>585</v>
      </c>
      <c r="C29" s="38">
        <v>1.1654690000000001</v>
      </c>
      <c r="D29" s="38">
        <v>0.80786599999999997</v>
      </c>
      <c r="E29" s="38">
        <v>1.6813640000000001</v>
      </c>
      <c r="F29" s="39">
        <v>0.41283799999999998</v>
      </c>
      <c r="G29" s="36" t="s">
        <v>616</v>
      </c>
      <c r="H29" s="36" t="s">
        <v>607</v>
      </c>
    </row>
    <row r="30" spans="1:10" ht="15.75" customHeight="1" x14ac:dyDescent="0.25">
      <c r="A30" s="36" t="s">
        <v>614</v>
      </c>
      <c r="B30" s="42" t="s">
        <v>585</v>
      </c>
      <c r="C30" s="38">
        <v>0.92737800000000004</v>
      </c>
      <c r="D30" s="38">
        <v>0.665099</v>
      </c>
      <c r="E30" s="38">
        <v>1.293086</v>
      </c>
      <c r="F30" s="38">
        <v>0.656667</v>
      </c>
      <c r="G30" s="42" t="s">
        <v>596</v>
      </c>
      <c r="H30" s="36" t="s">
        <v>597</v>
      </c>
    </row>
    <row r="31" spans="1:10" ht="15.75" customHeight="1" x14ac:dyDescent="0.25">
      <c r="A31" s="36" t="s">
        <v>614</v>
      </c>
      <c r="B31" s="20" t="s">
        <v>553</v>
      </c>
      <c r="C31" s="27">
        <v>2.023291</v>
      </c>
      <c r="D31" s="27">
        <v>0.84127600000000002</v>
      </c>
      <c r="E31" s="27">
        <v>4.8660699999999997</v>
      </c>
      <c r="F31" s="30">
        <v>0.115499</v>
      </c>
      <c r="G31" s="20" t="s">
        <v>617</v>
      </c>
      <c r="H31" s="20" t="s">
        <v>586</v>
      </c>
    </row>
    <row r="32" spans="1:10" ht="15.75" customHeight="1" x14ac:dyDescent="0.25">
      <c r="A32" s="36" t="s">
        <v>614</v>
      </c>
      <c r="B32" s="20" t="s">
        <v>553</v>
      </c>
      <c r="C32" s="27">
        <v>1.71957</v>
      </c>
      <c r="D32" s="27">
        <v>1.0652680000000001</v>
      </c>
      <c r="E32" s="27">
        <v>2.7757550000000002</v>
      </c>
      <c r="F32" s="30">
        <v>2.6502999999999999E-2</v>
      </c>
      <c r="G32" s="20" t="s">
        <v>590</v>
      </c>
      <c r="H32" s="20" t="s">
        <v>591</v>
      </c>
    </row>
    <row r="33" spans="1:8" ht="15.75" customHeight="1" x14ac:dyDescent="0.25">
      <c r="A33" s="36" t="s">
        <v>614</v>
      </c>
      <c r="B33" s="20" t="s">
        <v>553</v>
      </c>
      <c r="C33" s="27">
        <v>0.82437700000000003</v>
      </c>
      <c r="D33" s="27">
        <v>0.47709000000000001</v>
      </c>
      <c r="E33" s="27">
        <v>1.4244650000000001</v>
      </c>
      <c r="F33" s="30">
        <v>0.48887799999999998</v>
      </c>
      <c r="G33" s="20" t="s">
        <v>594</v>
      </c>
      <c r="H33" s="20" t="s">
        <v>595</v>
      </c>
    </row>
    <row r="34" spans="1:8" ht="15.75" customHeight="1" x14ac:dyDescent="0.25">
      <c r="A34" s="36" t="s">
        <v>614</v>
      </c>
      <c r="B34" s="20" t="s">
        <v>553</v>
      </c>
      <c r="C34" s="27">
        <v>3.3236210000000002</v>
      </c>
      <c r="D34" s="27">
        <v>1.566443</v>
      </c>
      <c r="E34" s="27">
        <v>7.0519360000000004</v>
      </c>
      <c r="F34" s="30">
        <v>1.7520000000000001E-3</v>
      </c>
      <c r="G34" s="20" t="s">
        <v>615</v>
      </c>
      <c r="H34" s="20" t="s">
        <v>593</v>
      </c>
    </row>
    <row r="35" spans="1:8" ht="15.75" customHeight="1" x14ac:dyDescent="0.25">
      <c r="A35" s="36" t="s">
        <v>614</v>
      </c>
      <c r="B35" s="20" t="s">
        <v>553</v>
      </c>
      <c r="C35" s="27">
        <v>2.82403</v>
      </c>
      <c r="D35" s="27">
        <v>1.471563</v>
      </c>
      <c r="E35" s="27">
        <v>5.4195089999999997</v>
      </c>
      <c r="F35" s="30">
        <v>1.799E-3</v>
      </c>
      <c r="G35" s="20" t="s">
        <v>598</v>
      </c>
      <c r="H35" s="20" t="s">
        <v>599</v>
      </c>
    </row>
    <row r="36" spans="1:8" ht="15.75" customHeight="1" x14ac:dyDescent="0.25">
      <c r="A36" s="36" t="s">
        <v>614</v>
      </c>
      <c r="B36" s="20" t="s">
        <v>553</v>
      </c>
      <c r="C36" s="27">
        <v>1.3416589999999999</v>
      </c>
      <c r="D36" s="27">
        <v>0.73904499999999995</v>
      </c>
      <c r="E36" s="27">
        <v>2.4356439999999999</v>
      </c>
      <c r="F36" s="30">
        <v>0.33402900000000002</v>
      </c>
      <c r="G36" s="20" t="s">
        <v>600</v>
      </c>
      <c r="H36" s="20" t="s">
        <v>601</v>
      </c>
    </row>
    <row r="37" spans="1:8" ht="15.75" customHeight="1" x14ac:dyDescent="0.25">
      <c r="A37" s="36" t="s">
        <v>614</v>
      </c>
      <c r="B37" s="20" t="s">
        <v>553</v>
      </c>
      <c r="C37" s="27">
        <v>1.235252</v>
      </c>
      <c r="D37" s="27">
        <v>0.67848299999999995</v>
      </c>
      <c r="E37" s="27">
        <v>2.2489089999999998</v>
      </c>
      <c r="F37" s="30">
        <v>0.48949900000000002</v>
      </c>
      <c r="G37" s="20" t="s">
        <v>604</v>
      </c>
      <c r="H37" s="20" t="s">
        <v>605</v>
      </c>
    </row>
    <row r="38" spans="1:8" ht="15" x14ac:dyDescent="0.25">
      <c r="A38" s="36" t="s">
        <v>614</v>
      </c>
      <c r="B38" s="20" t="s">
        <v>553</v>
      </c>
      <c r="C38" s="27">
        <v>0.79683199999999998</v>
      </c>
      <c r="D38" s="27">
        <v>0.473414</v>
      </c>
      <c r="E38" s="27">
        <v>1.341197</v>
      </c>
      <c r="F38" s="30">
        <v>0.3926</v>
      </c>
      <c r="G38" s="20" t="s">
        <v>616</v>
      </c>
      <c r="H38" s="20" t="s">
        <v>607</v>
      </c>
    </row>
    <row r="39" spans="1:8" ht="15" x14ac:dyDescent="0.25">
      <c r="A39" s="36" t="s">
        <v>614</v>
      </c>
      <c r="B39" s="20" t="s">
        <v>553</v>
      </c>
      <c r="C39" s="27">
        <v>0.727989</v>
      </c>
      <c r="D39" s="27">
        <v>0.467196</v>
      </c>
      <c r="E39" s="27">
        <v>1.134361</v>
      </c>
      <c r="F39" s="30">
        <v>0.16065499999999999</v>
      </c>
      <c r="G39" s="20" t="s">
        <v>596</v>
      </c>
      <c r="H39" s="20" t="s">
        <v>597</v>
      </c>
    </row>
    <row r="40" spans="1:8" ht="12.75" x14ac:dyDescent="0.2">
      <c r="A40" s="2"/>
      <c r="B40" s="2"/>
      <c r="C40" s="31"/>
      <c r="D40" s="31"/>
      <c r="E40" s="31"/>
      <c r="G40" s="2"/>
    </row>
    <row r="41" spans="1:8" ht="12.75" x14ac:dyDescent="0.2">
      <c r="A41" s="2"/>
      <c r="B41" s="2"/>
      <c r="C41" s="31"/>
      <c r="D41" s="31"/>
      <c r="E41" s="31"/>
      <c r="G41" s="2"/>
    </row>
    <row r="42" spans="1:8" ht="12.75" x14ac:dyDescent="0.2">
      <c r="A42" s="8" t="s">
        <v>612</v>
      </c>
      <c r="B42" s="8" t="s">
        <v>582</v>
      </c>
      <c r="C42" s="43" t="s">
        <v>578</v>
      </c>
      <c r="D42" s="43" t="s">
        <v>618</v>
      </c>
      <c r="E42" s="43" t="s">
        <v>619</v>
      </c>
      <c r="F42" s="44" t="s">
        <v>581</v>
      </c>
      <c r="G42" s="8" t="s">
        <v>551</v>
      </c>
      <c r="H42" s="8" t="s">
        <v>613</v>
      </c>
    </row>
    <row r="43" spans="1:8" ht="15" x14ac:dyDescent="0.25">
      <c r="A43" s="36" t="s">
        <v>620</v>
      </c>
      <c r="B43" s="36" t="s">
        <v>585</v>
      </c>
      <c r="C43" s="37">
        <v>1.329307</v>
      </c>
      <c r="D43" s="38">
        <v>0.99074200000000001</v>
      </c>
      <c r="E43" s="38">
        <v>1.783569</v>
      </c>
      <c r="F43" s="39">
        <v>5.7702999999999997E-2</v>
      </c>
      <c r="G43" s="36" t="s">
        <v>584</v>
      </c>
      <c r="H43" s="36" t="s">
        <v>586</v>
      </c>
    </row>
    <row r="44" spans="1:8" ht="15" x14ac:dyDescent="0.25">
      <c r="A44" s="36" t="s">
        <v>620</v>
      </c>
      <c r="B44" s="36" t="s">
        <v>585</v>
      </c>
      <c r="C44" s="38">
        <v>1.4889330000000001</v>
      </c>
      <c r="D44" s="38">
        <v>1.108968</v>
      </c>
      <c r="E44" s="38">
        <v>1.999085</v>
      </c>
      <c r="F44" s="39">
        <v>8.097E-3</v>
      </c>
      <c r="G44" s="36" t="s">
        <v>590</v>
      </c>
      <c r="H44" s="36" t="s">
        <v>591</v>
      </c>
    </row>
    <row r="45" spans="1:8" ht="15" x14ac:dyDescent="0.25">
      <c r="A45" s="36" t="s">
        <v>620</v>
      </c>
      <c r="B45" s="36" t="s">
        <v>585</v>
      </c>
      <c r="C45" s="38">
        <v>1.1449750000000001</v>
      </c>
      <c r="D45" s="38">
        <v>0.80857100000000004</v>
      </c>
      <c r="E45" s="38">
        <v>1.6213379999999999</v>
      </c>
      <c r="F45" s="39">
        <v>0.44559900000000002</v>
      </c>
      <c r="G45" s="36" t="s">
        <v>594</v>
      </c>
      <c r="H45" s="36" t="s">
        <v>595</v>
      </c>
    </row>
    <row r="46" spans="1:8" ht="15" x14ac:dyDescent="0.25">
      <c r="A46" s="36" t="s">
        <v>620</v>
      </c>
      <c r="B46" s="36" t="s">
        <v>585</v>
      </c>
      <c r="C46" s="38">
        <v>1.076665</v>
      </c>
      <c r="D46" s="38">
        <v>0.68548399999999998</v>
      </c>
      <c r="E46" s="38">
        <v>1.6910810000000001</v>
      </c>
      <c r="F46" s="39">
        <v>0.74846400000000002</v>
      </c>
      <c r="G46" s="36" t="s">
        <v>615</v>
      </c>
      <c r="H46" s="36" t="s">
        <v>593</v>
      </c>
    </row>
    <row r="47" spans="1:8" ht="15" x14ac:dyDescent="0.25">
      <c r="A47" s="36" t="s">
        <v>620</v>
      </c>
      <c r="B47" s="36" t="s">
        <v>585</v>
      </c>
      <c r="C47" s="38">
        <v>0.92093199999999997</v>
      </c>
      <c r="D47" s="38">
        <v>0.59343000000000001</v>
      </c>
      <c r="E47" s="38">
        <v>1.4291750000000001</v>
      </c>
      <c r="F47" s="39">
        <v>0.71335300000000001</v>
      </c>
      <c r="G47" s="36" t="s">
        <v>610</v>
      </c>
      <c r="H47" s="36" t="s">
        <v>599</v>
      </c>
    </row>
    <row r="48" spans="1:8" ht="15" x14ac:dyDescent="0.25">
      <c r="A48" s="36" t="s">
        <v>620</v>
      </c>
      <c r="B48" s="36" t="s">
        <v>585</v>
      </c>
      <c r="C48" s="38">
        <v>1.161014</v>
      </c>
      <c r="D48" s="38">
        <v>0.86192199999999997</v>
      </c>
      <c r="E48" s="38">
        <v>1.5638939999999999</v>
      </c>
      <c r="F48" s="39">
        <v>0.32595400000000002</v>
      </c>
      <c r="G48" s="36" t="s">
        <v>600</v>
      </c>
      <c r="H48" s="36" t="s">
        <v>601</v>
      </c>
    </row>
    <row r="49" spans="1:8" ht="15" x14ac:dyDescent="0.25">
      <c r="A49" s="36" t="s">
        <v>620</v>
      </c>
      <c r="B49" s="36" t="s">
        <v>585</v>
      </c>
      <c r="C49" s="38">
        <v>1.010772</v>
      </c>
      <c r="D49" s="38">
        <v>0.646733</v>
      </c>
      <c r="E49" s="38">
        <v>1.579725</v>
      </c>
      <c r="F49" s="39">
        <v>0.96248900000000004</v>
      </c>
      <c r="G49" s="36" t="s">
        <v>604</v>
      </c>
      <c r="H49" s="36" t="s">
        <v>605</v>
      </c>
    </row>
    <row r="50" spans="1:8" ht="15" x14ac:dyDescent="0.25">
      <c r="A50" s="36" t="s">
        <v>620</v>
      </c>
      <c r="B50" s="36" t="s">
        <v>585</v>
      </c>
      <c r="C50" s="38">
        <v>1.6372660000000001</v>
      </c>
      <c r="D50" s="38">
        <v>1.2009939999999999</v>
      </c>
      <c r="E50" s="38">
        <v>2.2320180000000001</v>
      </c>
      <c r="F50" s="39">
        <v>1.8190000000000001E-3</v>
      </c>
      <c r="G50" s="36" t="s">
        <v>616</v>
      </c>
      <c r="H50" s="36" t="s">
        <v>607</v>
      </c>
    </row>
    <row r="51" spans="1:8" ht="15" x14ac:dyDescent="0.25">
      <c r="A51" s="36" t="s">
        <v>620</v>
      </c>
      <c r="B51" s="36" t="s">
        <v>585</v>
      </c>
      <c r="C51" s="38">
        <v>0.92634300000000003</v>
      </c>
      <c r="D51" s="38">
        <v>0.69175799999999998</v>
      </c>
      <c r="E51" s="38">
        <v>1.2404790000000001</v>
      </c>
      <c r="F51" s="39">
        <v>0.607572</v>
      </c>
      <c r="G51" s="36" t="s">
        <v>596</v>
      </c>
      <c r="H51" s="36" t="s">
        <v>597</v>
      </c>
    </row>
    <row r="52" spans="1:8" ht="15" x14ac:dyDescent="0.25">
      <c r="A52" s="36" t="s">
        <v>620</v>
      </c>
      <c r="B52" s="20" t="s">
        <v>553</v>
      </c>
      <c r="C52" s="40">
        <v>1.5273000000000001</v>
      </c>
      <c r="D52" s="27">
        <v>1.0312790000000001</v>
      </c>
      <c r="E52" s="27">
        <v>2.261895</v>
      </c>
      <c r="F52" s="30">
        <v>3.4542000000000003E-2</v>
      </c>
      <c r="G52" s="20" t="s">
        <v>584</v>
      </c>
      <c r="H52" s="20" t="s">
        <v>586</v>
      </c>
    </row>
    <row r="53" spans="1:8" ht="15" x14ac:dyDescent="0.25">
      <c r="A53" s="36" t="s">
        <v>620</v>
      </c>
      <c r="B53" s="20" t="s">
        <v>553</v>
      </c>
      <c r="C53" s="27">
        <v>1.0920030000000001</v>
      </c>
      <c r="D53" s="27">
        <v>0.74098299999999995</v>
      </c>
      <c r="E53" s="27">
        <v>1.6093090000000001</v>
      </c>
      <c r="F53" s="28">
        <v>0.65643700000000005</v>
      </c>
      <c r="G53" s="20" t="s">
        <v>590</v>
      </c>
      <c r="H53" s="20" t="s">
        <v>591</v>
      </c>
    </row>
    <row r="54" spans="1:8" ht="15" x14ac:dyDescent="0.25">
      <c r="A54" s="36" t="s">
        <v>620</v>
      </c>
      <c r="B54" s="20" t="s">
        <v>553</v>
      </c>
      <c r="C54" s="27">
        <v>1.324919</v>
      </c>
      <c r="D54" s="27">
        <v>0.90435100000000002</v>
      </c>
      <c r="E54" s="27">
        <v>1.941073</v>
      </c>
      <c r="F54" s="28">
        <v>0.14874599999999999</v>
      </c>
      <c r="G54" s="20" t="s">
        <v>594</v>
      </c>
      <c r="H54" s="20" t="s">
        <v>595</v>
      </c>
    </row>
    <row r="55" spans="1:8" ht="15" x14ac:dyDescent="0.25">
      <c r="A55" s="36" t="s">
        <v>620</v>
      </c>
      <c r="B55" s="20" t="s">
        <v>553</v>
      </c>
      <c r="C55" s="27">
        <v>1.3179529999999999</v>
      </c>
      <c r="D55" s="27">
        <v>0.73508099999999998</v>
      </c>
      <c r="E55" s="27">
        <v>2.3630059999999999</v>
      </c>
      <c r="F55" s="30">
        <v>0.35403899999999999</v>
      </c>
      <c r="G55" s="20" t="s">
        <v>615</v>
      </c>
      <c r="H55" s="20" t="s">
        <v>593</v>
      </c>
    </row>
    <row r="56" spans="1:8" ht="15" x14ac:dyDescent="0.25">
      <c r="A56" s="36" t="s">
        <v>620</v>
      </c>
      <c r="B56" s="20" t="s">
        <v>553</v>
      </c>
      <c r="C56" s="27">
        <v>1.231849</v>
      </c>
      <c r="D56" s="27">
        <v>0.701152</v>
      </c>
      <c r="E56" s="27">
        <v>2.1642260000000002</v>
      </c>
      <c r="F56" s="30">
        <v>0.46833000000000002</v>
      </c>
      <c r="G56" s="20" t="s">
        <v>610</v>
      </c>
      <c r="H56" s="20" t="s">
        <v>599</v>
      </c>
    </row>
    <row r="57" spans="1:8" ht="15" x14ac:dyDescent="0.25">
      <c r="A57" s="36" t="s">
        <v>620</v>
      </c>
      <c r="B57" s="20" t="s">
        <v>553</v>
      </c>
      <c r="C57" s="27">
        <v>0.95561600000000002</v>
      </c>
      <c r="D57" s="27">
        <v>0.65215400000000001</v>
      </c>
      <c r="E57" s="27">
        <v>1.4002870000000001</v>
      </c>
      <c r="F57" s="30">
        <v>0.81585099999999999</v>
      </c>
      <c r="G57" s="20" t="s">
        <v>600</v>
      </c>
      <c r="H57" s="20" t="s">
        <v>601</v>
      </c>
    </row>
    <row r="58" spans="1:8" ht="15" x14ac:dyDescent="0.25">
      <c r="A58" s="36" t="s">
        <v>620</v>
      </c>
      <c r="B58" s="20" t="s">
        <v>553</v>
      </c>
      <c r="C58" s="27">
        <v>0.87015600000000004</v>
      </c>
      <c r="D58" s="27">
        <v>0.50600999999999996</v>
      </c>
      <c r="E58" s="27">
        <v>1.4963580000000001</v>
      </c>
      <c r="F58" s="30">
        <v>0.61507800000000001</v>
      </c>
      <c r="G58" s="20" t="s">
        <v>604</v>
      </c>
      <c r="H58" s="20" t="s">
        <v>605</v>
      </c>
    </row>
    <row r="59" spans="1:8" ht="15" x14ac:dyDescent="0.25">
      <c r="A59" s="36" t="s">
        <v>620</v>
      </c>
      <c r="B59" s="20" t="s">
        <v>553</v>
      </c>
      <c r="C59" s="27">
        <v>1.0280720000000001</v>
      </c>
      <c r="D59" s="27">
        <v>0.70863799999999999</v>
      </c>
      <c r="E59" s="27">
        <v>1.491498</v>
      </c>
      <c r="F59" s="30">
        <v>0.88405699999999998</v>
      </c>
      <c r="G59" s="20" t="s">
        <v>616</v>
      </c>
      <c r="H59" s="20" t="s">
        <v>607</v>
      </c>
    </row>
    <row r="60" spans="1:8" ht="15" x14ac:dyDescent="0.25">
      <c r="A60" s="36" t="s">
        <v>620</v>
      </c>
      <c r="B60" s="20" t="s">
        <v>553</v>
      </c>
      <c r="C60" s="27">
        <v>0.852661</v>
      </c>
      <c r="D60" s="27">
        <v>0.59396499999999997</v>
      </c>
      <c r="E60" s="27">
        <v>1.2240279999999999</v>
      </c>
      <c r="F60" s="30">
        <v>0.38753599999999999</v>
      </c>
      <c r="G60" s="20" t="s">
        <v>596</v>
      </c>
      <c r="H60" s="20" t="s">
        <v>597</v>
      </c>
    </row>
    <row r="61" spans="1:8" ht="15" x14ac:dyDescent="0.25">
      <c r="A61" s="36" t="s">
        <v>620</v>
      </c>
      <c r="B61" s="36" t="s">
        <v>585</v>
      </c>
      <c r="C61" s="37">
        <v>4.2369009999999996</v>
      </c>
      <c r="D61" s="38">
        <v>2.6473870000000002</v>
      </c>
      <c r="E61" s="38">
        <v>6.7807719999999998</v>
      </c>
      <c r="F61" s="41">
        <v>1.7700000000000001E-9</v>
      </c>
      <c r="G61" s="36" t="s">
        <v>617</v>
      </c>
      <c r="H61" s="36" t="s">
        <v>586</v>
      </c>
    </row>
    <row r="62" spans="1:8" ht="15" x14ac:dyDescent="0.25">
      <c r="A62" s="36" t="s">
        <v>620</v>
      </c>
      <c r="B62" s="36" t="s">
        <v>585</v>
      </c>
      <c r="C62" s="38">
        <v>2.415934</v>
      </c>
      <c r="D62" s="38">
        <v>1.705084</v>
      </c>
      <c r="E62" s="38">
        <v>3.4231400000000001</v>
      </c>
      <c r="F62" s="41">
        <v>6.9999999999999997E-7</v>
      </c>
      <c r="G62" s="36" t="s">
        <v>590</v>
      </c>
      <c r="H62" s="36" t="s">
        <v>591</v>
      </c>
    </row>
    <row r="63" spans="1:8" ht="15" x14ac:dyDescent="0.25">
      <c r="A63" s="36" t="s">
        <v>620</v>
      </c>
      <c r="B63" s="36" t="s">
        <v>585</v>
      </c>
      <c r="C63" s="38">
        <v>1.0571269999999999</v>
      </c>
      <c r="D63" s="38">
        <v>0.703565</v>
      </c>
      <c r="E63" s="38">
        <v>1.5883640000000001</v>
      </c>
      <c r="F63" s="39">
        <v>0.78913500000000003</v>
      </c>
      <c r="G63" s="36" t="s">
        <v>594</v>
      </c>
      <c r="H63" s="36" t="s">
        <v>595</v>
      </c>
    </row>
    <row r="64" spans="1:8" ht="15" x14ac:dyDescent="0.25">
      <c r="A64" s="36" t="s">
        <v>620</v>
      </c>
      <c r="B64" s="36" t="s">
        <v>585</v>
      </c>
      <c r="C64" s="38">
        <v>0.83517600000000003</v>
      </c>
      <c r="D64" s="38">
        <v>0.52259299999999997</v>
      </c>
      <c r="E64" s="38">
        <v>1.334727</v>
      </c>
      <c r="F64" s="39">
        <v>0.45147799999999999</v>
      </c>
      <c r="G64" s="36" t="s">
        <v>615</v>
      </c>
      <c r="H64" s="36" t="s">
        <v>593</v>
      </c>
    </row>
    <row r="65" spans="1:20" ht="15" x14ac:dyDescent="0.25">
      <c r="A65" s="36" t="s">
        <v>620</v>
      </c>
      <c r="B65" s="36" t="s">
        <v>585</v>
      </c>
      <c r="C65" s="38">
        <v>1.2000420000000001</v>
      </c>
      <c r="D65" s="38">
        <v>0.72952700000000004</v>
      </c>
      <c r="E65" s="38">
        <v>1.974019</v>
      </c>
      <c r="F65" s="39">
        <v>0.472692</v>
      </c>
      <c r="G65" s="36" t="s">
        <v>610</v>
      </c>
      <c r="H65" s="36" t="s">
        <v>599</v>
      </c>
    </row>
    <row r="66" spans="1:20" ht="15" x14ac:dyDescent="0.25">
      <c r="A66" s="36" t="s">
        <v>620</v>
      </c>
      <c r="B66" s="36" t="s">
        <v>585</v>
      </c>
      <c r="C66" s="38">
        <v>1.372797</v>
      </c>
      <c r="D66" s="38">
        <v>0.94350999999999996</v>
      </c>
      <c r="E66" s="38">
        <v>1.9974050000000001</v>
      </c>
      <c r="F66" s="39">
        <v>9.7711999999999993E-2</v>
      </c>
      <c r="G66" s="36" t="s">
        <v>600</v>
      </c>
      <c r="H66" s="36" t="s">
        <v>601</v>
      </c>
    </row>
    <row r="67" spans="1:20" ht="15" x14ac:dyDescent="0.25">
      <c r="A67" s="36" t="s">
        <v>620</v>
      </c>
      <c r="B67" s="36" t="s">
        <v>585</v>
      </c>
      <c r="C67" s="38">
        <v>0.94910099999999997</v>
      </c>
      <c r="D67" s="38">
        <v>0.57750299999999999</v>
      </c>
      <c r="E67" s="38">
        <v>1.559806</v>
      </c>
      <c r="F67" s="39">
        <v>0.83671700000000004</v>
      </c>
      <c r="G67" s="36" t="s">
        <v>604</v>
      </c>
      <c r="H67" s="36" t="s">
        <v>605</v>
      </c>
    </row>
    <row r="68" spans="1:20" ht="15" x14ac:dyDescent="0.25">
      <c r="A68" s="36" t="s">
        <v>620</v>
      </c>
      <c r="B68" s="36" t="s">
        <v>585</v>
      </c>
      <c r="C68" s="38">
        <v>1.3271660000000001</v>
      </c>
      <c r="D68" s="38">
        <v>0.93171999999999999</v>
      </c>
      <c r="E68" s="38">
        <v>1.89045</v>
      </c>
      <c r="F68" s="39">
        <v>0.11684700000000001</v>
      </c>
      <c r="G68" s="36" t="s">
        <v>616</v>
      </c>
      <c r="H68" s="36" t="s">
        <v>607</v>
      </c>
    </row>
    <row r="69" spans="1:20" ht="15" x14ac:dyDescent="0.25">
      <c r="A69" s="36" t="s">
        <v>620</v>
      </c>
      <c r="B69" s="36" t="s">
        <v>585</v>
      </c>
      <c r="C69" s="38">
        <v>1.023398</v>
      </c>
      <c r="D69" s="38">
        <v>0.72518300000000002</v>
      </c>
      <c r="E69" s="38">
        <v>1.4442459999999999</v>
      </c>
      <c r="F69" s="39">
        <v>0.89530200000000004</v>
      </c>
      <c r="G69" s="36" t="s">
        <v>596</v>
      </c>
      <c r="H69" s="36" t="s">
        <v>597</v>
      </c>
    </row>
    <row r="70" spans="1:20" ht="15" x14ac:dyDescent="0.25">
      <c r="A70" s="36" t="s">
        <v>620</v>
      </c>
      <c r="B70" s="20" t="s">
        <v>553</v>
      </c>
      <c r="C70" s="40">
        <v>2.4188619999999998</v>
      </c>
      <c r="D70" s="27">
        <v>1.0271129999999999</v>
      </c>
      <c r="E70" s="27">
        <v>5.6964410000000001</v>
      </c>
      <c r="F70" s="30">
        <v>4.3261000000000001E-2</v>
      </c>
      <c r="G70" s="20" t="s">
        <v>617</v>
      </c>
      <c r="H70" s="20" t="s">
        <v>586</v>
      </c>
    </row>
    <row r="71" spans="1:20" ht="15" x14ac:dyDescent="0.25">
      <c r="A71" s="36" t="s">
        <v>620</v>
      </c>
      <c r="B71" s="20" t="s">
        <v>553</v>
      </c>
      <c r="C71" s="27">
        <v>1.0180929999999999</v>
      </c>
      <c r="D71" s="27">
        <v>0.62041599999999997</v>
      </c>
      <c r="E71" s="27">
        <v>1.6706730000000001</v>
      </c>
      <c r="F71" s="30">
        <v>0.94343399999999999</v>
      </c>
      <c r="G71" s="20" t="s">
        <v>590</v>
      </c>
      <c r="H71" s="20" t="s">
        <v>591</v>
      </c>
    </row>
    <row r="72" spans="1:20" ht="15" x14ac:dyDescent="0.25">
      <c r="A72" s="36" t="s">
        <v>620</v>
      </c>
      <c r="B72" s="20" t="s">
        <v>553</v>
      </c>
      <c r="C72" s="27">
        <v>0.89094499999999999</v>
      </c>
      <c r="D72" s="27">
        <v>0.51863599999999999</v>
      </c>
      <c r="E72" s="27">
        <v>1.530521</v>
      </c>
      <c r="F72" s="30">
        <v>0.67574400000000001</v>
      </c>
      <c r="G72" s="20" t="s">
        <v>594</v>
      </c>
      <c r="H72" s="20" t="s">
        <v>595</v>
      </c>
    </row>
    <row r="73" spans="1:20" ht="15" x14ac:dyDescent="0.25">
      <c r="A73" s="36" t="s">
        <v>620</v>
      </c>
      <c r="B73" s="20" t="s">
        <v>553</v>
      </c>
      <c r="C73" s="27">
        <v>0.72726199999999996</v>
      </c>
      <c r="D73" s="27">
        <v>0.319498</v>
      </c>
      <c r="E73" s="27">
        <v>1.655438</v>
      </c>
      <c r="F73" s="30">
        <v>0.44793699999999997</v>
      </c>
      <c r="G73" s="20" t="s">
        <v>615</v>
      </c>
      <c r="H73" s="20" t="s">
        <v>593</v>
      </c>
    </row>
    <row r="74" spans="1:20" ht="15" x14ac:dyDescent="0.25">
      <c r="A74" s="36" t="s">
        <v>620</v>
      </c>
      <c r="B74" s="20" t="s">
        <v>553</v>
      </c>
      <c r="C74" s="27">
        <v>1.6790890000000001</v>
      </c>
      <c r="D74" s="27">
        <v>0.86325700000000005</v>
      </c>
      <c r="E74" s="27">
        <v>3.2659340000000001</v>
      </c>
      <c r="F74" s="30">
        <v>0.12681700000000001</v>
      </c>
      <c r="G74" s="20" t="s">
        <v>610</v>
      </c>
      <c r="H74" s="20" t="s">
        <v>599</v>
      </c>
    </row>
    <row r="75" spans="1:20" ht="15" x14ac:dyDescent="0.25">
      <c r="A75" s="36" t="s">
        <v>620</v>
      </c>
      <c r="B75" s="20" t="s">
        <v>553</v>
      </c>
      <c r="C75" s="27">
        <v>1.120325</v>
      </c>
      <c r="D75" s="27">
        <v>0.63609599999999999</v>
      </c>
      <c r="E75" s="27">
        <v>1.9731719999999999</v>
      </c>
      <c r="F75" s="30">
        <v>0.69400600000000001</v>
      </c>
      <c r="G75" s="20" t="s">
        <v>600</v>
      </c>
      <c r="H75" s="20" t="s">
        <v>601</v>
      </c>
    </row>
    <row r="76" spans="1:20" ht="15" x14ac:dyDescent="0.25">
      <c r="A76" s="36" t="s">
        <v>620</v>
      </c>
      <c r="B76" s="20" t="s">
        <v>553</v>
      </c>
      <c r="C76" s="27">
        <v>0.97601400000000005</v>
      </c>
      <c r="D76" s="27">
        <v>0.520339</v>
      </c>
      <c r="E76" s="27">
        <v>1.8307359999999999</v>
      </c>
      <c r="F76" s="30">
        <v>0.93969499999999995</v>
      </c>
      <c r="G76" s="20" t="s">
        <v>604</v>
      </c>
      <c r="H76" s="20" t="s">
        <v>605</v>
      </c>
    </row>
    <row r="77" spans="1:20" ht="15" x14ac:dyDescent="0.25">
      <c r="A77" s="36" t="s">
        <v>620</v>
      </c>
      <c r="B77" s="20" t="s">
        <v>553</v>
      </c>
      <c r="C77" s="27">
        <v>0.75982899999999998</v>
      </c>
      <c r="D77" s="27">
        <v>0.47498800000000002</v>
      </c>
      <c r="E77" s="27">
        <v>1.2154830000000001</v>
      </c>
      <c r="F77" s="30">
        <v>0.25185400000000002</v>
      </c>
      <c r="G77" s="20" t="s">
        <v>616</v>
      </c>
      <c r="H77" s="20" t="s">
        <v>607</v>
      </c>
    </row>
    <row r="78" spans="1:20" ht="15" x14ac:dyDescent="0.25">
      <c r="A78" s="36" t="s">
        <v>620</v>
      </c>
      <c r="B78" s="20" t="s">
        <v>553</v>
      </c>
      <c r="C78" s="27">
        <v>1.059172</v>
      </c>
      <c r="D78" s="27">
        <v>0.672844</v>
      </c>
      <c r="E78" s="27">
        <v>1.6673199999999999</v>
      </c>
      <c r="F78" s="30">
        <v>0.80388000000000004</v>
      </c>
      <c r="G78" s="20" t="s">
        <v>596</v>
      </c>
      <c r="H78" s="20" t="s">
        <v>597</v>
      </c>
    </row>
    <row r="79" spans="1:20" ht="12.75" x14ac:dyDescent="0.2">
      <c r="A79" s="2"/>
      <c r="B79" s="2"/>
      <c r="C79" s="31"/>
      <c r="D79" s="31"/>
      <c r="E79" s="31"/>
      <c r="G79" s="2"/>
    </row>
    <row r="80" spans="1:20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2.75" x14ac:dyDescent="0.2">
      <c r="A81" s="8"/>
      <c r="B81" s="233" t="s">
        <v>621</v>
      </c>
      <c r="C81" s="224"/>
      <c r="D81" s="224"/>
      <c r="E81" s="224"/>
      <c r="F81" s="224"/>
      <c r="G81" s="224"/>
      <c r="H81" s="225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2.75" x14ac:dyDescent="0.2">
      <c r="A82" s="8"/>
      <c r="B82" s="8"/>
      <c r="C82" s="8"/>
      <c r="D82" s="8"/>
      <c r="E82" s="8"/>
      <c r="F82" s="8"/>
      <c r="G82" s="8"/>
      <c r="H82" s="8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2.75" x14ac:dyDescent="0.2">
      <c r="A83" s="8" t="s">
        <v>612</v>
      </c>
      <c r="B83" s="8" t="s">
        <v>582</v>
      </c>
      <c r="C83" s="43" t="s">
        <v>578</v>
      </c>
      <c r="D83" s="43" t="s">
        <v>618</v>
      </c>
      <c r="E83" s="43" t="s">
        <v>619</v>
      </c>
      <c r="F83" s="44" t="s">
        <v>581</v>
      </c>
      <c r="G83" s="8" t="s">
        <v>551</v>
      </c>
      <c r="H83" s="8" t="s">
        <v>613</v>
      </c>
    </row>
    <row r="84" spans="1:20" ht="15" x14ac:dyDescent="0.25">
      <c r="A84" s="20" t="s">
        <v>614</v>
      </c>
      <c r="B84" s="20" t="s">
        <v>585</v>
      </c>
      <c r="C84" s="27">
        <v>1.949803</v>
      </c>
      <c r="D84" s="27">
        <v>1.4471480000000001</v>
      </c>
      <c r="E84" s="27">
        <v>2.6270519999999999</v>
      </c>
      <c r="F84" s="28">
        <v>1.13E-5</v>
      </c>
      <c r="G84" s="20" t="s">
        <v>609</v>
      </c>
      <c r="H84" s="20" t="s">
        <v>622</v>
      </c>
    </row>
    <row r="85" spans="1:20" ht="15" x14ac:dyDescent="0.25">
      <c r="A85" s="20" t="s">
        <v>614</v>
      </c>
      <c r="B85" s="20" t="s">
        <v>585</v>
      </c>
      <c r="C85" s="27">
        <v>1.4506410000000001</v>
      </c>
      <c r="D85" s="27">
        <v>1.128047</v>
      </c>
      <c r="E85" s="27">
        <v>1.865489</v>
      </c>
      <c r="F85" s="30">
        <v>3.7450000000000001E-3</v>
      </c>
      <c r="G85" s="20" t="s">
        <v>590</v>
      </c>
      <c r="H85" s="20" t="s">
        <v>591</v>
      </c>
    </row>
    <row r="86" spans="1:20" ht="15" x14ac:dyDescent="0.25">
      <c r="A86" s="20" t="s">
        <v>614</v>
      </c>
      <c r="B86" s="20" t="s">
        <v>585</v>
      </c>
      <c r="C86" s="27">
        <v>1.237441</v>
      </c>
      <c r="D86" s="27">
        <v>0.91791100000000003</v>
      </c>
      <c r="E86" s="27">
        <v>1.668202</v>
      </c>
      <c r="F86" s="30">
        <v>0.162135</v>
      </c>
      <c r="G86" s="20" t="s">
        <v>594</v>
      </c>
      <c r="H86" s="20" t="s">
        <v>595</v>
      </c>
    </row>
    <row r="87" spans="1:20" ht="15" x14ac:dyDescent="0.25">
      <c r="A87" s="20" t="s">
        <v>614</v>
      </c>
      <c r="B87" s="20" t="s">
        <v>585</v>
      </c>
      <c r="C87" s="27">
        <v>1.570287</v>
      </c>
      <c r="D87" s="27">
        <v>1.12795</v>
      </c>
      <c r="E87" s="27">
        <v>2.1860919999999999</v>
      </c>
      <c r="F87" s="30">
        <v>7.5129999999999997E-3</v>
      </c>
      <c r="G87" s="20" t="s">
        <v>615</v>
      </c>
      <c r="H87" s="20" t="s">
        <v>593</v>
      </c>
    </row>
    <row r="88" spans="1:20" ht="15" x14ac:dyDescent="0.25">
      <c r="A88" s="20" t="s">
        <v>614</v>
      </c>
      <c r="B88" s="20" t="s">
        <v>585</v>
      </c>
      <c r="C88" s="27">
        <v>1.894012</v>
      </c>
      <c r="D88" s="27">
        <v>1.3664099999999999</v>
      </c>
      <c r="E88" s="27">
        <v>2.6253329999999999</v>
      </c>
      <c r="F88" s="30">
        <v>1.26E-4</v>
      </c>
      <c r="G88" s="20" t="s">
        <v>610</v>
      </c>
      <c r="H88" s="20" t="s">
        <v>599</v>
      </c>
    </row>
    <row r="89" spans="1:20" ht="15" x14ac:dyDescent="0.25">
      <c r="A89" s="20" t="s">
        <v>614</v>
      </c>
      <c r="B89" s="20" t="s">
        <v>585</v>
      </c>
      <c r="C89" s="27">
        <v>1.2605200000000001</v>
      </c>
      <c r="D89" s="27">
        <v>0.95499900000000004</v>
      </c>
      <c r="E89" s="27">
        <v>1.6637839999999999</v>
      </c>
      <c r="F89" s="30">
        <v>0.10208399999999999</v>
      </c>
      <c r="G89" s="20" t="s">
        <v>600</v>
      </c>
      <c r="H89" s="20" t="s">
        <v>601</v>
      </c>
    </row>
    <row r="90" spans="1:20" ht="15" x14ac:dyDescent="0.25">
      <c r="A90" s="20" t="s">
        <v>614</v>
      </c>
      <c r="B90" s="20" t="s">
        <v>585</v>
      </c>
      <c r="C90" s="27">
        <v>1.6290910000000001</v>
      </c>
      <c r="D90" s="27">
        <v>1.172585</v>
      </c>
      <c r="E90" s="27">
        <v>2.2633220000000001</v>
      </c>
      <c r="F90" s="30">
        <v>3.6259999999999999E-3</v>
      </c>
      <c r="G90" s="20" t="s">
        <v>604</v>
      </c>
      <c r="H90" s="20" t="s">
        <v>605</v>
      </c>
    </row>
    <row r="91" spans="1:20" ht="15" x14ac:dyDescent="0.25">
      <c r="A91" s="20" t="s">
        <v>614</v>
      </c>
      <c r="B91" s="20" t="s">
        <v>585</v>
      </c>
      <c r="C91" s="27">
        <v>1.1872849999999999</v>
      </c>
      <c r="D91" s="27">
        <v>0.90101500000000001</v>
      </c>
      <c r="E91" s="27">
        <v>1.5645089999999999</v>
      </c>
      <c r="F91" s="30">
        <v>0.22265099999999999</v>
      </c>
      <c r="G91" s="20" t="s">
        <v>616</v>
      </c>
      <c r="H91" s="20" t="s">
        <v>607</v>
      </c>
    </row>
    <row r="92" spans="1:20" ht="15" x14ac:dyDescent="0.25">
      <c r="A92" s="20" t="s">
        <v>614</v>
      </c>
      <c r="B92" s="20" t="s">
        <v>585</v>
      </c>
      <c r="C92" s="27">
        <v>0.78553099999999998</v>
      </c>
      <c r="D92" s="27">
        <v>0.60775000000000001</v>
      </c>
      <c r="E92" s="27">
        <v>1.0153179999999999</v>
      </c>
      <c r="F92" s="30">
        <v>6.5206E-2</v>
      </c>
      <c r="G92" s="20" t="s">
        <v>596</v>
      </c>
      <c r="H92" s="20" t="s">
        <v>597</v>
      </c>
    </row>
    <row r="93" spans="1:20" ht="15" x14ac:dyDescent="0.25">
      <c r="A93" s="20" t="s">
        <v>614</v>
      </c>
      <c r="B93" s="20" t="s">
        <v>553</v>
      </c>
      <c r="C93" s="27">
        <v>1.8516280000000001</v>
      </c>
      <c r="D93" s="27">
        <v>1.2782500000000001</v>
      </c>
      <c r="E93" s="27">
        <v>2.6822029999999999</v>
      </c>
      <c r="F93" s="30">
        <v>1.121E-3</v>
      </c>
      <c r="G93" s="20" t="s">
        <v>609</v>
      </c>
      <c r="H93" s="20" t="s">
        <v>622</v>
      </c>
    </row>
    <row r="94" spans="1:20" ht="15" x14ac:dyDescent="0.25">
      <c r="A94" s="20" t="s">
        <v>614</v>
      </c>
      <c r="B94" s="20" t="s">
        <v>553</v>
      </c>
      <c r="C94" s="27">
        <v>1.6370800000000001</v>
      </c>
      <c r="D94" s="27">
        <v>1.1675759999999999</v>
      </c>
      <c r="E94" s="27">
        <v>2.2953800000000002</v>
      </c>
      <c r="F94" s="30">
        <v>4.2579999999999996E-3</v>
      </c>
      <c r="G94" s="20" t="s">
        <v>590</v>
      </c>
      <c r="H94" s="20" t="s">
        <v>591</v>
      </c>
    </row>
    <row r="95" spans="1:20" ht="15" x14ac:dyDescent="0.25">
      <c r="A95" s="20" t="s">
        <v>614</v>
      </c>
      <c r="B95" s="20" t="s">
        <v>553</v>
      </c>
      <c r="C95" s="27">
        <v>1.0774520000000001</v>
      </c>
      <c r="D95" s="27">
        <v>0.75380899999999995</v>
      </c>
      <c r="E95" s="27">
        <v>1.540049</v>
      </c>
      <c r="F95" s="30">
        <v>0.68231299999999995</v>
      </c>
      <c r="G95" s="20" t="s">
        <v>594</v>
      </c>
      <c r="H95" s="20" t="s">
        <v>595</v>
      </c>
    </row>
    <row r="96" spans="1:20" ht="15" x14ac:dyDescent="0.25">
      <c r="A96" s="20" t="s">
        <v>614</v>
      </c>
      <c r="B96" s="20" t="s">
        <v>553</v>
      </c>
      <c r="C96" s="27">
        <v>2.8733240000000002</v>
      </c>
      <c r="D96" s="27">
        <v>1.845137</v>
      </c>
      <c r="E96" s="27">
        <v>4.4744590000000004</v>
      </c>
      <c r="F96" s="28">
        <v>3.0000000000000001E-6</v>
      </c>
      <c r="G96" s="20" t="s">
        <v>615</v>
      </c>
      <c r="H96" s="20" t="s">
        <v>593</v>
      </c>
    </row>
    <row r="97" spans="1:8" ht="15" x14ac:dyDescent="0.25">
      <c r="A97" s="20" t="s">
        <v>614</v>
      </c>
      <c r="B97" s="20" t="s">
        <v>553</v>
      </c>
      <c r="C97" s="27">
        <v>2.3048540000000002</v>
      </c>
      <c r="D97" s="27">
        <v>1.4491510000000001</v>
      </c>
      <c r="E97" s="27">
        <v>3.6658379999999999</v>
      </c>
      <c r="F97" s="30">
        <v>4.2099999999999999E-4</v>
      </c>
      <c r="G97" s="20" t="s">
        <v>610</v>
      </c>
      <c r="H97" s="20" t="s">
        <v>599</v>
      </c>
    </row>
    <row r="98" spans="1:8" ht="15" x14ac:dyDescent="0.25">
      <c r="A98" s="20" t="s">
        <v>614</v>
      </c>
      <c r="B98" s="20" t="s">
        <v>553</v>
      </c>
      <c r="C98" s="27">
        <v>1.258008</v>
      </c>
      <c r="D98" s="27">
        <v>0.87371200000000004</v>
      </c>
      <c r="E98" s="27">
        <v>1.811334</v>
      </c>
      <c r="F98" s="30">
        <v>0.217168</v>
      </c>
      <c r="G98" s="20" t="s">
        <v>600</v>
      </c>
      <c r="H98" s="20" t="s">
        <v>601</v>
      </c>
    </row>
    <row r="99" spans="1:8" ht="15" x14ac:dyDescent="0.25">
      <c r="A99" s="20" t="s">
        <v>614</v>
      </c>
      <c r="B99" s="20" t="s">
        <v>553</v>
      </c>
      <c r="C99" s="27">
        <v>1.324649</v>
      </c>
      <c r="D99" s="27">
        <v>0.86880199999999996</v>
      </c>
      <c r="E99" s="27">
        <v>2.0196730000000001</v>
      </c>
      <c r="F99" s="30">
        <v>0.19140399999999999</v>
      </c>
      <c r="G99" s="20" t="s">
        <v>604</v>
      </c>
      <c r="H99" s="20" t="s">
        <v>605</v>
      </c>
    </row>
    <row r="100" spans="1:8" ht="15" x14ac:dyDescent="0.25">
      <c r="A100" s="20" t="s">
        <v>614</v>
      </c>
      <c r="B100" s="20" t="s">
        <v>553</v>
      </c>
      <c r="C100" s="27">
        <v>0.88960700000000004</v>
      </c>
      <c r="D100" s="27">
        <v>0.62202000000000002</v>
      </c>
      <c r="E100" s="27">
        <v>1.2723059999999999</v>
      </c>
      <c r="F100" s="30">
        <v>0.52167799999999998</v>
      </c>
      <c r="G100" s="20" t="s">
        <v>616</v>
      </c>
      <c r="H100" s="20" t="s">
        <v>607</v>
      </c>
    </row>
    <row r="101" spans="1:8" ht="15" x14ac:dyDescent="0.25">
      <c r="A101" s="20" t="s">
        <v>614</v>
      </c>
      <c r="B101" s="20" t="s">
        <v>553</v>
      </c>
      <c r="C101" s="27">
        <v>0.71940400000000004</v>
      </c>
      <c r="D101" s="27">
        <v>0.51972799999999997</v>
      </c>
      <c r="E101" s="27">
        <v>0.99579600000000001</v>
      </c>
      <c r="F101" s="30">
        <v>4.7104E-2</v>
      </c>
      <c r="G101" s="20" t="s">
        <v>596</v>
      </c>
      <c r="H101" s="20" t="s">
        <v>597</v>
      </c>
    </row>
    <row r="102" spans="1:8" ht="15" x14ac:dyDescent="0.25">
      <c r="A102" s="23"/>
      <c r="B102" s="23"/>
      <c r="C102" s="31"/>
      <c r="D102" s="31"/>
      <c r="E102" s="31"/>
      <c r="G102" s="2"/>
    </row>
    <row r="103" spans="1:8" ht="12.75" x14ac:dyDescent="0.2">
      <c r="A103" s="4"/>
      <c r="B103" s="4"/>
      <c r="C103" s="45"/>
      <c r="D103" s="45"/>
      <c r="E103" s="45"/>
      <c r="F103" s="3"/>
      <c r="G103" s="4"/>
      <c r="H103" s="4"/>
    </row>
    <row r="104" spans="1:8" ht="12.75" x14ac:dyDescent="0.2">
      <c r="A104" s="8" t="s">
        <v>612</v>
      </c>
      <c r="B104" s="8" t="s">
        <v>582</v>
      </c>
      <c r="C104" s="43" t="s">
        <v>578</v>
      </c>
      <c r="D104" s="43" t="s">
        <v>618</v>
      </c>
      <c r="E104" s="43" t="s">
        <v>619</v>
      </c>
      <c r="F104" s="44" t="s">
        <v>581</v>
      </c>
      <c r="G104" s="8" t="s">
        <v>551</v>
      </c>
      <c r="H104" s="8" t="s">
        <v>613</v>
      </c>
    </row>
    <row r="105" spans="1:8" ht="15" x14ac:dyDescent="0.25">
      <c r="A105" s="10" t="s">
        <v>620</v>
      </c>
      <c r="B105" s="20" t="s">
        <v>585</v>
      </c>
      <c r="C105" s="27">
        <v>1.9990110000000001</v>
      </c>
      <c r="D105" s="27">
        <v>1.476823</v>
      </c>
      <c r="E105" s="27">
        <v>2.7058399999999998</v>
      </c>
      <c r="F105" s="28">
        <v>7.3300000000000001E-6</v>
      </c>
      <c r="G105" s="20" t="s">
        <v>609</v>
      </c>
      <c r="H105" s="20" t="s">
        <v>622</v>
      </c>
    </row>
    <row r="106" spans="1:8" ht="15" x14ac:dyDescent="0.25">
      <c r="A106" s="10" t="s">
        <v>620</v>
      </c>
      <c r="B106" s="20" t="s">
        <v>585</v>
      </c>
      <c r="C106" s="27">
        <v>1.6030169999999999</v>
      </c>
      <c r="D106" s="27">
        <v>1.241436</v>
      </c>
      <c r="E106" s="27">
        <v>2.0699130000000001</v>
      </c>
      <c r="F106" s="30">
        <v>2.9700000000000001E-4</v>
      </c>
      <c r="G106" s="20" t="s">
        <v>590</v>
      </c>
      <c r="H106" s="20" t="s">
        <v>591</v>
      </c>
    </row>
    <row r="107" spans="1:8" ht="15" x14ac:dyDescent="0.25">
      <c r="A107" s="10" t="s">
        <v>620</v>
      </c>
      <c r="B107" s="20" t="s">
        <v>585</v>
      </c>
      <c r="C107" s="27">
        <v>0.99000999999999995</v>
      </c>
      <c r="D107" s="27">
        <v>0.73207800000000001</v>
      </c>
      <c r="E107" s="27">
        <v>1.3388180000000001</v>
      </c>
      <c r="F107" s="30">
        <v>0.94801599999999997</v>
      </c>
      <c r="G107" s="20" t="s">
        <v>594</v>
      </c>
      <c r="H107" s="20" t="s">
        <v>595</v>
      </c>
    </row>
    <row r="108" spans="1:8" ht="15" x14ac:dyDescent="0.25">
      <c r="A108" s="10" t="s">
        <v>620</v>
      </c>
      <c r="B108" s="20" t="s">
        <v>585</v>
      </c>
      <c r="C108" s="27">
        <v>1.2705649999999999</v>
      </c>
      <c r="D108" s="27">
        <v>0.912192</v>
      </c>
      <c r="E108" s="27">
        <v>1.76973</v>
      </c>
      <c r="F108" s="30">
        <v>0.156668</v>
      </c>
      <c r="G108" s="20" t="s">
        <v>615</v>
      </c>
      <c r="H108" s="20" t="s">
        <v>593</v>
      </c>
    </row>
    <row r="109" spans="1:8" ht="15" x14ac:dyDescent="0.25">
      <c r="A109" s="10" t="s">
        <v>620</v>
      </c>
      <c r="B109" s="20" t="s">
        <v>585</v>
      </c>
      <c r="C109" s="27">
        <v>1.032446</v>
      </c>
      <c r="D109" s="27">
        <v>0.72519599999999995</v>
      </c>
      <c r="E109" s="27">
        <v>1.469873</v>
      </c>
      <c r="F109" s="30">
        <v>0.85937600000000003</v>
      </c>
      <c r="G109" s="20" t="s">
        <v>610</v>
      </c>
      <c r="H109" s="20" t="s">
        <v>599</v>
      </c>
    </row>
    <row r="110" spans="1:8" ht="15" x14ac:dyDescent="0.25">
      <c r="A110" s="10" t="s">
        <v>620</v>
      </c>
      <c r="B110" s="20" t="s">
        <v>585</v>
      </c>
      <c r="C110" s="27">
        <v>1.281331</v>
      </c>
      <c r="D110" s="27">
        <v>0.98305100000000001</v>
      </c>
      <c r="E110" s="27">
        <v>1.670115</v>
      </c>
      <c r="F110" s="30">
        <v>6.6724000000000006E-2</v>
      </c>
      <c r="G110" s="20" t="s">
        <v>600</v>
      </c>
      <c r="H110" s="20" t="s">
        <v>601</v>
      </c>
    </row>
    <row r="111" spans="1:8" ht="15" x14ac:dyDescent="0.25">
      <c r="A111" s="10" t="s">
        <v>620</v>
      </c>
      <c r="B111" s="20" t="s">
        <v>585</v>
      </c>
      <c r="C111" s="27">
        <v>0.98459399999999997</v>
      </c>
      <c r="D111" s="27">
        <v>0.69371300000000002</v>
      </c>
      <c r="E111" s="27">
        <v>1.397443</v>
      </c>
      <c r="F111" s="30">
        <v>0.93074900000000005</v>
      </c>
      <c r="G111" s="20" t="s">
        <v>604</v>
      </c>
      <c r="H111" s="20" t="s">
        <v>605</v>
      </c>
    </row>
    <row r="112" spans="1:8" ht="15" x14ac:dyDescent="0.25">
      <c r="A112" s="10" t="s">
        <v>620</v>
      </c>
      <c r="B112" s="20" t="s">
        <v>585</v>
      </c>
      <c r="C112" s="27">
        <v>1.391961</v>
      </c>
      <c r="D112" s="27">
        <v>1.0659590000000001</v>
      </c>
      <c r="E112" s="27">
        <v>1.817666</v>
      </c>
      <c r="F112" s="30">
        <v>1.5134999999999999E-2</v>
      </c>
      <c r="G112" s="20" t="s">
        <v>616</v>
      </c>
      <c r="H112" s="20" t="s">
        <v>607</v>
      </c>
    </row>
    <row r="113" spans="1:8" ht="15" x14ac:dyDescent="0.25">
      <c r="A113" s="10" t="s">
        <v>620</v>
      </c>
      <c r="B113" s="20" t="s">
        <v>585</v>
      </c>
      <c r="C113" s="27">
        <v>1.0153460000000001</v>
      </c>
      <c r="D113" s="27">
        <v>0.78344400000000003</v>
      </c>
      <c r="E113" s="27">
        <v>1.3158920000000001</v>
      </c>
      <c r="F113" s="30">
        <v>0.90834800000000004</v>
      </c>
      <c r="G113" s="20" t="s">
        <v>596</v>
      </c>
      <c r="H113" s="20" t="s">
        <v>597</v>
      </c>
    </row>
    <row r="114" spans="1:8" ht="15" x14ac:dyDescent="0.25">
      <c r="A114" s="10" t="s">
        <v>620</v>
      </c>
      <c r="B114" s="20" t="s">
        <v>553</v>
      </c>
      <c r="C114" s="27">
        <v>1.4691799999999999</v>
      </c>
      <c r="D114" s="27">
        <v>0.99969200000000003</v>
      </c>
      <c r="E114" s="27">
        <v>2.159154</v>
      </c>
      <c r="F114" s="30">
        <v>5.0183999999999999E-2</v>
      </c>
      <c r="G114" s="20" t="s">
        <v>609</v>
      </c>
      <c r="H114" s="20" t="s">
        <v>622</v>
      </c>
    </row>
    <row r="115" spans="1:8" ht="15" x14ac:dyDescent="0.25">
      <c r="A115" s="10" t="s">
        <v>620</v>
      </c>
      <c r="B115" s="20" t="s">
        <v>553</v>
      </c>
      <c r="C115" s="27">
        <v>1.02782</v>
      </c>
      <c r="D115" s="27">
        <v>0.72359200000000001</v>
      </c>
      <c r="E115" s="27">
        <v>1.4599569999999999</v>
      </c>
      <c r="F115" s="30">
        <v>0.87821199999999999</v>
      </c>
      <c r="G115" s="20" t="s">
        <v>590</v>
      </c>
      <c r="H115" s="20" t="s">
        <v>591</v>
      </c>
    </row>
    <row r="116" spans="1:8" ht="15" x14ac:dyDescent="0.25">
      <c r="A116" s="10" t="s">
        <v>620</v>
      </c>
      <c r="B116" s="20" t="s">
        <v>553</v>
      </c>
      <c r="C116" s="27">
        <v>1.2329669999999999</v>
      </c>
      <c r="D116" s="27">
        <v>0.86851199999999995</v>
      </c>
      <c r="E116" s="27">
        <v>1.750359</v>
      </c>
      <c r="F116" s="30">
        <v>0.241429</v>
      </c>
      <c r="G116" s="20" t="s">
        <v>594</v>
      </c>
      <c r="H116" s="20" t="s">
        <v>595</v>
      </c>
    </row>
    <row r="117" spans="1:8" ht="15" x14ac:dyDescent="0.25">
      <c r="A117" s="10" t="s">
        <v>620</v>
      </c>
      <c r="B117" s="20" t="s">
        <v>553</v>
      </c>
      <c r="C117" s="27">
        <v>1.181519</v>
      </c>
      <c r="D117" s="27">
        <v>0.72981799999999997</v>
      </c>
      <c r="E117" s="27">
        <v>1.91279</v>
      </c>
      <c r="F117" s="30">
        <v>0.49739</v>
      </c>
      <c r="G117" s="20" t="s">
        <v>615</v>
      </c>
      <c r="H117" s="20" t="s">
        <v>593</v>
      </c>
    </row>
    <row r="118" spans="1:8" ht="15" x14ac:dyDescent="0.25">
      <c r="A118" s="10" t="s">
        <v>620</v>
      </c>
      <c r="B118" s="20" t="s">
        <v>553</v>
      </c>
      <c r="C118" s="27">
        <v>1.213662</v>
      </c>
      <c r="D118" s="27">
        <v>0.73363999999999996</v>
      </c>
      <c r="E118" s="27">
        <v>2.0077639999999999</v>
      </c>
      <c r="F118" s="30">
        <v>0.45086900000000002</v>
      </c>
      <c r="G118" s="20" t="s">
        <v>610</v>
      </c>
      <c r="H118" s="20" t="s">
        <v>599</v>
      </c>
    </row>
    <row r="119" spans="1:8" ht="15" x14ac:dyDescent="0.25">
      <c r="A119" s="10" t="s">
        <v>620</v>
      </c>
      <c r="B119" s="20" t="s">
        <v>553</v>
      </c>
      <c r="C119" s="27">
        <v>1.0725150000000001</v>
      </c>
      <c r="D119" s="27">
        <v>0.74983299999999997</v>
      </c>
      <c r="E119" s="27">
        <v>1.5340609999999999</v>
      </c>
      <c r="F119" s="30">
        <v>0.70144899999999999</v>
      </c>
      <c r="G119" s="20" t="s">
        <v>600</v>
      </c>
      <c r="H119" s="20" t="s">
        <v>601</v>
      </c>
    </row>
    <row r="120" spans="1:8" ht="15" x14ac:dyDescent="0.25">
      <c r="A120" s="10" t="s">
        <v>620</v>
      </c>
      <c r="B120" s="20" t="s">
        <v>553</v>
      </c>
      <c r="C120" s="27">
        <v>0.79964999999999997</v>
      </c>
      <c r="D120" s="27">
        <v>0.50391300000000006</v>
      </c>
      <c r="E120" s="27">
        <v>1.268948</v>
      </c>
      <c r="F120" s="30">
        <v>0.34262999999999999</v>
      </c>
      <c r="G120" s="20" t="s">
        <v>604</v>
      </c>
      <c r="H120" s="20" t="s">
        <v>605</v>
      </c>
    </row>
    <row r="121" spans="1:8" ht="15" x14ac:dyDescent="0.25">
      <c r="A121" s="10" t="s">
        <v>620</v>
      </c>
      <c r="B121" s="20" t="s">
        <v>553</v>
      </c>
      <c r="C121" s="27">
        <v>0.99530300000000005</v>
      </c>
      <c r="D121" s="27">
        <v>0.70596400000000004</v>
      </c>
      <c r="E121" s="27">
        <v>1.4032279999999999</v>
      </c>
      <c r="F121" s="30">
        <v>0.97856600000000005</v>
      </c>
      <c r="G121" s="20" t="s">
        <v>616</v>
      </c>
      <c r="H121" s="20" t="s">
        <v>607</v>
      </c>
    </row>
    <row r="122" spans="1:8" ht="15" x14ac:dyDescent="0.25">
      <c r="A122" s="10" t="s">
        <v>620</v>
      </c>
      <c r="B122" s="20" t="s">
        <v>553</v>
      </c>
      <c r="C122" s="27">
        <v>0.95140899999999995</v>
      </c>
      <c r="D122" s="27">
        <v>0.68033100000000002</v>
      </c>
      <c r="E122" s="27">
        <v>1.3304990000000001</v>
      </c>
      <c r="F122" s="30">
        <v>0.77096699999999996</v>
      </c>
      <c r="G122" s="20" t="s">
        <v>596</v>
      </c>
      <c r="H122" s="20" t="s">
        <v>597</v>
      </c>
    </row>
    <row r="123" spans="1:8" ht="12.75" x14ac:dyDescent="0.2">
      <c r="A123" s="2"/>
      <c r="B123" s="2"/>
      <c r="C123" s="31"/>
      <c r="D123" s="31"/>
      <c r="E123" s="31"/>
      <c r="G123" s="2"/>
    </row>
    <row r="124" spans="1:8" ht="12.75" x14ac:dyDescent="0.2">
      <c r="A124" s="2"/>
      <c r="B124" s="2"/>
      <c r="C124" s="31"/>
      <c r="D124" s="31"/>
      <c r="E124" s="31"/>
      <c r="G124" s="2"/>
    </row>
    <row r="125" spans="1:8" ht="12.75" x14ac:dyDescent="0.2">
      <c r="A125" s="2"/>
      <c r="B125" s="2"/>
      <c r="C125" s="31"/>
      <c r="D125" s="31"/>
      <c r="E125" s="31"/>
      <c r="G125" s="2"/>
    </row>
    <row r="126" spans="1:8" ht="12.75" x14ac:dyDescent="0.2">
      <c r="A126" s="2"/>
      <c r="B126" s="2"/>
      <c r="C126" s="31"/>
      <c r="D126" s="31"/>
      <c r="E126" s="31"/>
      <c r="G126" s="2"/>
    </row>
    <row r="127" spans="1:8" ht="12.75" x14ac:dyDescent="0.2">
      <c r="A127" s="2"/>
      <c r="B127" s="2"/>
      <c r="C127" s="31"/>
      <c r="D127" s="31"/>
      <c r="E127" s="31"/>
      <c r="G127" s="2"/>
    </row>
    <row r="128" spans="1:8" ht="12.75" x14ac:dyDescent="0.2">
      <c r="A128" s="2"/>
      <c r="B128" s="2"/>
      <c r="C128" s="31"/>
      <c r="D128" s="31"/>
      <c r="E128" s="31"/>
      <c r="G128" s="2"/>
    </row>
    <row r="129" spans="1:7" ht="12.75" x14ac:dyDescent="0.2">
      <c r="A129" s="2"/>
      <c r="B129" s="2"/>
      <c r="C129" s="31"/>
      <c r="D129" s="31"/>
      <c r="E129" s="31"/>
      <c r="G129" s="2"/>
    </row>
    <row r="130" spans="1:7" ht="12.75" x14ac:dyDescent="0.2">
      <c r="A130" s="2"/>
      <c r="B130" s="2"/>
      <c r="C130" s="31"/>
      <c r="D130" s="31"/>
      <c r="E130" s="31"/>
      <c r="G130" s="2"/>
    </row>
    <row r="131" spans="1:7" ht="12.75" x14ac:dyDescent="0.2">
      <c r="A131" s="2"/>
      <c r="B131" s="2"/>
      <c r="C131" s="31"/>
      <c r="D131" s="31"/>
      <c r="E131" s="31"/>
      <c r="G131" s="2"/>
    </row>
    <row r="132" spans="1:7" ht="12.75" x14ac:dyDescent="0.2">
      <c r="A132" s="2"/>
      <c r="B132" s="2"/>
      <c r="C132" s="31"/>
      <c r="D132" s="31"/>
      <c r="E132" s="31"/>
      <c r="G132" s="2"/>
    </row>
    <row r="133" spans="1:7" ht="12.75" x14ac:dyDescent="0.2">
      <c r="A133" s="2"/>
      <c r="B133" s="2"/>
      <c r="C133" s="31"/>
      <c r="D133" s="31"/>
      <c r="E133" s="31"/>
      <c r="G133" s="2"/>
    </row>
    <row r="134" spans="1:7" ht="12.75" x14ac:dyDescent="0.2">
      <c r="A134" s="2"/>
      <c r="B134" s="2"/>
      <c r="C134" s="31"/>
      <c r="D134" s="31"/>
      <c r="E134" s="31"/>
      <c r="G134" s="2"/>
    </row>
    <row r="135" spans="1:7" ht="12.75" x14ac:dyDescent="0.2">
      <c r="A135" s="2"/>
      <c r="B135" s="2"/>
      <c r="C135" s="31"/>
      <c r="D135" s="31"/>
      <c r="E135" s="31"/>
      <c r="G135" s="2"/>
    </row>
    <row r="136" spans="1:7" ht="12.75" x14ac:dyDescent="0.2">
      <c r="A136" s="2"/>
      <c r="B136" s="2"/>
      <c r="C136" s="31"/>
      <c r="D136" s="31"/>
      <c r="E136" s="31"/>
      <c r="G136" s="2"/>
    </row>
    <row r="137" spans="1:7" ht="12.75" x14ac:dyDescent="0.2">
      <c r="A137" s="2"/>
      <c r="B137" s="2"/>
      <c r="C137" s="31"/>
      <c r="D137" s="31"/>
      <c r="E137" s="31"/>
      <c r="G137" s="2"/>
    </row>
    <row r="138" spans="1:7" ht="12.75" x14ac:dyDescent="0.2">
      <c r="A138" s="2"/>
      <c r="B138" s="2"/>
      <c r="C138" s="31"/>
      <c r="D138" s="31"/>
      <c r="E138" s="31"/>
      <c r="G138" s="2"/>
    </row>
    <row r="139" spans="1:7" ht="12.75" x14ac:dyDescent="0.2">
      <c r="A139" s="2"/>
      <c r="B139" s="2"/>
      <c r="C139" s="31"/>
      <c r="D139" s="31"/>
      <c r="E139" s="31"/>
      <c r="G139" s="2"/>
    </row>
    <row r="140" spans="1:7" ht="12.75" x14ac:dyDescent="0.2">
      <c r="A140" s="2"/>
      <c r="B140" s="2"/>
      <c r="C140" s="31"/>
      <c r="D140" s="31"/>
      <c r="E140" s="31"/>
      <c r="G140" s="2"/>
    </row>
    <row r="141" spans="1:7" ht="12.75" x14ac:dyDescent="0.2">
      <c r="A141" s="2"/>
      <c r="B141" s="2"/>
      <c r="C141" s="31"/>
      <c r="D141" s="31"/>
      <c r="E141" s="31"/>
      <c r="G141" s="2"/>
    </row>
    <row r="142" spans="1:7" ht="12.75" x14ac:dyDescent="0.2">
      <c r="A142" s="2"/>
      <c r="B142" s="2"/>
      <c r="C142" s="31"/>
      <c r="D142" s="31"/>
      <c r="E142" s="31"/>
      <c r="G142" s="2"/>
    </row>
    <row r="143" spans="1:7" ht="12.75" x14ac:dyDescent="0.2">
      <c r="A143" s="2"/>
      <c r="B143" s="2"/>
      <c r="C143" s="31"/>
      <c r="D143" s="31"/>
      <c r="E143" s="31"/>
      <c r="G143" s="2"/>
    </row>
    <row r="144" spans="1:7" ht="12.75" x14ac:dyDescent="0.2">
      <c r="A144" s="2"/>
      <c r="B144" s="2"/>
      <c r="C144" s="31"/>
      <c r="D144" s="31"/>
      <c r="E144" s="31"/>
      <c r="G144" s="2"/>
    </row>
    <row r="145" spans="1:7" ht="12.75" x14ac:dyDescent="0.2">
      <c r="A145" s="2"/>
      <c r="B145" s="2"/>
      <c r="C145" s="31"/>
      <c r="D145" s="31"/>
      <c r="E145" s="31"/>
      <c r="G145" s="2"/>
    </row>
    <row r="146" spans="1:7" ht="12.75" x14ac:dyDescent="0.2">
      <c r="A146" s="2"/>
      <c r="B146" s="2"/>
      <c r="C146" s="31"/>
      <c r="D146" s="31"/>
      <c r="E146" s="31"/>
      <c r="G146" s="2"/>
    </row>
    <row r="147" spans="1:7" ht="12.75" x14ac:dyDescent="0.2">
      <c r="A147" s="2"/>
      <c r="B147" s="2"/>
      <c r="C147" s="31"/>
      <c r="D147" s="31"/>
      <c r="E147" s="31"/>
      <c r="G147" s="2"/>
    </row>
    <row r="148" spans="1:7" ht="12.75" x14ac:dyDescent="0.2">
      <c r="A148" s="2"/>
      <c r="B148" s="2"/>
      <c r="C148" s="31"/>
      <c r="D148" s="31"/>
      <c r="E148" s="31"/>
      <c r="G148" s="2"/>
    </row>
    <row r="149" spans="1:7" ht="12.75" x14ac:dyDescent="0.2">
      <c r="A149" s="2"/>
      <c r="B149" s="2"/>
      <c r="C149" s="31"/>
      <c r="D149" s="31"/>
      <c r="E149" s="31"/>
      <c r="G149" s="2"/>
    </row>
    <row r="150" spans="1:7" ht="12.75" x14ac:dyDescent="0.2">
      <c r="A150" s="2"/>
      <c r="B150" s="2"/>
      <c r="C150" s="31"/>
      <c r="D150" s="31"/>
      <c r="E150" s="31"/>
      <c r="G150" s="2"/>
    </row>
    <row r="151" spans="1:7" ht="12.75" x14ac:dyDescent="0.2">
      <c r="A151" s="2"/>
      <c r="B151" s="2"/>
      <c r="C151" s="31"/>
      <c r="D151" s="31"/>
      <c r="E151" s="31"/>
      <c r="G151" s="2"/>
    </row>
    <row r="152" spans="1:7" ht="12.75" x14ac:dyDescent="0.2">
      <c r="A152" s="2"/>
      <c r="B152" s="2"/>
      <c r="C152" s="31"/>
      <c r="D152" s="31"/>
      <c r="E152" s="31"/>
      <c r="G152" s="2"/>
    </row>
    <row r="153" spans="1:7" ht="12.75" x14ac:dyDescent="0.2">
      <c r="A153" s="2"/>
      <c r="B153" s="2"/>
      <c r="C153" s="31"/>
      <c r="D153" s="31"/>
      <c r="E153" s="31"/>
      <c r="G153" s="2"/>
    </row>
    <row r="154" spans="1:7" ht="12.75" x14ac:dyDescent="0.2">
      <c r="A154" s="2"/>
      <c r="B154" s="2"/>
      <c r="C154" s="31"/>
      <c r="D154" s="31"/>
      <c r="E154" s="31"/>
      <c r="G154" s="2"/>
    </row>
    <row r="155" spans="1:7" ht="12.75" x14ac:dyDescent="0.2">
      <c r="A155" s="2"/>
      <c r="B155" s="2"/>
      <c r="C155" s="31"/>
      <c r="D155" s="31"/>
      <c r="E155" s="31"/>
      <c r="G155" s="2"/>
    </row>
    <row r="156" spans="1:7" ht="12.75" x14ac:dyDescent="0.2">
      <c r="A156" s="2"/>
      <c r="B156" s="2"/>
      <c r="C156" s="31"/>
      <c r="D156" s="31"/>
      <c r="E156" s="31"/>
      <c r="G156" s="2"/>
    </row>
    <row r="157" spans="1:7" ht="12.75" x14ac:dyDescent="0.2">
      <c r="A157" s="2"/>
      <c r="B157" s="2"/>
      <c r="C157" s="31"/>
      <c r="D157" s="31"/>
      <c r="E157" s="31"/>
      <c r="G157" s="2"/>
    </row>
    <row r="158" spans="1:7" ht="12.75" x14ac:dyDescent="0.2">
      <c r="A158" s="2"/>
      <c r="B158" s="2"/>
      <c r="C158" s="31"/>
      <c r="D158" s="31"/>
      <c r="E158" s="31"/>
      <c r="G158" s="2"/>
    </row>
    <row r="159" spans="1:7" ht="12.75" x14ac:dyDescent="0.2">
      <c r="A159" s="2"/>
      <c r="B159" s="2"/>
      <c r="C159" s="31"/>
      <c r="D159" s="31"/>
      <c r="E159" s="31"/>
      <c r="G159" s="2"/>
    </row>
    <row r="160" spans="1:7" ht="12.75" x14ac:dyDescent="0.2">
      <c r="A160" s="2"/>
      <c r="B160" s="2"/>
      <c r="C160" s="31"/>
      <c r="D160" s="31"/>
      <c r="E160" s="31"/>
      <c r="G160" s="2"/>
    </row>
    <row r="161" spans="1:7" ht="12.75" x14ac:dyDescent="0.2">
      <c r="A161" s="2"/>
      <c r="B161" s="2"/>
      <c r="C161" s="31"/>
      <c r="D161" s="31"/>
      <c r="E161" s="31"/>
      <c r="G161" s="2"/>
    </row>
    <row r="162" spans="1:7" ht="12.75" x14ac:dyDescent="0.2">
      <c r="A162" s="2"/>
      <c r="B162" s="2"/>
      <c r="C162" s="31"/>
      <c r="D162" s="31"/>
      <c r="E162" s="31"/>
      <c r="G162" s="2"/>
    </row>
    <row r="163" spans="1:7" ht="12.75" x14ac:dyDescent="0.2">
      <c r="A163" s="2"/>
      <c r="B163" s="2"/>
      <c r="C163" s="31"/>
      <c r="D163" s="31"/>
      <c r="E163" s="31"/>
      <c r="G163" s="2"/>
    </row>
    <row r="164" spans="1:7" ht="12.75" x14ac:dyDescent="0.2">
      <c r="A164" s="2"/>
      <c r="B164" s="2"/>
      <c r="C164" s="31"/>
      <c r="D164" s="31"/>
      <c r="E164" s="31"/>
      <c r="G164" s="2"/>
    </row>
    <row r="165" spans="1:7" ht="12.75" x14ac:dyDescent="0.2">
      <c r="A165" s="2"/>
      <c r="B165" s="2"/>
      <c r="C165" s="31"/>
      <c r="D165" s="31"/>
      <c r="E165" s="31"/>
      <c r="G165" s="2"/>
    </row>
    <row r="166" spans="1:7" ht="12.75" x14ac:dyDescent="0.2">
      <c r="A166" s="2"/>
      <c r="B166" s="2"/>
      <c r="C166" s="31"/>
      <c r="D166" s="31"/>
      <c r="E166" s="31"/>
      <c r="G166" s="2"/>
    </row>
    <row r="167" spans="1:7" ht="12.75" x14ac:dyDescent="0.2">
      <c r="A167" s="2"/>
      <c r="B167" s="2"/>
      <c r="C167" s="31"/>
      <c r="D167" s="31"/>
      <c r="E167" s="31"/>
      <c r="G167" s="2"/>
    </row>
    <row r="168" spans="1:7" ht="12.75" x14ac:dyDescent="0.2">
      <c r="A168" s="2"/>
      <c r="B168" s="2"/>
      <c r="C168" s="31"/>
      <c r="D168" s="31"/>
      <c r="E168" s="31"/>
      <c r="G168" s="2"/>
    </row>
    <row r="169" spans="1:7" ht="12.75" x14ac:dyDescent="0.2">
      <c r="A169" s="2"/>
      <c r="B169" s="2"/>
      <c r="C169" s="31"/>
      <c r="D169" s="31"/>
      <c r="E169" s="31"/>
      <c r="G169" s="2"/>
    </row>
    <row r="170" spans="1:7" ht="12.75" x14ac:dyDescent="0.2">
      <c r="A170" s="2"/>
      <c r="B170" s="2"/>
      <c r="C170" s="31"/>
      <c r="D170" s="31"/>
      <c r="E170" s="31"/>
      <c r="G170" s="2"/>
    </row>
    <row r="171" spans="1:7" ht="12.75" x14ac:dyDescent="0.2">
      <c r="A171" s="2"/>
      <c r="B171" s="2"/>
      <c r="C171" s="31"/>
      <c r="D171" s="31"/>
      <c r="E171" s="31"/>
      <c r="G171" s="2"/>
    </row>
    <row r="172" spans="1:7" ht="12.75" x14ac:dyDescent="0.2">
      <c r="A172" s="2"/>
      <c r="B172" s="2"/>
      <c r="C172" s="31"/>
      <c r="D172" s="31"/>
      <c r="E172" s="31"/>
      <c r="G172" s="2"/>
    </row>
    <row r="173" spans="1:7" ht="12.75" x14ac:dyDescent="0.2">
      <c r="A173" s="2"/>
      <c r="B173" s="2"/>
      <c r="C173" s="31"/>
      <c r="D173" s="31"/>
      <c r="E173" s="31"/>
      <c r="G173" s="2"/>
    </row>
    <row r="174" spans="1:7" ht="12.75" x14ac:dyDescent="0.2">
      <c r="A174" s="2"/>
      <c r="B174" s="2"/>
      <c r="C174" s="31"/>
      <c r="D174" s="31"/>
      <c r="E174" s="31"/>
      <c r="G174" s="2"/>
    </row>
    <row r="175" spans="1:7" ht="12.75" x14ac:dyDescent="0.2">
      <c r="A175" s="2"/>
      <c r="B175" s="2"/>
      <c r="C175" s="31"/>
      <c r="D175" s="31"/>
      <c r="E175" s="31"/>
      <c r="G175" s="2"/>
    </row>
    <row r="176" spans="1:7" ht="12.75" x14ac:dyDescent="0.2">
      <c r="A176" s="2"/>
      <c r="B176" s="2"/>
      <c r="C176" s="31"/>
      <c r="D176" s="31"/>
      <c r="E176" s="31"/>
      <c r="G176" s="2"/>
    </row>
    <row r="177" spans="1:7" ht="12.75" x14ac:dyDescent="0.2">
      <c r="A177" s="2"/>
      <c r="B177" s="2"/>
      <c r="C177" s="31"/>
      <c r="D177" s="31"/>
      <c r="E177" s="31"/>
      <c r="G177" s="2"/>
    </row>
    <row r="178" spans="1:7" ht="12.75" x14ac:dyDescent="0.2">
      <c r="A178" s="2"/>
      <c r="B178" s="2"/>
      <c r="C178" s="31"/>
      <c r="D178" s="31"/>
      <c r="E178" s="31"/>
      <c r="G178" s="2"/>
    </row>
    <row r="179" spans="1:7" ht="12.75" x14ac:dyDescent="0.2">
      <c r="A179" s="2"/>
      <c r="B179" s="2"/>
      <c r="C179" s="31"/>
      <c r="D179" s="31"/>
      <c r="E179" s="31"/>
      <c r="G179" s="2"/>
    </row>
    <row r="180" spans="1:7" ht="12.75" x14ac:dyDescent="0.2">
      <c r="A180" s="2"/>
      <c r="B180" s="2"/>
      <c r="C180" s="31"/>
      <c r="D180" s="31"/>
      <c r="E180" s="31"/>
      <c r="G180" s="2"/>
    </row>
    <row r="181" spans="1:7" ht="12.75" x14ac:dyDescent="0.2">
      <c r="A181" s="2"/>
      <c r="B181" s="2"/>
      <c r="C181" s="31"/>
      <c r="D181" s="31"/>
      <c r="E181" s="31"/>
      <c r="G181" s="2"/>
    </row>
    <row r="182" spans="1:7" ht="12.75" x14ac:dyDescent="0.2">
      <c r="A182" s="2"/>
      <c r="B182" s="2"/>
      <c r="C182" s="31"/>
      <c r="D182" s="31"/>
      <c r="E182" s="31"/>
      <c r="G182" s="2"/>
    </row>
    <row r="183" spans="1:7" ht="12.75" x14ac:dyDescent="0.2">
      <c r="A183" s="2"/>
      <c r="B183" s="2"/>
      <c r="C183" s="31"/>
      <c r="D183" s="31"/>
      <c r="E183" s="31"/>
      <c r="G183" s="2"/>
    </row>
    <row r="184" spans="1:7" ht="12.75" x14ac:dyDescent="0.2">
      <c r="A184" s="2"/>
      <c r="B184" s="2"/>
      <c r="C184" s="31"/>
      <c r="D184" s="31"/>
      <c r="E184" s="31"/>
      <c r="G184" s="2"/>
    </row>
    <row r="185" spans="1:7" ht="12.75" x14ac:dyDescent="0.2">
      <c r="A185" s="2"/>
      <c r="B185" s="2"/>
      <c r="C185" s="31"/>
      <c r="D185" s="31"/>
      <c r="E185" s="31"/>
      <c r="G185" s="2"/>
    </row>
    <row r="186" spans="1:7" ht="12.75" x14ac:dyDescent="0.2">
      <c r="A186" s="2"/>
      <c r="B186" s="2"/>
      <c r="C186" s="31"/>
      <c r="D186" s="31"/>
      <c r="E186" s="31"/>
      <c r="G186" s="2"/>
    </row>
    <row r="187" spans="1:7" ht="12.75" x14ac:dyDescent="0.2">
      <c r="A187" s="2"/>
      <c r="B187" s="2"/>
      <c r="C187" s="31"/>
      <c r="D187" s="31"/>
      <c r="E187" s="31"/>
      <c r="G187" s="2"/>
    </row>
    <row r="188" spans="1:7" ht="12.75" x14ac:dyDescent="0.2">
      <c r="A188" s="2"/>
      <c r="B188" s="2"/>
      <c r="C188" s="31"/>
      <c r="D188" s="31"/>
      <c r="E188" s="31"/>
      <c r="G188" s="2"/>
    </row>
    <row r="189" spans="1:7" ht="12.75" x14ac:dyDescent="0.2">
      <c r="A189" s="2"/>
      <c r="B189" s="2"/>
      <c r="C189" s="31"/>
      <c r="D189" s="31"/>
      <c r="E189" s="31"/>
      <c r="G189" s="2"/>
    </row>
    <row r="190" spans="1:7" ht="12.75" x14ac:dyDescent="0.2">
      <c r="A190" s="2"/>
      <c r="B190" s="2"/>
      <c r="C190" s="31"/>
      <c r="D190" s="31"/>
      <c r="E190" s="31"/>
      <c r="G190" s="2"/>
    </row>
    <row r="191" spans="1:7" ht="12.75" x14ac:dyDescent="0.2">
      <c r="A191" s="2"/>
      <c r="B191" s="2"/>
      <c r="C191" s="31"/>
      <c r="D191" s="31"/>
      <c r="E191" s="31"/>
      <c r="G191" s="2"/>
    </row>
    <row r="192" spans="1:7" ht="12.75" x14ac:dyDescent="0.2">
      <c r="A192" s="2"/>
      <c r="B192" s="2"/>
      <c r="C192" s="31"/>
      <c r="D192" s="31"/>
      <c r="E192" s="31"/>
      <c r="G192" s="2"/>
    </row>
    <row r="193" spans="1:7" ht="12.75" x14ac:dyDescent="0.2">
      <c r="A193" s="2"/>
      <c r="B193" s="2"/>
      <c r="C193" s="31"/>
      <c r="D193" s="31"/>
      <c r="E193" s="31"/>
      <c r="G193" s="2"/>
    </row>
    <row r="194" spans="1:7" ht="12.75" x14ac:dyDescent="0.2">
      <c r="A194" s="2"/>
      <c r="B194" s="2"/>
      <c r="C194" s="31"/>
      <c r="D194" s="31"/>
      <c r="E194" s="31"/>
      <c r="G194" s="2"/>
    </row>
    <row r="195" spans="1:7" ht="12.75" x14ac:dyDescent="0.2">
      <c r="A195" s="2"/>
      <c r="B195" s="2"/>
      <c r="C195" s="31"/>
      <c r="D195" s="31"/>
      <c r="E195" s="31"/>
      <c r="G195" s="2"/>
    </row>
    <row r="196" spans="1:7" ht="12.75" x14ac:dyDescent="0.2">
      <c r="A196" s="2"/>
      <c r="B196" s="2"/>
      <c r="C196" s="31"/>
      <c r="D196" s="31"/>
      <c r="E196" s="31"/>
      <c r="G196" s="2"/>
    </row>
    <row r="197" spans="1:7" ht="12.75" x14ac:dyDescent="0.2">
      <c r="A197" s="2"/>
      <c r="B197" s="2"/>
      <c r="C197" s="31"/>
      <c r="D197" s="31"/>
      <c r="E197" s="31"/>
      <c r="G197" s="2"/>
    </row>
    <row r="198" spans="1:7" ht="12.75" x14ac:dyDescent="0.2">
      <c r="A198" s="2"/>
      <c r="B198" s="2"/>
      <c r="C198" s="31"/>
      <c r="D198" s="31"/>
      <c r="E198" s="31"/>
      <c r="G198" s="2"/>
    </row>
    <row r="199" spans="1:7" ht="12.75" x14ac:dyDescent="0.2">
      <c r="A199" s="2"/>
      <c r="B199" s="2"/>
      <c r="C199" s="31"/>
      <c r="D199" s="31"/>
      <c r="E199" s="31"/>
      <c r="G199" s="2"/>
    </row>
    <row r="200" spans="1:7" ht="12.75" x14ac:dyDescent="0.2">
      <c r="A200" s="2"/>
      <c r="B200" s="2"/>
      <c r="C200" s="31"/>
      <c r="D200" s="31"/>
      <c r="E200" s="31"/>
      <c r="G200" s="2"/>
    </row>
    <row r="201" spans="1:7" ht="12.75" x14ac:dyDescent="0.2">
      <c r="A201" s="2"/>
      <c r="B201" s="2"/>
      <c r="C201" s="31"/>
      <c r="D201" s="31"/>
      <c r="E201" s="31"/>
      <c r="G201" s="2"/>
    </row>
    <row r="202" spans="1:7" ht="12.75" x14ac:dyDescent="0.2">
      <c r="A202" s="2"/>
      <c r="B202" s="2"/>
      <c r="C202" s="31"/>
      <c r="D202" s="31"/>
      <c r="E202" s="31"/>
      <c r="G202" s="2"/>
    </row>
    <row r="203" spans="1:7" ht="12.75" x14ac:dyDescent="0.2">
      <c r="A203" s="2"/>
      <c r="B203" s="2"/>
      <c r="C203" s="31"/>
      <c r="D203" s="31"/>
      <c r="E203" s="31"/>
      <c r="G203" s="2"/>
    </row>
    <row r="204" spans="1:7" ht="12.75" x14ac:dyDescent="0.2">
      <c r="A204" s="2"/>
      <c r="B204" s="2"/>
      <c r="C204" s="31"/>
      <c r="D204" s="31"/>
      <c r="E204" s="31"/>
      <c r="G204" s="2"/>
    </row>
    <row r="205" spans="1:7" ht="12.75" x14ac:dyDescent="0.2">
      <c r="A205" s="2"/>
      <c r="B205" s="2"/>
      <c r="C205" s="31"/>
      <c r="D205" s="31"/>
      <c r="E205" s="31"/>
      <c r="G205" s="2"/>
    </row>
    <row r="206" spans="1:7" ht="12.75" x14ac:dyDescent="0.2">
      <c r="A206" s="2"/>
      <c r="B206" s="2"/>
      <c r="C206" s="31"/>
      <c r="D206" s="31"/>
      <c r="E206" s="31"/>
      <c r="G206" s="2"/>
    </row>
    <row r="207" spans="1:7" ht="12.75" x14ac:dyDescent="0.2">
      <c r="A207" s="2"/>
      <c r="B207" s="2"/>
      <c r="C207" s="31"/>
      <c r="D207" s="31"/>
      <c r="E207" s="31"/>
      <c r="G207" s="2"/>
    </row>
    <row r="208" spans="1:7" ht="12.75" x14ac:dyDescent="0.2">
      <c r="A208" s="2"/>
      <c r="B208" s="2"/>
      <c r="C208" s="31"/>
      <c r="D208" s="31"/>
      <c r="E208" s="31"/>
      <c r="G208" s="2"/>
    </row>
    <row r="209" spans="1:7" ht="12.75" x14ac:dyDescent="0.2">
      <c r="A209" s="2"/>
      <c r="B209" s="2"/>
      <c r="C209" s="31"/>
      <c r="D209" s="31"/>
      <c r="E209" s="31"/>
      <c r="G209" s="2"/>
    </row>
    <row r="210" spans="1:7" ht="12.75" x14ac:dyDescent="0.2">
      <c r="A210" s="2"/>
      <c r="B210" s="2"/>
      <c r="C210" s="31"/>
      <c r="D210" s="31"/>
      <c r="E210" s="31"/>
      <c r="G210" s="2"/>
    </row>
    <row r="211" spans="1:7" ht="12.75" x14ac:dyDescent="0.2">
      <c r="A211" s="2"/>
      <c r="B211" s="2"/>
      <c r="C211" s="31"/>
      <c r="D211" s="31"/>
      <c r="E211" s="31"/>
      <c r="G211" s="2"/>
    </row>
    <row r="212" spans="1:7" ht="12.75" x14ac:dyDescent="0.2">
      <c r="A212" s="2"/>
      <c r="B212" s="2"/>
      <c r="C212" s="31"/>
      <c r="D212" s="31"/>
      <c r="E212" s="31"/>
      <c r="G212" s="2"/>
    </row>
    <row r="213" spans="1:7" ht="12.75" x14ac:dyDescent="0.2">
      <c r="A213" s="2"/>
      <c r="B213" s="2"/>
      <c r="C213" s="31"/>
      <c r="D213" s="31"/>
      <c r="E213" s="31"/>
      <c r="G213" s="2"/>
    </row>
    <row r="214" spans="1:7" ht="12.75" x14ac:dyDescent="0.2">
      <c r="A214" s="2"/>
      <c r="B214" s="2"/>
      <c r="C214" s="31"/>
      <c r="D214" s="31"/>
      <c r="E214" s="31"/>
      <c r="G214" s="2"/>
    </row>
    <row r="215" spans="1:7" ht="12.75" x14ac:dyDescent="0.2">
      <c r="A215" s="2"/>
      <c r="B215" s="2"/>
      <c r="C215" s="31"/>
      <c r="D215" s="31"/>
      <c r="E215" s="31"/>
      <c r="G215" s="2"/>
    </row>
    <row r="216" spans="1:7" ht="12.75" x14ac:dyDescent="0.2">
      <c r="A216" s="2"/>
      <c r="B216" s="2"/>
      <c r="C216" s="31"/>
      <c r="D216" s="31"/>
      <c r="E216" s="31"/>
      <c r="G216" s="2"/>
    </row>
    <row r="217" spans="1:7" ht="12.75" x14ac:dyDescent="0.2">
      <c r="A217" s="2"/>
      <c r="B217" s="2"/>
      <c r="C217" s="31"/>
      <c r="D217" s="31"/>
      <c r="E217" s="31"/>
      <c r="G217" s="2"/>
    </row>
    <row r="218" spans="1:7" ht="12.75" x14ac:dyDescent="0.2">
      <c r="A218" s="2"/>
      <c r="B218" s="2"/>
      <c r="C218" s="31"/>
      <c r="D218" s="31"/>
      <c r="E218" s="31"/>
      <c r="G218" s="2"/>
    </row>
    <row r="219" spans="1:7" ht="12.75" x14ac:dyDescent="0.2">
      <c r="A219" s="2"/>
      <c r="B219" s="2"/>
      <c r="C219" s="31"/>
      <c r="D219" s="31"/>
      <c r="E219" s="31"/>
      <c r="G219" s="2"/>
    </row>
    <row r="220" spans="1:7" ht="12.75" x14ac:dyDescent="0.2">
      <c r="A220" s="2"/>
      <c r="B220" s="2"/>
      <c r="C220" s="31"/>
      <c r="D220" s="31"/>
      <c r="E220" s="31"/>
      <c r="G220" s="2"/>
    </row>
    <row r="221" spans="1:7" ht="12.75" x14ac:dyDescent="0.2">
      <c r="A221" s="2"/>
      <c r="B221" s="2"/>
      <c r="C221" s="31"/>
      <c r="D221" s="31"/>
      <c r="E221" s="31"/>
      <c r="G221" s="2"/>
    </row>
    <row r="222" spans="1:7" ht="12.75" x14ac:dyDescent="0.2">
      <c r="A222" s="2"/>
      <c r="B222" s="2"/>
      <c r="C222" s="31"/>
      <c r="D222" s="31"/>
      <c r="E222" s="31"/>
      <c r="G222" s="2"/>
    </row>
    <row r="223" spans="1:7" ht="12.75" x14ac:dyDescent="0.2">
      <c r="A223" s="2"/>
      <c r="B223" s="2"/>
      <c r="C223" s="31"/>
      <c r="D223" s="31"/>
      <c r="E223" s="31"/>
      <c r="G223" s="2"/>
    </row>
    <row r="224" spans="1:7" ht="12.75" x14ac:dyDescent="0.2">
      <c r="A224" s="2"/>
      <c r="B224" s="2"/>
      <c r="C224" s="31"/>
      <c r="D224" s="31"/>
      <c r="E224" s="31"/>
      <c r="G224" s="2"/>
    </row>
    <row r="225" spans="1:7" ht="12.75" x14ac:dyDescent="0.2">
      <c r="A225" s="2"/>
      <c r="B225" s="2"/>
      <c r="C225" s="31"/>
      <c r="D225" s="31"/>
      <c r="E225" s="31"/>
      <c r="G225" s="2"/>
    </row>
    <row r="226" spans="1:7" ht="12.75" x14ac:dyDescent="0.2">
      <c r="A226" s="2"/>
      <c r="B226" s="2"/>
      <c r="C226" s="31"/>
      <c r="D226" s="31"/>
      <c r="E226" s="31"/>
      <c r="G226" s="2"/>
    </row>
    <row r="227" spans="1:7" ht="12.75" x14ac:dyDescent="0.2">
      <c r="A227" s="2"/>
      <c r="B227" s="2"/>
      <c r="C227" s="31"/>
      <c r="D227" s="31"/>
      <c r="E227" s="31"/>
      <c r="G227" s="2"/>
    </row>
    <row r="228" spans="1:7" ht="12.75" x14ac:dyDescent="0.2">
      <c r="A228" s="2"/>
      <c r="B228" s="2"/>
      <c r="C228" s="31"/>
      <c r="D228" s="31"/>
      <c r="E228" s="31"/>
      <c r="G228" s="2"/>
    </row>
    <row r="229" spans="1:7" ht="12.75" x14ac:dyDescent="0.2">
      <c r="A229" s="2"/>
      <c r="B229" s="2"/>
      <c r="C229" s="31"/>
      <c r="D229" s="31"/>
      <c r="E229" s="31"/>
      <c r="G229" s="2"/>
    </row>
    <row r="230" spans="1:7" ht="12.75" x14ac:dyDescent="0.2">
      <c r="A230" s="2"/>
      <c r="B230" s="2"/>
      <c r="C230" s="31"/>
      <c r="D230" s="31"/>
      <c r="E230" s="31"/>
      <c r="G230" s="2"/>
    </row>
    <row r="231" spans="1:7" ht="12.75" x14ac:dyDescent="0.2">
      <c r="A231" s="2"/>
      <c r="B231" s="2"/>
      <c r="C231" s="31"/>
      <c r="D231" s="31"/>
      <c r="E231" s="31"/>
      <c r="G231" s="2"/>
    </row>
    <row r="232" spans="1:7" ht="12.75" x14ac:dyDescent="0.2">
      <c r="A232" s="2"/>
      <c r="B232" s="2"/>
      <c r="C232" s="31"/>
      <c r="D232" s="31"/>
      <c r="E232" s="31"/>
      <c r="G232" s="2"/>
    </row>
    <row r="233" spans="1:7" ht="12.75" x14ac:dyDescent="0.2">
      <c r="A233" s="2"/>
      <c r="B233" s="2"/>
      <c r="C233" s="31"/>
      <c r="D233" s="31"/>
      <c r="E233" s="31"/>
      <c r="G233" s="2"/>
    </row>
    <row r="234" spans="1:7" ht="12.75" x14ac:dyDescent="0.2">
      <c r="A234" s="2"/>
      <c r="B234" s="2"/>
      <c r="C234" s="31"/>
      <c r="D234" s="31"/>
      <c r="E234" s="31"/>
      <c r="G234" s="2"/>
    </row>
    <row r="235" spans="1:7" ht="12.75" x14ac:dyDescent="0.2">
      <c r="A235" s="2"/>
      <c r="B235" s="2"/>
      <c r="C235" s="31"/>
      <c r="D235" s="31"/>
      <c r="E235" s="31"/>
      <c r="G235" s="2"/>
    </row>
    <row r="236" spans="1:7" ht="12.75" x14ac:dyDescent="0.2">
      <c r="A236" s="2"/>
      <c r="B236" s="2"/>
      <c r="C236" s="31"/>
      <c r="D236" s="31"/>
      <c r="E236" s="31"/>
      <c r="G236" s="2"/>
    </row>
    <row r="237" spans="1:7" ht="12.75" x14ac:dyDescent="0.2">
      <c r="A237" s="2"/>
      <c r="B237" s="2"/>
      <c r="C237" s="31"/>
      <c r="D237" s="31"/>
      <c r="E237" s="31"/>
      <c r="G237" s="2"/>
    </row>
    <row r="238" spans="1:7" ht="12.75" x14ac:dyDescent="0.2">
      <c r="A238" s="2"/>
      <c r="B238" s="2"/>
      <c r="C238" s="31"/>
      <c r="D238" s="31"/>
      <c r="E238" s="31"/>
      <c r="G238" s="2"/>
    </row>
    <row r="239" spans="1:7" ht="12.75" x14ac:dyDescent="0.2">
      <c r="A239" s="2"/>
      <c r="B239" s="2"/>
      <c r="C239" s="31"/>
      <c r="D239" s="31"/>
      <c r="E239" s="31"/>
      <c r="G239" s="2"/>
    </row>
    <row r="240" spans="1:7" ht="12.75" x14ac:dyDescent="0.2">
      <c r="A240" s="2"/>
      <c r="B240" s="2"/>
      <c r="C240" s="31"/>
      <c r="D240" s="31"/>
      <c r="E240" s="31"/>
      <c r="G240" s="2"/>
    </row>
    <row r="241" spans="1:7" ht="12.75" x14ac:dyDescent="0.2">
      <c r="A241" s="2"/>
      <c r="B241" s="2"/>
      <c r="C241" s="31"/>
      <c r="D241" s="31"/>
      <c r="E241" s="31"/>
      <c r="G241" s="2"/>
    </row>
    <row r="242" spans="1:7" ht="12.75" x14ac:dyDescent="0.2">
      <c r="A242" s="2"/>
      <c r="B242" s="2"/>
      <c r="C242" s="31"/>
      <c r="D242" s="31"/>
      <c r="E242" s="31"/>
      <c r="G242" s="2"/>
    </row>
    <row r="243" spans="1:7" ht="12.75" x14ac:dyDescent="0.2">
      <c r="A243" s="2"/>
      <c r="B243" s="2"/>
      <c r="C243" s="31"/>
      <c r="D243" s="31"/>
      <c r="E243" s="31"/>
      <c r="G243" s="2"/>
    </row>
    <row r="244" spans="1:7" ht="12.75" x14ac:dyDescent="0.2">
      <c r="A244" s="2"/>
      <c r="B244" s="2"/>
      <c r="C244" s="31"/>
      <c r="D244" s="31"/>
      <c r="E244" s="31"/>
      <c r="G244" s="2"/>
    </row>
    <row r="245" spans="1:7" ht="12.75" x14ac:dyDescent="0.2">
      <c r="A245" s="2"/>
      <c r="B245" s="2"/>
      <c r="C245" s="31"/>
      <c r="D245" s="31"/>
      <c r="E245" s="31"/>
      <c r="G245" s="2"/>
    </row>
    <row r="246" spans="1:7" ht="12.75" x14ac:dyDescent="0.2">
      <c r="A246" s="2"/>
      <c r="B246" s="2"/>
      <c r="C246" s="31"/>
      <c r="D246" s="31"/>
      <c r="E246" s="31"/>
      <c r="G246" s="2"/>
    </row>
    <row r="247" spans="1:7" ht="12.75" x14ac:dyDescent="0.2">
      <c r="A247" s="2"/>
      <c r="B247" s="2"/>
      <c r="C247" s="31"/>
      <c r="D247" s="31"/>
      <c r="E247" s="31"/>
      <c r="G247" s="2"/>
    </row>
    <row r="248" spans="1:7" ht="12.75" x14ac:dyDescent="0.2">
      <c r="A248" s="2"/>
      <c r="B248" s="2"/>
      <c r="C248" s="31"/>
      <c r="D248" s="31"/>
      <c r="E248" s="31"/>
      <c r="G248" s="2"/>
    </row>
    <row r="249" spans="1:7" ht="12.75" x14ac:dyDescent="0.2">
      <c r="A249" s="2"/>
      <c r="B249" s="2"/>
      <c r="C249" s="31"/>
      <c r="D249" s="31"/>
      <c r="E249" s="31"/>
      <c r="G249" s="2"/>
    </row>
    <row r="250" spans="1:7" ht="12.75" x14ac:dyDescent="0.2">
      <c r="A250" s="2"/>
      <c r="B250" s="2"/>
      <c r="C250" s="31"/>
      <c r="D250" s="31"/>
      <c r="E250" s="31"/>
      <c r="G250" s="2"/>
    </row>
    <row r="251" spans="1:7" ht="12.75" x14ac:dyDescent="0.2">
      <c r="A251" s="2"/>
      <c r="B251" s="2"/>
      <c r="C251" s="31"/>
      <c r="D251" s="31"/>
      <c r="E251" s="31"/>
      <c r="G251" s="2"/>
    </row>
    <row r="252" spans="1:7" ht="12.75" x14ac:dyDescent="0.2">
      <c r="A252" s="2"/>
      <c r="B252" s="2"/>
      <c r="C252" s="31"/>
      <c r="D252" s="31"/>
      <c r="E252" s="31"/>
      <c r="G252" s="2"/>
    </row>
    <row r="253" spans="1:7" ht="12.75" x14ac:dyDescent="0.2">
      <c r="A253" s="2"/>
      <c r="B253" s="2"/>
      <c r="C253" s="31"/>
      <c r="D253" s="31"/>
      <c r="E253" s="31"/>
      <c r="G253" s="2"/>
    </row>
    <row r="254" spans="1:7" ht="12.75" x14ac:dyDescent="0.2">
      <c r="A254" s="2"/>
      <c r="B254" s="2"/>
      <c r="C254" s="31"/>
      <c r="D254" s="31"/>
      <c r="E254" s="31"/>
      <c r="G254" s="2"/>
    </row>
    <row r="255" spans="1:7" ht="12.75" x14ac:dyDescent="0.2">
      <c r="A255" s="2"/>
      <c r="B255" s="2"/>
      <c r="C255" s="31"/>
      <c r="D255" s="31"/>
      <c r="E255" s="31"/>
      <c r="G255" s="2"/>
    </row>
    <row r="256" spans="1:7" ht="12.75" x14ac:dyDescent="0.2">
      <c r="A256" s="2"/>
      <c r="B256" s="2"/>
      <c r="C256" s="31"/>
      <c r="D256" s="31"/>
      <c r="E256" s="31"/>
      <c r="G256" s="2"/>
    </row>
    <row r="257" spans="1:7" ht="12.75" x14ac:dyDescent="0.2">
      <c r="A257" s="2"/>
      <c r="B257" s="2"/>
      <c r="C257" s="31"/>
      <c r="D257" s="31"/>
      <c r="E257" s="31"/>
      <c r="G257" s="2"/>
    </row>
    <row r="258" spans="1:7" ht="12.75" x14ac:dyDescent="0.2">
      <c r="A258" s="2"/>
      <c r="B258" s="2"/>
      <c r="C258" s="31"/>
      <c r="D258" s="31"/>
      <c r="E258" s="31"/>
      <c r="G258" s="2"/>
    </row>
    <row r="259" spans="1:7" ht="12.75" x14ac:dyDescent="0.2">
      <c r="A259" s="2"/>
      <c r="B259" s="2"/>
      <c r="C259" s="31"/>
      <c r="D259" s="31"/>
      <c r="E259" s="31"/>
      <c r="G259" s="2"/>
    </row>
    <row r="260" spans="1:7" ht="12.75" x14ac:dyDescent="0.2">
      <c r="A260" s="2"/>
      <c r="B260" s="2"/>
      <c r="C260" s="31"/>
      <c r="D260" s="31"/>
      <c r="E260" s="31"/>
      <c r="G260" s="2"/>
    </row>
    <row r="261" spans="1:7" ht="12.75" x14ac:dyDescent="0.2">
      <c r="A261" s="2"/>
      <c r="B261" s="2"/>
      <c r="C261" s="31"/>
      <c r="D261" s="31"/>
      <c r="E261" s="31"/>
      <c r="G261" s="2"/>
    </row>
    <row r="262" spans="1:7" ht="12.75" x14ac:dyDescent="0.2">
      <c r="A262" s="2"/>
      <c r="B262" s="2"/>
      <c r="C262" s="31"/>
      <c r="D262" s="31"/>
      <c r="E262" s="31"/>
      <c r="G262" s="2"/>
    </row>
    <row r="263" spans="1:7" ht="12.75" x14ac:dyDescent="0.2">
      <c r="A263" s="2"/>
      <c r="B263" s="2"/>
      <c r="C263" s="31"/>
      <c r="D263" s="31"/>
      <c r="E263" s="31"/>
      <c r="G263" s="2"/>
    </row>
    <row r="264" spans="1:7" ht="12.75" x14ac:dyDescent="0.2">
      <c r="A264" s="2"/>
      <c r="B264" s="2"/>
      <c r="C264" s="31"/>
      <c r="D264" s="31"/>
      <c r="E264" s="31"/>
      <c r="G264" s="2"/>
    </row>
    <row r="265" spans="1:7" ht="12.75" x14ac:dyDescent="0.2">
      <c r="A265" s="2"/>
      <c r="B265" s="2"/>
      <c r="C265" s="31"/>
      <c r="D265" s="31"/>
      <c r="E265" s="31"/>
      <c r="G265" s="2"/>
    </row>
    <row r="266" spans="1:7" ht="12.75" x14ac:dyDescent="0.2">
      <c r="A266" s="2"/>
      <c r="B266" s="2"/>
      <c r="C266" s="31"/>
      <c r="D266" s="31"/>
      <c r="E266" s="31"/>
      <c r="G266" s="2"/>
    </row>
    <row r="267" spans="1:7" ht="12.75" x14ac:dyDescent="0.2">
      <c r="A267" s="2"/>
      <c r="B267" s="2"/>
      <c r="C267" s="31"/>
      <c r="D267" s="31"/>
      <c r="E267" s="31"/>
      <c r="G267" s="2"/>
    </row>
    <row r="268" spans="1:7" ht="12.75" x14ac:dyDescent="0.2">
      <c r="A268" s="2"/>
      <c r="B268" s="2"/>
      <c r="C268" s="31"/>
      <c r="D268" s="31"/>
      <c r="E268" s="31"/>
      <c r="G268" s="2"/>
    </row>
    <row r="269" spans="1:7" ht="12.75" x14ac:dyDescent="0.2">
      <c r="A269" s="2"/>
      <c r="B269" s="2"/>
      <c r="C269" s="31"/>
      <c r="D269" s="31"/>
      <c r="E269" s="31"/>
      <c r="G269" s="2"/>
    </row>
    <row r="270" spans="1:7" ht="12.75" x14ac:dyDescent="0.2">
      <c r="A270" s="2"/>
      <c r="B270" s="2"/>
      <c r="C270" s="31"/>
      <c r="D270" s="31"/>
      <c r="E270" s="31"/>
      <c r="G270" s="2"/>
    </row>
    <row r="271" spans="1:7" ht="12.75" x14ac:dyDescent="0.2">
      <c r="A271" s="2"/>
      <c r="B271" s="2"/>
      <c r="C271" s="31"/>
      <c r="D271" s="31"/>
      <c r="E271" s="31"/>
      <c r="G271" s="2"/>
    </row>
    <row r="272" spans="1:7" ht="12.75" x14ac:dyDescent="0.2">
      <c r="A272" s="2"/>
      <c r="B272" s="2"/>
      <c r="C272" s="31"/>
      <c r="D272" s="31"/>
      <c r="E272" s="31"/>
      <c r="G272" s="2"/>
    </row>
    <row r="273" spans="1:7" ht="12.75" x14ac:dyDescent="0.2">
      <c r="A273" s="2"/>
      <c r="B273" s="2"/>
      <c r="C273" s="31"/>
      <c r="D273" s="31"/>
      <c r="E273" s="31"/>
      <c r="G273" s="2"/>
    </row>
    <row r="274" spans="1:7" ht="12.75" x14ac:dyDescent="0.2">
      <c r="A274" s="2"/>
      <c r="B274" s="2"/>
      <c r="C274" s="31"/>
      <c r="D274" s="31"/>
      <c r="E274" s="31"/>
      <c r="G274" s="2"/>
    </row>
    <row r="275" spans="1:7" ht="12.75" x14ac:dyDescent="0.2">
      <c r="A275" s="2"/>
      <c r="B275" s="2"/>
      <c r="C275" s="31"/>
      <c r="D275" s="31"/>
      <c r="E275" s="31"/>
      <c r="G275" s="2"/>
    </row>
    <row r="276" spans="1:7" ht="12.75" x14ac:dyDescent="0.2">
      <c r="A276" s="2"/>
      <c r="B276" s="2"/>
      <c r="C276" s="31"/>
      <c r="D276" s="31"/>
      <c r="E276" s="31"/>
      <c r="G276" s="2"/>
    </row>
    <row r="277" spans="1:7" ht="12.75" x14ac:dyDescent="0.2">
      <c r="A277" s="2"/>
      <c r="B277" s="2"/>
      <c r="C277" s="31"/>
      <c r="D277" s="31"/>
      <c r="E277" s="31"/>
      <c r="G277" s="2"/>
    </row>
    <row r="278" spans="1:7" ht="12.75" x14ac:dyDescent="0.2">
      <c r="A278" s="2"/>
      <c r="B278" s="2"/>
      <c r="C278" s="31"/>
      <c r="D278" s="31"/>
      <c r="E278" s="31"/>
      <c r="G278" s="2"/>
    </row>
    <row r="279" spans="1:7" ht="12.75" x14ac:dyDescent="0.2">
      <c r="A279" s="2"/>
      <c r="B279" s="2"/>
      <c r="C279" s="31"/>
      <c r="D279" s="31"/>
      <c r="E279" s="31"/>
      <c r="G279" s="2"/>
    </row>
    <row r="280" spans="1:7" ht="12.75" x14ac:dyDescent="0.2">
      <c r="A280" s="2"/>
      <c r="B280" s="2"/>
      <c r="C280" s="31"/>
      <c r="D280" s="31"/>
      <c r="E280" s="31"/>
      <c r="G280" s="2"/>
    </row>
    <row r="281" spans="1:7" ht="12.75" x14ac:dyDescent="0.2">
      <c r="A281" s="2"/>
      <c r="B281" s="2"/>
      <c r="C281" s="31"/>
      <c r="D281" s="31"/>
      <c r="E281" s="31"/>
      <c r="G281" s="2"/>
    </row>
    <row r="282" spans="1:7" ht="12.75" x14ac:dyDescent="0.2">
      <c r="A282" s="2"/>
      <c r="B282" s="2"/>
      <c r="C282" s="31"/>
      <c r="D282" s="31"/>
      <c r="E282" s="31"/>
      <c r="G282" s="2"/>
    </row>
    <row r="283" spans="1:7" ht="12.75" x14ac:dyDescent="0.2">
      <c r="A283" s="2"/>
      <c r="B283" s="2"/>
      <c r="C283" s="31"/>
      <c r="D283" s="31"/>
      <c r="E283" s="31"/>
      <c r="G283" s="2"/>
    </row>
    <row r="284" spans="1:7" ht="12.75" x14ac:dyDescent="0.2">
      <c r="A284" s="2"/>
      <c r="B284" s="2"/>
      <c r="C284" s="31"/>
      <c r="D284" s="31"/>
      <c r="E284" s="31"/>
      <c r="G284" s="2"/>
    </row>
    <row r="285" spans="1:7" ht="12.75" x14ac:dyDescent="0.2">
      <c r="A285" s="2"/>
      <c r="B285" s="2"/>
      <c r="C285" s="31"/>
      <c r="D285" s="31"/>
      <c r="E285" s="31"/>
      <c r="G285" s="2"/>
    </row>
    <row r="286" spans="1:7" ht="12.75" x14ac:dyDescent="0.2">
      <c r="A286" s="2"/>
      <c r="B286" s="2"/>
      <c r="C286" s="31"/>
      <c r="D286" s="31"/>
      <c r="E286" s="31"/>
      <c r="G286" s="2"/>
    </row>
    <row r="287" spans="1:7" ht="12.75" x14ac:dyDescent="0.2">
      <c r="A287" s="2"/>
      <c r="B287" s="2"/>
      <c r="C287" s="31"/>
      <c r="D287" s="31"/>
      <c r="E287" s="31"/>
      <c r="G287" s="2"/>
    </row>
    <row r="288" spans="1:7" ht="12.75" x14ac:dyDescent="0.2">
      <c r="A288" s="2"/>
      <c r="B288" s="2"/>
      <c r="C288" s="31"/>
      <c r="D288" s="31"/>
      <c r="E288" s="31"/>
      <c r="G288" s="2"/>
    </row>
    <row r="289" spans="1:7" ht="12.75" x14ac:dyDescent="0.2">
      <c r="A289" s="2"/>
      <c r="B289" s="2"/>
      <c r="C289" s="31"/>
      <c r="D289" s="31"/>
      <c r="E289" s="31"/>
      <c r="G289" s="2"/>
    </row>
    <row r="290" spans="1:7" ht="12.75" x14ac:dyDescent="0.2">
      <c r="A290" s="2"/>
      <c r="B290" s="2"/>
      <c r="C290" s="31"/>
      <c r="D290" s="31"/>
      <c r="E290" s="31"/>
      <c r="G290" s="2"/>
    </row>
    <row r="291" spans="1:7" ht="12.75" x14ac:dyDescent="0.2">
      <c r="A291" s="2"/>
      <c r="B291" s="2"/>
      <c r="C291" s="31"/>
      <c r="D291" s="31"/>
      <c r="E291" s="31"/>
      <c r="G291" s="2"/>
    </row>
    <row r="292" spans="1:7" ht="12.75" x14ac:dyDescent="0.2">
      <c r="A292" s="2"/>
      <c r="B292" s="2"/>
      <c r="C292" s="31"/>
      <c r="D292" s="31"/>
      <c r="E292" s="31"/>
      <c r="G292" s="2"/>
    </row>
    <row r="293" spans="1:7" ht="12.75" x14ac:dyDescent="0.2">
      <c r="A293" s="2"/>
      <c r="B293" s="2"/>
      <c r="C293" s="31"/>
      <c r="D293" s="31"/>
      <c r="E293" s="31"/>
      <c r="G293" s="2"/>
    </row>
    <row r="294" spans="1:7" ht="12.75" x14ac:dyDescent="0.2">
      <c r="A294" s="2"/>
      <c r="B294" s="2"/>
      <c r="C294" s="31"/>
      <c r="D294" s="31"/>
      <c r="E294" s="31"/>
      <c r="G294" s="2"/>
    </row>
    <row r="295" spans="1:7" ht="12.75" x14ac:dyDescent="0.2">
      <c r="A295" s="2"/>
      <c r="B295" s="2"/>
      <c r="C295" s="31"/>
      <c r="D295" s="31"/>
      <c r="E295" s="31"/>
      <c r="G295" s="2"/>
    </row>
    <row r="296" spans="1:7" ht="12.75" x14ac:dyDescent="0.2">
      <c r="A296" s="2"/>
      <c r="B296" s="2"/>
      <c r="C296" s="31"/>
      <c r="D296" s="31"/>
      <c r="E296" s="31"/>
      <c r="G296" s="2"/>
    </row>
    <row r="297" spans="1:7" ht="12.75" x14ac:dyDescent="0.2">
      <c r="A297" s="2"/>
      <c r="B297" s="2"/>
      <c r="C297" s="31"/>
      <c r="D297" s="31"/>
      <c r="E297" s="31"/>
      <c r="G297" s="2"/>
    </row>
    <row r="298" spans="1:7" ht="12.75" x14ac:dyDescent="0.2">
      <c r="A298" s="2"/>
      <c r="B298" s="2"/>
      <c r="C298" s="31"/>
      <c r="D298" s="31"/>
      <c r="E298" s="31"/>
      <c r="G298" s="2"/>
    </row>
    <row r="299" spans="1:7" ht="12.75" x14ac:dyDescent="0.2">
      <c r="A299" s="2"/>
      <c r="B299" s="2"/>
      <c r="C299" s="31"/>
      <c r="D299" s="31"/>
      <c r="E299" s="31"/>
      <c r="G299" s="2"/>
    </row>
    <row r="300" spans="1:7" ht="12.75" x14ac:dyDescent="0.2">
      <c r="A300" s="2"/>
      <c r="B300" s="2"/>
      <c r="C300" s="31"/>
      <c r="D300" s="31"/>
      <c r="E300" s="31"/>
      <c r="G300" s="2"/>
    </row>
    <row r="301" spans="1:7" ht="12.75" x14ac:dyDescent="0.2">
      <c r="A301" s="2"/>
      <c r="B301" s="2"/>
      <c r="C301" s="31"/>
      <c r="D301" s="31"/>
      <c r="E301" s="31"/>
      <c r="G301" s="2"/>
    </row>
    <row r="302" spans="1:7" ht="12.75" x14ac:dyDescent="0.2">
      <c r="A302" s="2"/>
      <c r="B302" s="2"/>
      <c r="C302" s="31"/>
      <c r="D302" s="31"/>
      <c r="E302" s="31"/>
      <c r="G302" s="2"/>
    </row>
    <row r="303" spans="1:7" ht="12.75" x14ac:dyDescent="0.2">
      <c r="A303" s="2"/>
      <c r="B303" s="2"/>
      <c r="C303" s="31"/>
      <c r="D303" s="31"/>
      <c r="E303" s="31"/>
      <c r="G303" s="2"/>
    </row>
    <row r="304" spans="1:7" ht="12.75" x14ac:dyDescent="0.2">
      <c r="A304" s="2"/>
      <c r="B304" s="2"/>
      <c r="C304" s="31"/>
      <c r="D304" s="31"/>
      <c r="E304" s="31"/>
      <c r="G304" s="2"/>
    </row>
    <row r="305" spans="1:7" ht="12.75" x14ac:dyDescent="0.2">
      <c r="A305" s="2"/>
      <c r="B305" s="2"/>
      <c r="C305" s="31"/>
      <c r="D305" s="31"/>
      <c r="E305" s="31"/>
      <c r="G305" s="2"/>
    </row>
    <row r="306" spans="1:7" ht="12.75" x14ac:dyDescent="0.2">
      <c r="A306" s="2"/>
      <c r="B306" s="2"/>
      <c r="C306" s="31"/>
      <c r="D306" s="31"/>
      <c r="E306" s="31"/>
      <c r="G306" s="2"/>
    </row>
    <row r="307" spans="1:7" ht="12.75" x14ac:dyDescent="0.2">
      <c r="A307" s="2"/>
      <c r="B307" s="2"/>
      <c r="C307" s="31"/>
      <c r="D307" s="31"/>
      <c r="E307" s="31"/>
      <c r="G307" s="2"/>
    </row>
    <row r="308" spans="1:7" ht="12.75" x14ac:dyDescent="0.2">
      <c r="A308" s="2"/>
      <c r="B308" s="2"/>
      <c r="C308" s="31"/>
      <c r="D308" s="31"/>
      <c r="E308" s="31"/>
      <c r="G308" s="2"/>
    </row>
    <row r="309" spans="1:7" ht="12.75" x14ac:dyDescent="0.2">
      <c r="A309" s="2"/>
      <c r="B309" s="2"/>
      <c r="C309" s="31"/>
      <c r="D309" s="31"/>
      <c r="E309" s="31"/>
      <c r="G309" s="2"/>
    </row>
    <row r="310" spans="1:7" ht="12.75" x14ac:dyDescent="0.2">
      <c r="A310" s="2"/>
      <c r="B310" s="2"/>
      <c r="C310" s="31"/>
      <c r="D310" s="31"/>
      <c r="E310" s="31"/>
      <c r="G310" s="2"/>
    </row>
    <row r="311" spans="1:7" ht="12.75" x14ac:dyDescent="0.2">
      <c r="A311" s="2"/>
      <c r="B311" s="2"/>
      <c r="C311" s="31"/>
      <c r="D311" s="31"/>
      <c r="E311" s="31"/>
      <c r="G311" s="2"/>
    </row>
    <row r="312" spans="1:7" ht="12.75" x14ac:dyDescent="0.2">
      <c r="A312" s="2"/>
      <c r="B312" s="2"/>
      <c r="C312" s="31"/>
      <c r="D312" s="31"/>
      <c r="E312" s="31"/>
      <c r="G312" s="2"/>
    </row>
    <row r="313" spans="1:7" ht="12.75" x14ac:dyDescent="0.2">
      <c r="A313" s="2"/>
      <c r="B313" s="2"/>
      <c r="C313" s="31"/>
      <c r="D313" s="31"/>
      <c r="E313" s="31"/>
      <c r="G313" s="2"/>
    </row>
    <row r="314" spans="1:7" ht="12.75" x14ac:dyDescent="0.2">
      <c r="A314" s="2"/>
      <c r="B314" s="2"/>
      <c r="C314" s="31"/>
      <c r="D314" s="31"/>
      <c r="E314" s="31"/>
      <c r="G314" s="2"/>
    </row>
    <row r="315" spans="1:7" ht="12.75" x14ac:dyDescent="0.2">
      <c r="A315" s="2"/>
      <c r="B315" s="2"/>
      <c r="C315" s="31"/>
      <c r="D315" s="31"/>
      <c r="E315" s="31"/>
      <c r="G315" s="2"/>
    </row>
    <row r="316" spans="1:7" ht="12.75" x14ac:dyDescent="0.2">
      <c r="A316" s="2"/>
      <c r="B316" s="2"/>
      <c r="C316" s="31"/>
      <c r="D316" s="31"/>
      <c r="E316" s="31"/>
      <c r="G316" s="2"/>
    </row>
    <row r="317" spans="1:7" ht="12.75" x14ac:dyDescent="0.2">
      <c r="A317" s="2"/>
      <c r="B317" s="2"/>
      <c r="C317" s="31"/>
      <c r="D317" s="31"/>
      <c r="E317" s="31"/>
      <c r="G317" s="2"/>
    </row>
    <row r="318" spans="1:7" ht="12.75" x14ac:dyDescent="0.2">
      <c r="A318" s="2"/>
      <c r="B318" s="2"/>
      <c r="C318" s="31"/>
      <c r="D318" s="31"/>
      <c r="E318" s="31"/>
      <c r="G318" s="2"/>
    </row>
    <row r="319" spans="1:7" ht="12.75" x14ac:dyDescent="0.2">
      <c r="A319" s="2"/>
      <c r="B319" s="2"/>
      <c r="C319" s="31"/>
      <c r="D319" s="31"/>
      <c r="E319" s="31"/>
      <c r="G319" s="2"/>
    </row>
    <row r="320" spans="1:7" ht="12.75" x14ac:dyDescent="0.2">
      <c r="A320" s="2"/>
      <c r="B320" s="2"/>
      <c r="C320" s="31"/>
      <c r="D320" s="31"/>
      <c r="E320" s="31"/>
      <c r="G320" s="2"/>
    </row>
    <row r="321" spans="1:7" ht="12.75" x14ac:dyDescent="0.2">
      <c r="A321" s="2"/>
      <c r="B321" s="2"/>
      <c r="C321" s="31"/>
      <c r="D321" s="31"/>
      <c r="E321" s="31"/>
      <c r="G321" s="2"/>
    </row>
    <row r="322" spans="1:7" ht="12.75" x14ac:dyDescent="0.2">
      <c r="A322" s="2"/>
      <c r="B322" s="2"/>
      <c r="C322" s="31"/>
      <c r="D322" s="31"/>
      <c r="E322" s="31"/>
      <c r="G322" s="2"/>
    </row>
    <row r="323" spans="1:7" ht="12.75" x14ac:dyDescent="0.2">
      <c r="A323" s="2"/>
      <c r="B323" s="2"/>
      <c r="C323" s="31"/>
      <c r="D323" s="31"/>
      <c r="E323" s="31"/>
      <c r="G323" s="2"/>
    </row>
    <row r="324" spans="1:7" ht="12.75" x14ac:dyDescent="0.2">
      <c r="A324" s="2"/>
      <c r="B324" s="2"/>
      <c r="C324" s="31"/>
      <c r="D324" s="31"/>
      <c r="E324" s="31"/>
      <c r="G324" s="2"/>
    </row>
    <row r="325" spans="1:7" ht="12.75" x14ac:dyDescent="0.2">
      <c r="A325" s="2"/>
      <c r="B325" s="2"/>
      <c r="C325" s="31"/>
      <c r="D325" s="31"/>
      <c r="E325" s="31"/>
      <c r="G325" s="2"/>
    </row>
    <row r="326" spans="1:7" ht="12.75" x14ac:dyDescent="0.2">
      <c r="A326" s="2"/>
      <c r="B326" s="2"/>
      <c r="C326" s="31"/>
      <c r="D326" s="31"/>
      <c r="E326" s="31"/>
      <c r="G326" s="2"/>
    </row>
    <row r="327" spans="1:7" ht="12.75" x14ac:dyDescent="0.2">
      <c r="A327" s="2"/>
      <c r="B327" s="2"/>
      <c r="C327" s="31"/>
      <c r="D327" s="31"/>
      <c r="E327" s="31"/>
      <c r="G327" s="2"/>
    </row>
    <row r="328" spans="1:7" ht="12.75" x14ac:dyDescent="0.2">
      <c r="A328" s="2"/>
      <c r="B328" s="2"/>
      <c r="C328" s="31"/>
      <c r="D328" s="31"/>
      <c r="E328" s="31"/>
      <c r="G328" s="2"/>
    </row>
    <row r="329" spans="1:7" ht="12.75" x14ac:dyDescent="0.2">
      <c r="A329" s="2"/>
      <c r="B329" s="2"/>
      <c r="C329" s="31"/>
      <c r="D329" s="31"/>
      <c r="E329" s="31"/>
      <c r="G329" s="2"/>
    </row>
    <row r="330" spans="1:7" ht="12.75" x14ac:dyDescent="0.2">
      <c r="A330" s="2"/>
      <c r="B330" s="2"/>
      <c r="C330" s="31"/>
      <c r="D330" s="31"/>
      <c r="E330" s="31"/>
      <c r="G330" s="2"/>
    </row>
    <row r="331" spans="1:7" ht="12.75" x14ac:dyDescent="0.2">
      <c r="A331" s="2"/>
      <c r="B331" s="2"/>
      <c r="C331" s="31"/>
      <c r="D331" s="31"/>
      <c r="E331" s="31"/>
      <c r="G331" s="2"/>
    </row>
    <row r="332" spans="1:7" ht="12.75" x14ac:dyDescent="0.2">
      <c r="A332" s="2"/>
      <c r="B332" s="2"/>
      <c r="C332" s="31"/>
      <c r="D332" s="31"/>
      <c r="E332" s="31"/>
      <c r="G332" s="2"/>
    </row>
    <row r="333" spans="1:7" ht="12.75" x14ac:dyDescent="0.2">
      <c r="A333" s="2"/>
      <c r="B333" s="2"/>
      <c r="C333" s="31"/>
      <c r="D333" s="31"/>
      <c r="E333" s="31"/>
      <c r="G333" s="2"/>
    </row>
    <row r="334" spans="1:7" ht="12.75" x14ac:dyDescent="0.2">
      <c r="A334" s="2"/>
      <c r="B334" s="2"/>
      <c r="C334" s="31"/>
      <c r="D334" s="31"/>
      <c r="E334" s="31"/>
      <c r="G334" s="2"/>
    </row>
    <row r="335" spans="1:7" ht="12.75" x14ac:dyDescent="0.2">
      <c r="A335" s="2"/>
      <c r="B335" s="2"/>
      <c r="C335" s="31"/>
      <c r="D335" s="31"/>
      <c r="E335" s="31"/>
      <c r="G335" s="2"/>
    </row>
    <row r="336" spans="1:7" ht="12.75" x14ac:dyDescent="0.2">
      <c r="A336" s="2"/>
      <c r="B336" s="2"/>
      <c r="C336" s="31"/>
      <c r="D336" s="31"/>
      <c r="E336" s="31"/>
      <c r="G336" s="2"/>
    </row>
    <row r="337" spans="1:7" ht="12.75" x14ac:dyDescent="0.2">
      <c r="A337" s="2"/>
      <c r="B337" s="2"/>
      <c r="C337" s="31"/>
      <c r="D337" s="31"/>
      <c r="E337" s="31"/>
      <c r="G337" s="2"/>
    </row>
    <row r="338" spans="1:7" ht="12.75" x14ac:dyDescent="0.2">
      <c r="A338" s="2"/>
      <c r="B338" s="2"/>
      <c r="C338" s="31"/>
      <c r="D338" s="31"/>
      <c r="E338" s="31"/>
      <c r="G338" s="2"/>
    </row>
    <row r="339" spans="1:7" ht="12.75" x14ac:dyDescent="0.2">
      <c r="A339" s="2"/>
      <c r="B339" s="2"/>
      <c r="C339" s="31"/>
      <c r="D339" s="31"/>
      <c r="E339" s="31"/>
      <c r="G339" s="2"/>
    </row>
    <row r="340" spans="1:7" ht="12.75" x14ac:dyDescent="0.2">
      <c r="A340" s="2"/>
      <c r="B340" s="2"/>
      <c r="C340" s="31"/>
      <c r="D340" s="31"/>
      <c r="E340" s="31"/>
      <c r="G340" s="2"/>
    </row>
    <row r="341" spans="1:7" ht="12.75" x14ac:dyDescent="0.2">
      <c r="A341" s="2"/>
      <c r="B341" s="2"/>
      <c r="C341" s="31"/>
      <c r="D341" s="31"/>
      <c r="E341" s="31"/>
      <c r="G341" s="2"/>
    </row>
    <row r="342" spans="1:7" ht="12.75" x14ac:dyDescent="0.2">
      <c r="A342" s="2"/>
      <c r="B342" s="2"/>
      <c r="C342" s="31"/>
      <c r="D342" s="31"/>
      <c r="E342" s="31"/>
      <c r="G342" s="2"/>
    </row>
    <row r="343" spans="1:7" ht="12.75" x14ac:dyDescent="0.2">
      <c r="A343" s="2"/>
      <c r="B343" s="2"/>
      <c r="C343" s="31"/>
      <c r="D343" s="31"/>
      <c r="E343" s="31"/>
      <c r="G343" s="2"/>
    </row>
    <row r="344" spans="1:7" ht="12.75" x14ac:dyDescent="0.2">
      <c r="A344" s="2"/>
      <c r="B344" s="2"/>
      <c r="C344" s="31"/>
      <c r="D344" s="31"/>
      <c r="E344" s="31"/>
      <c r="G344" s="2"/>
    </row>
    <row r="345" spans="1:7" ht="12.75" x14ac:dyDescent="0.2">
      <c r="A345" s="2"/>
      <c r="B345" s="2"/>
      <c r="C345" s="31"/>
      <c r="D345" s="31"/>
      <c r="E345" s="31"/>
      <c r="G345" s="2"/>
    </row>
    <row r="346" spans="1:7" ht="12.75" x14ac:dyDescent="0.2">
      <c r="A346" s="2"/>
      <c r="B346" s="2"/>
      <c r="C346" s="31"/>
      <c r="D346" s="31"/>
      <c r="E346" s="31"/>
      <c r="G346" s="2"/>
    </row>
    <row r="347" spans="1:7" ht="12.75" x14ac:dyDescent="0.2">
      <c r="A347" s="2"/>
      <c r="B347" s="2"/>
      <c r="C347" s="31"/>
      <c r="D347" s="31"/>
      <c r="E347" s="31"/>
      <c r="G347" s="2"/>
    </row>
    <row r="348" spans="1:7" ht="12.75" x14ac:dyDescent="0.2">
      <c r="A348" s="2"/>
      <c r="B348" s="2"/>
      <c r="C348" s="31"/>
      <c r="D348" s="31"/>
      <c r="E348" s="31"/>
      <c r="G348" s="2"/>
    </row>
    <row r="349" spans="1:7" ht="12.75" x14ac:dyDescent="0.2">
      <c r="A349" s="2"/>
      <c r="B349" s="2"/>
      <c r="C349" s="31"/>
      <c r="D349" s="31"/>
      <c r="E349" s="31"/>
      <c r="G349" s="2"/>
    </row>
    <row r="350" spans="1:7" ht="12.75" x14ac:dyDescent="0.2">
      <c r="A350" s="2"/>
      <c r="B350" s="2"/>
      <c r="C350" s="31"/>
      <c r="D350" s="31"/>
      <c r="E350" s="31"/>
      <c r="G350" s="2"/>
    </row>
    <row r="351" spans="1:7" ht="12.75" x14ac:dyDescent="0.2">
      <c r="A351" s="2"/>
      <c r="B351" s="2"/>
      <c r="C351" s="31"/>
      <c r="D351" s="31"/>
      <c r="E351" s="31"/>
      <c r="G351" s="2"/>
    </row>
    <row r="352" spans="1:7" ht="12.75" x14ac:dyDescent="0.2">
      <c r="A352" s="2"/>
      <c r="B352" s="2"/>
      <c r="C352" s="31"/>
      <c r="D352" s="31"/>
      <c r="E352" s="31"/>
      <c r="G352" s="2"/>
    </row>
    <row r="353" spans="1:7" ht="12.75" x14ac:dyDescent="0.2">
      <c r="A353" s="2"/>
      <c r="B353" s="2"/>
      <c r="C353" s="31"/>
      <c r="D353" s="31"/>
      <c r="E353" s="31"/>
      <c r="G353" s="2"/>
    </row>
    <row r="354" spans="1:7" ht="12.75" x14ac:dyDescent="0.2">
      <c r="A354" s="2"/>
      <c r="B354" s="2"/>
      <c r="C354" s="31"/>
      <c r="D354" s="31"/>
      <c r="E354" s="31"/>
      <c r="G354" s="2"/>
    </row>
    <row r="355" spans="1:7" ht="12.75" x14ac:dyDescent="0.2">
      <c r="A355" s="2"/>
      <c r="B355" s="2"/>
      <c r="C355" s="31"/>
      <c r="D355" s="31"/>
      <c r="E355" s="31"/>
      <c r="G355" s="2"/>
    </row>
    <row r="356" spans="1:7" ht="12.75" x14ac:dyDescent="0.2">
      <c r="A356" s="2"/>
      <c r="B356" s="2"/>
      <c r="C356" s="31"/>
      <c r="D356" s="31"/>
      <c r="E356" s="31"/>
      <c r="G356" s="2"/>
    </row>
    <row r="357" spans="1:7" ht="12.75" x14ac:dyDescent="0.2">
      <c r="A357" s="2"/>
      <c r="B357" s="2"/>
      <c r="C357" s="31"/>
      <c r="D357" s="31"/>
      <c r="E357" s="31"/>
      <c r="G357" s="2"/>
    </row>
    <row r="358" spans="1:7" ht="12.75" x14ac:dyDescent="0.2">
      <c r="A358" s="2"/>
      <c r="B358" s="2"/>
      <c r="C358" s="31"/>
      <c r="D358" s="31"/>
      <c r="E358" s="31"/>
      <c r="G358" s="2"/>
    </row>
    <row r="359" spans="1:7" ht="12.75" x14ac:dyDescent="0.2">
      <c r="A359" s="2"/>
      <c r="B359" s="2"/>
      <c r="C359" s="31"/>
      <c r="D359" s="31"/>
      <c r="E359" s="31"/>
      <c r="G359" s="2"/>
    </row>
    <row r="360" spans="1:7" ht="12.75" x14ac:dyDescent="0.2">
      <c r="A360" s="2"/>
      <c r="B360" s="2"/>
      <c r="C360" s="31"/>
      <c r="D360" s="31"/>
      <c r="E360" s="31"/>
      <c r="G360" s="2"/>
    </row>
    <row r="361" spans="1:7" ht="12.75" x14ac:dyDescent="0.2">
      <c r="A361" s="2"/>
      <c r="B361" s="2"/>
      <c r="C361" s="31"/>
      <c r="D361" s="31"/>
      <c r="E361" s="31"/>
      <c r="G361" s="2"/>
    </row>
    <row r="362" spans="1:7" ht="12.75" x14ac:dyDescent="0.2">
      <c r="A362" s="2"/>
      <c r="B362" s="2"/>
      <c r="C362" s="31"/>
      <c r="D362" s="31"/>
      <c r="E362" s="31"/>
      <c r="G362" s="2"/>
    </row>
    <row r="363" spans="1:7" ht="12.75" x14ac:dyDescent="0.2">
      <c r="A363" s="2"/>
      <c r="B363" s="2"/>
      <c r="C363" s="31"/>
      <c r="D363" s="31"/>
      <c r="E363" s="31"/>
      <c r="G363" s="2"/>
    </row>
    <row r="364" spans="1:7" ht="12.75" x14ac:dyDescent="0.2">
      <c r="A364" s="2"/>
      <c r="B364" s="2"/>
      <c r="C364" s="31"/>
      <c r="D364" s="31"/>
      <c r="E364" s="31"/>
      <c r="G364" s="2"/>
    </row>
    <row r="365" spans="1:7" ht="12.75" x14ac:dyDescent="0.2">
      <c r="A365" s="2"/>
      <c r="B365" s="2"/>
      <c r="C365" s="31"/>
      <c r="D365" s="31"/>
      <c r="E365" s="31"/>
      <c r="G365" s="2"/>
    </row>
    <row r="366" spans="1:7" ht="12.75" x14ac:dyDescent="0.2">
      <c r="A366" s="2"/>
      <c r="B366" s="2"/>
      <c r="C366" s="31"/>
      <c r="D366" s="31"/>
      <c r="E366" s="31"/>
      <c r="G366" s="2"/>
    </row>
    <row r="367" spans="1:7" ht="12.75" x14ac:dyDescent="0.2">
      <c r="A367" s="2"/>
      <c r="B367" s="2"/>
      <c r="C367" s="31"/>
      <c r="D367" s="31"/>
      <c r="E367" s="31"/>
      <c r="G367" s="2"/>
    </row>
    <row r="368" spans="1:7" ht="12.75" x14ac:dyDescent="0.2">
      <c r="A368" s="2"/>
      <c r="B368" s="2"/>
      <c r="C368" s="31"/>
      <c r="D368" s="31"/>
      <c r="E368" s="31"/>
      <c r="G368" s="2"/>
    </row>
    <row r="369" spans="1:7" ht="12.75" x14ac:dyDescent="0.2">
      <c r="A369" s="2"/>
      <c r="B369" s="2"/>
      <c r="C369" s="31"/>
      <c r="D369" s="31"/>
      <c r="E369" s="31"/>
      <c r="G369" s="2"/>
    </row>
    <row r="370" spans="1:7" ht="12.75" x14ac:dyDescent="0.2">
      <c r="A370" s="2"/>
      <c r="B370" s="2"/>
      <c r="C370" s="31"/>
      <c r="D370" s="31"/>
      <c r="E370" s="31"/>
      <c r="G370" s="2"/>
    </row>
    <row r="371" spans="1:7" ht="12.75" x14ac:dyDescent="0.2">
      <c r="A371" s="2"/>
      <c r="B371" s="2"/>
      <c r="C371" s="31"/>
      <c r="D371" s="31"/>
      <c r="E371" s="31"/>
      <c r="G371" s="2"/>
    </row>
    <row r="372" spans="1:7" ht="12.75" x14ac:dyDescent="0.2">
      <c r="A372" s="2"/>
      <c r="B372" s="2"/>
      <c r="C372" s="31"/>
      <c r="D372" s="31"/>
      <c r="E372" s="31"/>
      <c r="G372" s="2"/>
    </row>
    <row r="373" spans="1:7" ht="12.75" x14ac:dyDescent="0.2">
      <c r="A373" s="2"/>
      <c r="B373" s="2"/>
      <c r="C373" s="31"/>
      <c r="D373" s="31"/>
      <c r="E373" s="31"/>
      <c r="G373" s="2"/>
    </row>
    <row r="374" spans="1:7" ht="12.75" x14ac:dyDescent="0.2">
      <c r="A374" s="2"/>
      <c r="B374" s="2"/>
      <c r="C374" s="31"/>
      <c r="D374" s="31"/>
      <c r="E374" s="31"/>
      <c r="G374" s="2"/>
    </row>
    <row r="375" spans="1:7" ht="12.75" x14ac:dyDescent="0.2">
      <c r="A375" s="2"/>
      <c r="B375" s="2"/>
      <c r="C375" s="31"/>
      <c r="D375" s="31"/>
      <c r="E375" s="31"/>
      <c r="G375" s="2"/>
    </row>
    <row r="376" spans="1:7" ht="12.75" x14ac:dyDescent="0.2">
      <c r="A376" s="2"/>
      <c r="B376" s="2"/>
      <c r="C376" s="31"/>
      <c r="D376" s="31"/>
      <c r="E376" s="31"/>
      <c r="G376" s="2"/>
    </row>
    <row r="377" spans="1:7" ht="12.75" x14ac:dyDescent="0.2">
      <c r="A377" s="2"/>
      <c r="B377" s="2"/>
      <c r="C377" s="31"/>
      <c r="D377" s="31"/>
      <c r="E377" s="31"/>
      <c r="G377" s="2"/>
    </row>
    <row r="378" spans="1:7" ht="12.75" x14ac:dyDescent="0.2">
      <c r="A378" s="2"/>
      <c r="B378" s="2"/>
      <c r="C378" s="31"/>
      <c r="D378" s="31"/>
      <c r="E378" s="31"/>
      <c r="G378" s="2"/>
    </row>
    <row r="379" spans="1:7" ht="12.75" x14ac:dyDescent="0.2">
      <c r="A379" s="2"/>
      <c r="B379" s="2"/>
      <c r="C379" s="31"/>
      <c r="D379" s="31"/>
      <c r="E379" s="31"/>
      <c r="G379" s="2"/>
    </row>
    <row r="380" spans="1:7" ht="12.75" x14ac:dyDescent="0.2">
      <c r="A380" s="2"/>
      <c r="B380" s="2"/>
      <c r="C380" s="31"/>
      <c r="D380" s="31"/>
      <c r="E380" s="31"/>
      <c r="G380" s="2"/>
    </row>
    <row r="381" spans="1:7" ht="12.75" x14ac:dyDescent="0.2">
      <c r="A381" s="2"/>
      <c r="B381" s="2"/>
      <c r="C381" s="31"/>
      <c r="D381" s="31"/>
      <c r="E381" s="31"/>
      <c r="G381" s="2"/>
    </row>
    <row r="382" spans="1:7" ht="12.75" x14ac:dyDescent="0.2">
      <c r="A382" s="2"/>
      <c r="B382" s="2"/>
      <c r="C382" s="31"/>
      <c r="D382" s="31"/>
      <c r="E382" s="31"/>
      <c r="G382" s="2"/>
    </row>
    <row r="383" spans="1:7" ht="12.75" x14ac:dyDescent="0.2">
      <c r="A383" s="2"/>
      <c r="B383" s="2"/>
      <c r="C383" s="31"/>
      <c r="D383" s="31"/>
      <c r="E383" s="31"/>
      <c r="G383" s="2"/>
    </row>
    <row r="384" spans="1:7" ht="12.75" x14ac:dyDescent="0.2">
      <c r="A384" s="2"/>
      <c r="B384" s="2"/>
      <c r="C384" s="31"/>
      <c r="D384" s="31"/>
      <c r="E384" s="31"/>
      <c r="G384" s="2"/>
    </row>
    <row r="385" spans="1:7" ht="12.75" x14ac:dyDescent="0.2">
      <c r="A385" s="2"/>
      <c r="B385" s="2"/>
      <c r="C385" s="31"/>
      <c r="D385" s="31"/>
      <c r="E385" s="31"/>
      <c r="G385" s="2"/>
    </row>
    <row r="386" spans="1:7" ht="12.75" x14ac:dyDescent="0.2">
      <c r="A386" s="2"/>
      <c r="B386" s="2"/>
      <c r="C386" s="31"/>
      <c r="D386" s="31"/>
      <c r="E386" s="31"/>
      <c r="G386" s="2"/>
    </row>
    <row r="387" spans="1:7" ht="12.75" x14ac:dyDescent="0.2">
      <c r="A387" s="2"/>
      <c r="B387" s="2"/>
      <c r="C387" s="31"/>
      <c r="D387" s="31"/>
      <c r="E387" s="31"/>
      <c r="G387" s="2"/>
    </row>
    <row r="388" spans="1:7" ht="12.75" x14ac:dyDescent="0.2">
      <c r="A388" s="2"/>
      <c r="B388" s="2"/>
      <c r="C388" s="31"/>
      <c r="D388" s="31"/>
      <c r="E388" s="31"/>
      <c r="G388" s="2"/>
    </row>
    <row r="389" spans="1:7" ht="12.75" x14ac:dyDescent="0.2">
      <c r="A389" s="2"/>
      <c r="B389" s="2"/>
      <c r="C389" s="31"/>
      <c r="D389" s="31"/>
      <c r="E389" s="31"/>
      <c r="G389" s="2"/>
    </row>
    <row r="390" spans="1:7" ht="12.75" x14ac:dyDescent="0.2">
      <c r="A390" s="2"/>
      <c r="B390" s="2"/>
      <c r="C390" s="31"/>
      <c r="D390" s="31"/>
      <c r="E390" s="31"/>
      <c r="G390" s="2"/>
    </row>
    <row r="391" spans="1:7" ht="12.75" x14ac:dyDescent="0.2">
      <c r="A391" s="2"/>
      <c r="B391" s="2"/>
      <c r="C391" s="31"/>
      <c r="D391" s="31"/>
      <c r="E391" s="31"/>
      <c r="G391" s="2"/>
    </row>
    <row r="392" spans="1:7" ht="12.75" x14ac:dyDescent="0.2">
      <c r="A392" s="2"/>
      <c r="B392" s="2"/>
      <c r="C392" s="31"/>
      <c r="D392" s="31"/>
      <c r="E392" s="31"/>
      <c r="G392" s="2"/>
    </row>
    <row r="393" spans="1:7" ht="12.75" x14ac:dyDescent="0.2">
      <c r="A393" s="2"/>
      <c r="B393" s="2"/>
      <c r="C393" s="31"/>
      <c r="D393" s="31"/>
      <c r="E393" s="31"/>
      <c r="G393" s="2"/>
    </row>
    <row r="394" spans="1:7" ht="12.75" x14ac:dyDescent="0.2">
      <c r="A394" s="2"/>
      <c r="B394" s="2"/>
      <c r="C394" s="31"/>
      <c r="D394" s="31"/>
      <c r="E394" s="31"/>
      <c r="G394" s="2"/>
    </row>
    <row r="395" spans="1:7" ht="12.75" x14ac:dyDescent="0.2">
      <c r="A395" s="2"/>
      <c r="B395" s="2"/>
      <c r="C395" s="31"/>
      <c r="D395" s="31"/>
      <c r="E395" s="31"/>
      <c r="G395" s="2"/>
    </row>
    <row r="396" spans="1:7" ht="12.75" x14ac:dyDescent="0.2">
      <c r="A396" s="2"/>
      <c r="B396" s="2"/>
      <c r="C396" s="31"/>
      <c r="D396" s="31"/>
      <c r="E396" s="31"/>
      <c r="G396" s="2"/>
    </row>
    <row r="397" spans="1:7" ht="12.75" x14ac:dyDescent="0.2">
      <c r="A397" s="2"/>
      <c r="B397" s="2"/>
      <c r="C397" s="31"/>
      <c r="D397" s="31"/>
      <c r="E397" s="31"/>
      <c r="G397" s="2"/>
    </row>
    <row r="398" spans="1:7" ht="12.75" x14ac:dyDescent="0.2">
      <c r="A398" s="2"/>
      <c r="B398" s="2"/>
      <c r="C398" s="31"/>
      <c r="D398" s="31"/>
      <c r="E398" s="31"/>
      <c r="G398" s="2"/>
    </row>
    <row r="399" spans="1:7" ht="12.75" x14ac:dyDescent="0.2">
      <c r="A399" s="2"/>
      <c r="B399" s="2"/>
      <c r="C399" s="31"/>
      <c r="D399" s="31"/>
      <c r="E399" s="31"/>
      <c r="G399" s="2"/>
    </row>
    <row r="400" spans="1:7" ht="12.75" x14ac:dyDescent="0.2">
      <c r="A400" s="2"/>
      <c r="B400" s="2"/>
      <c r="C400" s="31"/>
      <c r="D400" s="31"/>
      <c r="E400" s="31"/>
      <c r="G400" s="2"/>
    </row>
    <row r="401" spans="1:7" ht="12.75" x14ac:dyDescent="0.2">
      <c r="A401" s="2"/>
      <c r="B401" s="2"/>
      <c r="C401" s="31"/>
      <c r="D401" s="31"/>
      <c r="E401" s="31"/>
      <c r="G401" s="2"/>
    </row>
    <row r="402" spans="1:7" ht="12.75" x14ac:dyDescent="0.2">
      <c r="A402" s="2"/>
      <c r="B402" s="2"/>
      <c r="C402" s="31"/>
      <c r="D402" s="31"/>
      <c r="E402" s="31"/>
      <c r="G402" s="2"/>
    </row>
    <row r="403" spans="1:7" ht="12.75" x14ac:dyDescent="0.2">
      <c r="A403" s="2"/>
      <c r="B403" s="2"/>
      <c r="C403" s="31"/>
      <c r="D403" s="31"/>
      <c r="E403" s="31"/>
      <c r="G403" s="2"/>
    </row>
    <row r="404" spans="1:7" ht="12.75" x14ac:dyDescent="0.2">
      <c r="A404" s="2"/>
      <c r="B404" s="2"/>
      <c r="C404" s="31"/>
      <c r="D404" s="31"/>
      <c r="E404" s="31"/>
      <c r="G404" s="2"/>
    </row>
    <row r="405" spans="1:7" ht="12.75" x14ac:dyDescent="0.2">
      <c r="A405" s="2"/>
      <c r="B405" s="2"/>
      <c r="C405" s="31"/>
      <c r="D405" s="31"/>
      <c r="E405" s="31"/>
      <c r="G405" s="2"/>
    </row>
    <row r="406" spans="1:7" ht="12.75" x14ac:dyDescent="0.2">
      <c r="A406" s="2"/>
      <c r="B406" s="2"/>
      <c r="C406" s="31"/>
      <c r="D406" s="31"/>
      <c r="E406" s="31"/>
      <c r="G406" s="2"/>
    </row>
    <row r="407" spans="1:7" ht="12.75" x14ac:dyDescent="0.2">
      <c r="A407" s="2"/>
      <c r="B407" s="2"/>
      <c r="C407" s="31"/>
      <c r="D407" s="31"/>
      <c r="E407" s="31"/>
      <c r="G407" s="2"/>
    </row>
    <row r="408" spans="1:7" ht="12.75" x14ac:dyDescent="0.2">
      <c r="A408" s="2"/>
      <c r="B408" s="2"/>
      <c r="C408" s="31"/>
      <c r="D408" s="31"/>
      <c r="E408" s="31"/>
      <c r="G408" s="2"/>
    </row>
    <row r="409" spans="1:7" ht="12.75" x14ac:dyDescent="0.2">
      <c r="A409" s="2"/>
      <c r="B409" s="2"/>
      <c r="C409" s="31"/>
      <c r="D409" s="31"/>
      <c r="E409" s="31"/>
      <c r="G409" s="2"/>
    </row>
    <row r="410" spans="1:7" ht="12.75" x14ac:dyDescent="0.2">
      <c r="A410" s="2"/>
      <c r="B410" s="2"/>
      <c r="C410" s="31"/>
      <c r="D410" s="31"/>
      <c r="E410" s="31"/>
      <c r="G410" s="2"/>
    </row>
    <row r="411" spans="1:7" ht="12.75" x14ac:dyDescent="0.2">
      <c r="A411" s="2"/>
      <c r="B411" s="2"/>
      <c r="C411" s="31"/>
      <c r="D411" s="31"/>
      <c r="E411" s="31"/>
      <c r="G411" s="2"/>
    </row>
    <row r="412" spans="1:7" ht="12.75" x14ac:dyDescent="0.2">
      <c r="A412" s="2"/>
      <c r="B412" s="2"/>
      <c r="C412" s="31"/>
      <c r="D412" s="31"/>
      <c r="E412" s="31"/>
      <c r="G412" s="2"/>
    </row>
    <row r="413" spans="1:7" ht="12.75" x14ac:dyDescent="0.2">
      <c r="A413" s="2"/>
      <c r="B413" s="2"/>
      <c r="C413" s="31"/>
      <c r="D413" s="31"/>
      <c r="E413" s="31"/>
      <c r="G413" s="2"/>
    </row>
    <row r="414" spans="1:7" ht="12.75" x14ac:dyDescent="0.2">
      <c r="A414" s="2"/>
      <c r="B414" s="2"/>
      <c r="C414" s="31"/>
      <c r="D414" s="31"/>
      <c r="E414" s="31"/>
      <c r="G414" s="2"/>
    </row>
    <row r="415" spans="1:7" ht="12.75" x14ac:dyDescent="0.2">
      <c r="A415" s="2"/>
      <c r="B415" s="2"/>
      <c r="C415" s="31"/>
      <c r="D415" s="31"/>
      <c r="E415" s="31"/>
      <c r="G415" s="2"/>
    </row>
    <row r="416" spans="1:7" ht="12.75" x14ac:dyDescent="0.2">
      <c r="A416" s="2"/>
      <c r="B416" s="2"/>
      <c r="C416" s="31"/>
      <c r="D416" s="31"/>
      <c r="E416" s="31"/>
      <c r="G416" s="2"/>
    </row>
    <row r="417" spans="1:7" ht="12.75" x14ac:dyDescent="0.2">
      <c r="A417" s="2"/>
      <c r="B417" s="2"/>
      <c r="C417" s="31"/>
      <c r="D417" s="31"/>
      <c r="E417" s="31"/>
      <c r="G417" s="2"/>
    </row>
    <row r="418" spans="1:7" ht="12.75" x14ac:dyDescent="0.2">
      <c r="A418" s="2"/>
      <c r="B418" s="2"/>
      <c r="C418" s="31"/>
      <c r="D418" s="31"/>
      <c r="E418" s="31"/>
      <c r="G418" s="2"/>
    </row>
    <row r="419" spans="1:7" ht="12.75" x14ac:dyDescent="0.2">
      <c r="A419" s="2"/>
      <c r="B419" s="2"/>
      <c r="C419" s="31"/>
      <c r="D419" s="31"/>
      <c r="E419" s="31"/>
      <c r="G419" s="2"/>
    </row>
    <row r="420" spans="1:7" ht="12.75" x14ac:dyDescent="0.2">
      <c r="A420" s="2"/>
      <c r="B420" s="2"/>
      <c r="C420" s="31"/>
      <c r="D420" s="31"/>
      <c r="E420" s="31"/>
      <c r="G420" s="2"/>
    </row>
    <row r="421" spans="1:7" ht="12.75" x14ac:dyDescent="0.2">
      <c r="A421" s="2"/>
      <c r="B421" s="2"/>
      <c r="C421" s="31"/>
      <c r="D421" s="31"/>
      <c r="E421" s="31"/>
      <c r="G421" s="2"/>
    </row>
    <row r="422" spans="1:7" ht="12.75" x14ac:dyDescent="0.2">
      <c r="A422" s="2"/>
      <c r="B422" s="2"/>
      <c r="C422" s="31"/>
      <c r="D422" s="31"/>
      <c r="E422" s="31"/>
      <c r="G422" s="2"/>
    </row>
    <row r="423" spans="1:7" ht="12.75" x14ac:dyDescent="0.2">
      <c r="A423" s="2"/>
      <c r="B423" s="2"/>
      <c r="C423" s="31"/>
      <c r="D423" s="31"/>
      <c r="E423" s="31"/>
      <c r="G423" s="2"/>
    </row>
    <row r="424" spans="1:7" ht="12.75" x14ac:dyDescent="0.2">
      <c r="A424" s="2"/>
      <c r="B424" s="2"/>
      <c r="C424" s="31"/>
      <c r="D424" s="31"/>
      <c r="E424" s="31"/>
      <c r="G424" s="2"/>
    </row>
    <row r="425" spans="1:7" ht="12.75" x14ac:dyDescent="0.2">
      <c r="A425" s="2"/>
      <c r="B425" s="2"/>
      <c r="C425" s="31"/>
      <c r="D425" s="31"/>
      <c r="E425" s="31"/>
      <c r="G425" s="2"/>
    </row>
    <row r="426" spans="1:7" ht="12.75" x14ac:dyDescent="0.2">
      <c r="A426" s="2"/>
      <c r="B426" s="2"/>
      <c r="C426" s="31"/>
      <c r="D426" s="31"/>
      <c r="E426" s="31"/>
      <c r="G426" s="2"/>
    </row>
    <row r="427" spans="1:7" ht="12.75" x14ac:dyDescent="0.2">
      <c r="A427" s="2"/>
      <c r="B427" s="2"/>
      <c r="C427" s="31"/>
      <c r="D427" s="31"/>
      <c r="E427" s="31"/>
      <c r="G427" s="2"/>
    </row>
    <row r="428" spans="1:7" ht="12.75" x14ac:dyDescent="0.2">
      <c r="A428" s="2"/>
      <c r="B428" s="2"/>
      <c r="C428" s="31"/>
      <c r="D428" s="31"/>
      <c r="E428" s="31"/>
      <c r="G428" s="2"/>
    </row>
    <row r="429" spans="1:7" ht="12.75" x14ac:dyDescent="0.2">
      <c r="A429" s="2"/>
      <c r="B429" s="2"/>
      <c r="C429" s="31"/>
      <c r="D429" s="31"/>
      <c r="E429" s="31"/>
      <c r="G429" s="2"/>
    </row>
    <row r="430" spans="1:7" ht="12.75" x14ac:dyDescent="0.2">
      <c r="A430" s="2"/>
      <c r="B430" s="2"/>
      <c r="C430" s="31"/>
      <c r="D430" s="31"/>
      <c r="E430" s="31"/>
      <c r="G430" s="2"/>
    </row>
    <row r="431" spans="1:7" ht="12.75" x14ac:dyDescent="0.2">
      <c r="A431" s="2"/>
      <c r="B431" s="2"/>
      <c r="C431" s="31"/>
      <c r="D431" s="31"/>
      <c r="E431" s="31"/>
      <c r="G431" s="2"/>
    </row>
    <row r="432" spans="1:7" ht="12.75" x14ac:dyDescent="0.2">
      <c r="A432" s="2"/>
      <c r="B432" s="2"/>
      <c r="C432" s="31"/>
      <c r="D432" s="31"/>
      <c r="E432" s="31"/>
      <c r="G432" s="2"/>
    </row>
    <row r="433" spans="1:7" ht="12.75" x14ac:dyDescent="0.2">
      <c r="A433" s="2"/>
      <c r="B433" s="2"/>
      <c r="C433" s="31"/>
      <c r="D433" s="31"/>
      <c r="E433" s="31"/>
      <c r="G433" s="2"/>
    </row>
    <row r="434" spans="1:7" ht="12.75" x14ac:dyDescent="0.2">
      <c r="A434" s="2"/>
      <c r="B434" s="2"/>
      <c r="C434" s="31"/>
      <c r="D434" s="31"/>
      <c r="E434" s="31"/>
      <c r="G434" s="2"/>
    </row>
    <row r="435" spans="1:7" ht="12.75" x14ac:dyDescent="0.2">
      <c r="A435" s="2"/>
      <c r="B435" s="2"/>
      <c r="C435" s="31"/>
      <c r="D435" s="31"/>
      <c r="E435" s="31"/>
      <c r="G435" s="2"/>
    </row>
    <row r="436" spans="1:7" ht="12.75" x14ac:dyDescent="0.2">
      <c r="A436" s="2"/>
      <c r="B436" s="2"/>
      <c r="C436" s="31"/>
      <c r="D436" s="31"/>
      <c r="E436" s="31"/>
      <c r="G436" s="2"/>
    </row>
    <row r="437" spans="1:7" ht="12.75" x14ac:dyDescent="0.2">
      <c r="A437" s="2"/>
      <c r="B437" s="2"/>
      <c r="C437" s="31"/>
      <c r="D437" s="31"/>
      <c r="E437" s="31"/>
      <c r="G437" s="2"/>
    </row>
    <row r="438" spans="1:7" ht="12.75" x14ac:dyDescent="0.2">
      <c r="A438" s="2"/>
      <c r="B438" s="2"/>
      <c r="C438" s="31"/>
      <c r="D438" s="31"/>
      <c r="E438" s="31"/>
      <c r="G438" s="2"/>
    </row>
    <row r="439" spans="1:7" ht="12.75" x14ac:dyDescent="0.2">
      <c r="A439" s="2"/>
      <c r="B439" s="2"/>
      <c r="C439" s="31"/>
      <c r="D439" s="31"/>
      <c r="E439" s="31"/>
      <c r="G439" s="2"/>
    </row>
    <row r="440" spans="1:7" ht="12.75" x14ac:dyDescent="0.2">
      <c r="A440" s="2"/>
      <c r="B440" s="2"/>
      <c r="C440" s="31"/>
      <c r="D440" s="31"/>
      <c r="E440" s="31"/>
      <c r="G440" s="2"/>
    </row>
    <row r="441" spans="1:7" ht="12.75" x14ac:dyDescent="0.2">
      <c r="A441" s="2"/>
      <c r="B441" s="2"/>
      <c r="C441" s="31"/>
      <c r="D441" s="31"/>
      <c r="E441" s="31"/>
      <c r="G441" s="2"/>
    </row>
    <row r="442" spans="1:7" ht="12.75" x14ac:dyDescent="0.2">
      <c r="A442" s="2"/>
      <c r="B442" s="2"/>
      <c r="C442" s="31"/>
      <c r="D442" s="31"/>
      <c r="E442" s="31"/>
      <c r="G442" s="2"/>
    </row>
    <row r="443" spans="1:7" ht="12.75" x14ac:dyDescent="0.2">
      <c r="A443" s="2"/>
      <c r="B443" s="2"/>
      <c r="C443" s="31"/>
      <c r="D443" s="31"/>
      <c r="E443" s="31"/>
      <c r="G443" s="2"/>
    </row>
    <row r="444" spans="1:7" ht="12.75" x14ac:dyDescent="0.2">
      <c r="A444" s="2"/>
      <c r="B444" s="2"/>
      <c r="C444" s="31"/>
      <c r="D444" s="31"/>
      <c r="E444" s="31"/>
      <c r="G444" s="2"/>
    </row>
    <row r="445" spans="1:7" ht="12.75" x14ac:dyDescent="0.2">
      <c r="A445" s="2"/>
      <c r="B445" s="2"/>
      <c r="C445" s="31"/>
      <c r="D445" s="31"/>
      <c r="E445" s="31"/>
      <c r="G445" s="2"/>
    </row>
    <row r="446" spans="1:7" ht="12.75" x14ac:dyDescent="0.2">
      <c r="A446" s="2"/>
      <c r="B446" s="2"/>
      <c r="C446" s="31"/>
      <c r="D446" s="31"/>
      <c r="E446" s="31"/>
      <c r="G446" s="2"/>
    </row>
    <row r="447" spans="1:7" ht="12.75" x14ac:dyDescent="0.2">
      <c r="A447" s="2"/>
      <c r="B447" s="2"/>
      <c r="C447" s="31"/>
      <c r="D447" s="31"/>
      <c r="E447" s="31"/>
      <c r="G447" s="2"/>
    </row>
    <row r="448" spans="1:7" ht="12.75" x14ac:dyDescent="0.2">
      <c r="A448" s="2"/>
      <c r="B448" s="2"/>
      <c r="C448" s="31"/>
      <c r="D448" s="31"/>
      <c r="E448" s="31"/>
      <c r="G448" s="2"/>
    </row>
    <row r="449" spans="1:7" ht="12.75" x14ac:dyDescent="0.2">
      <c r="A449" s="2"/>
      <c r="B449" s="2"/>
      <c r="C449" s="31"/>
      <c r="D449" s="31"/>
      <c r="E449" s="31"/>
      <c r="G449" s="2"/>
    </row>
    <row r="450" spans="1:7" ht="12.75" x14ac:dyDescent="0.2">
      <c r="A450" s="2"/>
      <c r="B450" s="2"/>
      <c r="C450" s="31"/>
      <c r="D450" s="31"/>
      <c r="E450" s="31"/>
      <c r="G450" s="2"/>
    </row>
    <row r="451" spans="1:7" ht="12.75" x14ac:dyDescent="0.2">
      <c r="A451" s="2"/>
      <c r="B451" s="2"/>
      <c r="C451" s="31"/>
      <c r="D451" s="31"/>
      <c r="E451" s="31"/>
      <c r="G451" s="2"/>
    </row>
    <row r="452" spans="1:7" ht="12.75" x14ac:dyDescent="0.2">
      <c r="A452" s="2"/>
      <c r="B452" s="2"/>
      <c r="C452" s="31"/>
      <c r="D452" s="31"/>
      <c r="E452" s="31"/>
      <c r="G452" s="2"/>
    </row>
    <row r="453" spans="1:7" ht="12.75" x14ac:dyDescent="0.2">
      <c r="A453" s="2"/>
      <c r="B453" s="2"/>
      <c r="C453" s="31"/>
      <c r="D453" s="31"/>
      <c r="E453" s="31"/>
      <c r="G453" s="2"/>
    </row>
    <row r="454" spans="1:7" ht="12.75" x14ac:dyDescent="0.2">
      <c r="A454" s="2"/>
      <c r="B454" s="2"/>
      <c r="C454" s="31"/>
      <c r="D454" s="31"/>
      <c r="E454" s="31"/>
      <c r="G454" s="2"/>
    </row>
    <row r="455" spans="1:7" ht="12.75" x14ac:dyDescent="0.2">
      <c r="A455" s="2"/>
      <c r="B455" s="2"/>
      <c r="C455" s="31"/>
      <c r="D455" s="31"/>
      <c r="E455" s="31"/>
      <c r="G455" s="2"/>
    </row>
    <row r="456" spans="1:7" ht="12.75" x14ac:dyDescent="0.2">
      <c r="A456" s="2"/>
      <c r="B456" s="2"/>
      <c r="C456" s="31"/>
      <c r="D456" s="31"/>
      <c r="E456" s="31"/>
      <c r="G456" s="2"/>
    </row>
    <row r="457" spans="1:7" ht="12.75" x14ac:dyDescent="0.2">
      <c r="A457" s="2"/>
      <c r="B457" s="2"/>
      <c r="C457" s="31"/>
      <c r="D457" s="31"/>
      <c r="E457" s="31"/>
      <c r="G457" s="2"/>
    </row>
    <row r="458" spans="1:7" ht="12.75" x14ac:dyDescent="0.2">
      <c r="A458" s="2"/>
      <c r="B458" s="2"/>
      <c r="C458" s="31"/>
      <c r="D458" s="31"/>
      <c r="E458" s="31"/>
      <c r="G458" s="2"/>
    </row>
    <row r="459" spans="1:7" ht="12.75" x14ac:dyDescent="0.2">
      <c r="A459" s="2"/>
      <c r="B459" s="2"/>
      <c r="C459" s="31"/>
      <c r="D459" s="31"/>
      <c r="E459" s="31"/>
      <c r="G459" s="2"/>
    </row>
    <row r="460" spans="1:7" ht="12.75" x14ac:dyDescent="0.2">
      <c r="A460" s="2"/>
      <c r="B460" s="2"/>
      <c r="C460" s="31"/>
      <c r="D460" s="31"/>
      <c r="E460" s="31"/>
      <c r="G460" s="2"/>
    </row>
    <row r="461" spans="1:7" ht="12.75" x14ac:dyDescent="0.2">
      <c r="A461" s="2"/>
      <c r="B461" s="2"/>
      <c r="C461" s="31"/>
      <c r="D461" s="31"/>
      <c r="E461" s="31"/>
      <c r="G461" s="2"/>
    </row>
    <row r="462" spans="1:7" ht="12.75" x14ac:dyDescent="0.2">
      <c r="A462" s="2"/>
      <c r="B462" s="2"/>
      <c r="C462" s="31"/>
      <c r="D462" s="31"/>
      <c r="E462" s="31"/>
      <c r="G462" s="2"/>
    </row>
    <row r="463" spans="1:7" ht="12.75" x14ac:dyDescent="0.2">
      <c r="A463" s="2"/>
      <c r="B463" s="2"/>
      <c r="C463" s="31"/>
      <c r="D463" s="31"/>
      <c r="E463" s="31"/>
      <c r="G463" s="2"/>
    </row>
    <row r="464" spans="1:7" ht="12.75" x14ac:dyDescent="0.2">
      <c r="A464" s="2"/>
      <c r="B464" s="2"/>
      <c r="C464" s="31"/>
      <c r="D464" s="31"/>
      <c r="E464" s="31"/>
      <c r="G464" s="2"/>
    </row>
    <row r="465" spans="1:7" ht="12.75" x14ac:dyDescent="0.2">
      <c r="A465" s="2"/>
      <c r="B465" s="2"/>
      <c r="C465" s="31"/>
      <c r="D465" s="31"/>
      <c r="E465" s="31"/>
      <c r="G465" s="2"/>
    </row>
    <row r="466" spans="1:7" ht="12.75" x14ac:dyDescent="0.2">
      <c r="A466" s="2"/>
      <c r="B466" s="2"/>
      <c r="C466" s="31"/>
      <c r="D466" s="31"/>
      <c r="E466" s="31"/>
      <c r="G466" s="2"/>
    </row>
    <row r="467" spans="1:7" ht="12.75" x14ac:dyDescent="0.2">
      <c r="A467" s="2"/>
      <c r="B467" s="2"/>
      <c r="C467" s="31"/>
      <c r="D467" s="31"/>
      <c r="E467" s="31"/>
      <c r="G467" s="2"/>
    </row>
    <row r="468" spans="1:7" ht="12.75" x14ac:dyDescent="0.2">
      <c r="A468" s="2"/>
      <c r="B468" s="2"/>
      <c r="C468" s="31"/>
      <c r="D468" s="31"/>
      <c r="E468" s="31"/>
      <c r="G468" s="2"/>
    </row>
    <row r="469" spans="1:7" ht="12.75" x14ac:dyDescent="0.2">
      <c r="A469" s="2"/>
      <c r="B469" s="2"/>
      <c r="C469" s="31"/>
      <c r="D469" s="31"/>
      <c r="E469" s="31"/>
      <c r="G469" s="2"/>
    </row>
    <row r="470" spans="1:7" ht="12.75" x14ac:dyDescent="0.2">
      <c r="A470" s="2"/>
      <c r="B470" s="2"/>
      <c r="C470" s="31"/>
      <c r="D470" s="31"/>
      <c r="E470" s="31"/>
      <c r="G470" s="2"/>
    </row>
    <row r="471" spans="1:7" ht="12.75" x14ac:dyDescent="0.2">
      <c r="A471" s="2"/>
      <c r="B471" s="2"/>
      <c r="C471" s="31"/>
      <c r="D471" s="31"/>
      <c r="E471" s="31"/>
      <c r="G471" s="2"/>
    </row>
    <row r="472" spans="1:7" ht="12.75" x14ac:dyDescent="0.2">
      <c r="A472" s="2"/>
      <c r="B472" s="2"/>
      <c r="C472" s="31"/>
      <c r="D472" s="31"/>
      <c r="E472" s="31"/>
      <c r="G472" s="2"/>
    </row>
    <row r="473" spans="1:7" ht="12.75" x14ac:dyDescent="0.2">
      <c r="A473" s="2"/>
      <c r="B473" s="2"/>
      <c r="C473" s="31"/>
      <c r="D473" s="31"/>
      <c r="E473" s="31"/>
      <c r="G473" s="2"/>
    </row>
    <row r="474" spans="1:7" ht="12.75" x14ac:dyDescent="0.2">
      <c r="A474" s="2"/>
      <c r="B474" s="2"/>
      <c r="C474" s="31"/>
      <c r="D474" s="31"/>
      <c r="E474" s="31"/>
      <c r="G474" s="2"/>
    </row>
    <row r="475" spans="1:7" ht="12.75" x14ac:dyDescent="0.2">
      <c r="A475" s="2"/>
      <c r="B475" s="2"/>
      <c r="C475" s="31"/>
      <c r="D475" s="31"/>
      <c r="E475" s="31"/>
      <c r="G475" s="2"/>
    </row>
    <row r="476" spans="1:7" ht="12.75" x14ac:dyDescent="0.2">
      <c r="A476" s="2"/>
      <c r="B476" s="2"/>
      <c r="C476" s="31"/>
      <c r="D476" s="31"/>
      <c r="E476" s="31"/>
      <c r="G476" s="2"/>
    </row>
    <row r="477" spans="1:7" ht="12.75" x14ac:dyDescent="0.2">
      <c r="A477" s="2"/>
      <c r="B477" s="2"/>
      <c r="C477" s="31"/>
      <c r="D477" s="31"/>
      <c r="E477" s="31"/>
      <c r="G477" s="2"/>
    </row>
    <row r="478" spans="1:7" ht="12.75" x14ac:dyDescent="0.2">
      <c r="A478" s="2"/>
      <c r="B478" s="2"/>
      <c r="C478" s="31"/>
      <c r="D478" s="31"/>
      <c r="E478" s="31"/>
      <c r="G478" s="2"/>
    </row>
    <row r="479" spans="1:7" ht="12.75" x14ac:dyDescent="0.2">
      <c r="A479" s="2"/>
      <c r="B479" s="2"/>
      <c r="C479" s="31"/>
      <c r="D479" s="31"/>
      <c r="E479" s="31"/>
      <c r="G479" s="2"/>
    </row>
    <row r="480" spans="1:7" ht="12.75" x14ac:dyDescent="0.2">
      <c r="A480" s="2"/>
      <c r="B480" s="2"/>
      <c r="C480" s="31"/>
      <c r="D480" s="31"/>
      <c r="E480" s="31"/>
      <c r="G480" s="2"/>
    </row>
    <row r="481" spans="1:7" ht="12.75" x14ac:dyDescent="0.2">
      <c r="A481" s="2"/>
      <c r="B481" s="2"/>
      <c r="C481" s="31"/>
      <c r="D481" s="31"/>
      <c r="E481" s="31"/>
      <c r="G481" s="2"/>
    </row>
    <row r="482" spans="1:7" ht="12.75" x14ac:dyDescent="0.2">
      <c r="A482" s="2"/>
      <c r="B482" s="2"/>
      <c r="C482" s="31"/>
      <c r="D482" s="31"/>
      <c r="E482" s="31"/>
      <c r="G482" s="2"/>
    </row>
    <row r="483" spans="1:7" ht="12.75" x14ac:dyDescent="0.2">
      <c r="A483" s="2"/>
      <c r="B483" s="2"/>
      <c r="C483" s="31"/>
      <c r="D483" s="31"/>
      <c r="E483" s="31"/>
      <c r="G483" s="2"/>
    </row>
    <row r="484" spans="1:7" ht="12.75" x14ac:dyDescent="0.2">
      <c r="A484" s="2"/>
      <c r="B484" s="2"/>
      <c r="C484" s="31"/>
      <c r="D484" s="31"/>
      <c r="E484" s="31"/>
      <c r="G484" s="2"/>
    </row>
    <row r="485" spans="1:7" ht="12.75" x14ac:dyDescent="0.2">
      <c r="A485" s="2"/>
      <c r="B485" s="2"/>
      <c r="C485" s="31"/>
      <c r="D485" s="31"/>
      <c r="E485" s="31"/>
      <c r="G485" s="2"/>
    </row>
    <row r="486" spans="1:7" ht="12.75" x14ac:dyDescent="0.2">
      <c r="A486" s="2"/>
      <c r="B486" s="2"/>
      <c r="C486" s="31"/>
      <c r="D486" s="31"/>
      <c r="E486" s="31"/>
      <c r="G486" s="2"/>
    </row>
    <row r="487" spans="1:7" ht="12.75" x14ac:dyDescent="0.2">
      <c r="A487" s="2"/>
      <c r="B487" s="2"/>
      <c r="C487" s="31"/>
      <c r="D487" s="31"/>
      <c r="E487" s="31"/>
      <c r="G487" s="2"/>
    </row>
    <row r="488" spans="1:7" ht="12.75" x14ac:dyDescent="0.2">
      <c r="A488" s="2"/>
      <c r="B488" s="2"/>
      <c r="C488" s="31"/>
      <c r="D488" s="31"/>
      <c r="E488" s="31"/>
      <c r="G488" s="2"/>
    </row>
    <row r="489" spans="1:7" ht="12.75" x14ac:dyDescent="0.2">
      <c r="A489" s="2"/>
      <c r="B489" s="2"/>
      <c r="C489" s="31"/>
      <c r="D489" s="31"/>
      <c r="E489" s="31"/>
      <c r="G489" s="2"/>
    </row>
    <row r="490" spans="1:7" ht="12.75" x14ac:dyDescent="0.2">
      <c r="A490" s="2"/>
      <c r="B490" s="2"/>
      <c r="C490" s="31"/>
      <c r="D490" s="31"/>
      <c r="E490" s="31"/>
      <c r="G490" s="2"/>
    </row>
    <row r="491" spans="1:7" ht="12.75" x14ac:dyDescent="0.2">
      <c r="A491" s="2"/>
      <c r="B491" s="2"/>
      <c r="C491" s="31"/>
      <c r="D491" s="31"/>
      <c r="E491" s="31"/>
      <c r="G491" s="2"/>
    </row>
    <row r="492" spans="1:7" ht="12.75" x14ac:dyDescent="0.2">
      <c r="A492" s="2"/>
      <c r="B492" s="2"/>
      <c r="C492" s="31"/>
      <c r="D492" s="31"/>
      <c r="E492" s="31"/>
      <c r="G492" s="2"/>
    </row>
    <row r="493" spans="1:7" ht="12.75" x14ac:dyDescent="0.2">
      <c r="A493" s="2"/>
      <c r="B493" s="2"/>
      <c r="C493" s="31"/>
      <c r="D493" s="31"/>
      <c r="E493" s="31"/>
      <c r="G493" s="2"/>
    </row>
    <row r="494" spans="1:7" ht="12.75" x14ac:dyDescent="0.2">
      <c r="A494" s="2"/>
      <c r="B494" s="2"/>
      <c r="C494" s="31"/>
      <c r="D494" s="31"/>
      <c r="E494" s="31"/>
      <c r="G494" s="2"/>
    </row>
    <row r="495" spans="1:7" ht="12.75" x14ac:dyDescent="0.2">
      <c r="A495" s="2"/>
      <c r="B495" s="2"/>
      <c r="C495" s="31"/>
      <c r="D495" s="31"/>
      <c r="E495" s="31"/>
      <c r="G495" s="2"/>
    </row>
    <row r="496" spans="1:7" ht="12.75" x14ac:dyDescent="0.2">
      <c r="A496" s="2"/>
      <c r="B496" s="2"/>
      <c r="C496" s="31"/>
      <c r="D496" s="31"/>
      <c r="E496" s="31"/>
      <c r="G496" s="2"/>
    </row>
    <row r="497" spans="1:7" ht="12.75" x14ac:dyDescent="0.2">
      <c r="A497" s="2"/>
      <c r="B497" s="2"/>
      <c r="C497" s="31"/>
      <c r="D497" s="31"/>
      <c r="E497" s="31"/>
      <c r="G497" s="2"/>
    </row>
    <row r="498" spans="1:7" ht="12.75" x14ac:dyDescent="0.2">
      <c r="A498" s="2"/>
      <c r="B498" s="2"/>
      <c r="C498" s="31"/>
      <c r="D498" s="31"/>
      <c r="E498" s="31"/>
      <c r="G498" s="2"/>
    </row>
    <row r="499" spans="1:7" ht="12.75" x14ac:dyDescent="0.2">
      <c r="A499" s="2"/>
      <c r="B499" s="2"/>
      <c r="C499" s="31"/>
      <c r="D499" s="31"/>
      <c r="E499" s="31"/>
      <c r="G499" s="2"/>
    </row>
    <row r="500" spans="1:7" ht="12.75" x14ac:dyDescent="0.2">
      <c r="A500" s="2"/>
      <c r="B500" s="2"/>
      <c r="C500" s="31"/>
      <c r="D500" s="31"/>
      <c r="E500" s="31"/>
      <c r="G500" s="2"/>
    </row>
    <row r="501" spans="1:7" ht="12.75" x14ac:dyDescent="0.2">
      <c r="A501" s="2"/>
      <c r="B501" s="2"/>
      <c r="C501" s="31"/>
      <c r="D501" s="31"/>
      <c r="E501" s="31"/>
      <c r="G501" s="2"/>
    </row>
    <row r="502" spans="1:7" ht="12.75" x14ac:dyDescent="0.2">
      <c r="A502" s="2"/>
      <c r="B502" s="2"/>
      <c r="C502" s="31"/>
      <c r="D502" s="31"/>
      <c r="E502" s="31"/>
      <c r="G502" s="2"/>
    </row>
    <row r="503" spans="1:7" ht="12.75" x14ac:dyDescent="0.2">
      <c r="A503" s="2"/>
      <c r="B503" s="2"/>
      <c r="C503" s="31"/>
      <c r="D503" s="31"/>
      <c r="E503" s="31"/>
      <c r="G503" s="2"/>
    </row>
    <row r="504" spans="1:7" ht="12.75" x14ac:dyDescent="0.2">
      <c r="A504" s="2"/>
      <c r="B504" s="2"/>
      <c r="C504" s="31"/>
      <c r="D504" s="31"/>
      <c r="E504" s="31"/>
      <c r="G504" s="2"/>
    </row>
    <row r="505" spans="1:7" ht="12.75" x14ac:dyDescent="0.2">
      <c r="A505" s="2"/>
      <c r="B505" s="2"/>
      <c r="C505" s="31"/>
      <c r="D505" s="31"/>
      <c r="E505" s="31"/>
      <c r="G505" s="2"/>
    </row>
    <row r="506" spans="1:7" ht="12.75" x14ac:dyDescent="0.2">
      <c r="A506" s="2"/>
      <c r="B506" s="2"/>
      <c r="C506" s="31"/>
      <c r="D506" s="31"/>
      <c r="E506" s="31"/>
      <c r="G506" s="2"/>
    </row>
    <row r="507" spans="1:7" ht="12.75" x14ac:dyDescent="0.2">
      <c r="A507" s="2"/>
      <c r="B507" s="2"/>
      <c r="C507" s="31"/>
      <c r="D507" s="31"/>
      <c r="E507" s="31"/>
      <c r="G507" s="2"/>
    </row>
    <row r="508" spans="1:7" ht="12.75" x14ac:dyDescent="0.2">
      <c r="A508" s="2"/>
      <c r="B508" s="2"/>
      <c r="C508" s="31"/>
      <c r="D508" s="31"/>
      <c r="E508" s="31"/>
      <c r="G508" s="2"/>
    </row>
    <row r="509" spans="1:7" ht="12.75" x14ac:dyDescent="0.2">
      <c r="A509" s="2"/>
      <c r="B509" s="2"/>
      <c r="C509" s="31"/>
      <c r="D509" s="31"/>
      <c r="E509" s="31"/>
      <c r="G509" s="2"/>
    </row>
    <row r="510" spans="1:7" ht="12.75" x14ac:dyDescent="0.2">
      <c r="A510" s="2"/>
      <c r="B510" s="2"/>
      <c r="C510" s="31"/>
      <c r="D510" s="31"/>
      <c r="E510" s="31"/>
      <c r="G510" s="2"/>
    </row>
    <row r="511" spans="1:7" ht="12.75" x14ac:dyDescent="0.2">
      <c r="A511" s="2"/>
      <c r="B511" s="2"/>
      <c r="C511" s="31"/>
      <c r="D511" s="31"/>
      <c r="E511" s="31"/>
      <c r="G511" s="2"/>
    </row>
    <row r="512" spans="1:7" ht="12.75" x14ac:dyDescent="0.2">
      <c r="A512" s="2"/>
      <c r="B512" s="2"/>
      <c r="C512" s="31"/>
      <c r="D512" s="31"/>
      <c r="E512" s="31"/>
      <c r="G512" s="2"/>
    </row>
    <row r="513" spans="1:7" ht="12.75" x14ac:dyDescent="0.2">
      <c r="A513" s="2"/>
      <c r="B513" s="2"/>
      <c r="C513" s="31"/>
      <c r="D513" s="31"/>
      <c r="E513" s="31"/>
      <c r="G513" s="2"/>
    </row>
    <row r="514" spans="1:7" ht="12.75" x14ac:dyDescent="0.2">
      <c r="A514" s="2"/>
      <c r="B514" s="2"/>
      <c r="C514" s="31"/>
      <c r="D514" s="31"/>
      <c r="E514" s="31"/>
      <c r="G514" s="2"/>
    </row>
    <row r="515" spans="1:7" ht="12.75" x14ac:dyDescent="0.2">
      <c r="A515" s="2"/>
      <c r="B515" s="2"/>
      <c r="C515" s="31"/>
      <c r="D515" s="31"/>
      <c r="E515" s="31"/>
      <c r="G515" s="2"/>
    </row>
    <row r="516" spans="1:7" ht="12.75" x14ac:dyDescent="0.2">
      <c r="A516" s="2"/>
      <c r="B516" s="2"/>
      <c r="C516" s="31"/>
      <c r="D516" s="31"/>
      <c r="E516" s="31"/>
      <c r="G516" s="2"/>
    </row>
    <row r="517" spans="1:7" ht="12.75" x14ac:dyDescent="0.2">
      <c r="A517" s="2"/>
      <c r="B517" s="2"/>
      <c r="C517" s="31"/>
      <c r="D517" s="31"/>
      <c r="E517" s="31"/>
      <c r="G517" s="2"/>
    </row>
    <row r="518" spans="1:7" ht="12.75" x14ac:dyDescent="0.2">
      <c r="A518" s="2"/>
      <c r="B518" s="2"/>
      <c r="C518" s="31"/>
      <c r="D518" s="31"/>
      <c r="E518" s="31"/>
      <c r="G518" s="2"/>
    </row>
    <row r="519" spans="1:7" ht="12.75" x14ac:dyDescent="0.2">
      <c r="A519" s="2"/>
      <c r="B519" s="2"/>
      <c r="C519" s="31"/>
      <c r="D519" s="31"/>
      <c r="E519" s="31"/>
      <c r="G519" s="2"/>
    </row>
    <row r="520" spans="1:7" ht="12.75" x14ac:dyDescent="0.2">
      <c r="A520" s="2"/>
      <c r="B520" s="2"/>
      <c r="C520" s="31"/>
      <c r="D520" s="31"/>
      <c r="E520" s="31"/>
      <c r="G520" s="2"/>
    </row>
    <row r="521" spans="1:7" ht="12.75" x14ac:dyDescent="0.2">
      <c r="A521" s="2"/>
      <c r="B521" s="2"/>
      <c r="C521" s="31"/>
      <c r="D521" s="31"/>
      <c r="E521" s="31"/>
      <c r="G521" s="2"/>
    </row>
    <row r="522" spans="1:7" ht="12.75" x14ac:dyDescent="0.2">
      <c r="A522" s="2"/>
      <c r="B522" s="2"/>
      <c r="C522" s="31"/>
      <c r="D522" s="31"/>
      <c r="E522" s="31"/>
      <c r="G522" s="2"/>
    </row>
    <row r="523" spans="1:7" ht="12.75" x14ac:dyDescent="0.2">
      <c r="A523" s="2"/>
      <c r="B523" s="2"/>
      <c r="C523" s="31"/>
      <c r="D523" s="31"/>
      <c r="E523" s="31"/>
      <c r="G523" s="2"/>
    </row>
    <row r="524" spans="1:7" ht="12.75" x14ac:dyDescent="0.2">
      <c r="A524" s="2"/>
      <c r="B524" s="2"/>
      <c r="C524" s="31"/>
      <c r="D524" s="31"/>
      <c r="E524" s="31"/>
      <c r="G524" s="2"/>
    </row>
    <row r="525" spans="1:7" ht="12.75" x14ac:dyDescent="0.2">
      <c r="A525" s="2"/>
      <c r="B525" s="2"/>
      <c r="C525" s="31"/>
      <c r="D525" s="31"/>
      <c r="E525" s="31"/>
      <c r="G525" s="2"/>
    </row>
    <row r="526" spans="1:7" ht="12.75" x14ac:dyDescent="0.2">
      <c r="A526" s="2"/>
      <c r="B526" s="2"/>
      <c r="C526" s="31"/>
      <c r="D526" s="31"/>
      <c r="E526" s="31"/>
      <c r="G526" s="2"/>
    </row>
    <row r="527" spans="1:7" ht="12.75" x14ac:dyDescent="0.2">
      <c r="A527" s="2"/>
      <c r="B527" s="2"/>
      <c r="C527" s="31"/>
      <c r="D527" s="31"/>
      <c r="E527" s="31"/>
      <c r="G527" s="2"/>
    </row>
    <row r="528" spans="1:7" ht="12.75" x14ac:dyDescent="0.2">
      <c r="A528" s="2"/>
      <c r="B528" s="2"/>
      <c r="C528" s="31"/>
      <c r="D528" s="31"/>
      <c r="E528" s="31"/>
      <c r="G528" s="2"/>
    </row>
    <row r="529" spans="1:7" ht="12.75" x14ac:dyDescent="0.2">
      <c r="A529" s="2"/>
      <c r="B529" s="2"/>
      <c r="C529" s="31"/>
      <c r="D529" s="31"/>
      <c r="E529" s="31"/>
      <c r="G529" s="2"/>
    </row>
    <row r="530" spans="1:7" ht="12.75" x14ac:dyDescent="0.2">
      <c r="A530" s="2"/>
      <c r="B530" s="2"/>
      <c r="C530" s="31"/>
      <c r="D530" s="31"/>
      <c r="E530" s="31"/>
      <c r="G530" s="2"/>
    </row>
    <row r="531" spans="1:7" ht="12.75" x14ac:dyDescent="0.2">
      <c r="A531" s="2"/>
      <c r="B531" s="2"/>
      <c r="C531" s="31"/>
      <c r="D531" s="31"/>
      <c r="E531" s="31"/>
      <c r="G531" s="2"/>
    </row>
    <row r="532" spans="1:7" ht="12.75" x14ac:dyDescent="0.2">
      <c r="A532" s="2"/>
      <c r="B532" s="2"/>
      <c r="C532" s="31"/>
      <c r="D532" s="31"/>
      <c r="E532" s="31"/>
      <c r="G532" s="2"/>
    </row>
    <row r="533" spans="1:7" ht="12.75" x14ac:dyDescent="0.2">
      <c r="A533" s="2"/>
      <c r="B533" s="2"/>
      <c r="C533" s="31"/>
      <c r="D533" s="31"/>
      <c r="E533" s="31"/>
      <c r="G533" s="2"/>
    </row>
    <row r="534" spans="1:7" ht="12.75" x14ac:dyDescent="0.2">
      <c r="A534" s="2"/>
      <c r="B534" s="2"/>
      <c r="C534" s="31"/>
      <c r="D534" s="31"/>
      <c r="E534" s="31"/>
      <c r="G534" s="2"/>
    </row>
    <row r="535" spans="1:7" ht="12.75" x14ac:dyDescent="0.2">
      <c r="A535" s="2"/>
      <c r="B535" s="2"/>
      <c r="C535" s="31"/>
      <c r="D535" s="31"/>
      <c r="E535" s="31"/>
      <c r="G535" s="2"/>
    </row>
    <row r="536" spans="1:7" ht="12.75" x14ac:dyDescent="0.2">
      <c r="A536" s="2"/>
      <c r="B536" s="2"/>
      <c r="C536" s="31"/>
      <c r="D536" s="31"/>
      <c r="E536" s="31"/>
      <c r="G536" s="2"/>
    </row>
    <row r="537" spans="1:7" ht="12.75" x14ac:dyDescent="0.2">
      <c r="A537" s="2"/>
      <c r="B537" s="2"/>
      <c r="C537" s="31"/>
      <c r="D537" s="31"/>
      <c r="E537" s="31"/>
      <c r="G537" s="2"/>
    </row>
    <row r="538" spans="1:7" ht="12.75" x14ac:dyDescent="0.2">
      <c r="A538" s="2"/>
      <c r="B538" s="2"/>
      <c r="C538" s="31"/>
      <c r="D538" s="31"/>
      <c r="E538" s="31"/>
      <c r="G538" s="2"/>
    </row>
    <row r="539" spans="1:7" ht="12.75" x14ac:dyDescent="0.2">
      <c r="A539" s="2"/>
      <c r="B539" s="2"/>
      <c r="C539" s="31"/>
      <c r="D539" s="31"/>
      <c r="E539" s="31"/>
      <c r="G539" s="2"/>
    </row>
    <row r="540" spans="1:7" ht="12.75" x14ac:dyDescent="0.2">
      <c r="A540" s="2"/>
      <c r="B540" s="2"/>
      <c r="C540" s="31"/>
      <c r="D540" s="31"/>
      <c r="E540" s="31"/>
      <c r="G540" s="2"/>
    </row>
    <row r="541" spans="1:7" ht="12.75" x14ac:dyDescent="0.2">
      <c r="A541" s="2"/>
      <c r="B541" s="2"/>
      <c r="C541" s="31"/>
      <c r="D541" s="31"/>
      <c r="E541" s="31"/>
      <c r="G541" s="2"/>
    </row>
    <row r="542" spans="1:7" ht="12.75" x14ac:dyDescent="0.2">
      <c r="A542" s="2"/>
      <c r="B542" s="2"/>
      <c r="C542" s="31"/>
      <c r="D542" s="31"/>
      <c r="E542" s="31"/>
      <c r="G542" s="2"/>
    </row>
    <row r="543" spans="1:7" ht="12.75" x14ac:dyDescent="0.2">
      <c r="A543" s="2"/>
      <c r="B543" s="2"/>
      <c r="C543" s="31"/>
      <c r="D543" s="31"/>
      <c r="E543" s="31"/>
      <c r="G543" s="2"/>
    </row>
    <row r="544" spans="1:7" ht="12.75" x14ac:dyDescent="0.2">
      <c r="A544" s="2"/>
      <c r="B544" s="2"/>
      <c r="C544" s="31"/>
      <c r="D544" s="31"/>
      <c r="E544" s="31"/>
      <c r="G544" s="2"/>
    </row>
    <row r="545" spans="1:7" ht="12.75" x14ac:dyDescent="0.2">
      <c r="A545" s="2"/>
      <c r="B545" s="2"/>
      <c r="C545" s="31"/>
      <c r="D545" s="31"/>
      <c r="E545" s="31"/>
      <c r="G545" s="2"/>
    </row>
    <row r="546" spans="1:7" ht="12.75" x14ac:dyDescent="0.2">
      <c r="A546" s="2"/>
      <c r="B546" s="2"/>
      <c r="C546" s="31"/>
      <c r="D546" s="31"/>
      <c r="E546" s="31"/>
      <c r="G546" s="2"/>
    </row>
    <row r="547" spans="1:7" ht="12.75" x14ac:dyDescent="0.2">
      <c r="A547" s="2"/>
      <c r="B547" s="2"/>
      <c r="C547" s="31"/>
      <c r="D547" s="31"/>
      <c r="E547" s="31"/>
      <c r="G547" s="2"/>
    </row>
    <row r="548" spans="1:7" ht="12.75" x14ac:dyDescent="0.2">
      <c r="A548" s="2"/>
      <c r="B548" s="2"/>
      <c r="C548" s="31"/>
      <c r="D548" s="31"/>
      <c r="E548" s="31"/>
      <c r="G548" s="2"/>
    </row>
    <row r="549" spans="1:7" ht="12.75" x14ac:dyDescent="0.2">
      <c r="A549" s="2"/>
      <c r="B549" s="2"/>
      <c r="C549" s="31"/>
      <c r="D549" s="31"/>
      <c r="E549" s="31"/>
      <c r="G549" s="2"/>
    </row>
    <row r="550" spans="1:7" ht="12.75" x14ac:dyDescent="0.2">
      <c r="A550" s="2"/>
      <c r="B550" s="2"/>
      <c r="C550" s="31"/>
      <c r="D550" s="31"/>
      <c r="E550" s="31"/>
      <c r="G550" s="2"/>
    </row>
    <row r="551" spans="1:7" ht="12.75" x14ac:dyDescent="0.2">
      <c r="A551" s="2"/>
      <c r="B551" s="2"/>
      <c r="C551" s="31"/>
      <c r="D551" s="31"/>
      <c r="E551" s="31"/>
      <c r="G551" s="2"/>
    </row>
    <row r="552" spans="1:7" ht="12.75" x14ac:dyDescent="0.2">
      <c r="A552" s="2"/>
      <c r="B552" s="2"/>
      <c r="C552" s="31"/>
      <c r="D552" s="31"/>
      <c r="E552" s="31"/>
      <c r="G552" s="2"/>
    </row>
    <row r="553" spans="1:7" ht="12.75" x14ac:dyDescent="0.2">
      <c r="A553" s="2"/>
      <c r="B553" s="2"/>
      <c r="C553" s="31"/>
      <c r="D553" s="31"/>
      <c r="E553" s="31"/>
      <c r="G553" s="2"/>
    </row>
    <row r="554" spans="1:7" ht="12.75" x14ac:dyDescent="0.2">
      <c r="A554" s="2"/>
      <c r="B554" s="2"/>
      <c r="C554" s="31"/>
      <c r="D554" s="31"/>
      <c r="E554" s="31"/>
      <c r="G554" s="2"/>
    </row>
    <row r="555" spans="1:7" ht="12.75" x14ac:dyDescent="0.2">
      <c r="A555" s="2"/>
      <c r="B555" s="2"/>
      <c r="C555" s="31"/>
      <c r="D555" s="31"/>
      <c r="E555" s="31"/>
      <c r="G555" s="2"/>
    </row>
    <row r="556" spans="1:7" ht="12.75" x14ac:dyDescent="0.2">
      <c r="A556" s="2"/>
      <c r="B556" s="2"/>
      <c r="C556" s="31"/>
      <c r="D556" s="31"/>
      <c r="E556" s="31"/>
      <c r="G556" s="2"/>
    </row>
    <row r="557" spans="1:7" ht="12.75" x14ac:dyDescent="0.2">
      <c r="A557" s="2"/>
      <c r="B557" s="2"/>
      <c r="C557" s="31"/>
      <c r="D557" s="31"/>
      <c r="E557" s="31"/>
      <c r="G557" s="2"/>
    </row>
    <row r="558" spans="1:7" ht="12.75" x14ac:dyDescent="0.2">
      <c r="A558" s="2"/>
      <c r="B558" s="2"/>
      <c r="C558" s="31"/>
      <c r="D558" s="31"/>
      <c r="E558" s="31"/>
      <c r="G558" s="2"/>
    </row>
    <row r="559" spans="1:7" ht="12.75" x14ac:dyDescent="0.2">
      <c r="A559" s="2"/>
      <c r="B559" s="2"/>
      <c r="C559" s="31"/>
      <c r="D559" s="31"/>
      <c r="E559" s="31"/>
      <c r="G559" s="2"/>
    </row>
    <row r="560" spans="1:7" ht="12.75" x14ac:dyDescent="0.2">
      <c r="A560" s="2"/>
      <c r="B560" s="2"/>
      <c r="C560" s="31"/>
      <c r="D560" s="31"/>
      <c r="E560" s="31"/>
      <c r="G560" s="2"/>
    </row>
    <row r="561" spans="1:7" ht="12.75" x14ac:dyDescent="0.2">
      <c r="A561" s="2"/>
      <c r="B561" s="2"/>
      <c r="C561" s="31"/>
      <c r="D561" s="31"/>
      <c r="E561" s="31"/>
      <c r="G561" s="2"/>
    </row>
    <row r="562" spans="1:7" ht="12.75" x14ac:dyDescent="0.2">
      <c r="A562" s="2"/>
      <c r="B562" s="2"/>
      <c r="C562" s="31"/>
      <c r="D562" s="31"/>
      <c r="E562" s="31"/>
      <c r="G562" s="2"/>
    </row>
    <row r="563" spans="1:7" ht="12.75" x14ac:dyDescent="0.2">
      <c r="A563" s="2"/>
      <c r="B563" s="2"/>
      <c r="C563" s="31"/>
      <c r="D563" s="31"/>
      <c r="E563" s="31"/>
      <c r="G563" s="2"/>
    </row>
    <row r="564" spans="1:7" ht="12.75" x14ac:dyDescent="0.2">
      <c r="A564" s="2"/>
      <c r="B564" s="2"/>
      <c r="C564" s="31"/>
      <c r="D564" s="31"/>
      <c r="E564" s="31"/>
      <c r="G564" s="2"/>
    </row>
    <row r="565" spans="1:7" ht="12.75" x14ac:dyDescent="0.2">
      <c r="A565" s="2"/>
      <c r="B565" s="2"/>
      <c r="C565" s="31"/>
      <c r="D565" s="31"/>
      <c r="E565" s="31"/>
      <c r="G565" s="2"/>
    </row>
    <row r="566" spans="1:7" ht="12.75" x14ac:dyDescent="0.2">
      <c r="A566" s="2"/>
      <c r="B566" s="2"/>
      <c r="C566" s="31"/>
      <c r="D566" s="31"/>
      <c r="E566" s="31"/>
      <c r="G566" s="2"/>
    </row>
    <row r="567" spans="1:7" ht="12.75" x14ac:dyDescent="0.2">
      <c r="A567" s="2"/>
      <c r="B567" s="2"/>
      <c r="C567" s="31"/>
      <c r="D567" s="31"/>
      <c r="E567" s="31"/>
      <c r="G567" s="2"/>
    </row>
    <row r="568" spans="1:7" ht="12.75" x14ac:dyDescent="0.2">
      <c r="A568" s="2"/>
      <c r="B568" s="2"/>
      <c r="C568" s="31"/>
      <c r="D568" s="31"/>
      <c r="E568" s="31"/>
      <c r="G568" s="2"/>
    </row>
    <row r="569" spans="1:7" ht="12.75" x14ac:dyDescent="0.2">
      <c r="A569" s="2"/>
      <c r="B569" s="2"/>
      <c r="C569" s="31"/>
      <c r="D569" s="31"/>
      <c r="E569" s="31"/>
      <c r="G569" s="2"/>
    </row>
    <row r="570" spans="1:7" ht="12.75" x14ac:dyDescent="0.2">
      <c r="A570" s="2"/>
      <c r="B570" s="2"/>
      <c r="C570" s="31"/>
      <c r="D570" s="31"/>
      <c r="E570" s="31"/>
      <c r="G570" s="2"/>
    </row>
    <row r="571" spans="1:7" ht="12.75" x14ac:dyDescent="0.2">
      <c r="A571" s="2"/>
      <c r="B571" s="2"/>
      <c r="C571" s="31"/>
      <c r="D571" s="31"/>
      <c r="E571" s="31"/>
      <c r="G571" s="2"/>
    </row>
    <row r="572" spans="1:7" ht="12.75" x14ac:dyDescent="0.2">
      <c r="A572" s="2"/>
      <c r="B572" s="2"/>
      <c r="C572" s="31"/>
      <c r="D572" s="31"/>
      <c r="E572" s="31"/>
      <c r="G572" s="2"/>
    </row>
    <row r="573" spans="1:7" ht="12.75" x14ac:dyDescent="0.2">
      <c r="A573" s="2"/>
      <c r="B573" s="2"/>
      <c r="C573" s="31"/>
      <c r="D573" s="31"/>
      <c r="E573" s="31"/>
      <c r="G573" s="2"/>
    </row>
    <row r="574" spans="1:7" ht="12.75" x14ac:dyDescent="0.2">
      <c r="A574" s="2"/>
      <c r="B574" s="2"/>
      <c r="C574" s="31"/>
      <c r="D574" s="31"/>
      <c r="E574" s="31"/>
      <c r="G574" s="2"/>
    </row>
    <row r="575" spans="1:7" ht="12.75" x14ac:dyDescent="0.2">
      <c r="A575" s="2"/>
      <c r="B575" s="2"/>
      <c r="C575" s="31"/>
      <c r="D575" s="31"/>
      <c r="E575" s="31"/>
      <c r="G575" s="2"/>
    </row>
    <row r="576" spans="1:7" ht="12.75" x14ac:dyDescent="0.2">
      <c r="A576" s="2"/>
      <c r="B576" s="2"/>
      <c r="C576" s="31"/>
      <c r="D576" s="31"/>
      <c r="E576" s="31"/>
      <c r="G576" s="2"/>
    </row>
    <row r="577" spans="1:7" ht="12.75" x14ac:dyDescent="0.2">
      <c r="A577" s="2"/>
      <c r="B577" s="2"/>
      <c r="C577" s="31"/>
      <c r="D577" s="31"/>
      <c r="E577" s="31"/>
      <c r="G577" s="2"/>
    </row>
    <row r="578" spans="1:7" ht="12.75" x14ac:dyDescent="0.2">
      <c r="A578" s="2"/>
      <c r="B578" s="2"/>
      <c r="C578" s="31"/>
      <c r="D578" s="31"/>
      <c r="E578" s="31"/>
      <c r="G578" s="2"/>
    </row>
    <row r="579" spans="1:7" ht="12.75" x14ac:dyDescent="0.2">
      <c r="A579" s="2"/>
      <c r="B579" s="2"/>
      <c r="C579" s="31"/>
      <c r="D579" s="31"/>
      <c r="E579" s="31"/>
      <c r="G579" s="2"/>
    </row>
    <row r="580" spans="1:7" ht="12.75" x14ac:dyDescent="0.2">
      <c r="A580" s="2"/>
      <c r="B580" s="2"/>
      <c r="C580" s="31"/>
      <c r="D580" s="31"/>
      <c r="E580" s="31"/>
      <c r="G580" s="2"/>
    </row>
    <row r="581" spans="1:7" ht="12.75" x14ac:dyDescent="0.2">
      <c r="A581" s="2"/>
      <c r="B581" s="2"/>
      <c r="C581" s="31"/>
      <c r="D581" s="31"/>
      <c r="E581" s="31"/>
      <c r="G581" s="2"/>
    </row>
    <row r="582" spans="1:7" ht="12.75" x14ac:dyDescent="0.2">
      <c r="A582" s="2"/>
      <c r="B582" s="2"/>
      <c r="C582" s="31"/>
      <c r="D582" s="31"/>
      <c r="E582" s="31"/>
      <c r="G582" s="2"/>
    </row>
    <row r="583" spans="1:7" ht="12.75" x14ac:dyDescent="0.2">
      <c r="A583" s="2"/>
      <c r="B583" s="2"/>
      <c r="C583" s="31"/>
      <c r="D583" s="31"/>
      <c r="E583" s="31"/>
      <c r="G583" s="2"/>
    </row>
    <row r="584" spans="1:7" ht="12.75" x14ac:dyDescent="0.2">
      <c r="A584" s="2"/>
      <c r="B584" s="2"/>
      <c r="C584" s="31"/>
      <c r="D584" s="31"/>
      <c r="E584" s="31"/>
      <c r="G584" s="2"/>
    </row>
    <row r="585" spans="1:7" ht="12.75" x14ac:dyDescent="0.2">
      <c r="A585" s="2"/>
      <c r="B585" s="2"/>
      <c r="C585" s="31"/>
      <c r="D585" s="31"/>
      <c r="E585" s="31"/>
      <c r="G585" s="2"/>
    </row>
    <row r="586" spans="1:7" ht="12.75" x14ac:dyDescent="0.2">
      <c r="A586" s="2"/>
      <c r="B586" s="2"/>
      <c r="C586" s="31"/>
      <c r="D586" s="31"/>
      <c r="E586" s="31"/>
      <c r="G586" s="2"/>
    </row>
    <row r="587" spans="1:7" ht="12.75" x14ac:dyDescent="0.2">
      <c r="A587" s="2"/>
      <c r="B587" s="2"/>
      <c r="C587" s="31"/>
      <c r="D587" s="31"/>
      <c r="E587" s="31"/>
      <c r="G587" s="2"/>
    </row>
    <row r="588" spans="1:7" ht="12.75" x14ac:dyDescent="0.2">
      <c r="A588" s="2"/>
      <c r="B588" s="2"/>
      <c r="C588" s="31"/>
      <c r="D588" s="31"/>
      <c r="E588" s="31"/>
      <c r="G588" s="2"/>
    </row>
    <row r="589" spans="1:7" ht="12.75" x14ac:dyDescent="0.2">
      <c r="A589" s="2"/>
      <c r="B589" s="2"/>
      <c r="C589" s="31"/>
      <c r="D589" s="31"/>
      <c r="E589" s="31"/>
      <c r="G589" s="2"/>
    </row>
    <row r="590" spans="1:7" ht="12.75" x14ac:dyDescent="0.2">
      <c r="A590" s="2"/>
      <c r="B590" s="2"/>
      <c r="C590" s="31"/>
      <c r="D590" s="31"/>
      <c r="E590" s="31"/>
      <c r="G590" s="2"/>
    </row>
    <row r="591" spans="1:7" ht="12.75" x14ac:dyDescent="0.2">
      <c r="A591" s="2"/>
      <c r="B591" s="2"/>
      <c r="C591" s="31"/>
      <c r="D591" s="31"/>
      <c r="E591" s="31"/>
      <c r="G591" s="2"/>
    </row>
    <row r="592" spans="1:7" ht="12.75" x14ac:dyDescent="0.2">
      <c r="A592" s="2"/>
      <c r="B592" s="2"/>
      <c r="C592" s="31"/>
      <c r="D592" s="31"/>
      <c r="E592" s="31"/>
      <c r="G592" s="2"/>
    </row>
    <row r="593" spans="1:7" ht="12.75" x14ac:dyDescent="0.2">
      <c r="A593" s="2"/>
      <c r="B593" s="2"/>
      <c r="C593" s="31"/>
      <c r="D593" s="31"/>
      <c r="E593" s="31"/>
      <c r="G593" s="2"/>
    </row>
    <row r="594" spans="1:7" ht="12.75" x14ac:dyDescent="0.2">
      <c r="A594" s="2"/>
      <c r="B594" s="2"/>
      <c r="C594" s="31"/>
      <c r="D594" s="31"/>
      <c r="E594" s="31"/>
      <c r="G594" s="2"/>
    </row>
    <row r="595" spans="1:7" ht="12.75" x14ac:dyDescent="0.2">
      <c r="A595" s="2"/>
      <c r="B595" s="2"/>
      <c r="C595" s="31"/>
      <c r="D595" s="31"/>
      <c r="E595" s="31"/>
      <c r="G595" s="2"/>
    </row>
    <row r="596" spans="1:7" ht="12.75" x14ac:dyDescent="0.2">
      <c r="A596" s="2"/>
      <c r="B596" s="2"/>
      <c r="C596" s="31"/>
      <c r="D596" s="31"/>
      <c r="E596" s="31"/>
      <c r="G596" s="2"/>
    </row>
    <row r="597" spans="1:7" ht="12.75" x14ac:dyDescent="0.2">
      <c r="A597" s="2"/>
      <c r="B597" s="2"/>
      <c r="C597" s="31"/>
      <c r="D597" s="31"/>
      <c r="E597" s="31"/>
      <c r="G597" s="2"/>
    </row>
    <row r="598" spans="1:7" ht="12.75" x14ac:dyDescent="0.2">
      <c r="A598" s="2"/>
      <c r="B598" s="2"/>
      <c r="C598" s="31"/>
      <c r="D598" s="31"/>
      <c r="E598" s="31"/>
      <c r="G598" s="2"/>
    </row>
    <row r="599" spans="1:7" ht="12.75" x14ac:dyDescent="0.2">
      <c r="A599" s="2"/>
      <c r="B599" s="2"/>
      <c r="C599" s="31"/>
      <c r="D599" s="31"/>
      <c r="E599" s="31"/>
      <c r="G599" s="2"/>
    </row>
    <row r="600" spans="1:7" ht="12.75" x14ac:dyDescent="0.2">
      <c r="A600" s="2"/>
      <c r="B600" s="2"/>
      <c r="C600" s="31"/>
      <c r="D600" s="31"/>
      <c r="E600" s="31"/>
      <c r="G600" s="2"/>
    </row>
    <row r="601" spans="1:7" ht="12.75" x14ac:dyDescent="0.2">
      <c r="A601" s="2"/>
      <c r="B601" s="2"/>
      <c r="C601" s="31"/>
      <c r="D601" s="31"/>
      <c r="E601" s="31"/>
      <c r="G601" s="2"/>
    </row>
    <row r="602" spans="1:7" ht="12.75" x14ac:dyDescent="0.2">
      <c r="A602" s="2"/>
      <c r="B602" s="2"/>
      <c r="C602" s="31"/>
      <c r="D602" s="31"/>
      <c r="E602" s="31"/>
      <c r="G602" s="2"/>
    </row>
    <row r="603" spans="1:7" ht="12.75" x14ac:dyDescent="0.2">
      <c r="A603" s="2"/>
      <c r="B603" s="2"/>
      <c r="C603" s="31"/>
      <c r="D603" s="31"/>
      <c r="E603" s="31"/>
      <c r="G603" s="2"/>
    </row>
    <row r="604" spans="1:7" ht="12.75" x14ac:dyDescent="0.2">
      <c r="A604" s="2"/>
      <c r="B604" s="2"/>
      <c r="C604" s="31"/>
      <c r="D604" s="31"/>
      <c r="E604" s="31"/>
      <c r="G604" s="2"/>
    </row>
    <row r="605" spans="1:7" ht="12.75" x14ac:dyDescent="0.2">
      <c r="A605" s="2"/>
      <c r="B605" s="2"/>
      <c r="C605" s="31"/>
      <c r="D605" s="31"/>
      <c r="E605" s="31"/>
      <c r="G605" s="2"/>
    </row>
    <row r="606" spans="1:7" ht="12.75" x14ac:dyDescent="0.2">
      <c r="A606" s="2"/>
      <c r="B606" s="2"/>
      <c r="C606" s="31"/>
      <c r="D606" s="31"/>
      <c r="E606" s="31"/>
      <c r="G606" s="2"/>
    </row>
    <row r="607" spans="1:7" ht="12.75" x14ac:dyDescent="0.2">
      <c r="A607" s="2"/>
      <c r="B607" s="2"/>
      <c r="C607" s="31"/>
      <c r="D607" s="31"/>
      <c r="E607" s="31"/>
      <c r="G607" s="2"/>
    </row>
    <row r="608" spans="1:7" ht="12.75" x14ac:dyDescent="0.2">
      <c r="A608" s="2"/>
      <c r="B608" s="2"/>
      <c r="C608" s="31"/>
      <c r="D608" s="31"/>
      <c r="E608" s="31"/>
      <c r="G608" s="2"/>
    </row>
    <row r="609" spans="1:7" ht="12.75" x14ac:dyDescent="0.2">
      <c r="A609" s="2"/>
      <c r="B609" s="2"/>
      <c r="C609" s="31"/>
      <c r="D609" s="31"/>
      <c r="E609" s="31"/>
      <c r="G609" s="2"/>
    </row>
    <row r="610" spans="1:7" ht="12.75" x14ac:dyDescent="0.2">
      <c r="A610" s="2"/>
      <c r="B610" s="2"/>
      <c r="C610" s="31"/>
      <c r="D610" s="31"/>
      <c r="E610" s="31"/>
      <c r="G610" s="2"/>
    </row>
    <row r="611" spans="1:7" ht="12.75" x14ac:dyDescent="0.2">
      <c r="A611" s="2"/>
      <c r="B611" s="2"/>
      <c r="C611" s="31"/>
      <c r="D611" s="31"/>
      <c r="E611" s="31"/>
      <c r="G611" s="2"/>
    </row>
    <row r="612" spans="1:7" ht="12.75" x14ac:dyDescent="0.2">
      <c r="A612" s="2"/>
      <c r="B612" s="2"/>
      <c r="C612" s="31"/>
      <c r="D612" s="31"/>
      <c r="E612" s="31"/>
      <c r="G612" s="2"/>
    </row>
    <row r="613" spans="1:7" ht="12.75" x14ac:dyDescent="0.2">
      <c r="A613" s="2"/>
      <c r="B613" s="2"/>
      <c r="C613" s="31"/>
      <c r="D613" s="31"/>
      <c r="E613" s="31"/>
      <c r="G613" s="2"/>
    </row>
    <row r="614" spans="1:7" ht="12.75" x14ac:dyDescent="0.2">
      <c r="A614" s="2"/>
      <c r="B614" s="2"/>
      <c r="C614" s="31"/>
      <c r="D614" s="31"/>
      <c r="E614" s="31"/>
      <c r="G614" s="2"/>
    </row>
    <row r="615" spans="1:7" ht="12.75" x14ac:dyDescent="0.2">
      <c r="A615" s="2"/>
      <c r="B615" s="2"/>
      <c r="C615" s="31"/>
      <c r="D615" s="31"/>
      <c r="E615" s="31"/>
      <c r="G615" s="2"/>
    </row>
    <row r="616" spans="1:7" ht="12.75" x14ac:dyDescent="0.2">
      <c r="A616" s="2"/>
      <c r="B616" s="2"/>
      <c r="C616" s="31"/>
      <c r="D616" s="31"/>
      <c r="E616" s="31"/>
      <c r="G616" s="2"/>
    </row>
    <row r="617" spans="1:7" ht="12.75" x14ac:dyDescent="0.2">
      <c r="A617" s="2"/>
      <c r="B617" s="2"/>
      <c r="C617" s="31"/>
      <c r="D617" s="31"/>
      <c r="E617" s="31"/>
      <c r="G617" s="2"/>
    </row>
    <row r="618" spans="1:7" ht="12.75" x14ac:dyDescent="0.2">
      <c r="A618" s="2"/>
      <c r="B618" s="2"/>
      <c r="C618" s="31"/>
      <c r="D618" s="31"/>
      <c r="E618" s="31"/>
      <c r="G618" s="2"/>
    </row>
    <row r="619" spans="1:7" ht="12.75" x14ac:dyDescent="0.2">
      <c r="A619" s="2"/>
      <c r="B619" s="2"/>
      <c r="C619" s="31"/>
      <c r="D619" s="31"/>
      <c r="E619" s="31"/>
      <c r="G619" s="2"/>
    </row>
    <row r="620" spans="1:7" ht="12.75" x14ac:dyDescent="0.2">
      <c r="A620" s="2"/>
      <c r="B620" s="2"/>
      <c r="C620" s="31"/>
      <c r="D620" s="31"/>
      <c r="E620" s="31"/>
      <c r="G620" s="2"/>
    </row>
    <row r="621" spans="1:7" ht="12.75" x14ac:dyDescent="0.2">
      <c r="A621" s="2"/>
      <c r="B621" s="2"/>
      <c r="C621" s="31"/>
      <c r="D621" s="31"/>
      <c r="E621" s="31"/>
      <c r="G621" s="2"/>
    </row>
    <row r="622" spans="1:7" ht="12.75" x14ac:dyDescent="0.2">
      <c r="A622" s="2"/>
      <c r="B622" s="2"/>
      <c r="C622" s="31"/>
      <c r="D622" s="31"/>
      <c r="E622" s="31"/>
      <c r="G622" s="2"/>
    </row>
    <row r="623" spans="1:7" ht="12.75" x14ac:dyDescent="0.2">
      <c r="A623" s="2"/>
      <c r="B623" s="2"/>
      <c r="C623" s="31"/>
      <c r="D623" s="31"/>
      <c r="E623" s="31"/>
      <c r="G623" s="2"/>
    </row>
    <row r="624" spans="1:7" ht="12.75" x14ac:dyDescent="0.2">
      <c r="A624" s="2"/>
      <c r="B624" s="2"/>
      <c r="C624" s="31"/>
      <c r="D624" s="31"/>
      <c r="E624" s="31"/>
      <c r="G624" s="2"/>
    </row>
    <row r="625" spans="1:7" ht="12.75" x14ac:dyDescent="0.2">
      <c r="A625" s="2"/>
      <c r="B625" s="2"/>
      <c r="C625" s="31"/>
      <c r="D625" s="31"/>
      <c r="E625" s="31"/>
      <c r="G625" s="2"/>
    </row>
    <row r="626" spans="1:7" ht="12.75" x14ac:dyDescent="0.2">
      <c r="A626" s="2"/>
      <c r="B626" s="2"/>
      <c r="C626" s="31"/>
      <c r="D626" s="31"/>
      <c r="E626" s="31"/>
      <c r="G626" s="2"/>
    </row>
    <row r="627" spans="1:7" ht="12.75" x14ac:dyDescent="0.2">
      <c r="A627" s="2"/>
      <c r="B627" s="2"/>
      <c r="C627" s="31"/>
      <c r="D627" s="31"/>
      <c r="E627" s="31"/>
      <c r="G627" s="2"/>
    </row>
    <row r="628" spans="1:7" ht="12.75" x14ac:dyDescent="0.2">
      <c r="A628" s="2"/>
      <c r="B628" s="2"/>
      <c r="C628" s="31"/>
      <c r="D628" s="31"/>
      <c r="E628" s="31"/>
      <c r="G628" s="2"/>
    </row>
    <row r="629" spans="1:7" ht="12.75" x14ac:dyDescent="0.2">
      <c r="A629" s="2"/>
      <c r="B629" s="2"/>
      <c r="C629" s="31"/>
      <c r="D629" s="31"/>
      <c r="E629" s="31"/>
      <c r="G629" s="2"/>
    </row>
    <row r="630" spans="1:7" ht="12.75" x14ac:dyDescent="0.2">
      <c r="A630" s="2"/>
      <c r="B630" s="2"/>
      <c r="C630" s="31"/>
      <c r="D630" s="31"/>
      <c r="E630" s="31"/>
      <c r="G630" s="2"/>
    </row>
    <row r="631" spans="1:7" ht="12.75" x14ac:dyDescent="0.2">
      <c r="A631" s="2"/>
      <c r="B631" s="2"/>
      <c r="C631" s="31"/>
      <c r="D631" s="31"/>
      <c r="E631" s="31"/>
      <c r="G631" s="2"/>
    </row>
    <row r="632" spans="1:7" ht="12.75" x14ac:dyDescent="0.2">
      <c r="A632" s="2"/>
      <c r="B632" s="2"/>
      <c r="C632" s="31"/>
      <c r="D632" s="31"/>
      <c r="E632" s="31"/>
      <c r="G632" s="2"/>
    </row>
    <row r="633" spans="1:7" ht="12.75" x14ac:dyDescent="0.2">
      <c r="A633" s="2"/>
      <c r="B633" s="2"/>
      <c r="C633" s="31"/>
      <c r="D633" s="31"/>
      <c r="E633" s="31"/>
      <c r="G633" s="2"/>
    </row>
    <row r="634" spans="1:7" ht="12.75" x14ac:dyDescent="0.2">
      <c r="A634" s="2"/>
      <c r="B634" s="2"/>
      <c r="C634" s="31"/>
      <c r="D634" s="31"/>
      <c r="E634" s="31"/>
      <c r="G634" s="2"/>
    </row>
    <row r="635" spans="1:7" ht="12.75" x14ac:dyDescent="0.2">
      <c r="A635" s="2"/>
      <c r="B635" s="2"/>
      <c r="C635" s="31"/>
      <c r="D635" s="31"/>
      <c r="E635" s="31"/>
      <c r="G635" s="2"/>
    </row>
    <row r="636" spans="1:7" ht="12.75" x14ac:dyDescent="0.2">
      <c r="A636" s="2"/>
      <c r="B636" s="2"/>
      <c r="C636" s="31"/>
      <c r="D636" s="31"/>
      <c r="E636" s="31"/>
      <c r="G636" s="2"/>
    </row>
    <row r="637" spans="1:7" ht="12.75" x14ac:dyDescent="0.2">
      <c r="A637" s="2"/>
      <c r="B637" s="2"/>
      <c r="C637" s="31"/>
      <c r="D637" s="31"/>
      <c r="E637" s="31"/>
      <c r="G637" s="2"/>
    </row>
    <row r="638" spans="1:7" ht="12.75" x14ac:dyDescent="0.2">
      <c r="A638" s="2"/>
      <c r="B638" s="2"/>
      <c r="C638" s="31"/>
      <c r="D638" s="31"/>
      <c r="E638" s="31"/>
      <c r="G638" s="2"/>
    </row>
    <row r="639" spans="1:7" ht="12.75" x14ac:dyDescent="0.2">
      <c r="A639" s="2"/>
      <c r="B639" s="2"/>
      <c r="C639" s="31"/>
      <c r="D639" s="31"/>
      <c r="E639" s="31"/>
      <c r="G639" s="2"/>
    </row>
    <row r="640" spans="1:7" ht="12.75" x14ac:dyDescent="0.2">
      <c r="A640" s="2"/>
      <c r="B640" s="2"/>
      <c r="C640" s="31"/>
      <c r="D640" s="31"/>
      <c r="E640" s="31"/>
      <c r="G640" s="2"/>
    </row>
    <row r="641" spans="1:7" ht="12.75" x14ac:dyDescent="0.2">
      <c r="A641" s="2"/>
      <c r="B641" s="2"/>
      <c r="C641" s="31"/>
      <c r="D641" s="31"/>
      <c r="E641" s="31"/>
      <c r="G641" s="2"/>
    </row>
    <row r="642" spans="1:7" ht="12.75" x14ac:dyDescent="0.2">
      <c r="A642" s="2"/>
      <c r="B642" s="2"/>
      <c r="C642" s="31"/>
      <c r="D642" s="31"/>
      <c r="E642" s="31"/>
      <c r="G642" s="2"/>
    </row>
    <row r="643" spans="1:7" ht="12.75" x14ac:dyDescent="0.2">
      <c r="A643" s="2"/>
      <c r="B643" s="2"/>
      <c r="C643" s="31"/>
      <c r="D643" s="31"/>
      <c r="E643" s="31"/>
      <c r="G643" s="2"/>
    </row>
    <row r="644" spans="1:7" ht="12.75" x14ac:dyDescent="0.2">
      <c r="A644" s="2"/>
      <c r="B644" s="2"/>
      <c r="C644" s="31"/>
      <c r="D644" s="31"/>
      <c r="E644" s="31"/>
      <c r="G644" s="2"/>
    </row>
    <row r="645" spans="1:7" ht="12.75" x14ac:dyDescent="0.2">
      <c r="A645" s="2"/>
      <c r="B645" s="2"/>
      <c r="C645" s="31"/>
      <c r="D645" s="31"/>
      <c r="E645" s="31"/>
      <c r="G645" s="2"/>
    </row>
    <row r="646" spans="1:7" ht="12.75" x14ac:dyDescent="0.2">
      <c r="A646" s="2"/>
      <c r="B646" s="2"/>
      <c r="C646" s="31"/>
      <c r="D646" s="31"/>
      <c r="E646" s="31"/>
      <c r="G646" s="2"/>
    </row>
    <row r="647" spans="1:7" ht="12.75" x14ac:dyDescent="0.2">
      <c r="A647" s="2"/>
      <c r="B647" s="2"/>
      <c r="C647" s="31"/>
      <c r="D647" s="31"/>
      <c r="E647" s="31"/>
      <c r="G647" s="2"/>
    </row>
    <row r="648" spans="1:7" ht="12.75" x14ac:dyDescent="0.2">
      <c r="A648" s="2"/>
      <c r="B648" s="2"/>
      <c r="C648" s="31"/>
      <c r="D648" s="31"/>
      <c r="E648" s="31"/>
      <c r="G648" s="2"/>
    </row>
    <row r="649" spans="1:7" ht="12.75" x14ac:dyDescent="0.2">
      <c r="A649" s="2"/>
      <c r="B649" s="2"/>
      <c r="C649" s="31"/>
      <c r="D649" s="31"/>
      <c r="E649" s="31"/>
      <c r="G649" s="2"/>
    </row>
    <row r="650" spans="1:7" ht="12.75" x14ac:dyDescent="0.2">
      <c r="A650" s="2"/>
      <c r="B650" s="2"/>
      <c r="C650" s="31"/>
      <c r="D650" s="31"/>
      <c r="E650" s="31"/>
      <c r="G650" s="2"/>
    </row>
    <row r="651" spans="1:7" ht="12.75" x14ac:dyDescent="0.2">
      <c r="A651" s="2"/>
      <c r="B651" s="2"/>
      <c r="C651" s="31"/>
      <c r="D651" s="31"/>
      <c r="E651" s="31"/>
      <c r="G651" s="2"/>
    </row>
    <row r="652" spans="1:7" ht="12.75" x14ac:dyDescent="0.2">
      <c r="A652" s="2"/>
      <c r="B652" s="2"/>
      <c r="C652" s="31"/>
      <c r="D652" s="31"/>
      <c r="E652" s="31"/>
      <c r="G652" s="2"/>
    </row>
    <row r="653" spans="1:7" ht="12.75" x14ac:dyDescent="0.2">
      <c r="A653" s="2"/>
      <c r="B653" s="2"/>
      <c r="C653" s="31"/>
      <c r="D653" s="31"/>
      <c r="E653" s="31"/>
      <c r="G653" s="2"/>
    </row>
    <row r="654" spans="1:7" ht="12.75" x14ac:dyDescent="0.2">
      <c r="A654" s="2"/>
      <c r="B654" s="2"/>
      <c r="C654" s="31"/>
      <c r="D654" s="31"/>
      <c r="E654" s="31"/>
      <c r="G654" s="2"/>
    </row>
    <row r="655" spans="1:7" ht="12.75" x14ac:dyDescent="0.2">
      <c r="A655" s="2"/>
      <c r="B655" s="2"/>
      <c r="C655" s="31"/>
      <c r="D655" s="31"/>
      <c r="E655" s="31"/>
      <c r="G655" s="2"/>
    </row>
    <row r="656" spans="1:7" ht="12.75" x14ac:dyDescent="0.2">
      <c r="A656" s="2"/>
      <c r="B656" s="2"/>
      <c r="C656" s="31"/>
      <c r="D656" s="31"/>
      <c r="E656" s="31"/>
      <c r="G656" s="2"/>
    </row>
    <row r="657" spans="1:7" ht="12.75" x14ac:dyDescent="0.2">
      <c r="A657" s="2"/>
      <c r="B657" s="2"/>
      <c r="C657" s="31"/>
      <c r="D657" s="31"/>
      <c r="E657" s="31"/>
      <c r="G657" s="2"/>
    </row>
    <row r="658" spans="1:7" ht="12.75" x14ac:dyDescent="0.2">
      <c r="A658" s="2"/>
      <c r="B658" s="2"/>
      <c r="C658" s="31"/>
      <c r="D658" s="31"/>
      <c r="E658" s="31"/>
      <c r="G658" s="2"/>
    </row>
    <row r="659" spans="1:7" ht="12.75" x14ac:dyDescent="0.2">
      <c r="A659" s="2"/>
      <c r="B659" s="2"/>
      <c r="C659" s="31"/>
      <c r="D659" s="31"/>
      <c r="E659" s="31"/>
      <c r="G659" s="2"/>
    </row>
    <row r="660" spans="1:7" ht="12.75" x14ac:dyDescent="0.2">
      <c r="A660" s="2"/>
      <c r="B660" s="2"/>
      <c r="C660" s="31"/>
      <c r="D660" s="31"/>
      <c r="E660" s="31"/>
      <c r="G660" s="2"/>
    </row>
    <row r="661" spans="1:7" ht="12.75" x14ac:dyDescent="0.2">
      <c r="A661" s="2"/>
      <c r="B661" s="2"/>
      <c r="C661" s="31"/>
      <c r="D661" s="31"/>
      <c r="E661" s="31"/>
      <c r="G661" s="2"/>
    </row>
    <row r="662" spans="1:7" ht="12.75" x14ac:dyDescent="0.2">
      <c r="A662" s="2"/>
      <c r="B662" s="2"/>
      <c r="C662" s="31"/>
      <c r="D662" s="31"/>
      <c r="E662" s="31"/>
      <c r="G662" s="2"/>
    </row>
    <row r="663" spans="1:7" ht="12.75" x14ac:dyDescent="0.2">
      <c r="A663" s="2"/>
      <c r="B663" s="2"/>
      <c r="C663" s="31"/>
      <c r="D663" s="31"/>
      <c r="E663" s="31"/>
      <c r="G663" s="2"/>
    </row>
    <row r="664" spans="1:7" ht="12.75" x14ac:dyDescent="0.2">
      <c r="A664" s="2"/>
      <c r="B664" s="2"/>
      <c r="C664" s="31"/>
      <c r="D664" s="31"/>
      <c r="E664" s="31"/>
      <c r="G664" s="2"/>
    </row>
    <row r="665" spans="1:7" ht="12.75" x14ac:dyDescent="0.2">
      <c r="A665" s="2"/>
      <c r="B665" s="2"/>
      <c r="C665" s="31"/>
      <c r="D665" s="31"/>
      <c r="E665" s="31"/>
      <c r="G665" s="2"/>
    </row>
    <row r="666" spans="1:7" ht="12.75" x14ac:dyDescent="0.2">
      <c r="A666" s="2"/>
      <c r="B666" s="2"/>
      <c r="C666" s="31"/>
      <c r="D666" s="31"/>
      <c r="E666" s="31"/>
      <c r="G666" s="2"/>
    </row>
    <row r="667" spans="1:7" ht="12.75" x14ac:dyDescent="0.2">
      <c r="A667" s="2"/>
      <c r="B667" s="2"/>
      <c r="C667" s="31"/>
      <c r="D667" s="31"/>
      <c r="E667" s="31"/>
      <c r="G667" s="2"/>
    </row>
    <row r="668" spans="1:7" ht="12.75" x14ac:dyDescent="0.2">
      <c r="A668" s="2"/>
      <c r="B668" s="2"/>
      <c r="C668" s="31"/>
      <c r="D668" s="31"/>
      <c r="E668" s="31"/>
      <c r="G668" s="2"/>
    </row>
    <row r="669" spans="1:7" ht="12.75" x14ac:dyDescent="0.2">
      <c r="A669" s="2"/>
      <c r="B669" s="2"/>
      <c r="C669" s="31"/>
      <c r="D669" s="31"/>
      <c r="E669" s="31"/>
      <c r="G669" s="2"/>
    </row>
    <row r="670" spans="1:7" ht="12.75" x14ac:dyDescent="0.2">
      <c r="A670" s="2"/>
      <c r="B670" s="2"/>
      <c r="C670" s="31"/>
      <c r="D670" s="31"/>
      <c r="E670" s="31"/>
      <c r="G670" s="2"/>
    </row>
    <row r="671" spans="1:7" ht="12.75" x14ac:dyDescent="0.2">
      <c r="A671" s="2"/>
      <c r="B671" s="2"/>
      <c r="C671" s="31"/>
      <c r="D671" s="31"/>
      <c r="E671" s="31"/>
      <c r="G671" s="2"/>
    </row>
    <row r="672" spans="1:7" ht="12.75" x14ac:dyDescent="0.2">
      <c r="A672" s="2"/>
      <c r="B672" s="2"/>
      <c r="C672" s="31"/>
      <c r="D672" s="31"/>
      <c r="E672" s="31"/>
      <c r="G672" s="2"/>
    </row>
    <row r="673" spans="1:7" ht="12.75" x14ac:dyDescent="0.2">
      <c r="A673" s="2"/>
      <c r="B673" s="2"/>
      <c r="C673" s="31"/>
      <c r="D673" s="31"/>
      <c r="E673" s="31"/>
      <c r="G673" s="2"/>
    </row>
    <row r="674" spans="1:7" ht="12.75" x14ac:dyDescent="0.2">
      <c r="A674" s="2"/>
      <c r="B674" s="2"/>
      <c r="C674" s="31"/>
      <c r="D674" s="31"/>
      <c r="E674" s="31"/>
      <c r="G674" s="2"/>
    </row>
    <row r="675" spans="1:7" ht="12.75" x14ac:dyDescent="0.2">
      <c r="A675" s="2"/>
      <c r="B675" s="2"/>
      <c r="C675" s="31"/>
      <c r="D675" s="31"/>
      <c r="E675" s="31"/>
      <c r="G675" s="2"/>
    </row>
    <row r="676" spans="1:7" ht="12.75" x14ac:dyDescent="0.2">
      <c r="A676" s="2"/>
      <c r="B676" s="2"/>
      <c r="C676" s="31"/>
      <c r="D676" s="31"/>
      <c r="E676" s="31"/>
      <c r="G676" s="2"/>
    </row>
    <row r="677" spans="1:7" ht="12.75" x14ac:dyDescent="0.2">
      <c r="A677" s="2"/>
      <c r="B677" s="2"/>
      <c r="C677" s="31"/>
      <c r="D677" s="31"/>
      <c r="E677" s="31"/>
      <c r="G677" s="2"/>
    </row>
    <row r="678" spans="1:7" ht="12.75" x14ac:dyDescent="0.2">
      <c r="A678" s="2"/>
      <c r="B678" s="2"/>
      <c r="C678" s="31"/>
      <c r="D678" s="31"/>
      <c r="E678" s="31"/>
      <c r="G678" s="2"/>
    </row>
    <row r="679" spans="1:7" ht="12.75" x14ac:dyDescent="0.2">
      <c r="A679" s="2"/>
      <c r="B679" s="2"/>
      <c r="C679" s="31"/>
      <c r="D679" s="31"/>
      <c r="E679" s="31"/>
      <c r="G679" s="2"/>
    </row>
    <row r="680" spans="1:7" ht="12.75" x14ac:dyDescent="0.2">
      <c r="A680" s="2"/>
      <c r="B680" s="2"/>
      <c r="C680" s="31"/>
      <c r="D680" s="31"/>
      <c r="E680" s="31"/>
      <c r="G680" s="2"/>
    </row>
    <row r="681" spans="1:7" ht="12.75" x14ac:dyDescent="0.2">
      <c r="A681" s="2"/>
      <c r="B681" s="2"/>
      <c r="C681" s="31"/>
      <c r="D681" s="31"/>
      <c r="E681" s="31"/>
      <c r="G681" s="2"/>
    </row>
    <row r="682" spans="1:7" ht="12.75" x14ac:dyDescent="0.2">
      <c r="A682" s="2"/>
      <c r="B682" s="2"/>
      <c r="C682" s="31"/>
      <c r="D682" s="31"/>
      <c r="E682" s="31"/>
      <c r="G682" s="2"/>
    </row>
    <row r="683" spans="1:7" ht="12.75" x14ac:dyDescent="0.2">
      <c r="A683" s="2"/>
      <c r="B683" s="2"/>
      <c r="C683" s="31"/>
      <c r="D683" s="31"/>
      <c r="E683" s="31"/>
      <c r="G683" s="2"/>
    </row>
    <row r="684" spans="1:7" ht="12.75" x14ac:dyDescent="0.2">
      <c r="A684" s="2"/>
      <c r="B684" s="2"/>
      <c r="C684" s="31"/>
      <c r="D684" s="31"/>
      <c r="E684" s="31"/>
      <c r="G684" s="2"/>
    </row>
    <row r="685" spans="1:7" ht="12.75" x14ac:dyDescent="0.2">
      <c r="A685" s="2"/>
      <c r="B685" s="2"/>
      <c r="C685" s="31"/>
      <c r="D685" s="31"/>
      <c r="E685" s="31"/>
      <c r="G685" s="2"/>
    </row>
    <row r="686" spans="1:7" ht="12.75" x14ac:dyDescent="0.2">
      <c r="A686" s="2"/>
      <c r="B686" s="2"/>
      <c r="C686" s="31"/>
      <c r="D686" s="31"/>
      <c r="E686" s="31"/>
      <c r="G686" s="2"/>
    </row>
    <row r="687" spans="1:7" ht="12.75" x14ac:dyDescent="0.2">
      <c r="A687" s="2"/>
      <c r="B687" s="2"/>
      <c r="C687" s="31"/>
      <c r="D687" s="31"/>
      <c r="E687" s="31"/>
      <c r="G687" s="2"/>
    </row>
    <row r="688" spans="1:7" ht="12.75" x14ac:dyDescent="0.2">
      <c r="A688" s="2"/>
      <c r="B688" s="2"/>
      <c r="C688" s="31"/>
      <c r="D688" s="31"/>
      <c r="E688" s="31"/>
      <c r="G688" s="2"/>
    </row>
    <row r="689" spans="1:7" ht="12.75" x14ac:dyDescent="0.2">
      <c r="A689" s="2"/>
      <c r="B689" s="2"/>
      <c r="C689" s="31"/>
      <c r="D689" s="31"/>
      <c r="E689" s="31"/>
      <c r="G689" s="2"/>
    </row>
    <row r="690" spans="1:7" ht="12.75" x14ac:dyDescent="0.2">
      <c r="A690" s="2"/>
      <c r="B690" s="2"/>
      <c r="C690" s="31"/>
      <c r="D690" s="31"/>
      <c r="E690" s="31"/>
      <c r="G690" s="2"/>
    </row>
    <row r="691" spans="1:7" ht="12.75" x14ac:dyDescent="0.2">
      <c r="A691" s="2"/>
      <c r="B691" s="2"/>
      <c r="C691" s="31"/>
      <c r="D691" s="31"/>
      <c r="E691" s="31"/>
      <c r="G691" s="2"/>
    </row>
    <row r="692" spans="1:7" ht="12.75" x14ac:dyDescent="0.2">
      <c r="A692" s="2"/>
      <c r="B692" s="2"/>
      <c r="C692" s="31"/>
      <c r="D692" s="31"/>
      <c r="E692" s="31"/>
      <c r="G692" s="2"/>
    </row>
    <row r="693" spans="1:7" ht="12.75" x14ac:dyDescent="0.2">
      <c r="A693" s="2"/>
      <c r="B693" s="2"/>
      <c r="C693" s="31"/>
      <c r="D693" s="31"/>
      <c r="E693" s="31"/>
      <c r="G693" s="2"/>
    </row>
    <row r="694" spans="1:7" ht="12.75" x14ac:dyDescent="0.2">
      <c r="A694" s="2"/>
      <c r="B694" s="2"/>
      <c r="C694" s="31"/>
      <c r="D694" s="31"/>
      <c r="E694" s="31"/>
      <c r="G694" s="2"/>
    </row>
    <row r="695" spans="1:7" ht="12.75" x14ac:dyDescent="0.2">
      <c r="A695" s="2"/>
      <c r="B695" s="2"/>
      <c r="C695" s="31"/>
      <c r="D695" s="31"/>
      <c r="E695" s="31"/>
      <c r="G695" s="2"/>
    </row>
    <row r="696" spans="1:7" ht="12.75" x14ac:dyDescent="0.2">
      <c r="A696" s="2"/>
      <c r="B696" s="2"/>
      <c r="C696" s="31"/>
      <c r="D696" s="31"/>
      <c r="E696" s="31"/>
      <c r="G696" s="2"/>
    </row>
    <row r="697" spans="1:7" ht="12.75" x14ac:dyDescent="0.2">
      <c r="A697" s="2"/>
      <c r="B697" s="2"/>
      <c r="C697" s="31"/>
      <c r="D697" s="31"/>
      <c r="E697" s="31"/>
      <c r="G697" s="2"/>
    </row>
    <row r="698" spans="1:7" ht="12.75" x14ac:dyDescent="0.2">
      <c r="A698" s="2"/>
      <c r="B698" s="2"/>
      <c r="C698" s="31"/>
      <c r="D698" s="31"/>
      <c r="E698" s="31"/>
      <c r="G698" s="2"/>
    </row>
    <row r="699" spans="1:7" ht="12.75" x14ac:dyDescent="0.2">
      <c r="A699" s="2"/>
      <c r="B699" s="2"/>
      <c r="C699" s="31"/>
      <c r="D699" s="31"/>
      <c r="E699" s="31"/>
      <c r="G699" s="2"/>
    </row>
    <row r="700" spans="1:7" ht="12.75" x14ac:dyDescent="0.2">
      <c r="A700" s="2"/>
      <c r="B700" s="2"/>
      <c r="C700" s="31"/>
      <c r="D700" s="31"/>
      <c r="E700" s="31"/>
      <c r="G700" s="2"/>
    </row>
    <row r="701" spans="1:7" ht="12.75" x14ac:dyDescent="0.2">
      <c r="A701" s="2"/>
      <c r="B701" s="2"/>
      <c r="C701" s="31"/>
      <c r="D701" s="31"/>
      <c r="E701" s="31"/>
      <c r="G701" s="2"/>
    </row>
    <row r="702" spans="1:7" ht="12.75" x14ac:dyDescent="0.2">
      <c r="A702" s="2"/>
      <c r="B702" s="2"/>
      <c r="C702" s="31"/>
      <c r="D702" s="31"/>
      <c r="E702" s="31"/>
      <c r="G702" s="2"/>
    </row>
    <row r="703" spans="1:7" ht="12.75" x14ac:dyDescent="0.2">
      <c r="A703" s="2"/>
      <c r="B703" s="2"/>
      <c r="C703" s="31"/>
      <c r="D703" s="31"/>
      <c r="E703" s="31"/>
      <c r="G703" s="2"/>
    </row>
    <row r="704" spans="1:7" ht="12.75" x14ac:dyDescent="0.2">
      <c r="A704" s="2"/>
      <c r="B704" s="2"/>
      <c r="C704" s="31"/>
      <c r="D704" s="31"/>
      <c r="E704" s="31"/>
      <c r="G704" s="2"/>
    </row>
    <row r="705" spans="1:7" ht="12.75" x14ac:dyDescent="0.2">
      <c r="A705" s="2"/>
      <c r="B705" s="2"/>
      <c r="C705" s="31"/>
      <c r="D705" s="31"/>
      <c r="E705" s="31"/>
      <c r="G705" s="2"/>
    </row>
    <row r="706" spans="1:7" ht="12.75" x14ac:dyDescent="0.2">
      <c r="A706" s="2"/>
      <c r="B706" s="2"/>
      <c r="C706" s="31"/>
      <c r="D706" s="31"/>
      <c r="E706" s="31"/>
      <c r="G706" s="2"/>
    </row>
    <row r="707" spans="1:7" ht="12.75" x14ac:dyDescent="0.2">
      <c r="A707" s="2"/>
      <c r="B707" s="2"/>
      <c r="C707" s="31"/>
      <c r="D707" s="31"/>
      <c r="E707" s="31"/>
      <c r="G707" s="2"/>
    </row>
    <row r="708" spans="1:7" ht="12.75" x14ac:dyDescent="0.2">
      <c r="A708" s="2"/>
      <c r="B708" s="2"/>
      <c r="C708" s="31"/>
      <c r="D708" s="31"/>
      <c r="E708" s="31"/>
      <c r="G708" s="2"/>
    </row>
    <row r="709" spans="1:7" ht="12.75" x14ac:dyDescent="0.2">
      <c r="A709" s="2"/>
      <c r="B709" s="2"/>
      <c r="C709" s="31"/>
      <c r="D709" s="31"/>
      <c r="E709" s="31"/>
      <c r="G709" s="2"/>
    </row>
    <row r="710" spans="1:7" ht="12.75" x14ac:dyDescent="0.2">
      <c r="A710" s="2"/>
      <c r="B710" s="2"/>
      <c r="C710" s="31"/>
      <c r="D710" s="31"/>
      <c r="E710" s="31"/>
      <c r="G710" s="2"/>
    </row>
    <row r="711" spans="1:7" ht="12.75" x14ac:dyDescent="0.2">
      <c r="A711" s="2"/>
      <c r="B711" s="2"/>
      <c r="C711" s="31"/>
      <c r="D711" s="31"/>
      <c r="E711" s="31"/>
      <c r="G711" s="2"/>
    </row>
    <row r="712" spans="1:7" ht="12.75" x14ac:dyDescent="0.2">
      <c r="A712" s="2"/>
      <c r="B712" s="2"/>
      <c r="C712" s="31"/>
      <c r="D712" s="31"/>
      <c r="E712" s="31"/>
      <c r="G712" s="2"/>
    </row>
    <row r="713" spans="1:7" ht="12.75" x14ac:dyDescent="0.2">
      <c r="A713" s="2"/>
      <c r="B713" s="2"/>
      <c r="C713" s="31"/>
      <c r="D713" s="31"/>
      <c r="E713" s="31"/>
      <c r="G713" s="2"/>
    </row>
    <row r="714" spans="1:7" ht="12.75" x14ac:dyDescent="0.2">
      <c r="A714" s="2"/>
      <c r="B714" s="2"/>
      <c r="C714" s="31"/>
      <c r="D714" s="31"/>
      <c r="E714" s="31"/>
      <c r="G714" s="2"/>
    </row>
    <row r="715" spans="1:7" ht="12.75" x14ac:dyDescent="0.2">
      <c r="A715" s="2"/>
      <c r="B715" s="2"/>
      <c r="C715" s="31"/>
      <c r="D715" s="31"/>
      <c r="E715" s="31"/>
      <c r="G715" s="2"/>
    </row>
    <row r="716" spans="1:7" ht="12.75" x14ac:dyDescent="0.2">
      <c r="A716" s="2"/>
      <c r="B716" s="2"/>
      <c r="C716" s="31"/>
      <c r="D716" s="31"/>
      <c r="E716" s="31"/>
      <c r="G716" s="2"/>
    </row>
    <row r="717" spans="1:7" ht="12.75" x14ac:dyDescent="0.2">
      <c r="A717" s="2"/>
      <c r="B717" s="2"/>
      <c r="C717" s="31"/>
      <c r="D717" s="31"/>
      <c r="E717" s="31"/>
      <c r="G717" s="2"/>
    </row>
    <row r="718" spans="1:7" ht="12.75" x14ac:dyDescent="0.2">
      <c r="A718" s="2"/>
      <c r="B718" s="2"/>
      <c r="C718" s="31"/>
      <c r="D718" s="31"/>
      <c r="E718" s="31"/>
      <c r="G718" s="2"/>
    </row>
    <row r="719" spans="1:7" ht="12.75" x14ac:dyDescent="0.2">
      <c r="A719" s="2"/>
      <c r="B719" s="2"/>
      <c r="C719" s="31"/>
      <c r="D719" s="31"/>
      <c r="E719" s="31"/>
      <c r="G719" s="2"/>
    </row>
    <row r="720" spans="1:7" ht="12.75" x14ac:dyDescent="0.2">
      <c r="A720" s="2"/>
      <c r="B720" s="2"/>
      <c r="C720" s="31"/>
      <c r="D720" s="31"/>
      <c r="E720" s="31"/>
      <c r="G720" s="2"/>
    </row>
    <row r="721" spans="1:7" ht="12.75" x14ac:dyDescent="0.2">
      <c r="A721" s="2"/>
      <c r="B721" s="2"/>
      <c r="C721" s="31"/>
      <c r="D721" s="31"/>
      <c r="E721" s="31"/>
      <c r="G721" s="2"/>
    </row>
    <row r="722" spans="1:7" ht="12.75" x14ac:dyDescent="0.2">
      <c r="A722" s="2"/>
      <c r="B722" s="2"/>
      <c r="C722" s="31"/>
      <c r="D722" s="31"/>
      <c r="E722" s="31"/>
      <c r="G722" s="2"/>
    </row>
    <row r="723" spans="1:7" ht="12.75" x14ac:dyDescent="0.2">
      <c r="A723" s="2"/>
      <c r="B723" s="2"/>
      <c r="C723" s="31"/>
      <c r="D723" s="31"/>
      <c r="E723" s="31"/>
      <c r="G723" s="2"/>
    </row>
    <row r="724" spans="1:7" ht="12.75" x14ac:dyDescent="0.2">
      <c r="A724" s="2"/>
      <c r="B724" s="2"/>
      <c r="C724" s="31"/>
      <c r="D724" s="31"/>
      <c r="E724" s="31"/>
      <c r="G724" s="2"/>
    </row>
    <row r="725" spans="1:7" ht="12.75" x14ac:dyDescent="0.2">
      <c r="A725" s="2"/>
      <c r="B725" s="2"/>
      <c r="C725" s="31"/>
      <c r="D725" s="31"/>
      <c r="E725" s="31"/>
      <c r="G725" s="2"/>
    </row>
    <row r="726" spans="1:7" ht="12.75" x14ac:dyDescent="0.2">
      <c r="A726" s="2"/>
      <c r="B726" s="2"/>
      <c r="C726" s="31"/>
      <c r="D726" s="31"/>
      <c r="E726" s="31"/>
      <c r="G726" s="2"/>
    </row>
    <row r="727" spans="1:7" ht="12.75" x14ac:dyDescent="0.2">
      <c r="A727" s="2"/>
      <c r="B727" s="2"/>
      <c r="C727" s="31"/>
      <c r="D727" s="31"/>
      <c r="E727" s="31"/>
      <c r="G727" s="2"/>
    </row>
    <row r="728" spans="1:7" ht="12.75" x14ac:dyDescent="0.2">
      <c r="A728" s="2"/>
      <c r="B728" s="2"/>
      <c r="C728" s="31"/>
      <c r="D728" s="31"/>
      <c r="E728" s="31"/>
      <c r="G728" s="2"/>
    </row>
    <row r="729" spans="1:7" ht="12.75" x14ac:dyDescent="0.2">
      <c r="A729" s="2"/>
      <c r="B729" s="2"/>
      <c r="C729" s="31"/>
      <c r="D729" s="31"/>
      <c r="E729" s="31"/>
      <c r="G729" s="2"/>
    </row>
    <row r="730" spans="1:7" ht="12.75" x14ac:dyDescent="0.2">
      <c r="A730" s="2"/>
      <c r="B730" s="2"/>
      <c r="C730" s="31"/>
      <c r="D730" s="31"/>
      <c r="E730" s="31"/>
      <c r="G730" s="2"/>
    </row>
    <row r="731" spans="1:7" ht="12.75" x14ac:dyDescent="0.2">
      <c r="A731" s="2"/>
      <c r="B731" s="2"/>
      <c r="C731" s="31"/>
      <c r="D731" s="31"/>
      <c r="E731" s="31"/>
      <c r="G731" s="2"/>
    </row>
    <row r="732" spans="1:7" ht="12.75" x14ac:dyDescent="0.2">
      <c r="A732" s="2"/>
      <c r="B732" s="2"/>
      <c r="C732" s="31"/>
      <c r="D732" s="31"/>
      <c r="E732" s="31"/>
      <c r="G732" s="2"/>
    </row>
    <row r="733" spans="1:7" ht="12.75" x14ac:dyDescent="0.2">
      <c r="A733" s="2"/>
      <c r="B733" s="2"/>
      <c r="C733" s="31"/>
      <c r="D733" s="31"/>
      <c r="E733" s="31"/>
      <c r="G733" s="2"/>
    </row>
    <row r="734" spans="1:7" ht="12.75" x14ac:dyDescent="0.2">
      <c r="A734" s="2"/>
      <c r="B734" s="2"/>
      <c r="C734" s="31"/>
      <c r="D734" s="31"/>
      <c r="E734" s="31"/>
      <c r="G734" s="2"/>
    </row>
    <row r="735" spans="1:7" ht="12.75" x14ac:dyDescent="0.2">
      <c r="A735" s="2"/>
      <c r="B735" s="2"/>
      <c r="C735" s="31"/>
      <c r="D735" s="31"/>
      <c r="E735" s="31"/>
      <c r="G735" s="2"/>
    </row>
    <row r="736" spans="1:7" ht="12.75" x14ac:dyDescent="0.2">
      <c r="A736" s="2"/>
      <c r="B736" s="2"/>
      <c r="C736" s="31"/>
      <c r="D736" s="31"/>
      <c r="E736" s="31"/>
      <c r="G736" s="2"/>
    </row>
    <row r="737" spans="1:7" ht="12.75" x14ac:dyDescent="0.2">
      <c r="A737" s="2"/>
      <c r="B737" s="2"/>
      <c r="C737" s="31"/>
      <c r="D737" s="31"/>
      <c r="E737" s="31"/>
      <c r="G737" s="2"/>
    </row>
    <row r="738" spans="1:7" ht="12.75" x14ac:dyDescent="0.2">
      <c r="A738" s="2"/>
      <c r="B738" s="2"/>
      <c r="C738" s="31"/>
      <c r="D738" s="31"/>
      <c r="E738" s="31"/>
      <c r="G738" s="2"/>
    </row>
    <row r="739" spans="1:7" ht="12.75" x14ac:dyDescent="0.2">
      <c r="A739" s="2"/>
      <c r="B739" s="2"/>
      <c r="C739" s="31"/>
      <c r="D739" s="31"/>
      <c r="E739" s="31"/>
      <c r="G739" s="2"/>
    </row>
    <row r="740" spans="1:7" ht="12.75" x14ac:dyDescent="0.2">
      <c r="A740" s="2"/>
      <c r="B740" s="2"/>
      <c r="C740" s="31"/>
      <c r="D740" s="31"/>
      <c r="E740" s="31"/>
      <c r="G740" s="2"/>
    </row>
    <row r="741" spans="1:7" ht="12.75" x14ac:dyDescent="0.2">
      <c r="A741" s="2"/>
      <c r="B741" s="2"/>
      <c r="C741" s="31"/>
      <c r="D741" s="31"/>
      <c r="E741" s="31"/>
      <c r="G741" s="2"/>
    </row>
    <row r="742" spans="1:7" ht="12.75" x14ac:dyDescent="0.2">
      <c r="A742" s="2"/>
      <c r="B742" s="2"/>
      <c r="C742" s="31"/>
      <c r="D742" s="31"/>
      <c r="E742" s="31"/>
      <c r="G742" s="2"/>
    </row>
    <row r="743" spans="1:7" ht="12.75" x14ac:dyDescent="0.2">
      <c r="A743" s="2"/>
      <c r="B743" s="2"/>
      <c r="C743" s="31"/>
      <c r="D743" s="31"/>
      <c r="E743" s="31"/>
      <c r="G743" s="2"/>
    </row>
    <row r="744" spans="1:7" ht="12.75" x14ac:dyDescent="0.2">
      <c r="A744" s="2"/>
      <c r="B744" s="2"/>
      <c r="C744" s="31"/>
      <c r="D744" s="31"/>
      <c r="E744" s="31"/>
      <c r="G744" s="2"/>
    </row>
    <row r="745" spans="1:7" ht="12.75" x14ac:dyDescent="0.2">
      <c r="A745" s="2"/>
      <c r="B745" s="2"/>
      <c r="C745" s="31"/>
      <c r="D745" s="31"/>
      <c r="E745" s="31"/>
      <c r="G745" s="2"/>
    </row>
    <row r="746" spans="1:7" ht="12.75" x14ac:dyDescent="0.2">
      <c r="A746" s="2"/>
      <c r="B746" s="2"/>
      <c r="C746" s="31"/>
      <c r="D746" s="31"/>
      <c r="E746" s="31"/>
      <c r="G746" s="2"/>
    </row>
    <row r="747" spans="1:7" ht="12.75" x14ac:dyDescent="0.2">
      <c r="A747" s="2"/>
      <c r="B747" s="2"/>
      <c r="C747" s="31"/>
      <c r="D747" s="31"/>
      <c r="E747" s="31"/>
      <c r="G747" s="2"/>
    </row>
    <row r="748" spans="1:7" ht="12.75" x14ac:dyDescent="0.2">
      <c r="A748" s="2"/>
      <c r="B748" s="2"/>
      <c r="C748" s="31"/>
      <c r="D748" s="31"/>
      <c r="E748" s="31"/>
      <c r="G748" s="2"/>
    </row>
    <row r="749" spans="1:7" ht="12.75" x14ac:dyDescent="0.2">
      <c r="A749" s="2"/>
      <c r="B749" s="2"/>
      <c r="C749" s="31"/>
      <c r="D749" s="31"/>
      <c r="E749" s="31"/>
      <c r="G749" s="2"/>
    </row>
    <row r="750" spans="1:7" ht="12.75" x14ac:dyDescent="0.2">
      <c r="A750" s="2"/>
      <c r="B750" s="2"/>
      <c r="C750" s="31"/>
      <c r="D750" s="31"/>
      <c r="E750" s="31"/>
      <c r="G750" s="2"/>
    </row>
    <row r="751" spans="1:7" ht="12.75" x14ac:dyDescent="0.2">
      <c r="A751" s="2"/>
      <c r="B751" s="2"/>
      <c r="C751" s="31"/>
      <c r="D751" s="31"/>
      <c r="E751" s="31"/>
      <c r="G751" s="2"/>
    </row>
    <row r="752" spans="1:7" ht="12.75" x14ac:dyDescent="0.2">
      <c r="A752" s="2"/>
      <c r="B752" s="2"/>
      <c r="C752" s="31"/>
      <c r="D752" s="31"/>
      <c r="E752" s="31"/>
      <c r="G752" s="2"/>
    </row>
    <row r="753" spans="1:7" ht="12.75" x14ac:dyDescent="0.2">
      <c r="A753" s="2"/>
      <c r="B753" s="2"/>
      <c r="C753" s="31"/>
      <c r="D753" s="31"/>
      <c r="E753" s="31"/>
      <c r="G753" s="2"/>
    </row>
    <row r="754" spans="1:7" ht="12.75" x14ac:dyDescent="0.2">
      <c r="A754" s="2"/>
      <c r="B754" s="2"/>
      <c r="C754" s="31"/>
      <c r="D754" s="31"/>
      <c r="E754" s="31"/>
      <c r="G754" s="2"/>
    </row>
    <row r="755" spans="1:7" ht="12.75" x14ac:dyDescent="0.2">
      <c r="A755" s="2"/>
      <c r="B755" s="2"/>
      <c r="C755" s="31"/>
      <c r="D755" s="31"/>
      <c r="E755" s="31"/>
      <c r="G755" s="2"/>
    </row>
    <row r="756" spans="1:7" ht="12.75" x14ac:dyDescent="0.2">
      <c r="A756" s="2"/>
      <c r="B756" s="2"/>
      <c r="C756" s="31"/>
      <c r="D756" s="31"/>
      <c r="E756" s="31"/>
      <c r="G756" s="2"/>
    </row>
    <row r="757" spans="1:7" ht="12.75" x14ac:dyDescent="0.2">
      <c r="A757" s="2"/>
      <c r="B757" s="2"/>
      <c r="C757" s="31"/>
      <c r="D757" s="31"/>
      <c r="E757" s="31"/>
      <c r="G757" s="2"/>
    </row>
    <row r="758" spans="1:7" ht="12.75" x14ac:dyDescent="0.2">
      <c r="A758" s="2"/>
      <c r="B758" s="2"/>
      <c r="C758" s="31"/>
      <c r="D758" s="31"/>
      <c r="E758" s="31"/>
      <c r="G758" s="2"/>
    </row>
    <row r="759" spans="1:7" ht="12.75" x14ac:dyDescent="0.2">
      <c r="A759" s="2"/>
      <c r="B759" s="2"/>
      <c r="C759" s="31"/>
      <c r="D759" s="31"/>
      <c r="E759" s="31"/>
      <c r="G759" s="2"/>
    </row>
    <row r="760" spans="1:7" ht="12.75" x14ac:dyDescent="0.2">
      <c r="A760" s="2"/>
      <c r="B760" s="2"/>
      <c r="C760" s="31"/>
      <c r="D760" s="31"/>
      <c r="E760" s="31"/>
      <c r="G760" s="2"/>
    </row>
    <row r="761" spans="1:7" ht="12.75" x14ac:dyDescent="0.2">
      <c r="A761" s="2"/>
      <c r="B761" s="2"/>
      <c r="C761" s="31"/>
      <c r="D761" s="31"/>
      <c r="E761" s="31"/>
      <c r="G761" s="2"/>
    </row>
    <row r="762" spans="1:7" ht="12.75" x14ac:dyDescent="0.2">
      <c r="A762" s="2"/>
      <c r="B762" s="2"/>
      <c r="C762" s="31"/>
      <c r="D762" s="31"/>
      <c r="E762" s="31"/>
      <c r="G762" s="2"/>
    </row>
    <row r="763" spans="1:7" ht="12.75" x14ac:dyDescent="0.2">
      <c r="A763" s="2"/>
      <c r="B763" s="2"/>
      <c r="C763" s="31"/>
      <c r="D763" s="31"/>
      <c r="E763" s="31"/>
      <c r="G763" s="2"/>
    </row>
    <row r="764" spans="1:7" ht="12.75" x14ac:dyDescent="0.2">
      <c r="A764" s="2"/>
      <c r="B764" s="2"/>
      <c r="C764" s="31"/>
      <c r="D764" s="31"/>
      <c r="E764" s="31"/>
      <c r="G764" s="2"/>
    </row>
    <row r="765" spans="1:7" ht="12.75" x14ac:dyDescent="0.2">
      <c r="A765" s="2"/>
      <c r="B765" s="2"/>
      <c r="C765" s="31"/>
      <c r="D765" s="31"/>
      <c r="E765" s="31"/>
      <c r="G765" s="2"/>
    </row>
    <row r="766" spans="1:7" ht="12.75" x14ac:dyDescent="0.2">
      <c r="A766" s="2"/>
      <c r="B766" s="2"/>
      <c r="C766" s="31"/>
      <c r="D766" s="31"/>
      <c r="E766" s="31"/>
      <c r="G766" s="2"/>
    </row>
    <row r="767" spans="1:7" ht="12.75" x14ac:dyDescent="0.2">
      <c r="A767" s="2"/>
      <c r="B767" s="2"/>
      <c r="C767" s="31"/>
      <c r="D767" s="31"/>
      <c r="E767" s="31"/>
      <c r="G767" s="2"/>
    </row>
    <row r="768" spans="1:7" ht="12.75" x14ac:dyDescent="0.2">
      <c r="A768" s="2"/>
      <c r="B768" s="2"/>
      <c r="C768" s="31"/>
      <c r="D768" s="31"/>
      <c r="E768" s="31"/>
      <c r="G768" s="2"/>
    </row>
    <row r="769" spans="1:7" ht="12.75" x14ac:dyDescent="0.2">
      <c r="A769" s="2"/>
      <c r="B769" s="2"/>
      <c r="C769" s="31"/>
      <c r="D769" s="31"/>
      <c r="E769" s="31"/>
      <c r="G769" s="2"/>
    </row>
    <row r="770" spans="1:7" ht="12.75" x14ac:dyDescent="0.2">
      <c r="A770" s="2"/>
      <c r="B770" s="2"/>
      <c r="C770" s="31"/>
      <c r="D770" s="31"/>
      <c r="E770" s="31"/>
      <c r="G770" s="2"/>
    </row>
    <row r="771" spans="1:7" ht="12.75" x14ac:dyDescent="0.2">
      <c r="A771" s="2"/>
      <c r="B771" s="2"/>
      <c r="C771" s="31"/>
      <c r="D771" s="31"/>
      <c r="E771" s="31"/>
      <c r="G771" s="2"/>
    </row>
    <row r="772" spans="1:7" ht="12.75" x14ac:dyDescent="0.2">
      <c r="A772" s="2"/>
      <c r="B772" s="2"/>
      <c r="C772" s="31"/>
      <c r="D772" s="31"/>
      <c r="E772" s="31"/>
      <c r="G772" s="2"/>
    </row>
    <row r="773" spans="1:7" ht="12.75" x14ac:dyDescent="0.2">
      <c r="A773" s="2"/>
      <c r="B773" s="2"/>
      <c r="C773" s="31"/>
      <c r="D773" s="31"/>
      <c r="E773" s="31"/>
      <c r="G773" s="2"/>
    </row>
    <row r="774" spans="1:7" ht="12.75" x14ac:dyDescent="0.2">
      <c r="A774" s="2"/>
      <c r="B774" s="2"/>
      <c r="C774" s="31"/>
      <c r="D774" s="31"/>
      <c r="E774" s="31"/>
      <c r="G774" s="2"/>
    </row>
    <row r="775" spans="1:7" ht="12.75" x14ac:dyDescent="0.2">
      <c r="A775" s="2"/>
      <c r="B775" s="2"/>
      <c r="C775" s="31"/>
      <c r="D775" s="31"/>
      <c r="E775" s="31"/>
      <c r="G775" s="2"/>
    </row>
    <row r="776" spans="1:7" ht="12.75" x14ac:dyDescent="0.2">
      <c r="A776" s="2"/>
      <c r="B776" s="2"/>
      <c r="C776" s="31"/>
      <c r="D776" s="31"/>
      <c r="E776" s="31"/>
      <c r="G776" s="2"/>
    </row>
    <row r="777" spans="1:7" ht="12.75" x14ac:dyDescent="0.2">
      <c r="A777" s="2"/>
      <c r="B777" s="2"/>
      <c r="C777" s="31"/>
      <c r="D777" s="31"/>
      <c r="E777" s="31"/>
      <c r="G777" s="2"/>
    </row>
    <row r="778" spans="1:7" ht="12.75" x14ac:dyDescent="0.2">
      <c r="A778" s="2"/>
      <c r="B778" s="2"/>
      <c r="C778" s="31"/>
      <c r="D778" s="31"/>
      <c r="E778" s="31"/>
      <c r="G778" s="2"/>
    </row>
    <row r="779" spans="1:7" ht="12.75" x14ac:dyDescent="0.2">
      <c r="A779" s="2"/>
      <c r="B779" s="2"/>
      <c r="C779" s="31"/>
      <c r="D779" s="31"/>
      <c r="E779" s="31"/>
      <c r="G779" s="2"/>
    </row>
    <row r="780" spans="1:7" ht="12.75" x14ac:dyDescent="0.2">
      <c r="A780" s="2"/>
      <c r="B780" s="2"/>
      <c r="C780" s="31"/>
      <c r="D780" s="31"/>
      <c r="E780" s="31"/>
      <c r="G780" s="2"/>
    </row>
    <row r="781" spans="1:7" ht="12.75" x14ac:dyDescent="0.2">
      <c r="A781" s="2"/>
      <c r="B781" s="2"/>
      <c r="C781" s="31"/>
      <c r="D781" s="31"/>
      <c r="E781" s="31"/>
      <c r="G781" s="2"/>
    </row>
    <row r="782" spans="1:7" ht="12.75" x14ac:dyDescent="0.2">
      <c r="A782" s="2"/>
      <c r="B782" s="2"/>
      <c r="C782" s="31"/>
      <c r="D782" s="31"/>
      <c r="E782" s="31"/>
      <c r="G782" s="2"/>
    </row>
    <row r="783" spans="1:7" ht="12.75" x14ac:dyDescent="0.2">
      <c r="A783" s="2"/>
      <c r="B783" s="2"/>
      <c r="C783" s="31"/>
      <c r="D783" s="31"/>
      <c r="E783" s="31"/>
      <c r="G783" s="2"/>
    </row>
    <row r="784" spans="1:7" ht="12.75" x14ac:dyDescent="0.2">
      <c r="A784" s="2"/>
      <c r="B784" s="2"/>
      <c r="C784" s="31"/>
      <c r="D784" s="31"/>
      <c r="E784" s="31"/>
      <c r="G784" s="2"/>
    </row>
    <row r="785" spans="1:7" ht="12.75" x14ac:dyDescent="0.2">
      <c r="A785" s="2"/>
      <c r="B785" s="2"/>
      <c r="C785" s="31"/>
      <c r="D785" s="31"/>
      <c r="E785" s="31"/>
      <c r="G785" s="2"/>
    </row>
    <row r="786" spans="1:7" ht="12.75" x14ac:dyDescent="0.2">
      <c r="A786" s="2"/>
      <c r="B786" s="2"/>
      <c r="C786" s="31"/>
      <c r="D786" s="31"/>
      <c r="E786" s="31"/>
      <c r="G786" s="2"/>
    </row>
    <row r="787" spans="1:7" ht="12.75" x14ac:dyDescent="0.2">
      <c r="A787" s="2"/>
      <c r="B787" s="2"/>
      <c r="C787" s="31"/>
      <c r="D787" s="31"/>
      <c r="E787" s="31"/>
      <c r="G787" s="2"/>
    </row>
    <row r="788" spans="1:7" ht="12.75" x14ac:dyDescent="0.2">
      <c r="A788" s="2"/>
      <c r="B788" s="2"/>
      <c r="C788" s="31"/>
      <c r="D788" s="31"/>
      <c r="E788" s="31"/>
      <c r="G788" s="2"/>
    </row>
    <row r="789" spans="1:7" ht="12.75" x14ac:dyDescent="0.2">
      <c r="A789" s="2"/>
      <c r="B789" s="2"/>
      <c r="C789" s="31"/>
      <c r="D789" s="31"/>
      <c r="E789" s="31"/>
      <c r="G789" s="2"/>
    </row>
    <row r="790" spans="1:7" ht="12.75" x14ac:dyDescent="0.2">
      <c r="A790" s="2"/>
      <c r="B790" s="2"/>
      <c r="C790" s="31"/>
      <c r="D790" s="31"/>
      <c r="E790" s="31"/>
      <c r="G790" s="2"/>
    </row>
    <row r="791" spans="1:7" ht="12.75" x14ac:dyDescent="0.2">
      <c r="A791" s="2"/>
      <c r="B791" s="2"/>
      <c r="C791" s="31"/>
      <c r="D791" s="31"/>
      <c r="E791" s="31"/>
      <c r="G791" s="2"/>
    </row>
    <row r="792" spans="1:7" ht="12.75" x14ac:dyDescent="0.2">
      <c r="A792" s="2"/>
      <c r="B792" s="2"/>
      <c r="C792" s="31"/>
      <c r="D792" s="31"/>
      <c r="E792" s="31"/>
      <c r="G792" s="2"/>
    </row>
    <row r="793" spans="1:7" ht="12.75" x14ac:dyDescent="0.2">
      <c r="A793" s="2"/>
      <c r="B793" s="2"/>
      <c r="C793" s="31"/>
      <c r="D793" s="31"/>
      <c r="E793" s="31"/>
      <c r="G793" s="2"/>
    </row>
    <row r="794" spans="1:7" ht="12.75" x14ac:dyDescent="0.2">
      <c r="A794" s="2"/>
      <c r="B794" s="2"/>
      <c r="C794" s="31"/>
      <c r="D794" s="31"/>
      <c r="E794" s="31"/>
      <c r="G794" s="2"/>
    </row>
    <row r="795" spans="1:7" ht="12.75" x14ac:dyDescent="0.2">
      <c r="A795" s="2"/>
      <c r="B795" s="2"/>
      <c r="C795" s="31"/>
      <c r="D795" s="31"/>
      <c r="E795" s="31"/>
      <c r="G795" s="2"/>
    </row>
    <row r="796" spans="1:7" ht="12.75" x14ac:dyDescent="0.2">
      <c r="A796" s="2"/>
      <c r="B796" s="2"/>
      <c r="C796" s="31"/>
      <c r="D796" s="31"/>
      <c r="E796" s="31"/>
      <c r="G796" s="2"/>
    </row>
    <row r="797" spans="1:7" ht="12.75" x14ac:dyDescent="0.2">
      <c r="A797" s="2"/>
      <c r="B797" s="2"/>
      <c r="C797" s="31"/>
      <c r="D797" s="31"/>
      <c r="E797" s="31"/>
      <c r="G797" s="2"/>
    </row>
    <row r="798" spans="1:7" ht="12.75" x14ac:dyDescent="0.2">
      <c r="A798" s="2"/>
      <c r="B798" s="2"/>
      <c r="C798" s="31"/>
      <c r="D798" s="31"/>
      <c r="E798" s="31"/>
      <c r="G798" s="2"/>
    </row>
    <row r="799" spans="1:7" ht="12.75" x14ac:dyDescent="0.2">
      <c r="A799" s="2"/>
      <c r="B799" s="2"/>
      <c r="C799" s="31"/>
      <c r="D799" s="31"/>
      <c r="E799" s="31"/>
      <c r="G799" s="2"/>
    </row>
    <row r="800" spans="1:7" ht="12.75" x14ac:dyDescent="0.2">
      <c r="A800" s="2"/>
      <c r="B800" s="2"/>
      <c r="C800" s="31"/>
      <c r="D800" s="31"/>
      <c r="E800" s="31"/>
      <c r="G800" s="2"/>
    </row>
    <row r="801" spans="1:7" ht="12.75" x14ac:dyDescent="0.2">
      <c r="A801" s="2"/>
      <c r="B801" s="2"/>
      <c r="C801" s="31"/>
      <c r="D801" s="31"/>
      <c r="E801" s="31"/>
      <c r="G801" s="2"/>
    </row>
    <row r="802" spans="1:7" ht="12.75" x14ac:dyDescent="0.2">
      <c r="A802" s="2"/>
      <c r="B802" s="2"/>
      <c r="C802" s="31"/>
      <c r="D802" s="31"/>
      <c r="E802" s="31"/>
      <c r="G802" s="2"/>
    </row>
    <row r="803" spans="1:7" ht="12.75" x14ac:dyDescent="0.2">
      <c r="A803" s="2"/>
      <c r="B803" s="2"/>
      <c r="C803" s="31"/>
      <c r="D803" s="31"/>
      <c r="E803" s="31"/>
      <c r="G803" s="2"/>
    </row>
    <row r="804" spans="1:7" ht="12.75" x14ac:dyDescent="0.2">
      <c r="A804" s="2"/>
      <c r="B804" s="2"/>
      <c r="C804" s="31"/>
      <c r="D804" s="31"/>
      <c r="E804" s="31"/>
      <c r="G804" s="2"/>
    </row>
    <row r="805" spans="1:7" ht="12.75" x14ac:dyDescent="0.2">
      <c r="A805" s="2"/>
      <c r="B805" s="2"/>
      <c r="C805" s="31"/>
      <c r="D805" s="31"/>
      <c r="E805" s="31"/>
      <c r="G805" s="2"/>
    </row>
    <row r="806" spans="1:7" ht="12.75" x14ac:dyDescent="0.2">
      <c r="A806" s="2"/>
      <c r="B806" s="2"/>
      <c r="C806" s="31"/>
      <c r="D806" s="31"/>
      <c r="E806" s="31"/>
      <c r="G806" s="2"/>
    </row>
    <row r="807" spans="1:7" ht="12.75" x14ac:dyDescent="0.2">
      <c r="A807" s="2"/>
      <c r="B807" s="2"/>
      <c r="C807" s="31"/>
      <c r="D807" s="31"/>
      <c r="E807" s="31"/>
      <c r="G807" s="2"/>
    </row>
    <row r="808" spans="1:7" ht="12.75" x14ac:dyDescent="0.2">
      <c r="A808" s="2"/>
      <c r="B808" s="2"/>
      <c r="C808" s="31"/>
      <c r="D808" s="31"/>
      <c r="E808" s="31"/>
      <c r="G808" s="2"/>
    </row>
    <row r="809" spans="1:7" ht="12.75" x14ac:dyDescent="0.2">
      <c r="A809" s="2"/>
      <c r="B809" s="2"/>
      <c r="C809" s="31"/>
      <c r="D809" s="31"/>
      <c r="E809" s="31"/>
      <c r="G809" s="2"/>
    </row>
    <row r="810" spans="1:7" ht="12.75" x14ac:dyDescent="0.2">
      <c r="A810" s="2"/>
      <c r="B810" s="2"/>
      <c r="C810" s="31"/>
      <c r="D810" s="31"/>
      <c r="E810" s="31"/>
      <c r="G810" s="2"/>
    </row>
    <row r="811" spans="1:7" ht="12.75" x14ac:dyDescent="0.2">
      <c r="A811" s="2"/>
      <c r="B811" s="2"/>
      <c r="C811" s="31"/>
      <c r="D811" s="31"/>
      <c r="E811" s="31"/>
      <c r="G811" s="2"/>
    </row>
    <row r="812" spans="1:7" ht="12.75" x14ac:dyDescent="0.2">
      <c r="A812" s="2"/>
      <c r="B812" s="2"/>
      <c r="C812" s="31"/>
      <c r="D812" s="31"/>
      <c r="E812" s="31"/>
      <c r="G812" s="2"/>
    </row>
    <row r="813" spans="1:7" ht="12.75" x14ac:dyDescent="0.2">
      <c r="A813" s="2"/>
      <c r="B813" s="2"/>
      <c r="C813" s="31"/>
      <c r="D813" s="31"/>
      <c r="E813" s="31"/>
      <c r="G813" s="2"/>
    </row>
    <row r="814" spans="1:7" ht="12.75" x14ac:dyDescent="0.2">
      <c r="A814" s="2"/>
      <c r="B814" s="2"/>
      <c r="C814" s="31"/>
      <c r="D814" s="31"/>
      <c r="E814" s="31"/>
      <c r="G814" s="2"/>
    </row>
    <row r="815" spans="1:7" ht="12.75" x14ac:dyDescent="0.2">
      <c r="A815" s="2"/>
      <c r="B815" s="2"/>
      <c r="C815" s="31"/>
      <c r="D815" s="31"/>
      <c r="E815" s="31"/>
      <c r="G815" s="2"/>
    </row>
    <row r="816" spans="1:7" ht="12.75" x14ac:dyDescent="0.2">
      <c r="A816" s="2"/>
      <c r="B816" s="2"/>
      <c r="C816" s="31"/>
      <c r="D816" s="31"/>
      <c r="E816" s="31"/>
      <c r="G816" s="2"/>
    </row>
    <row r="817" spans="1:7" ht="12.75" x14ac:dyDescent="0.2">
      <c r="A817" s="2"/>
      <c r="B817" s="2"/>
      <c r="C817" s="31"/>
      <c r="D817" s="31"/>
      <c r="E817" s="31"/>
      <c r="G817" s="2"/>
    </row>
    <row r="818" spans="1:7" ht="12.75" x14ac:dyDescent="0.2">
      <c r="A818" s="2"/>
      <c r="B818" s="2"/>
      <c r="C818" s="31"/>
      <c r="D818" s="31"/>
      <c r="E818" s="31"/>
      <c r="G818" s="2"/>
    </row>
    <row r="819" spans="1:7" ht="12.75" x14ac:dyDescent="0.2">
      <c r="A819" s="2"/>
      <c r="B819" s="2"/>
      <c r="C819" s="31"/>
      <c r="D819" s="31"/>
      <c r="E819" s="31"/>
      <c r="G819" s="2"/>
    </row>
    <row r="820" spans="1:7" ht="12.75" x14ac:dyDescent="0.2">
      <c r="A820" s="2"/>
      <c r="B820" s="2"/>
      <c r="C820" s="31"/>
      <c r="D820" s="31"/>
      <c r="E820" s="31"/>
      <c r="G820" s="2"/>
    </row>
    <row r="821" spans="1:7" ht="12.75" x14ac:dyDescent="0.2">
      <c r="A821" s="2"/>
      <c r="B821" s="2"/>
      <c r="C821" s="31"/>
      <c r="D821" s="31"/>
      <c r="E821" s="31"/>
      <c r="G821" s="2"/>
    </row>
    <row r="822" spans="1:7" ht="12.75" x14ac:dyDescent="0.2">
      <c r="A822" s="2"/>
      <c r="B822" s="2"/>
      <c r="C822" s="31"/>
      <c r="D822" s="31"/>
      <c r="E822" s="31"/>
      <c r="G822" s="2"/>
    </row>
    <row r="823" spans="1:7" ht="12.75" x14ac:dyDescent="0.2">
      <c r="A823" s="2"/>
      <c r="B823" s="2"/>
      <c r="C823" s="31"/>
      <c r="D823" s="31"/>
      <c r="E823" s="31"/>
      <c r="G823" s="2"/>
    </row>
    <row r="824" spans="1:7" ht="12.75" x14ac:dyDescent="0.2">
      <c r="A824" s="2"/>
      <c r="B824" s="2"/>
      <c r="C824" s="31"/>
      <c r="D824" s="31"/>
      <c r="E824" s="31"/>
      <c r="G824" s="2"/>
    </row>
    <row r="825" spans="1:7" ht="12.75" x14ac:dyDescent="0.2">
      <c r="A825" s="2"/>
      <c r="B825" s="2"/>
      <c r="C825" s="31"/>
      <c r="D825" s="31"/>
      <c r="E825" s="31"/>
      <c r="G825" s="2"/>
    </row>
    <row r="826" spans="1:7" ht="12.75" x14ac:dyDescent="0.2">
      <c r="A826" s="2"/>
      <c r="B826" s="2"/>
      <c r="C826" s="31"/>
      <c r="D826" s="31"/>
      <c r="E826" s="31"/>
      <c r="G826" s="2"/>
    </row>
    <row r="827" spans="1:7" ht="12.75" x14ac:dyDescent="0.2">
      <c r="A827" s="2"/>
      <c r="B827" s="2"/>
      <c r="C827" s="31"/>
      <c r="D827" s="31"/>
      <c r="E827" s="31"/>
      <c r="G827" s="2"/>
    </row>
    <row r="828" spans="1:7" ht="12.75" x14ac:dyDescent="0.2">
      <c r="A828" s="2"/>
      <c r="B828" s="2"/>
      <c r="C828" s="31"/>
      <c r="D828" s="31"/>
      <c r="E828" s="31"/>
      <c r="G828" s="2"/>
    </row>
    <row r="829" spans="1:7" ht="12.75" x14ac:dyDescent="0.2">
      <c r="A829" s="2"/>
      <c r="B829" s="2"/>
      <c r="C829" s="31"/>
      <c r="D829" s="31"/>
      <c r="E829" s="31"/>
      <c r="G829" s="2"/>
    </row>
    <row r="830" spans="1:7" ht="12.75" x14ac:dyDescent="0.2">
      <c r="A830" s="2"/>
      <c r="B830" s="2"/>
      <c r="C830" s="31"/>
      <c r="D830" s="31"/>
      <c r="E830" s="31"/>
      <c r="G830" s="2"/>
    </row>
    <row r="831" spans="1:7" ht="12.75" x14ac:dyDescent="0.2">
      <c r="A831" s="2"/>
      <c r="B831" s="2"/>
      <c r="C831" s="31"/>
      <c r="D831" s="31"/>
      <c r="E831" s="31"/>
      <c r="G831" s="2"/>
    </row>
    <row r="832" spans="1:7" ht="12.75" x14ac:dyDescent="0.2">
      <c r="A832" s="2"/>
      <c r="B832" s="2"/>
      <c r="C832" s="31"/>
      <c r="D832" s="31"/>
      <c r="E832" s="31"/>
      <c r="G832" s="2"/>
    </row>
    <row r="833" spans="1:7" ht="12.75" x14ac:dyDescent="0.2">
      <c r="A833" s="2"/>
      <c r="B833" s="2"/>
      <c r="C833" s="31"/>
      <c r="D833" s="31"/>
      <c r="E833" s="31"/>
      <c r="G833" s="2"/>
    </row>
    <row r="834" spans="1:7" ht="12.75" x14ac:dyDescent="0.2">
      <c r="A834" s="2"/>
      <c r="B834" s="2"/>
      <c r="C834" s="31"/>
      <c r="D834" s="31"/>
      <c r="E834" s="31"/>
      <c r="G834" s="2"/>
    </row>
    <row r="835" spans="1:7" ht="12.75" x14ac:dyDescent="0.2">
      <c r="A835" s="2"/>
      <c r="B835" s="2"/>
      <c r="C835" s="31"/>
      <c r="D835" s="31"/>
      <c r="E835" s="31"/>
      <c r="G835" s="2"/>
    </row>
    <row r="836" spans="1:7" ht="12.75" x14ac:dyDescent="0.2">
      <c r="A836" s="2"/>
      <c r="B836" s="2"/>
      <c r="C836" s="31"/>
      <c r="D836" s="31"/>
      <c r="E836" s="31"/>
      <c r="G836" s="2"/>
    </row>
    <row r="837" spans="1:7" ht="12.75" x14ac:dyDescent="0.2">
      <c r="A837" s="2"/>
      <c r="B837" s="2"/>
      <c r="C837" s="31"/>
      <c r="D837" s="31"/>
      <c r="E837" s="31"/>
      <c r="G837" s="2"/>
    </row>
    <row r="838" spans="1:7" ht="12.75" x14ac:dyDescent="0.2">
      <c r="A838" s="2"/>
      <c r="B838" s="2"/>
      <c r="C838" s="31"/>
      <c r="D838" s="31"/>
      <c r="E838" s="31"/>
      <c r="G838" s="2"/>
    </row>
    <row r="839" spans="1:7" ht="12.75" x14ac:dyDescent="0.2">
      <c r="A839" s="2"/>
      <c r="B839" s="2"/>
      <c r="C839" s="31"/>
      <c r="D839" s="31"/>
      <c r="E839" s="31"/>
      <c r="G839" s="2"/>
    </row>
    <row r="840" spans="1:7" ht="12.75" x14ac:dyDescent="0.2">
      <c r="A840" s="2"/>
      <c r="B840" s="2"/>
      <c r="C840" s="31"/>
      <c r="D840" s="31"/>
      <c r="E840" s="31"/>
      <c r="G840" s="2"/>
    </row>
    <row r="841" spans="1:7" ht="12.75" x14ac:dyDescent="0.2">
      <c r="A841" s="2"/>
      <c r="B841" s="2"/>
      <c r="C841" s="31"/>
      <c r="D841" s="31"/>
      <c r="E841" s="31"/>
      <c r="G841" s="2"/>
    </row>
    <row r="842" spans="1:7" ht="12.75" x14ac:dyDescent="0.2">
      <c r="A842" s="2"/>
      <c r="B842" s="2"/>
      <c r="C842" s="31"/>
      <c r="D842" s="31"/>
      <c r="E842" s="31"/>
      <c r="G842" s="2"/>
    </row>
    <row r="843" spans="1:7" ht="12.75" x14ac:dyDescent="0.2">
      <c r="A843" s="2"/>
      <c r="B843" s="2"/>
      <c r="C843" s="31"/>
      <c r="D843" s="31"/>
      <c r="E843" s="31"/>
      <c r="G843" s="2"/>
    </row>
    <row r="844" spans="1:7" ht="12.75" x14ac:dyDescent="0.2">
      <c r="A844" s="2"/>
      <c r="B844" s="2"/>
      <c r="C844" s="31"/>
      <c r="D844" s="31"/>
      <c r="E844" s="31"/>
      <c r="G844" s="2"/>
    </row>
    <row r="845" spans="1:7" ht="12.75" x14ac:dyDescent="0.2">
      <c r="A845" s="2"/>
      <c r="B845" s="2"/>
      <c r="C845" s="31"/>
      <c r="D845" s="31"/>
      <c r="E845" s="31"/>
      <c r="G845" s="2"/>
    </row>
    <row r="846" spans="1:7" ht="12.75" x14ac:dyDescent="0.2">
      <c r="A846" s="2"/>
      <c r="B846" s="2"/>
      <c r="C846" s="31"/>
      <c r="D846" s="31"/>
      <c r="E846" s="31"/>
      <c r="G846" s="2"/>
    </row>
    <row r="847" spans="1:7" ht="12.75" x14ac:dyDescent="0.2">
      <c r="A847" s="2"/>
      <c r="B847" s="2"/>
      <c r="C847" s="31"/>
      <c r="D847" s="31"/>
      <c r="E847" s="31"/>
      <c r="G847" s="2"/>
    </row>
    <row r="848" spans="1:7" ht="12.75" x14ac:dyDescent="0.2">
      <c r="A848" s="2"/>
      <c r="B848" s="2"/>
      <c r="C848" s="31"/>
      <c r="D848" s="31"/>
      <c r="E848" s="31"/>
      <c r="G848" s="2"/>
    </row>
    <row r="849" spans="1:7" ht="12.75" x14ac:dyDescent="0.2">
      <c r="A849" s="2"/>
      <c r="B849" s="2"/>
      <c r="C849" s="31"/>
      <c r="D849" s="31"/>
      <c r="E849" s="31"/>
      <c r="G849" s="2"/>
    </row>
    <row r="850" spans="1:7" ht="12.75" x14ac:dyDescent="0.2">
      <c r="A850" s="2"/>
      <c r="B850" s="2"/>
      <c r="C850" s="31"/>
      <c r="D850" s="31"/>
      <c r="E850" s="31"/>
      <c r="G850" s="2"/>
    </row>
    <row r="851" spans="1:7" ht="12.75" x14ac:dyDescent="0.2">
      <c r="A851" s="2"/>
      <c r="B851" s="2"/>
      <c r="C851" s="31"/>
      <c r="D851" s="31"/>
      <c r="E851" s="31"/>
      <c r="G851" s="2"/>
    </row>
    <row r="852" spans="1:7" ht="12.75" x14ac:dyDescent="0.2">
      <c r="A852" s="2"/>
      <c r="B852" s="2"/>
      <c r="C852" s="31"/>
      <c r="D852" s="31"/>
      <c r="E852" s="31"/>
      <c r="G852" s="2"/>
    </row>
    <row r="853" spans="1:7" ht="12.75" x14ac:dyDescent="0.2">
      <c r="A853" s="2"/>
      <c r="B853" s="2"/>
      <c r="C853" s="31"/>
      <c r="D853" s="31"/>
      <c r="E853" s="31"/>
      <c r="G853" s="2"/>
    </row>
    <row r="854" spans="1:7" ht="12.75" x14ac:dyDescent="0.2">
      <c r="A854" s="2"/>
      <c r="B854" s="2"/>
      <c r="C854" s="31"/>
      <c r="D854" s="31"/>
      <c r="E854" s="31"/>
      <c r="G854" s="2"/>
    </row>
    <row r="855" spans="1:7" ht="12.75" x14ac:dyDescent="0.2">
      <c r="A855" s="2"/>
      <c r="B855" s="2"/>
      <c r="C855" s="31"/>
      <c r="D855" s="31"/>
      <c r="E855" s="31"/>
      <c r="G855" s="2"/>
    </row>
    <row r="856" spans="1:7" ht="12.75" x14ac:dyDescent="0.2">
      <c r="A856" s="2"/>
      <c r="B856" s="2"/>
      <c r="C856" s="31"/>
      <c r="D856" s="31"/>
      <c r="E856" s="31"/>
      <c r="G856" s="2"/>
    </row>
    <row r="857" spans="1:7" ht="12.75" x14ac:dyDescent="0.2">
      <c r="A857" s="2"/>
      <c r="B857" s="2"/>
      <c r="C857" s="31"/>
      <c r="D857" s="31"/>
      <c r="E857" s="31"/>
      <c r="G857" s="2"/>
    </row>
    <row r="858" spans="1:7" ht="12.75" x14ac:dyDescent="0.2">
      <c r="A858" s="2"/>
      <c r="B858" s="2"/>
      <c r="C858" s="31"/>
      <c r="D858" s="31"/>
      <c r="E858" s="31"/>
      <c r="G858" s="2"/>
    </row>
    <row r="859" spans="1:7" ht="12.75" x14ac:dyDescent="0.2">
      <c r="A859" s="2"/>
      <c r="B859" s="2"/>
      <c r="C859" s="31"/>
      <c r="D859" s="31"/>
      <c r="E859" s="31"/>
      <c r="G859" s="2"/>
    </row>
    <row r="860" spans="1:7" ht="12.75" x14ac:dyDescent="0.2">
      <c r="A860" s="2"/>
      <c r="B860" s="2"/>
      <c r="C860" s="31"/>
      <c r="D860" s="31"/>
      <c r="E860" s="31"/>
      <c r="G860" s="2"/>
    </row>
    <row r="861" spans="1:7" ht="12.75" x14ac:dyDescent="0.2">
      <c r="A861" s="2"/>
      <c r="B861" s="2"/>
      <c r="C861" s="31"/>
      <c r="D861" s="31"/>
      <c r="E861" s="31"/>
      <c r="G861" s="2"/>
    </row>
    <row r="862" spans="1:7" ht="12.75" x14ac:dyDescent="0.2">
      <c r="A862" s="2"/>
      <c r="B862" s="2"/>
      <c r="C862" s="31"/>
      <c r="D862" s="31"/>
      <c r="E862" s="31"/>
      <c r="G862" s="2"/>
    </row>
    <row r="863" spans="1:7" ht="12.75" x14ac:dyDescent="0.2">
      <c r="A863" s="2"/>
      <c r="B863" s="2"/>
      <c r="C863" s="31"/>
      <c r="D863" s="31"/>
      <c r="E863" s="31"/>
      <c r="G863" s="2"/>
    </row>
    <row r="864" spans="1:7" ht="12.75" x14ac:dyDescent="0.2">
      <c r="A864" s="2"/>
      <c r="B864" s="2"/>
      <c r="C864" s="31"/>
      <c r="D864" s="31"/>
      <c r="E864" s="31"/>
      <c r="G864" s="2"/>
    </row>
    <row r="865" spans="1:7" ht="12.75" x14ac:dyDescent="0.2">
      <c r="A865" s="2"/>
      <c r="B865" s="2"/>
      <c r="C865" s="31"/>
      <c r="D865" s="31"/>
      <c r="E865" s="31"/>
      <c r="G865" s="2"/>
    </row>
    <row r="866" spans="1:7" ht="12.75" x14ac:dyDescent="0.2">
      <c r="A866" s="2"/>
      <c r="B866" s="2"/>
      <c r="C866" s="31"/>
      <c r="D866" s="31"/>
      <c r="E866" s="31"/>
      <c r="G866" s="2"/>
    </row>
    <row r="867" spans="1:7" ht="12.75" x14ac:dyDescent="0.2">
      <c r="A867" s="2"/>
      <c r="B867" s="2"/>
      <c r="C867" s="31"/>
      <c r="D867" s="31"/>
      <c r="E867" s="31"/>
      <c r="G867" s="2"/>
    </row>
    <row r="868" spans="1:7" ht="12.75" x14ac:dyDescent="0.2">
      <c r="A868" s="2"/>
      <c r="B868" s="2"/>
      <c r="C868" s="31"/>
      <c r="D868" s="31"/>
      <c r="E868" s="31"/>
      <c r="G868" s="2"/>
    </row>
    <row r="869" spans="1:7" ht="12.75" x14ac:dyDescent="0.2">
      <c r="A869" s="2"/>
      <c r="B869" s="2"/>
      <c r="C869" s="31"/>
      <c r="D869" s="31"/>
      <c r="E869" s="31"/>
      <c r="G869" s="2"/>
    </row>
    <row r="870" spans="1:7" ht="12.75" x14ac:dyDescent="0.2">
      <c r="A870" s="2"/>
      <c r="B870" s="2"/>
      <c r="C870" s="31"/>
      <c r="D870" s="31"/>
      <c r="E870" s="31"/>
      <c r="G870" s="2"/>
    </row>
    <row r="871" spans="1:7" ht="12.75" x14ac:dyDescent="0.2">
      <c r="A871" s="2"/>
      <c r="B871" s="2"/>
      <c r="C871" s="31"/>
      <c r="D871" s="31"/>
      <c r="E871" s="31"/>
      <c r="G871" s="2"/>
    </row>
    <row r="872" spans="1:7" ht="12.75" x14ac:dyDescent="0.2">
      <c r="A872" s="2"/>
      <c r="B872" s="2"/>
      <c r="C872" s="31"/>
      <c r="D872" s="31"/>
      <c r="E872" s="31"/>
      <c r="G872" s="2"/>
    </row>
    <row r="873" spans="1:7" ht="12.75" x14ac:dyDescent="0.2">
      <c r="A873" s="2"/>
      <c r="B873" s="2"/>
      <c r="C873" s="31"/>
      <c r="D873" s="31"/>
      <c r="E873" s="31"/>
      <c r="G873" s="2"/>
    </row>
    <row r="874" spans="1:7" ht="12.75" x14ac:dyDescent="0.2">
      <c r="A874" s="2"/>
      <c r="B874" s="2"/>
      <c r="C874" s="31"/>
      <c r="D874" s="31"/>
      <c r="E874" s="31"/>
      <c r="G874" s="2"/>
    </row>
    <row r="875" spans="1:7" ht="12.75" x14ac:dyDescent="0.2">
      <c r="A875" s="2"/>
      <c r="B875" s="2"/>
      <c r="C875" s="31"/>
      <c r="D875" s="31"/>
      <c r="E875" s="31"/>
      <c r="G875" s="2"/>
    </row>
    <row r="876" spans="1:7" ht="12.75" x14ac:dyDescent="0.2">
      <c r="A876" s="2"/>
      <c r="B876" s="2"/>
      <c r="C876" s="31"/>
      <c r="D876" s="31"/>
      <c r="E876" s="31"/>
      <c r="G876" s="2"/>
    </row>
    <row r="877" spans="1:7" ht="12.75" x14ac:dyDescent="0.2">
      <c r="A877" s="2"/>
      <c r="B877" s="2"/>
      <c r="C877" s="31"/>
      <c r="D877" s="31"/>
      <c r="E877" s="31"/>
      <c r="G877" s="2"/>
    </row>
    <row r="878" spans="1:7" ht="12.75" x14ac:dyDescent="0.2">
      <c r="A878" s="2"/>
      <c r="B878" s="2"/>
      <c r="C878" s="31"/>
      <c r="D878" s="31"/>
      <c r="E878" s="31"/>
      <c r="G878" s="2"/>
    </row>
    <row r="879" spans="1:7" ht="12.75" x14ac:dyDescent="0.2">
      <c r="A879" s="2"/>
      <c r="B879" s="2"/>
      <c r="C879" s="31"/>
      <c r="D879" s="31"/>
      <c r="E879" s="31"/>
      <c r="G879" s="2"/>
    </row>
    <row r="880" spans="1:7" ht="12.75" x14ac:dyDescent="0.2">
      <c r="A880" s="2"/>
      <c r="B880" s="2"/>
      <c r="C880" s="31"/>
      <c r="D880" s="31"/>
      <c r="E880" s="31"/>
      <c r="G880" s="2"/>
    </row>
    <row r="881" spans="1:7" ht="12.75" x14ac:dyDescent="0.2">
      <c r="A881" s="2"/>
      <c r="B881" s="2"/>
      <c r="C881" s="31"/>
      <c r="D881" s="31"/>
      <c r="E881" s="31"/>
      <c r="G881" s="2"/>
    </row>
    <row r="882" spans="1:7" ht="12.75" x14ac:dyDescent="0.2">
      <c r="A882" s="2"/>
      <c r="B882" s="2"/>
      <c r="C882" s="31"/>
      <c r="D882" s="31"/>
      <c r="E882" s="31"/>
      <c r="G882" s="2"/>
    </row>
    <row r="883" spans="1:7" ht="12.75" x14ac:dyDescent="0.2">
      <c r="A883" s="2"/>
      <c r="B883" s="2"/>
      <c r="C883" s="31"/>
      <c r="D883" s="31"/>
      <c r="E883" s="31"/>
      <c r="G883" s="2"/>
    </row>
    <row r="884" spans="1:7" ht="12.75" x14ac:dyDescent="0.2">
      <c r="A884" s="2"/>
      <c r="B884" s="2"/>
      <c r="C884" s="31"/>
      <c r="D884" s="31"/>
      <c r="E884" s="31"/>
      <c r="G884" s="2"/>
    </row>
    <row r="885" spans="1:7" ht="12.75" x14ac:dyDescent="0.2">
      <c r="A885" s="2"/>
      <c r="B885" s="2"/>
      <c r="C885" s="31"/>
      <c r="D885" s="31"/>
      <c r="E885" s="31"/>
      <c r="G885" s="2"/>
    </row>
    <row r="886" spans="1:7" ht="12.75" x14ac:dyDescent="0.2">
      <c r="A886" s="2"/>
      <c r="B886" s="2"/>
      <c r="C886" s="31"/>
      <c r="D886" s="31"/>
      <c r="E886" s="31"/>
      <c r="G886" s="2"/>
    </row>
    <row r="887" spans="1:7" ht="12.75" x14ac:dyDescent="0.2">
      <c r="A887" s="2"/>
      <c r="B887" s="2"/>
      <c r="C887" s="31"/>
      <c r="D887" s="31"/>
      <c r="E887" s="31"/>
      <c r="G887" s="2"/>
    </row>
    <row r="888" spans="1:7" ht="12.75" x14ac:dyDescent="0.2">
      <c r="A888" s="2"/>
      <c r="B888" s="2"/>
      <c r="C888" s="31"/>
      <c r="D888" s="31"/>
      <c r="E888" s="31"/>
      <c r="G888" s="2"/>
    </row>
    <row r="889" spans="1:7" ht="12.75" x14ac:dyDescent="0.2">
      <c r="A889" s="2"/>
      <c r="B889" s="2"/>
      <c r="C889" s="31"/>
      <c r="D889" s="31"/>
      <c r="E889" s="31"/>
      <c r="G889" s="2"/>
    </row>
    <row r="890" spans="1:7" ht="12.75" x14ac:dyDescent="0.2">
      <c r="A890" s="2"/>
      <c r="B890" s="2"/>
      <c r="C890" s="31"/>
      <c r="D890" s="31"/>
      <c r="E890" s="31"/>
      <c r="G890" s="2"/>
    </row>
    <row r="891" spans="1:7" ht="12.75" x14ac:dyDescent="0.2">
      <c r="A891" s="2"/>
      <c r="B891" s="2"/>
      <c r="C891" s="31"/>
      <c r="D891" s="31"/>
      <c r="E891" s="31"/>
      <c r="G891" s="2"/>
    </row>
    <row r="892" spans="1:7" ht="12.75" x14ac:dyDescent="0.2">
      <c r="A892" s="2"/>
      <c r="B892" s="2"/>
      <c r="C892" s="31"/>
      <c r="D892" s="31"/>
      <c r="E892" s="31"/>
      <c r="G892" s="2"/>
    </row>
    <row r="893" spans="1:7" ht="12.75" x14ac:dyDescent="0.2">
      <c r="A893" s="2"/>
      <c r="B893" s="2"/>
      <c r="C893" s="31"/>
      <c r="D893" s="31"/>
      <c r="E893" s="31"/>
      <c r="G893" s="2"/>
    </row>
    <row r="894" spans="1:7" ht="12.75" x14ac:dyDescent="0.2">
      <c r="A894" s="2"/>
      <c r="B894" s="2"/>
      <c r="C894" s="31"/>
      <c r="D894" s="31"/>
      <c r="E894" s="31"/>
      <c r="G894" s="2"/>
    </row>
    <row r="895" spans="1:7" ht="12.75" x14ac:dyDescent="0.2">
      <c r="A895" s="2"/>
      <c r="B895" s="2"/>
      <c r="C895" s="31"/>
      <c r="D895" s="31"/>
      <c r="E895" s="31"/>
      <c r="G895" s="2"/>
    </row>
    <row r="896" spans="1:7" ht="12.75" x14ac:dyDescent="0.2">
      <c r="A896" s="2"/>
      <c r="B896" s="2"/>
      <c r="C896" s="31"/>
      <c r="D896" s="31"/>
      <c r="E896" s="31"/>
      <c r="G896" s="2"/>
    </row>
    <row r="897" spans="1:7" ht="12.75" x14ac:dyDescent="0.2">
      <c r="A897" s="2"/>
      <c r="B897" s="2"/>
      <c r="C897" s="31"/>
      <c r="D897" s="31"/>
      <c r="E897" s="31"/>
      <c r="G897" s="2"/>
    </row>
    <row r="898" spans="1:7" ht="12.75" x14ac:dyDescent="0.2">
      <c r="A898" s="2"/>
      <c r="B898" s="2"/>
      <c r="C898" s="31"/>
      <c r="D898" s="31"/>
      <c r="E898" s="31"/>
      <c r="G898" s="2"/>
    </row>
    <row r="899" spans="1:7" ht="12.75" x14ac:dyDescent="0.2">
      <c r="A899" s="2"/>
      <c r="B899" s="2"/>
      <c r="C899" s="31"/>
      <c r="D899" s="31"/>
      <c r="E899" s="31"/>
      <c r="G899" s="2"/>
    </row>
    <row r="900" spans="1:7" ht="12.75" x14ac:dyDescent="0.2">
      <c r="A900" s="2"/>
      <c r="B900" s="2"/>
      <c r="C900" s="31"/>
      <c r="D900" s="31"/>
      <c r="E900" s="31"/>
      <c r="G900" s="2"/>
    </row>
    <row r="901" spans="1:7" ht="12.75" x14ac:dyDescent="0.2">
      <c r="A901" s="2"/>
      <c r="B901" s="2"/>
      <c r="C901" s="31"/>
      <c r="D901" s="31"/>
      <c r="E901" s="31"/>
      <c r="G901" s="2"/>
    </row>
    <row r="902" spans="1:7" ht="12.75" x14ac:dyDescent="0.2">
      <c r="A902" s="2"/>
      <c r="B902" s="2"/>
      <c r="C902" s="31"/>
      <c r="D902" s="31"/>
      <c r="E902" s="31"/>
      <c r="G902" s="2"/>
    </row>
    <row r="903" spans="1:7" ht="12.75" x14ac:dyDescent="0.2">
      <c r="A903" s="2"/>
      <c r="B903" s="2"/>
      <c r="C903" s="31"/>
      <c r="D903" s="31"/>
      <c r="E903" s="31"/>
      <c r="G903" s="2"/>
    </row>
    <row r="904" spans="1:7" ht="12.75" x14ac:dyDescent="0.2">
      <c r="A904" s="2"/>
      <c r="B904" s="2"/>
      <c r="C904" s="31"/>
      <c r="D904" s="31"/>
      <c r="E904" s="31"/>
      <c r="G904" s="2"/>
    </row>
    <row r="905" spans="1:7" ht="12.75" x14ac:dyDescent="0.2">
      <c r="A905" s="2"/>
      <c r="B905" s="2"/>
      <c r="C905" s="31"/>
      <c r="D905" s="31"/>
      <c r="E905" s="31"/>
      <c r="G905" s="2"/>
    </row>
    <row r="906" spans="1:7" ht="12.75" x14ac:dyDescent="0.2">
      <c r="A906" s="2"/>
      <c r="B906" s="2"/>
      <c r="C906" s="31"/>
      <c r="D906" s="31"/>
      <c r="E906" s="31"/>
      <c r="G906" s="2"/>
    </row>
    <row r="907" spans="1:7" ht="12.75" x14ac:dyDescent="0.2">
      <c r="A907" s="2"/>
      <c r="B907" s="2"/>
      <c r="C907" s="31"/>
      <c r="D907" s="31"/>
      <c r="E907" s="31"/>
      <c r="G907" s="2"/>
    </row>
    <row r="908" spans="1:7" ht="12.75" x14ac:dyDescent="0.2">
      <c r="A908" s="2"/>
      <c r="B908" s="2"/>
      <c r="C908" s="31"/>
      <c r="D908" s="31"/>
      <c r="E908" s="31"/>
      <c r="G908" s="2"/>
    </row>
    <row r="909" spans="1:7" ht="12.75" x14ac:dyDescent="0.2">
      <c r="A909" s="2"/>
      <c r="B909" s="2"/>
      <c r="C909" s="31"/>
      <c r="D909" s="31"/>
      <c r="E909" s="31"/>
      <c r="G909" s="2"/>
    </row>
    <row r="910" spans="1:7" ht="12.75" x14ac:dyDescent="0.2">
      <c r="A910" s="2"/>
      <c r="B910" s="2"/>
      <c r="C910" s="31"/>
      <c r="D910" s="31"/>
      <c r="E910" s="31"/>
      <c r="G910" s="2"/>
    </row>
    <row r="911" spans="1:7" ht="12.75" x14ac:dyDescent="0.2">
      <c r="A911" s="2"/>
      <c r="B911" s="2"/>
      <c r="C911" s="31"/>
      <c r="D911" s="31"/>
      <c r="E911" s="31"/>
      <c r="G911" s="2"/>
    </row>
    <row r="912" spans="1:7" ht="12.75" x14ac:dyDescent="0.2">
      <c r="A912" s="2"/>
      <c r="B912" s="2"/>
      <c r="C912" s="31"/>
      <c r="D912" s="31"/>
      <c r="E912" s="31"/>
      <c r="G912" s="2"/>
    </row>
    <row r="913" spans="1:7" ht="12.75" x14ac:dyDescent="0.2">
      <c r="A913" s="2"/>
      <c r="B913" s="2"/>
      <c r="C913" s="31"/>
      <c r="D913" s="31"/>
      <c r="E913" s="31"/>
      <c r="G913" s="2"/>
    </row>
    <row r="914" spans="1:7" ht="12.75" x14ac:dyDescent="0.2">
      <c r="A914" s="2"/>
      <c r="B914" s="2"/>
      <c r="C914" s="31"/>
      <c r="D914" s="31"/>
      <c r="E914" s="31"/>
      <c r="G914" s="2"/>
    </row>
    <row r="915" spans="1:7" ht="12.75" x14ac:dyDescent="0.2">
      <c r="A915" s="2"/>
      <c r="B915" s="2"/>
      <c r="C915" s="31"/>
      <c r="D915" s="31"/>
      <c r="E915" s="31"/>
      <c r="G915" s="2"/>
    </row>
    <row r="916" spans="1:7" ht="12.75" x14ac:dyDescent="0.2">
      <c r="A916" s="2"/>
      <c r="B916" s="2"/>
      <c r="C916" s="31"/>
      <c r="D916" s="31"/>
      <c r="E916" s="31"/>
      <c r="G916" s="2"/>
    </row>
    <row r="917" spans="1:7" ht="12.75" x14ac:dyDescent="0.2">
      <c r="A917" s="2"/>
      <c r="B917" s="2"/>
      <c r="C917" s="31"/>
      <c r="D917" s="31"/>
      <c r="E917" s="31"/>
      <c r="G917" s="2"/>
    </row>
    <row r="918" spans="1:7" ht="12.75" x14ac:dyDescent="0.2">
      <c r="A918" s="2"/>
      <c r="B918" s="2"/>
      <c r="C918" s="31"/>
      <c r="D918" s="31"/>
      <c r="E918" s="31"/>
      <c r="G918" s="2"/>
    </row>
    <row r="919" spans="1:7" ht="12.75" x14ac:dyDescent="0.2">
      <c r="A919" s="2"/>
      <c r="B919" s="2"/>
      <c r="C919" s="31"/>
      <c r="D919" s="31"/>
      <c r="E919" s="31"/>
      <c r="G919" s="2"/>
    </row>
    <row r="920" spans="1:7" ht="12.75" x14ac:dyDescent="0.2">
      <c r="A920" s="2"/>
      <c r="B920" s="2"/>
      <c r="C920" s="31"/>
      <c r="D920" s="31"/>
      <c r="E920" s="31"/>
      <c r="G920" s="2"/>
    </row>
    <row r="921" spans="1:7" ht="12.75" x14ac:dyDescent="0.2">
      <c r="A921" s="2"/>
      <c r="B921" s="2"/>
      <c r="C921" s="31"/>
      <c r="D921" s="31"/>
      <c r="E921" s="31"/>
      <c r="G921" s="2"/>
    </row>
    <row r="922" spans="1:7" ht="12.75" x14ac:dyDescent="0.2">
      <c r="A922" s="2"/>
      <c r="B922" s="2"/>
      <c r="C922" s="31"/>
      <c r="D922" s="31"/>
      <c r="E922" s="31"/>
      <c r="G922" s="2"/>
    </row>
    <row r="923" spans="1:7" ht="12.75" x14ac:dyDescent="0.2">
      <c r="A923" s="2"/>
      <c r="B923" s="2"/>
      <c r="C923" s="31"/>
      <c r="D923" s="31"/>
      <c r="E923" s="31"/>
      <c r="G923" s="2"/>
    </row>
    <row r="924" spans="1:7" ht="12.75" x14ac:dyDescent="0.2">
      <c r="A924" s="2"/>
      <c r="B924" s="2"/>
      <c r="C924" s="31"/>
      <c r="D924" s="31"/>
      <c r="E924" s="31"/>
      <c r="G924" s="2"/>
    </row>
    <row r="925" spans="1:7" ht="12.75" x14ac:dyDescent="0.2">
      <c r="A925" s="2"/>
      <c r="B925" s="2"/>
      <c r="C925" s="31"/>
      <c r="D925" s="31"/>
      <c r="E925" s="31"/>
      <c r="G925" s="2"/>
    </row>
    <row r="926" spans="1:7" ht="12.75" x14ac:dyDescent="0.2">
      <c r="A926" s="2"/>
      <c r="B926" s="2"/>
      <c r="C926" s="31"/>
      <c r="D926" s="31"/>
      <c r="E926" s="31"/>
      <c r="G926" s="2"/>
    </row>
    <row r="927" spans="1:7" ht="12.75" x14ac:dyDescent="0.2">
      <c r="A927" s="2"/>
      <c r="B927" s="2"/>
      <c r="C927" s="31"/>
      <c r="D927" s="31"/>
      <c r="E927" s="31"/>
      <c r="G927" s="2"/>
    </row>
    <row r="928" spans="1:7" ht="12.75" x14ac:dyDescent="0.2">
      <c r="A928" s="2"/>
      <c r="B928" s="2"/>
      <c r="C928" s="31"/>
      <c r="D928" s="31"/>
      <c r="E928" s="31"/>
      <c r="G928" s="2"/>
    </row>
    <row r="929" spans="1:7" ht="12.75" x14ac:dyDescent="0.2">
      <c r="A929" s="2"/>
      <c r="B929" s="2"/>
      <c r="C929" s="31"/>
      <c r="D929" s="31"/>
      <c r="E929" s="31"/>
      <c r="G929" s="2"/>
    </row>
    <row r="930" spans="1:7" ht="12.75" x14ac:dyDescent="0.2">
      <c r="A930" s="2"/>
      <c r="B930" s="2"/>
      <c r="C930" s="31"/>
      <c r="D930" s="31"/>
      <c r="E930" s="31"/>
      <c r="G930" s="2"/>
    </row>
    <row r="931" spans="1:7" ht="12.75" x14ac:dyDescent="0.2">
      <c r="A931" s="2"/>
      <c r="B931" s="2"/>
      <c r="C931" s="31"/>
      <c r="D931" s="31"/>
      <c r="E931" s="31"/>
      <c r="G931" s="2"/>
    </row>
    <row r="932" spans="1:7" ht="12.75" x14ac:dyDescent="0.2">
      <c r="A932" s="2"/>
      <c r="B932" s="2"/>
      <c r="C932" s="31"/>
      <c r="D932" s="31"/>
      <c r="E932" s="31"/>
      <c r="G932" s="2"/>
    </row>
    <row r="933" spans="1:7" ht="12.75" x14ac:dyDescent="0.2">
      <c r="A933" s="2"/>
      <c r="B933" s="2"/>
      <c r="C933" s="31"/>
      <c r="D933" s="31"/>
      <c r="E933" s="31"/>
      <c r="G933" s="2"/>
    </row>
    <row r="934" spans="1:7" ht="12.75" x14ac:dyDescent="0.2">
      <c r="A934" s="2"/>
      <c r="B934" s="2"/>
      <c r="C934" s="31"/>
      <c r="D934" s="31"/>
      <c r="E934" s="31"/>
      <c r="G934" s="2"/>
    </row>
    <row r="935" spans="1:7" ht="12.75" x14ac:dyDescent="0.2">
      <c r="A935" s="2"/>
      <c r="B935" s="2"/>
      <c r="C935" s="31"/>
      <c r="D935" s="31"/>
      <c r="E935" s="31"/>
      <c r="G935" s="2"/>
    </row>
    <row r="936" spans="1:7" ht="12.75" x14ac:dyDescent="0.2">
      <c r="A936" s="2"/>
      <c r="B936" s="2"/>
      <c r="C936" s="31"/>
      <c r="D936" s="31"/>
      <c r="E936" s="31"/>
      <c r="G936" s="2"/>
    </row>
    <row r="937" spans="1:7" ht="12.75" x14ac:dyDescent="0.2">
      <c r="A937" s="2"/>
      <c r="B937" s="2"/>
      <c r="C937" s="31"/>
      <c r="D937" s="31"/>
      <c r="E937" s="31"/>
      <c r="G937" s="2"/>
    </row>
    <row r="938" spans="1:7" ht="12.75" x14ac:dyDescent="0.2">
      <c r="A938" s="2"/>
      <c r="B938" s="2"/>
      <c r="C938" s="31"/>
      <c r="D938" s="31"/>
      <c r="E938" s="31"/>
      <c r="G938" s="2"/>
    </row>
    <row r="939" spans="1:7" ht="12.75" x14ac:dyDescent="0.2">
      <c r="A939" s="2"/>
      <c r="B939" s="2"/>
      <c r="C939" s="31"/>
      <c r="D939" s="31"/>
      <c r="E939" s="31"/>
      <c r="G939" s="2"/>
    </row>
    <row r="940" spans="1:7" ht="12.75" x14ac:dyDescent="0.2">
      <c r="A940" s="2"/>
      <c r="B940" s="2"/>
      <c r="C940" s="31"/>
      <c r="D940" s="31"/>
      <c r="E940" s="31"/>
      <c r="G940" s="2"/>
    </row>
    <row r="941" spans="1:7" ht="12.75" x14ac:dyDescent="0.2">
      <c r="A941" s="2"/>
      <c r="B941" s="2"/>
      <c r="C941" s="31"/>
      <c r="D941" s="31"/>
      <c r="E941" s="31"/>
      <c r="G941" s="2"/>
    </row>
    <row r="942" spans="1:7" ht="12.75" x14ac:dyDescent="0.2">
      <c r="A942" s="2"/>
      <c r="B942" s="2"/>
      <c r="C942" s="31"/>
      <c r="D942" s="31"/>
      <c r="E942" s="31"/>
      <c r="G942" s="2"/>
    </row>
    <row r="943" spans="1:7" ht="12.75" x14ac:dyDescent="0.2">
      <c r="A943" s="2"/>
      <c r="B943" s="2"/>
      <c r="C943" s="31"/>
      <c r="D943" s="31"/>
      <c r="E943" s="31"/>
      <c r="G943" s="2"/>
    </row>
    <row r="944" spans="1:7" ht="12.75" x14ac:dyDescent="0.2">
      <c r="A944" s="2"/>
      <c r="B944" s="2"/>
      <c r="C944" s="31"/>
      <c r="D944" s="31"/>
      <c r="E944" s="31"/>
      <c r="G944" s="2"/>
    </row>
    <row r="945" spans="1:7" ht="12.75" x14ac:dyDescent="0.2">
      <c r="A945" s="2"/>
      <c r="B945" s="2"/>
      <c r="C945" s="31"/>
      <c r="D945" s="31"/>
      <c r="E945" s="31"/>
      <c r="G945" s="2"/>
    </row>
    <row r="946" spans="1:7" ht="12.75" x14ac:dyDescent="0.2">
      <c r="A946" s="2"/>
      <c r="B946" s="2"/>
      <c r="C946" s="31"/>
      <c r="D946" s="31"/>
      <c r="E946" s="31"/>
      <c r="G946" s="2"/>
    </row>
    <row r="947" spans="1:7" ht="12.75" x14ac:dyDescent="0.2">
      <c r="A947" s="2"/>
      <c r="B947" s="2"/>
      <c r="C947" s="31"/>
      <c r="D947" s="31"/>
      <c r="E947" s="31"/>
      <c r="G947" s="2"/>
    </row>
    <row r="948" spans="1:7" ht="12.75" x14ac:dyDescent="0.2">
      <c r="A948" s="2"/>
      <c r="B948" s="2"/>
      <c r="C948" s="31"/>
      <c r="D948" s="31"/>
      <c r="E948" s="31"/>
      <c r="G948" s="2"/>
    </row>
    <row r="949" spans="1:7" ht="12.75" x14ac:dyDescent="0.2">
      <c r="A949" s="2"/>
      <c r="B949" s="2"/>
      <c r="C949" s="31"/>
      <c r="D949" s="31"/>
      <c r="E949" s="31"/>
      <c r="G949" s="2"/>
    </row>
    <row r="950" spans="1:7" ht="12.75" x14ac:dyDescent="0.2">
      <c r="A950" s="2"/>
      <c r="B950" s="2"/>
      <c r="C950" s="31"/>
      <c r="D950" s="31"/>
      <c r="E950" s="31"/>
      <c r="G950" s="2"/>
    </row>
    <row r="951" spans="1:7" ht="12.75" x14ac:dyDescent="0.2">
      <c r="A951" s="2"/>
      <c r="B951" s="2"/>
      <c r="C951" s="31"/>
      <c r="D951" s="31"/>
      <c r="E951" s="31"/>
      <c r="G951" s="2"/>
    </row>
    <row r="952" spans="1:7" ht="12.75" x14ac:dyDescent="0.2">
      <c r="A952" s="2"/>
      <c r="B952" s="2"/>
      <c r="C952" s="31"/>
      <c r="D952" s="31"/>
      <c r="E952" s="31"/>
      <c r="G952" s="2"/>
    </row>
    <row r="953" spans="1:7" ht="12.75" x14ac:dyDescent="0.2">
      <c r="A953" s="2"/>
      <c r="B953" s="2"/>
      <c r="C953" s="31"/>
      <c r="D953" s="31"/>
      <c r="E953" s="31"/>
      <c r="G953" s="2"/>
    </row>
    <row r="954" spans="1:7" ht="12.75" x14ac:dyDescent="0.2">
      <c r="A954" s="2"/>
      <c r="B954" s="2"/>
      <c r="C954" s="31"/>
      <c r="D954" s="31"/>
      <c r="E954" s="31"/>
      <c r="G954" s="2"/>
    </row>
    <row r="955" spans="1:7" ht="12.75" x14ac:dyDescent="0.2">
      <c r="A955" s="2"/>
      <c r="B955" s="2"/>
      <c r="C955" s="31"/>
      <c r="D955" s="31"/>
      <c r="E955" s="31"/>
      <c r="G955" s="2"/>
    </row>
    <row r="956" spans="1:7" ht="12.75" x14ac:dyDescent="0.2">
      <c r="A956" s="2"/>
      <c r="B956" s="2"/>
      <c r="C956" s="31"/>
      <c r="D956" s="31"/>
      <c r="E956" s="31"/>
      <c r="G956" s="2"/>
    </row>
    <row r="957" spans="1:7" ht="12.75" x14ac:dyDescent="0.2">
      <c r="A957" s="2"/>
      <c r="B957" s="2"/>
      <c r="C957" s="31"/>
      <c r="D957" s="31"/>
      <c r="E957" s="31"/>
      <c r="G957" s="2"/>
    </row>
    <row r="958" spans="1:7" ht="12.75" x14ac:dyDescent="0.2">
      <c r="A958" s="2"/>
      <c r="B958" s="2"/>
      <c r="C958" s="31"/>
      <c r="D958" s="31"/>
      <c r="E958" s="31"/>
      <c r="G958" s="2"/>
    </row>
    <row r="959" spans="1:7" ht="12.75" x14ac:dyDescent="0.2">
      <c r="A959" s="2"/>
      <c r="B959" s="2"/>
      <c r="C959" s="31"/>
      <c r="D959" s="31"/>
      <c r="E959" s="31"/>
      <c r="G959" s="2"/>
    </row>
    <row r="960" spans="1:7" ht="12.75" x14ac:dyDescent="0.2">
      <c r="A960" s="2"/>
      <c r="B960" s="2"/>
      <c r="C960" s="31"/>
      <c r="D960" s="31"/>
      <c r="E960" s="31"/>
      <c r="G960" s="2"/>
    </row>
    <row r="961" spans="1:7" ht="12.75" x14ac:dyDescent="0.2">
      <c r="A961" s="2"/>
      <c r="B961" s="2"/>
      <c r="C961" s="31"/>
      <c r="D961" s="31"/>
      <c r="E961" s="31"/>
      <c r="G961" s="2"/>
    </row>
    <row r="962" spans="1:7" ht="12.75" x14ac:dyDescent="0.2">
      <c r="A962" s="2"/>
      <c r="B962" s="2"/>
      <c r="C962" s="31"/>
      <c r="D962" s="31"/>
      <c r="E962" s="31"/>
      <c r="G962" s="2"/>
    </row>
    <row r="963" spans="1:7" ht="12.75" x14ac:dyDescent="0.2">
      <c r="A963" s="2"/>
      <c r="B963" s="2"/>
      <c r="C963" s="31"/>
      <c r="D963" s="31"/>
      <c r="E963" s="31"/>
      <c r="G963" s="2"/>
    </row>
    <row r="964" spans="1:7" ht="12.75" x14ac:dyDescent="0.2">
      <c r="A964" s="2"/>
      <c r="B964" s="2"/>
      <c r="C964" s="31"/>
      <c r="D964" s="31"/>
      <c r="E964" s="31"/>
      <c r="G964" s="2"/>
    </row>
    <row r="965" spans="1:7" ht="12.75" x14ac:dyDescent="0.2">
      <c r="A965" s="2"/>
      <c r="B965" s="2"/>
      <c r="C965" s="31"/>
      <c r="D965" s="31"/>
      <c r="E965" s="31"/>
      <c r="G965" s="2"/>
    </row>
    <row r="966" spans="1:7" ht="12.75" x14ac:dyDescent="0.2">
      <c r="A966" s="2"/>
      <c r="B966" s="2"/>
      <c r="C966" s="31"/>
      <c r="D966" s="31"/>
      <c r="E966" s="31"/>
      <c r="G966" s="2"/>
    </row>
    <row r="967" spans="1:7" ht="12.75" x14ac:dyDescent="0.2">
      <c r="A967" s="2"/>
      <c r="B967" s="2"/>
      <c r="C967" s="31"/>
      <c r="D967" s="31"/>
      <c r="E967" s="31"/>
      <c r="G967" s="2"/>
    </row>
    <row r="968" spans="1:7" ht="12.75" x14ac:dyDescent="0.2">
      <c r="A968" s="2"/>
      <c r="B968" s="2"/>
      <c r="C968" s="31"/>
      <c r="D968" s="31"/>
      <c r="E968" s="31"/>
      <c r="G968" s="2"/>
    </row>
    <row r="969" spans="1:7" ht="12.75" x14ac:dyDescent="0.2">
      <c r="A969" s="2"/>
      <c r="B969" s="2"/>
      <c r="C969" s="31"/>
      <c r="D969" s="31"/>
      <c r="E969" s="31"/>
      <c r="G969" s="2"/>
    </row>
    <row r="970" spans="1:7" ht="12.75" x14ac:dyDescent="0.2">
      <c r="A970" s="2"/>
      <c r="B970" s="2"/>
      <c r="C970" s="31"/>
      <c r="D970" s="31"/>
      <c r="E970" s="31"/>
      <c r="G970" s="2"/>
    </row>
    <row r="971" spans="1:7" ht="12.75" x14ac:dyDescent="0.2">
      <c r="A971" s="2"/>
      <c r="B971" s="2"/>
      <c r="C971" s="31"/>
      <c r="D971" s="31"/>
      <c r="E971" s="31"/>
      <c r="G971" s="2"/>
    </row>
    <row r="972" spans="1:7" ht="12.75" x14ac:dyDescent="0.2">
      <c r="A972" s="2"/>
      <c r="B972" s="2"/>
      <c r="C972" s="31"/>
      <c r="D972" s="31"/>
      <c r="E972" s="31"/>
      <c r="G972" s="2"/>
    </row>
    <row r="973" spans="1:7" ht="12.75" x14ac:dyDescent="0.2">
      <c r="A973" s="2"/>
      <c r="B973" s="2"/>
      <c r="C973" s="31"/>
      <c r="D973" s="31"/>
      <c r="E973" s="31"/>
      <c r="G973" s="2"/>
    </row>
    <row r="974" spans="1:7" ht="12.75" x14ac:dyDescent="0.2">
      <c r="A974" s="2"/>
      <c r="B974" s="2"/>
      <c r="C974" s="31"/>
      <c r="D974" s="31"/>
      <c r="E974" s="31"/>
      <c r="G974" s="2"/>
    </row>
    <row r="975" spans="1:7" ht="12.75" x14ac:dyDescent="0.2">
      <c r="A975" s="2"/>
      <c r="B975" s="2"/>
      <c r="C975" s="31"/>
      <c r="D975" s="31"/>
      <c r="E975" s="31"/>
      <c r="G975" s="2"/>
    </row>
    <row r="976" spans="1:7" ht="12.75" x14ac:dyDescent="0.2">
      <c r="A976" s="2"/>
      <c r="B976" s="2"/>
      <c r="C976" s="31"/>
      <c r="D976" s="31"/>
      <c r="E976" s="31"/>
      <c r="G976" s="2"/>
    </row>
    <row r="977" spans="1:7" ht="12.75" x14ac:dyDescent="0.2">
      <c r="A977" s="2"/>
      <c r="B977" s="2"/>
      <c r="C977" s="31"/>
      <c r="D977" s="31"/>
      <c r="E977" s="31"/>
      <c r="G977" s="2"/>
    </row>
    <row r="978" spans="1:7" ht="12.75" x14ac:dyDescent="0.2">
      <c r="A978" s="2"/>
      <c r="B978" s="2"/>
      <c r="C978" s="31"/>
      <c r="D978" s="31"/>
      <c r="E978" s="31"/>
      <c r="G978" s="2"/>
    </row>
    <row r="979" spans="1:7" ht="12.75" x14ac:dyDescent="0.2">
      <c r="A979" s="2"/>
      <c r="B979" s="2"/>
      <c r="C979" s="31"/>
      <c r="D979" s="31"/>
      <c r="E979" s="31"/>
      <c r="G979" s="2"/>
    </row>
    <row r="980" spans="1:7" ht="12.75" x14ac:dyDescent="0.2">
      <c r="A980" s="2"/>
      <c r="B980" s="2"/>
      <c r="C980" s="31"/>
      <c r="D980" s="31"/>
      <c r="E980" s="31"/>
      <c r="G980" s="2"/>
    </row>
    <row r="981" spans="1:7" ht="12.75" x14ac:dyDescent="0.2">
      <c r="A981" s="2"/>
      <c r="B981" s="2"/>
      <c r="C981" s="31"/>
      <c r="D981" s="31"/>
      <c r="E981" s="31"/>
      <c r="G981" s="2"/>
    </row>
    <row r="982" spans="1:7" ht="12.75" x14ac:dyDescent="0.2">
      <c r="A982" s="2"/>
      <c r="B982" s="2"/>
      <c r="C982" s="31"/>
      <c r="D982" s="31"/>
      <c r="E982" s="31"/>
      <c r="G982" s="2"/>
    </row>
    <row r="983" spans="1:7" ht="12.75" x14ac:dyDescent="0.2">
      <c r="A983" s="2"/>
      <c r="B983" s="2"/>
      <c r="C983" s="31"/>
      <c r="D983" s="31"/>
      <c r="E983" s="31"/>
      <c r="G983" s="2"/>
    </row>
    <row r="984" spans="1:7" ht="12.75" x14ac:dyDescent="0.2">
      <c r="A984" s="2"/>
      <c r="B984" s="2"/>
      <c r="C984" s="31"/>
      <c r="D984" s="31"/>
      <c r="E984" s="31"/>
      <c r="G984" s="2"/>
    </row>
    <row r="985" spans="1:7" ht="12.75" x14ac:dyDescent="0.2">
      <c r="A985" s="2"/>
      <c r="B985" s="2"/>
      <c r="C985" s="31"/>
      <c r="D985" s="31"/>
      <c r="E985" s="31"/>
      <c r="G985" s="2"/>
    </row>
    <row r="986" spans="1:7" ht="12.75" x14ac:dyDescent="0.2">
      <c r="A986" s="2"/>
      <c r="B986" s="2"/>
      <c r="C986" s="31"/>
      <c r="D986" s="31"/>
      <c r="E986" s="31"/>
      <c r="G986" s="2"/>
    </row>
    <row r="987" spans="1:7" ht="12.75" x14ac:dyDescent="0.2">
      <c r="A987" s="2"/>
      <c r="B987" s="2"/>
      <c r="C987" s="31"/>
      <c r="D987" s="31"/>
      <c r="E987" s="31"/>
      <c r="G987" s="2"/>
    </row>
    <row r="988" spans="1:7" ht="12.75" x14ac:dyDescent="0.2">
      <c r="A988" s="2"/>
      <c r="B988" s="2"/>
      <c r="C988" s="31"/>
      <c r="D988" s="31"/>
      <c r="E988" s="31"/>
      <c r="G988" s="2"/>
    </row>
    <row r="989" spans="1:7" ht="12.75" x14ac:dyDescent="0.2">
      <c r="A989" s="2"/>
      <c r="B989" s="2"/>
      <c r="C989" s="31"/>
      <c r="D989" s="31"/>
      <c r="E989" s="31"/>
      <c r="G989" s="2"/>
    </row>
    <row r="990" spans="1:7" ht="12.75" x14ac:dyDescent="0.2">
      <c r="A990" s="2"/>
      <c r="B990" s="2"/>
      <c r="C990" s="31"/>
      <c r="D990" s="31"/>
      <c r="E990" s="31"/>
      <c r="G990" s="2"/>
    </row>
    <row r="991" spans="1:7" ht="12.75" x14ac:dyDescent="0.2">
      <c r="A991" s="2"/>
      <c r="B991" s="2"/>
      <c r="C991" s="31"/>
      <c r="D991" s="31"/>
      <c r="E991" s="31"/>
      <c r="G991" s="2"/>
    </row>
    <row r="992" spans="1:7" ht="12.75" x14ac:dyDescent="0.2">
      <c r="A992" s="2"/>
      <c r="B992" s="2"/>
      <c r="C992" s="31"/>
      <c r="D992" s="31"/>
      <c r="E992" s="31"/>
      <c r="G992" s="2"/>
    </row>
    <row r="993" spans="1:7" ht="12.75" x14ac:dyDescent="0.2">
      <c r="A993" s="2"/>
      <c r="B993" s="2"/>
      <c r="C993" s="31"/>
      <c r="D993" s="31"/>
      <c r="E993" s="31"/>
      <c r="G993" s="2"/>
    </row>
    <row r="994" spans="1:7" ht="12.75" x14ac:dyDescent="0.2">
      <c r="A994" s="2"/>
      <c r="B994" s="2"/>
      <c r="C994" s="31"/>
      <c r="D994" s="31"/>
      <c r="E994" s="31"/>
      <c r="G994" s="2"/>
    </row>
    <row r="995" spans="1:7" ht="12.75" x14ac:dyDescent="0.2">
      <c r="A995" s="2"/>
      <c r="B995" s="2"/>
      <c r="C995" s="31"/>
      <c r="D995" s="31"/>
      <c r="E995" s="31"/>
      <c r="G995" s="2"/>
    </row>
    <row r="996" spans="1:7" ht="12.75" x14ac:dyDescent="0.2">
      <c r="A996" s="2"/>
      <c r="B996" s="2"/>
      <c r="C996" s="31"/>
      <c r="D996" s="31"/>
      <c r="E996" s="31"/>
      <c r="G996" s="2"/>
    </row>
    <row r="997" spans="1:7" ht="12.75" x14ac:dyDescent="0.2">
      <c r="A997" s="2"/>
      <c r="B997" s="2"/>
      <c r="C997" s="31"/>
      <c r="D997" s="31"/>
      <c r="E997" s="31"/>
      <c r="G997" s="2"/>
    </row>
    <row r="998" spans="1:7" ht="12.75" x14ac:dyDescent="0.2">
      <c r="A998" s="2"/>
      <c r="B998" s="2"/>
      <c r="C998" s="31"/>
      <c r="D998" s="31"/>
      <c r="E998" s="31"/>
      <c r="G998" s="2"/>
    </row>
    <row r="999" spans="1:7" ht="12.75" x14ac:dyDescent="0.2">
      <c r="A999" s="2"/>
      <c r="B999" s="2"/>
      <c r="C999" s="31"/>
      <c r="D999" s="31"/>
      <c r="E999" s="31"/>
      <c r="G999" s="2"/>
    </row>
    <row r="1000" spans="1:7" ht="12.75" x14ac:dyDescent="0.2">
      <c r="A1000" s="2"/>
      <c r="B1000" s="2"/>
      <c r="C1000" s="31"/>
      <c r="D1000" s="31"/>
      <c r="E1000" s="31"/>
      <c r="G1000" s="2"/>
    </row>
    <row r="1001" spans="1:7" ht="12.75" x14ac:dyDescent="0.2">
      <c r="A1001" s="2"/>
      <c r="B1001" s="2"/>
      <c r="C1001" s="31"/>
      <c r="D1001" s="31"/>
      <c r="E1001" s="31"/>
      <c r="G1001" s="2"/>
    </row>
    <row r="1002" spans="1:7" ht="12.75" x14ac:dyDescent="0.2">
      <c r="A1002" s="2"/>
      <c r="B1002" s="2"/>
      <c r="C1002" s="31"/>
      <c r="D1002" s="31"/>
      <c r="E1002" s="31"/>
      <c r="G1002" s="2"/>
    </row>
    <row r="1003" spans="1:7" ht="12.75" x14ac:dyDescent="0.2">
      <c r="A1003" s="2"/>
      <c r="B1003" s="2"/>
      <c r="C1003" s="31"/>
      <c r="D1003" s="31"/>
      <c r="E1003" s="31"/>
      <c r="G1003" s="2"/>
    </row>
  </sheetData>
  <mergeCells count="3">
    <mergeCell ref="B1:H1"/>
    <mergeCell ref="B2:H2"/>
    <mergeCell ref="B81:H8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X97"/>
  <sheetViews>
    <sheetView workbookViewId="0">
      <selection activeCell="A68" sqref="A68:A74"/>
    </sheetView>
  </sheetViews>
  <sheetFormatPr defaultColWidth="12.42578125" defaultRowHeight="15.75" customHeight="1" x14ac:dyDescent="0.2"/>
  <cols>
    <col min="1" max="1" width="44.140625" customWidth="1"/>
    <col min="2" max="2" width="41.140625" customWidth="1"/>
    <col min="3" max="3" width="21.42578125" customWidth="1"/>
    <col min="4" max="4" width="13.42578125" customWidth="1"/>
    <col min="5" max="5" width="14.85546875" customWidth="1"/>
    <col min="8" max="8" width="17.85546875" customWidth="1"/>
    <col min="9" max="9" width="29.42578125" customWidth="1"/>
  </cols>
  <sheetData>
    <row r="1" spans="1:24" ht="12.75" x14ac:dyDescent="0.2">
      <c r="A1" s="3" t="s">
        <v>623</v>
      </c>
      <c r="B1" s="3"/>
      <c r="C1" s="3"/>
      <c r="D1" s="3"/>
      <c r="E1" s="3"/>
      <c r="F1" s="3"/>
      <c r="G1" s="3"/>
      <c r="H1" s="4"/>
      <c r="I1" s="4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x14ac:dyDescent="0.2">
      <c r="A2" s="1" t="s">
        <v>624</v>
      </c>
    </row>
    <row r="3" spans="1:24" ht="12.75" x14ac:dyDescent="0.2">
      <c r="A3" s="1" t="s">
        <v>625</v>
      </c>
    </row>
    <row r="4" spans="1:24" ht="12.75" x14ac:dyDescent="0.2">
      <c r="A4" s="1" t="s">
        <v>626</v>
      </c>
    </row>
    <row r="5" spans="1:24" ht="12.75" x14ac:dyDescent="0.2">
      <c r="A5" s="1" t="s">
        <v>627</v>
      </c>
    </row>
    <row r="6" spans="1:24" ht="12.75" x14ac:dyDescent="0.2">
      <c r="A6" s="1" t="s">
        <v>570</v>
      </c>
    </row>
    <row r="7" spans="1:24" ht="12.75" x14ac:dyDescent="0.2">
      <c r="A7" s="1" t="s">
        <v>628</v>
      </c>
    </row>
    <row r="8" spans="1:24" ht="12.75" x14ac:dyDescent="0.2">
      <c r="A8" s="1" t="s">
        <v>629</v>
      </c>
    </row>
    <row r="9" spans="1:24" ht="12.75" x14ac:dyDescent="0.2">
      <c r="A9" s="1" t="s">
        <v>630</v>
      </c>
    </row>
    <row r="10" spans="1:24" ht="12.75" x14ac:dyDescent="0.2">
      <c r="A10" s="1" t="s">
        <v>24</v>
      </c>
    </row>
    <row r="11" spans="1:24" ht="12.75" x14ac:dyDescent="0.2">
      <c r="A11" s="1" t="s">
        <v>631</v>
      </c>
    </row>
    <row r="12" spans="1:24" ht="12.75" x14ac:dyDescent="0.2">
      <c r="A12" s="1" t="s">
        <v>632</v>
      </c>
    </row>
    <row r="13" spans="1:24" ht="12.75" x14ac:dyDescent="0.2">
      <c r="A13" s="1" t="s">
        <v>2</v>
      </c>
    </row>
    <row r="14" spans="1:24" ht="12.75" x14ac:dyDescent="0.2">
      <c r="A14" s="1" t="s">
        <v>3</v>
      </c>
    </row>
    <row r="15" spans="1:24" ht="12.75" x14ac:dyDescent="0.2">
      <c r="A15" s="1" t="s">
        <v>1</v>
      </c>
    </row>
    <row r="16" spans="1:24" ht="12.75" x14ac:dyDescent="0.2">
      <c r="A16" s="1" t="s">
        <v>31</v>
      </c>
    </row>
    <row r="17" spans="1:7" ht="12.75" x14ac:dyDescent="0.2">
      <c r="A17" s="1" t="s">
        <v>4</v>
      </c>
    </row>
    <row r="18" spans="1:7" ht="12.75" x14ac:dyDescent="0.2">
      <c r="A18" s="1" t="s">
        <v>633</v>
      </c>
    </row>
    <row r="20" spans="1:7" ht="15.75" customHeight="1" x14ac:dyDescent="0.25">
      <c r="A20" s="238" t="s">
        <v>634</v>
      </c>
      <c r="B20" s="224"/>
      <c r="C20" s="224"/>
      <c r="D20" s="224"/>
      <c r="E20" s="224"/>
      <c r="F20" s="224"/>
      <c r="G20" s="225"/>
    </row>
    <row r="21" spans="1:7" ht="15.75" customHeight="1" x14ac:dyDescent="0.25">
      <c r="A21" s="46" t="s">
        <v>635</v>
      </c>
      <c r="B21" s="46" t="s">
        <v>636</v>
      </c>
      <c r="C21" s="47"/>
      <c r="D21" s="238" t="s">
        <v>637</v>
      </c>
      <c r="E21" s="224"/>
      <c r="F21" s="224"/>
      <c r="G21" s="225"/>
    </row>
    <row r="22" spans="1:7" ht="12.75" x14ac:dyDescent="0.2">
      <c r="A22" s="236" t="s">
        <v>638</v>
      </c>
      <c r="B22" s="8" t="s">
        <v>639</v>
      </c>
      <c r="C22" s="7"/>
      <c r="D22" s="48"/>
      <c r="E22" s="48"/>
      <c r="F22" s="48"/>
      <c r="G22" s="48"/>
    </row>
    <row r="23" spans="1:7" ht="12.75" x14ac:dyDescent="0.2">
      <c r="A23" s="237"/>
      <c r="B23" s="49" t="s">
        <v>640</v>
      </c>
      <c r="C23" s="48">
        <v>0.8</v>
      </c>
      <c r="D23" s="48"/>
      <c r="E23" s="48"/>
      <c r="F23" s="48"/>
      <c r="G23" s="48"/>
    </row>
    <row r="24" spans="1:7" ht="12.75" x14ac:dyDescent="0.2">
      <c r="A24" s="237"/>
      <c r="B24" s="49" t="s">
        <v>641</v>
      </c>
      <c r="C24" s="48">
        <v>0.76</v>
      </c>
      <c r="D24" s="50"/>
      <c r="E24" s="50"/>
      <c r="F24" s="239" t="s">
        <v>642</v>
      </c>
      <c r="G24" s="225"/>
    </row>
    <row r="25" spans="1:7" ht="12.75" x14ac:dyDescent="0.2">
      <c r="A25" s="237"/>
      <c r="B25" s="49" t="s">
        <v>643</v>
      </c>
      <c r="C25" s="48">
        <v>0.7</v>
      </c>
      <c r="D25" s="50"/>
      <c r="E25" s="50"/>
      <c r="F25" s="51" t="s">
        <v>644</v>
      </c>
      <c r="G25" s="51" t="s">
        <v>645</v>
      </c>
    </row>
    <row r="26" spans="1:7" ht="12.75" x14ac:dyDescent="0.2">
      <c r="A26" s="237"/>
      <c r="B26" s="49" t="s">
        <v>646</v>
      </c>
      <c r="C26" s="48">
        <v>0.84</v>
      </c>
      <c r="D26" s="234" t="s">
        <v>647</v>
      </c>
      <c r="E26" s="51" t="s">
        <v>644</v>
      </c>
      <c r="F26" s="52">
        <v>96</v>
      </c>
      <c r="G26" s="52">
        <v>78</v>
      </c>
    </row>
    <row r="27" spans="1:7" ht="12.75" x14ac:dyDescent="0.2">
      <c r="A27" s="237"/>
      <c r="B27" s="49" t="s">
        <v>648</v>
      </c>
      <c r="C27" s="48">
        <v>0.56999999999999995</v>
      </c>
      <c r="D27" s="235"/>
      <c r="E27" s="51" t="s">
        <v>645</v>
      </c>
      <c r="F27" s="52">
        <v>46</v>
      </c>
      <c r="G27" s="52">
        <v>243</v>
      </c>
    </row>
    <row r="28" spans="1:7" ht="12.75" x14ac:dyDescent="0.2">
      <c r="A28" s="237"/>
      <c r="B28" s="49" t="s">
        <v>649</v>
      </c>
      <c r="C28" s="48">
        <v>0.31</v>
      </c>
      <c r="D28" s="48"/>
      <c r="E28" s="48"/>
      <c r="F28" s="48"/>
      <c r="G28" s="48"/>
    </row>
    <row r="29" spans="1:7" ht="12.75" x14ac:dyDescent="0.2">
      <c r="A29" s="235"/>
      <c r="B29" s="49" t="s">
        <v>650</v>
      </c>
      <c r="C29" s="48">
        <v>0.8</v>
      </c>
      <c r="D29" s="53"/>
      <c r="E29" s="53"/>
      <c r="F29" s="53"/>
      <c r="G29" s="53"/>
    </row>
    <row r="30" spans="1:7" ht="12.75" x14ac:dyDescent="0.2">
      <c r="A30" s="54"/>
      <c r="B30" s="48"/>
      <c r="C30" s="48"/>
      <c r="D30" s="48"/>
      <c r="E30" s="48"/>
      <c r="F30" s="48"/>
      <c r="G30" s="48"/>
    </row>
    <row r="31" spans="1:7" ht="12.75" x14ac:dyDescent="0.2">
      <c r="A31" s="236" t="s">
        <v>638</v>
      </c>
      <c r="B31" s="8" t="s">
        <v>651</v>
      </c>
      <c r="C31" s="48"/>
      <c r="D31" s="48"/>
      <c r="E31" s="48"/>
      <c r="F31" s="48"/>
      <c r="G31" s="48"/>
    </row>
    <row r="32" spans="1:7" ht="12.75" x14ac:dyDescent="0.2">
      <c r="A32" s="237"/>
      <c r="B32" s="49" t="s">
        <v>640</v>
      </c>
      <c r="C32" s="48">
        <v>0.77</v>
      </c>
      <c r="D32" s="48"/>
      <c r="E32" s="48"/>
      <c r="F32" s="48"/>
      <c r="G32" s="48"/>
    </row>
    <row r="33" spans="1:7" ht="12.75" x14ac:dyDescent="0.2">
      <c r="A33" s="237"/>
      <c r="B33" s="49" t="s">
        <v>641</v>
      </c>
      <c r="C33" s="48">
        <v>0.74</v>
      </c>
      <c r="D33" s="50"/>
      <c r="E33" s="50"/>
      <c r="F33" s="239" t="s">
        <v>642</v>
      </c>
      <c r="G33" s="225"/>
    </row>
    <row r="34" spans="1:7" ht="12.75" x14ac:dyDescent="0.2">
      <c r="A34" s="237"/>
      <c r="B34" s="49" t="s">
        <v>643</v>
      </c>
      <c r="C34" s="48">
        <v>0.66</v>
      </c>
      <c r="D34" s="50"/>
      <c r="E34" s="50"/>
      <c r="F34" s="51" t="s">
        <v>644</v>
      </c>
      <c r="G34" s="51" t="s">
        <v>645</v>
      </c>
    </row>
    <row r="35" spans="1:7" ht="12.75" x14ac:dyDescent="0.2">
      <c r="A35" s="237"/>
      <c r="B35" s="49" t="s">
        <v>646</v>
      </c>
      <c r="C35" s="48">
        <v>0.84</v>
      </c>
      <c r="D35" s="234" t="s">
        <v>647</v>
      </c>
      <c r="E35" s="51" t="s">
        <v>644</v>
      </c>
      <c r="F35" s="52">
        <v>91</v>
      </c>
      <c r="G35" s="52">
        <v>83</v>
      </c>
    </row>
    <row r="36" spans="1:7" ht="12.75" x14ac:dyDescent="0.2">
      <c r="A36" s="237"/>
      <c r="B36" s="49" t="s">
        <v>648</v>
      </c>
      <c r="C36" s="48">
        <v>0.52</v>
      </c>
      <c r="D36" s="235"/>
      <c r="E36" s="51" t="s">
        <v>645</v>
      </c>
      <c r="F36" s="52">
        <v>45</v>
      </c>
      <c r="G36" s="52">
        <v>244</v>
      </c>
    </row>
    <row r="37" spans="1:7" ht="12.75" x14ac:dyDescent="0.2">
      <c r="A37" s="237"/>
      <c r="B37" s="49" t="s">
        <v>649</v>
      </c>
      <c r="C37" s="48">
        <v>0.33</v>
      </c>
      <c r="D37" s="48"/>
      <c r="E37" s="48"/>
      <c r="F37" s="48"/>
      <c r="G37" s="48"/>
    </row>
    <row r="38" spans="1:7" ht="12.75" x14ac:dyDescent="0.2">
      <c r="A38" s="235"/>
      <c r="B38" s="49" t="s">
        <v>650</v>
      </c>
      <c r="C38" s="48">
        <v>0.79</v>
      </c>
      <c r="D38" s="48"/>
      <c r="E38" s="48"/>
      <c r="F38" s="48"/>
      <c r="G38" s="48"/>
    </row>
    <row r="39" spans="1:7" ht="12.75" x14ac:dyDescent="0.2">
      <c r="A39" s="54"/>
      <c r="B39" s="48"/>
      <c r="C39" s="48"/>
      <c r="D39" s="48"/>
      <c r="E39" s="48"/>
      <c r="F39" s="48"/>
      <c r="G39" s="48"/>
    </row>
    <row r="40" spans="1:7" ht="12.75" x14ac:dyDescent="0.2">
      <c r="A40" s="236" t="s">
        <v>638</v>
      </c>
      <c r="B40" s="8" t="s">
        <v>652</v>
      </c>
      <c r="C40" s="48"/>
      <c r="D40" s="48"/>
      <c r="E40" s="48"/>
      <c r="F40" s="48"/>
      <c r="G40" s="48"/>
    </row>
    <row r="41" spans="1:7" ht="12.75" x14ac:dyDescent="0.2">
      <c r="A41" s="237"/>
      <c r="B41" s="49" t="s">
        <v>640</v>
      </c>
      <c r="C41" s="48">
        <v>0.78</v>
      </c>
      <c r="D41" s="48"/>
      <c r="E41" s="48"/>
      <c r="F41" s="48"/>
      <c r="G41" s="48"/>
    </row>
    <row r="42" spans="1:7" ht="12.75" x14ac:dyDescent="0.2">
      <c r="A42" s="237"/>
      <c r="B42" s="49" t="s">
        <v>641</v>
      </c>
      <c r="C42" s="48">
        <v>0.77</v>
      </c>
      <c r="D42" s="50"/>
      <c r="E42" s="50"/>
      <c r="F42" s="239" t="s">
        <v>642</v>
      </c>
      <c r="G42" s="225"/>
    </row>
    <row r="43" spans="1:7" ht="12.75" x14ac:dyDescent="0.2">
      <c r="A43" s="237"/>
      <c r="B43" s="49" t="s">
        <v>643</v>
      </c>
      <c r="C43" s="48">
        <v>0.6</v>
      </c>
      <c r="D43" s="50"/>
      <c r="E43" s="50"/>
      <c r="F43" s="51" t="s">
        <v>644</v>
      </c>
      <c r="G43" s="51" t="s">
        <v>645</v>
      </c>
    </row>
    <row r="44" spans="1:7" ht="12.75" x14ac:dyDescent="0.2">
      <c r="A44" s="237"/>
      <c r="B44" s="49" t="s">
        <v>646</v>
      </c>
      <c r="C44" s="48">
        <v>0.75</v>
      </c>
      <c r="D44" s="234" t="s">
        <v>647</v>
      </c>
      <c r="E44" s="51" t="s">
        <v>644</v>
      </c>
      <c r="F44" s="52">
        <v>111</v>
      </c>
      <c r="G44" s="52">
        <v>63</v>
      </c>
    </row>
    <row r="45" spans="1:7" ht="12.75" x14ac:dyDescent="0.2">
      <c r="A45" s="237"/>
      <c r="B45" s="49" t="s">
        <v>648</v>
      </c>
      <c r="C45" s="48">
        <v>0.63</v>
      </c>
      <c r="D45" s="235"/>
      <c r="E45" s="51" t="s">
        <v>645</v>
      </c>
      <c r="F45" s="52">
        <v>71</v>
      </c>
      <c r="G45" s="52">
        <v>218</v>
      </c>
    </row>
    <row r="46" spans="1:7" ht="12.75" x14ac:dyDescent="0.2">
      <c r="A46" s="237"/>
      <c r="B46" s="49" t="s">
        <v>649</v>
      </c>
      <c r="C46" s="48">
        <v>0.39</v>
      </c>
      <c r="D46" s="48"/>
      <c r="E46" s="48"/>
      <c r="F46" s="48"/>
      <c r="G46" s="48"/>
    </row>
    <row r="47" spans="1:7" ht="12.75" x14ac:dyDescent="0.2">
      <c r="A47" s="235"/>
      <c r="B47" s="49" t="s">
        <v>650</v>
      </c>
      <c r="C47" s="48">
        <v>0.76</v>
      </c>
      <c r="D47" s="48"/>
      <c r="E47" s="48"/>
      <c r="F47" s="48"/>
      <c r="G47" s="48"/>
    </row>
    <row r="48" spans="1:7" ht="12.75" x14ac:dyDescent="0.2">
      <c r="A48" s="54"/>
      <c r="B48" s="48"/>
      <c r="C48" s="55"/>
    </row>
    <row r="49" spans="1:7" ht="12.75" x14ac:dyDescent="0.2">
      <c r="A49" s="236" t="s">
        <v>638</v>
      </c>
      <c r="B49" s="8" t="s">
        <v>653</v>
      </c>
      <c r="C49" s="48"/>
      <c r="D49" s="48"/>
      <c r="E49" s="48"/>
      <c r="F49" s="48"/>
      <c r="G49" s="48"/>
    </row>
    <row r="50" spans="1:7" ht="12.75" x14ac:dyDescent="0.2">
      <c r="A50" s="237"/>
      <c r="B50" s="49" t="s">
        <v>640</v>
      </c>
      <c r="C50" s="48">
        <v>0.76</v>
      </c>
      <c r="D50" s="48"/>
      <c r="E50" s="48"/>
      <c r="F50" s="48"/>
      <c r="G50" s="48"/>
    </row>
    <row r="51" spans="1:7" ht="12.75" x14ac:dyDescent="0.2">
      <c r="A51" s="237"/>
      <c r="B51" s="49" t="s">
        <v>641</v>
      </c>
      <c r="C51" s="48">
        <v>0.74</v>
      </c>
      <c r="D51" s="50"/>
      <c r="E51" s="50"/>
      <c r="F51" s="239" t="s">
        <v>642</v>
      </c>
      <c r="G51" s="225"/>
    </row>
    <row r="52" spans="1:7" ht="12.75" x14ac:dyDescent="0.2">
      <c r="A52" s="237"/>
      <c r="B52" s="49" t="s">
        <v>643</v>
      </c>
      <c r="C52" s="48">
        <v>0.61</v>
      </c>
      <c r="D52" s="50"/>
      <c r="E52" s="50"/>
      <c r="F52" s="51" t="s">
        <v>644</v>
      </c>
      <c r="G52" s="51" t="s">
        <v>645</v>
      </c>
    </row>
    <row r="53" spans="1:7" ht="12.75" x14ac:dyDescent="0.2">
      <c r="A53" s="237"/>
      <c r="B53" s="49" t="s">
        <v>646</v>
      </c>
      <c r="C53" s="48">
        <v>0.78</v>
      </c>
      <c r="D53" s="234" t="s">
        <v>647</v>
      </c>
      <c r="E53" s="51" t="s">
        <v>644</v>
      </c>
      <c r="F53" s="52">
        <v>96</v>
      </c>
      <c r="G53" s="52">
        <v>78</v>
      </c>
    </row>
    <row r="54" spans="1:7" ht="12.75" x14ac:dyDescent="0.2">
      <c r="A54" s="237"/>
      <c r="B54" s="49" t="s">
        <v>648</v>
      </c>
      <c r="C54" s="48">
        <v>0.55000000000000004</v>
      </c>
      <c r="D54" s="235"/>
      <c r="E54" s="51" t="s">
        <v>645</v>
      </c>
      <c r="F54" s="52">
        <v>61</v>
      </c>
      <c r="G54" s="52">
        <v>228</v>
      </c>
    </row>
    <row r="55" spans="1:7" ht="12.75" x14ac:dyDescent="0.2">
      <c r="A55" s="237"/>
      <c r="B55" s="49" t="s">
        <v>649</v>
      </c>
      <c r="C55" s="48">
        <v>0.38</v>
      </c>
      <c r="D55" s="48"/>
      <c r="E55" s="48"/>
      <c r="F55" s="48"/>
      <c r="G55" s="48"/>
    </row>
    <row r="56" spans="1:7" ht="12.75" x14ac:dyDescent="0.2">
      <c r="A56" s="235"/>
      <c r="B56" s="49" t="s">
        <v>650</v>
      </c>
      <c r="C56" s="48">
        <v>0.76</v>
      </c>
      <c r="D56" s="48"/>
      <c r="E56" s="48"/>
      <c r="F56" s="48"/>
      <c r="G56" s="48"/>
    </row>
    <row r="57" spans="1:7" ht="12.75" x14ac:dyDescent="0.2">
      <c r="A57" s="48"/>
      <c r="B57" s="48"/>
      <c r="C57" s="48"/>
      <c r="D57" s="48"/>
      <c r="E57" s="48"/>
      <c r="F57" s="48"/>
      <c r="G57" s="48"/>
    </row>
    <row r="58" spans="1:7" ht="12.75" x14ac:dyDescent="0.2">
      <c r="A58" s="8"/>
      <c r="B58" s="8" t="s">
        <v>654</v>
      </c>
      <c r="C58" s="9"/>
      <c r="D58" s="48"/>
      <c r="E58" s="48"/>
      <c r="F58" s="48"/>
      <c r="G58" s="48"/>
    </row>
    <row r="59" spans="1:7" ht="12.75" x14ac:dyDescent="0.2">
      <c r="A59" s="236" t="s">
        <v>638</v>
      </c>
      <c r="B59" s="49" t="s">
        <v>640</v>
      </c>
      <c r="C59" s="48">
        <v>0.74</v>
      </c>
      <c r="D59" s="48"/>
      <c r="E59" s="48"/>
      <c r="F59" s="48"/>
      <c r="G59" s="48"/>
    </row>
    <row r="60" spans="1:7" ht="12.75" x14ac:dyDescent="0.2">
      <c r="A60" s="237"/>
      <c r="B60" s="49" t="s">
        <v>641</v>
      </c>
      <c r="C60" s="48">
        <v>0.75</v>
      </c>
      <c r="D60" s="50"/>
      <c r="E60" s="56"/>
      <c r="F60" s="223" t="s">
        <v>642</v>
      </c>
      <c r="G60" s="225"/>
    </row>
    <row r="61" spans="1:7" ht="12.75" x14ac:dyDescent="0.2">
      <c r="A61" s="237"/>
      <c r="B61" s="49" t="s">
        <v>643</v>
      </c>
      <c r="C61" s="48">
        <v>0.53</v>
      </c>
      <c r="D61" s="50"/>
      <c r="E61" s="56"/>
      <c r="F61" s="57" t="s">
        <v>644</v>
      </c>
      <c r="G61" s="57" t="s">
        <v>645</v>
      </c>
    </row>
    <row r="62" spans="1:7" ht="12.75" x14ac:dyDescent="0.2">
      <c r="A62" s="237"/>
      <c r="B62" s="49" t="s">
        <v>646</v>
      </c>
      <c r="C62" s="48">
        <v>0.65</v>
      </c>
      <c r="D62" s="234" t="s">
        <v>647</v>
      </c>
      <c r="E62" s="57" t="s">
        <v>644</v>
      </c>
      <c r="F62" s="58">
        <v>113</v>
      </c>
      <c r="G62" s="58">
        <v>61</v>
      </c>
    </row>
    <row r="63" spans="1:7" ht="12.75" x14ac:dyDescent="0.2">
      <c r="A63" s="237"/>
      <c r="B63" s="49" t="s">
        <v>648</v>
      </c>
      <c r="C63" s="48">
        <v>0.64</v>
      </c>
      <c r="D63" s="235"/>
      <c r="E63" s="57" t="s">
        <v>645</v>
      </c>
      <c r="F63" s="58">
        <v>99</v>
      </c>
      <c r="G63" s="58">
        <v>190</v>
      </c>
    </row>
    <row r="64" spans="1:7" ht="12.75" x14ac:dyDescent="0.2">
      <c r="A64" s="237"/>
      <c r="B64" s="49" t="s">
        <v>649</v>
      </c>
      <c r="C64" s="48">
        <v>0.46</v>
      </c>
      <c r="D64" s="48"/>
      <c r="E64" s="48"/>
      <c r="F64" s="48"/>
      <c r="G64" s="48"/>
    </row>
    <row r="65" spans="1:7" ht="12.75" x14ac:dyDescent="0.2">
      <c r="A65" s="235"/>
      <c r="B65" s="49" t="s">
        <v>650</v>
      </c>
      <c r="C65" s="48">
        <v>0.7</v>
      </c>
      <c r="D65" s="48"/>
      <c r="E65" s="48"/>
      <c r="F65" s="48"/>
      <c r="G65" s="48"/>
    </row>
    <row r="66" spans="1:7" ht="12.75" x14ac:dyDescent="0.2">
      <c r="A66" s="48"/>
      <c r="B66" s="48"/>
      <c r="C66" s="48"/>
      <c r="D66" s="48"/>
      <c r="E66" s="48"/>
      <c r="F66" s="48"/>
      <c r="G66" s="48"/>
    </row>
    <row r="67" spans="1:7" ht="12.75" x14ac:dyDescent="0.2">
      <c r="A67" s="8"/>
      <c r="B67" s="8" t="s">
        <v>652</v>
      </c>
      <c r="C67" s="9"/>
      <c r="D67" s="48"/>
      <c r="E67" s="48"/>
      <c r="F67" s="48"/>
      <c r="G67" s="48"/>
    </row>
    <row r="68" spans="1:7" ht="12.75" x14ac:dyDescent="0.2">
      <c r="A68" s="236" t="s">
        <v>2634</v>
      </c>
      <c r="B68" s="49" t="s">
        <v>640</v>
      </c>
      <c r="C68" s="48">
        <v>0.78</v>
      </c>
      <c r="D68" s="48"/>
      <c r="E68" s="48"/>
      <c r="F68" s="48"/>
      <c r="G68" s="48"/>
    </row>
    <row r="69" spans="1:7" ht="12.75" x14ac:dyDescent="0.2">
      <c r="A69" s="237"/>
      <c r="B69" s="49" t="s">
        <v>641</v>
      </c>
      <c r="C69" s="48">
        <v>0.65</v>
      </c>
      <c r="D69" s="50"/>
      <c r="E69" s="56"/>
      <c r="F69" s="223" t="s">
        <v>642</v>
      </c>
      <c r="G69" s="225"/>
    </row>
    <row r="70" spans="1:7" ht="12.75" x14ac:dyDescent="0.2">
      <c r="A70" s="237"/>
      <c r="B70" s="49" t="s">
        <v>643</v>
      </c>
      <c r="C70" s="48">
        <v>0.65</v>
      </c>
      <c r="D70" s="50"/>
      <c r="E70" s="56"/>
      <c r="F70" s="57" t="s">
        <v>644</v>
      </c>
      <c r="G70" s="57" t="s">
        <v>645</v>
      </c>
    </row>
    <row r="71" spans="1:7" ht="12.75" x14ac:dyDescent="0.2">
      <c r="A71" s="237"/>
      <c r="B71" s="49" t="s">
        <v>646</v>
      </c>
      <c r="C71" s="48">
        <v>0.85</v>
      </c>
      <c r="D71" s="234" t="s">
        <v>647</v>
      </c>
      <c r="E71" s="57" t="s">
        <v>644</v>
      </c>
      <c r="F71" s="58">
        <v>13</v>
      </c>
      <c r="G71" s="58">
        <v>22</v>
      </c>
    </row>
    <row r="72" spans="1:7" ht="12.75" x14ac:dyDescent="0.2">
      <c r="A72" s="237"/>
      <c r="B72" s="49" t="s">
        <v>648</v>
      </c>
      <c r="C72" s="48">
        <v>0.37</v>
      </c>
      <c r="D72" s="235"/>
      <c r="E72" s="57" t="s">
        <v>645</v>
      </c>
      <c r="F72" s="58">
        <v>7</v>
      </c>
      <c r="G72" s="58">
        <v>42</v>
      </c>
    </row>
    <row r="73" spans="1:7" ht="12.75" x14ac:dyDescent="0.2">
      <c r="A73" s="237"/>
      <c r="B73" s="49" t="s">
        <v>649</v>
      </c>
      <c r="C73" s="48">
        <v>0.35</v>
      </c>
      <c r="D73" s="48"/>
      <c r="E73" s="48"/>
      <c r="F73" s="48"/>
      <c r="G73" s="48"/>
    </row>
    <row r="74" spans="1:7" ht="12.75" x14ac:dyDescent="0.2">
      <c r="A74" s="235"/>
      <c r="B74" s="49" t="s">
        <v>650</v>
      </c>
      <c r="C74" s="48">
        <v>0.74</v>
      </c>
      <c r="D74" s="48"/>
      <c r="E74" s="48"/>
      <c r="F74" s="48"/>
      <c r="G74" s="48"/>
    </row>
    <row r="75" spans="1:7" ht="12.75" x14ac:dyDescent="0.2">
      <c r="A75" s="48"/>
      <c r="B75" s="48"/>
      <c r="C75" s="48"/>
      <c r="D75" s="48"/>
      <c r="E75" s="48"/>
      <c r="F75" s="48"/>
      <c r="G75" s="48"/>
    </row>
    <row r="76" spans="1:7" ht="12.75" x14ac:dyDescent="0.2">
      <c r="A76" s="236" t="s">
        <v>655</v>
      </c>
      <c r="B76" s="8" t="s">
        <v>652</v>
      </c>
      <c r="C76" s="48"/>
      <c r="D76" s="48"/>
      <c r="E76" s="48"/>
      <c r="F76" s="48"/>
      <c r="G76" s="48"/>
    </row>
    <row r="77" spans="1:7" ht="12.75" x14ac:dyDescent="0.2">
      <c r="A77" s="237"/>
      <c r="B77" s="49" t="s">
        <v>640</v>
      </c>
      <c r="C77" s="48">
        <v>0.76</v>
      </c>
      <c r="D77" s="48"/>
      <c r="E77" s="48"/>
      <c r="F77" s="48"/>
      <c r="G77" s="48"/>
    </row>
    <row r="78" spans="1:7" ht="12.75" x14ac:dyDescent="0.2">
      <c r="A78" s="237"/>
      <c r="B78" s="49" t="s">
        <v>641</v>
      </c>
      <c r="C78" s="48">
        <v>0.76</v>
      </c>
      <c r="D78" s="50"/>
      <c r="E78" s="56"/>
      <c r="F78" s="223" t="s">
        <v>642</v>
      </c>
      <c r="G78" s="225"/>
    </row>
    <row r="79" spans="1:7" ht="12.75" x14ac:dyDescent="0.2">
      <c r="A79" s="237"/>
      <c r="B79" s="49" t="s">
        <v>643</v>
      </c>
      <c r="C79" s="48">
        <v>0.61</v>
      </c>
      <c r="D79" s="50"/>
      <c r="E79" s="56"/>
      <c r="F79" s="57" t="s">
        <v>644</v>
      </c>
      <c r="G79" s="57" t="s">
        <v>645</v>
      </c>
    </row>
    <row r="80" spans="1:7" ht="12.75" x14ac:dyDescent="0.2">
      <c r="A80" s="237"/>
      <c r="B80" s="49" t="s">
        <v>646</v>
      </c>
      <c r="C80" s="48">
        <v>0.66</v>
      </c>
      <c r="D80" s="234" t="s">
        <v>647</v>
      </c>
      <c r="E80" s="57" t="s">
        <v>644</v>
      </c>
      <c r="F80" s="58">
        <v>95</v>
      </c>
      <c r="G80" s="58">
        <v>36</v>
      </c>
    </row>
    <row r="81" spans="1:7" ht="12.75" x14ac:dyDescent="0.2">
      <c r="A81" s="237"/>
      <c r="B81" s="49" t="s">
        <v>648</v>
      </c>
      <c r="C81" s="48">
        <v>0.72</v>
      </c>
      <c r="D81" s="235"/>
      <c r="E81" s="57" t="s">
        <v>645</v>
      </c>
      <c r="F81" s="58">
        <v>59</v>
      </c>
      <c r="G81" s="58">
        <v>117</v>
      </c>
    </row>
    <row r="82" spans="1:7" ht="12.75" x14ac:dyDescent="0.2">
      <c r="A82" s="237"/>
      <c r="B82" s="49" t="s">
        <v>649</v>
      </c>
      <c r="C82" s="48">
        <v>0.38</v>
      </c>
      <c r="D82" s="48"/>
      <c r="E82" s="48"/>
      <c r="F82" s="48"/>
      <c r="G82" s="48"/>
    </row>
    <row r="83" spans="1:7" ht="12.75" x14ac:dyDescent="0.2">
      <c r="A83" s="235"/>
      <c r="B83" s="49" t="s">
        <v>650</v>
      </c>
      <c r="C83" s="48">
        <v>0.71</v>
      </c>
      <c r="D83" s="48"/>
      <c r="E83" s="48"/>
      <c r="F83" s="48"/>
      <c r="G83" s="48"/>
    </row>
    <row r="85" spans="1:7" ht="15" x14ac:dyDescent="0.25">
      <c r="A85" s="46" t="s">
        <v>635</v>
      </c>
      <c r="B85" s="46" t="s">
        <v>656</v>
      </c>
      <c r="C85" s="46" t="s">
        <v>657</v>
      </c>
      <c r="D85" s="46" t="s">
        <v>640</v>
      </c>
    </row>
    <row r="86" spans="1:7" ht="12.75" x14ac:dyDescent="0.2">
      <c r="A86" s="236" t="s">
        <v>638</v>
      </c>
      <c r="B86" s="59" t="s">
        <v>658</v>
      </c>
      <c r="C86" s="49" t="s">
        <v>659</v>
      </c>
      <c r="D86" s="60">
        <v>0.72299999999999998</v>
      </c>
    </row>
    <row r="87" spans="1:7" ht="12.75" x14ac:dyDescent="0.2">
      <c r="A87" s="237"/>
      <c r="B87" s="59" t="s">
        <v>658</v>
      </c>
      <c r="C87" s="49" t="s">
        <v>660</v>
      </c>
      <c r="D87" s="60">
        <v>0.67600000000000005</v>
      </c>
    </row>
    <row r="88" spans="1:7" ht="12.75" x14ac:dyDescent="0.2">
      <c r="A88" s="237"/>
      <c r="B88" s="59" t="s">
        <v>658</v>
      </c>
      <c r="C88" s="49" t="s">
        <v>661</v>
      </c>
      <c r="D88" s="60">
        <v>0.64600000000000002</v>
      </c>
    </row>
    <row r="89" spans="1:7" ht="12.75" x14ac:dyDescent="0.2">
      <c r="A89" s="237"/>
      <c r="B89" s="59" t="s">
        <v>658</v>
      </c>
      <c r="C89" s="49" t="s">
        <v>662</v>
      </c>
      <c r="D89" s="60">
        <v>0.63300000000000001</v>
      </c>
    </row>
    <row r="90" spans="1:7" ht="12.75" x14ac:dyDescent="0.2">
      <c r="A90" s="237"/>
      <c r="B90" s="59" t="s">
        <v>658</v>
      </c>
      <c r="C90" s="49" t="s">
        <v>25</v>
      </c>
      <c r="D90" s="60">
        <v>0.54400000000000004</v>
      </c>
    </row>
    <row r="91" spans="1:7" ht="12.75" x14ac:dyDescent="0.2">
      <c r="A91" s="237"/>
      <c r="B91" s="59" t="s">
        <v>658</v>
      </c>
      <c r="C91" s="49" t="s">
        <v>663</v>
      </c>
      <c r="D91" s="60">
        <v>0.54300000000000004</v>
      </c>
    </row>
    <row r="92" spans="1:7" ht="12.75" x14ac:dyDescent="0.2">
      <c r="A92" s="237"/>
      <c r="B92" s="59" t="s">
        <v>658</v>
      </c>
      <c r="C92" s="49" t="s">
        <v>664</v>
      </c>
      <c r="D92" s="60">
        <v>0.54200000000000004</v>
      </c>
    </row>
    <row r="93" spans="1:7" ht="12.75" x14ac:dyDescent="0.2">
      <c r="A93" s="235"/>
      <c r="B93" s="59" t="s">
        <v>658</v>
      </c>
      <c r="C93" s="49" t="s">
        <v>665</v>
      </c>
      <c r="D93" s="60">
        <v>0.47299999999999998</v>
      </c>
    </row>
    <row r="97" spans="1:2" ht="12.75" x14ac:dyDescent="0.2">
      <c r="A97" s="4"/>
      <c r="B97" s="4"/>
    </row>
  </sheetData>
  <mergeCells count="24">
    <mergeCell ref="A76:A83"/>
    <mergeCell ref="A86:A93"/>
    <mergeCell ref="A20:G20"/>
    <mergeCell ref="D21:G21"/>
    <mergeCell ref="A22:A29"/>
    <mergeCell ref="F24:G24"/>
    <mergeCell ref="D26:D27"/>
    <mergeCell ref="F33:G33"/>
    <mergeCell ref="F42:G42"/>
    <mergeCell ref="F69:G69"/>
    <mergeCell ref="F78:G78"/>
    <mergeCell ref="D80:D81"/>
    <mergeCell ref="D35:D36"/>
    <mergeCell ref="D44:D45"/>
    <mergeCell ref="F51:G51"/>
    <mergeCell ref="D53:D54"/>
    <mergeCell ref="F60:G60"/>
    <mergeCell ref="D62:D63"/>
    <mergeCell ref="D71:D72"/>
    <mergeCell ref="A31:A38"/>
    <mergeCell ref="A40:A47"/>
    <mergeCell ref="A49:A56"/>
    <mergeCell ref="A59:A65"/>
    <mergeCell ref="A68:A7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outlinePr summaryBelow="0" summaryRight="0"/>
  </sheetPr>
  <dimension ref="A1:AN994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12.42578125" defaultRowHeight="15.75" customHeight="1" x14ac:dyDescent="0.2"/>
  <sheetData>
    <row r="1" spans="1:40" ht="30" customHeight="1" x14ac:dyDescent="0.2">
      <c r="A1" s="240" t="s">
        <v>2039</v>
      </c>
      <c r="B1" s="241" t="s">
        <v>2040</v>
      </c>
      <c r="C1" s="241" t="s">
        <v>2041</v>
      </c>
      <c r="D1" s="242" t="s">
        <v>2042</v>
      </c>
      <c r="E1" s="224"/>
      <c r="F1" s="224"/>
      <c r="G1" s="224"/>
      <c r="H1" s="225"/>
      <c r="I1" s="241" t="s">
        <v>2043</v>
      </c>
      <c r="J1" s="240" t="s">
        <v>1947</v>
      </c>
      <c r="K1" s="243" t="s">
        <v>2044</v>
      </c>
      <c r="L1" s="244" t="s">
        <v>1944</v>
      </c>
      <c r="M1" s="241" t="s">
        <v>2045</v>
      </c>
      <c r="N1" s="241" t="s">
        <v>2046</v>
      </c>
      <c r="O1" s="246" t="s">
        <v>2047</v>
      </c>
      <c r="P1" s="246" t="s">
        <v>2048</v>
      </c>
      <c r="Q1" s="241" t="s">
        <v>2049</v>
      </c>
      <c r="R1" s="247" t="s">
        <v>2050</v>
      </c>
      <c r="S1" s="242" t="s">
        <v>2051</v>
      </c>
      <c r="T1" s="224"/>
      <c r="U1" s="224"/>
      <c r="V1" s="224"/>
      <c r="W1" s="225"/>
      <c r="X1" s="241" t="s">
        <v>2052</v>
      </c>
      <c r="Y1" s="240" t="s">
        <v>2053</v>
      </c>
      <c r="Z1" s="250" t="s">
        <v>668</v>
      </c>
      <c r="AA1" s="241" t="s">
        <v>614</v>
      </c>
      <c r="AB1" s="250" t="s">
        <v>2054</v>
      </c>
      <c r="AC1" s="250" t="s">
        <v>667</v>
      </c>
      <c r="AD1" s="248" t="s">
        <v>2055</v>
      </c>
      <c r="AE1" s="248" t="s">
        <v>38</v>
      </c>
      <c r="AF1" s="251" t="s">
        <v>1948</v>
      </c>
      <c r="AG1" s="248" t="s">
        <v>2056</v>
      </c>
      <c r="AH1" s="240" t="s">
        <v>2057</v>
      </c>
      <c r="AI1" s="240" t="s">
        <v>2058</v>
      </c>
      <c r="AJ1" s="2"/>
      <c r="AK1" s="2"/>
      <c r="AL1" s="2"/>
      <c r="AM1" s="2"/>
      <c r="AN1" s="2"/>
    </row>
    <row r="2" spans="1:40" ht="30" customHeight="1" x14ac:dyDescent="0.2">
      <c r="A2" s="235"/>
      <c r="B2" s="235"/>
      <c r="C2" s="235"/>
      <c r="D2" s="10" t="s">
        <v>673</v>
      </c>
      <c r="E2" s="10" t="s">
        <v>2059</v>
      </c>
      <c r="F2" s="10" t="s">
        <v>2060</v>
      </c>
      <c r="G2" s="10" t="s">
        <v>2061</v>
      </c>
      <c r="H2" s="10" t="s">
        <v>676</v>
      </c>
      <c r="I2" s="235"/>
      <c r="J2" s="235"/>
      <c r="K2" s="235"/>
      <c r="L2" s="245"/>
      <c r="M2" s="235"/>
      <c r="N2" s="235"/>
      <c r="O2" s="235"/>
      <c r="P2" s="235"/>
      <c r="Q2" s="235"/>
      <c r="R2" s="235"/>
      <c r="S2" s="10" t="s">
        <v>671</v>
      </c>
      <c r="T2" s="10" t="s">
        <v>672</v>
      </c>
      <c r="U2" s="10" t="s">
        <v>670</v>
      </c>
      <c r="V2" s="10" t="s">
        <v>675</v>
      </c>
      <c r="W2" s="10" t="s">
        <v>676</v>
      </c>
      <c r="X2" s="235"/>
      <c r="Y2" s="235"/>
      <c r="Z2" s="237"/>
      <c r="AA2" s="235"/>
      <c r="AB2" s="237"/>
      <c r="AC2" s="237"/>
      <c r="AD2" s="249"/>
      <c r="AE2" s="249"/>
      <c r="AF2" s="249"/>
      <c r="AG2" s="249"/>
      <c r="AH2" s="235"/>
      <c r="AI2" s="235"/>
      <c r="AJ2" s="2"/>
      <c r="AK2" s="2"/>
      <c r="AL2" s="2"/>
      <c r="AM2" s="2"/>
      <c r="AN2" s="2"/>
    </row>
    <row r="3" spans="1:40" ht="15" x14ac:dyDescent="0.25">
      <c r="A3" s="82" t="s">
        <v>681</v>
      </c>
      <c r="B3" s="83">
        <v>1</v>
      </c>
      <c r="C3" s="83">
        <v>0</v>
      </c>
      <c r="D3" s="83">
        <v>0</v>
      </c>
      <c r="E3" s="83">
        <v>0</v>
      </c>
      <c r="F3" s="83">
        <v>0</v>
      </c>
      <c r="G3" s="83">
        <v>0</v>
      </c>
      <c r="H3" s="10">
        <v>0</v>
      </c>
      <c r="I3" s="84">
        <v>59.904109589041099</v>
      </c>
      <c r="J3" s="83" t="s">
        <v>680</v>
      </c>
      <c r="K3" s="84">
        <v>4.9666666666666668</v>
      </c>
      <c r="L3" s="84">
        <v>1</v>
      </c>
      <c r="M3" s="83">
        <v>3500</v>
      </c>
      <c r="N3" s="83">
        <v>28</v>
      </c>
      <c r="O3" s="85">
        <f>284/240</f>
        <v>1.1833333333333333</v>
      </c>
      <c r="P3" s="85">
        <f>795/135</f>
        <v>5.8888888888888893</v>
      </c>
      <c r="Q3" s="83">
        <v>79</v>
      </c>
      <c r="R3" s="86" t="s">
        <v>674</v>
      </c>
      <c r="S3" s="83">
        <v>0</v>
      </c>
      <c r="T3" s="83">
        <v>1</v>
      </c>
      <c r="U3" s="83">
        <v>0</v>
      </c>
      <c r="V3" s="83">
        <v>0</v>
      </c>
      <c r="W3" s="83">
        <v>0</v>
      </c>
      <c r="X3" s="10"/>
      <c r="Y3" s="87">
        <v>6.7666666666666666</v>
      </c>
      <c r="Z3" s="83">
        <v>1</v>
      </c>
      <c r="AA3" s="88">
        <v>6.7666666666666666</v>
      </c>
      <c r="AB3" s="89">
        <v>0</v>
      </c>
      <c r="AC3" s="90">
        <v>1</v>
      </c>
      <c r="AD3" s="84">
        <v>3.9666666666666668</v>
      </c>
      <c r="AE3" s="83">
        <v>1500</v>
      </c>
      <c r="AF3" s="85">
        <f t="shared" ref="AF3:AF17" si="0">((M3-AE3)/M3)*(-100)</f>
        <v>-57.142857142857139</v>
      </c>
      <c r="AG3" s="10" t="str">
        <f t="shared" ref="AG3:AG17" si="1">IF((AE3/M3)&lt;0.5,"1","0")</f>
        <v>1</v>
      </c>
      <c r="AH3" s="10"/>
      <c r="AI3" s="10"/>
      <c r="AK3" s="2"/>
      <c r="AL3" s="2"/>
      <c r="AM3" s="2"/>
      <c r="AN3" s="2"/>
    </row>
    <row r="4" spans="1:40" ht="15" x14ac:dyDescent="0.25">
      <c r="A4" s="82" t="s">
        <v>682</v>
      </c>
      <c r="B4" s="83">
        <v>0</v>
      </c>
      <c r="C4" s="83">
        <v>0</v>
      </c>
      <c r="D4" s="83">
        <v>1</v>
      </c>
      <c r="E4" s="83">
        <v>0</v>
      </c>
      <c r="F4" s="83">
        <v>0</v>
      </c>
      <c r="G4" s="83">
        <v>0</v>
      </c>
      <c r="H4" s="10">
        <v>0</v>
      </c>
      <c r="I4" s="84">
        <v>62.657534246575345</v>
      </c>
      <c r="J4" s="83" t="s">
        <v>680</v>
      </c>
      <c r="K4" s="84">
        <v>9.7333333333333325</v>
      </c>
      <c r="L4" s="84">
        <v>1</v>
      </c>
      <c r="M4" s="83">
        <v>107</v>
      </c>
      <c r="N4" s="83">
        <v>47</v>
      </c>
      <c r="O4" s="85">
        <f>176/271</f>
        <v>0.64944649446494462</v>
      </c>
      <c r="P4" s="85">
        <f>38/100</f>
        <v>0.38</v>
      </c>
      <c r="Q4" s="83">
        <v>137</v>
      </c>
      <c r="R4" s="86">
        <v>6.3875000000000002</v>
      </c>
      <c r="S4" s="83">
        <v>0</v>
      </c>
      <c r="T4" s="83">
        <v>1</v>
      </c>
      <c r="U4" s="83">
        <v>0</v>
      </c>
      <c r="V4" s="83">
        <v>0</v>
      </c>
      <c r="W4" s="83">
        <v>0</v>
      </c>
      <c r="X4" s="10"/>
      <c r="Y4" s="87">
        <v>18.5</v>
      </c>
      <c r="Z4" s="83">
        <v>1</v>
      </c>
      <c r="AA4" s="88">
        <v>18.5</v>
      </c>
      <c r="AB4" s="89">
        <v>0</v>
      </c>
      <c r="AC4" s="90">
        <v>1</v>
      </c>
      <c r="AD4" s="84">
        <v>5.5333333333333332</v>
      </c>
      <c r="AE4" s="83">
        <v>117</v>
      </c>
      <c r="AF4" s="85">
        <f t="shared" si="0"/>
        <v>9.3457943925233646</v>
      </c>
      <c r="AG4" s="10" t="str">
        <f t="shared" si="1"/>
        <v>0</v>
      </c>
      <c r="AH4" s="10"/>
      <c r="AI4" s="10"/>
      <c r="AK4" s="2"/>
      <c r="AL4" s="2"/>
      <c r="AM4" s="2"/>
      <c r="AN4" s="2"/>
    </row>
    <row r="5" spans="1:40" ht="15" x14ac:dyDescent="0.25">
      <c r="A5" s="82" t="s">
        <v>1929</v>
      </c>
      <c r="B5" s="83">
        <v>1</v>
      </c>
      <c r="C5" s="83">
        <v>1</v>
      </c>
      <c r="D5" s="83">
        <v>0</v>
      </c>
      <c r="E5" s="83">
        <v>1</v>
      </c>
      <c r="F5" s="83">
        <v>0</v>
      </c>
      <c r="G5" s="83">
        <v>1</v>
      </c>
      <c r="H5" s="10">
        <v>0</v>
      </c>
      <c r="I5" s="84">
        <v>68.772602739726025</v>
      </c>
      <c r="J5" s="83">
        <v>1</v>
      </c>
      <c r="K5" s="84">
        <v>10.233333333333333</v>
      </c>
      <c r="L5" s="84">
        <v>1</v>
      </c>
      <c r="M5" s="83">
        <v>17.38</v>
      </c>
      <c r="N5" s="83">
        <v>41</v>
      </c>
      <c r="O5" s="85">
        <f>179/271</f>
        <v>0.66051660516605171</v>
      </c>
      <c r="P5" s="85">
        <f>100/100</f>
        <v>1</v>
      </c>
      <c r="Q5" s="83">
        <v>140</v>
      </c>
      <c r="R5" s="86">
        <v>2.4307692307692306</v>
      </c>
      <c r="S5" s="83">
        <v>0</v>
      </c>
      <c r="T5" s="83">
        <v>1</v>
      </c>
      <c r="U5" s="83">
        <v>0</v>
      </c>
      <c r="V5" s="83">
        <v>0</v>
      </c>
      <c r="W5" s="83">
        <v>0</v>
      </c>
      <c r="X5" s="10"/>
      <c r="Y5" s="87">
        <v>47.133333333333333</v>
      </c>
      <c r="Z5" s="83">
        <v>0</v>
      </c>
      <c r="AA5" s="88">
        <v>47.133333333333333</v>
      </c>
      <c r="AB5" s="89">
        <v>0</v>
      </c>
      <c r="AC5" s="90">
        <v>1</v>
      </c>
      <c r="AD5" s="84">
        <v>8.7666666666666675</v>
      </c>
      <c r="AE5" s="83">
        <v>0.74</v>
      </c>
      <c r="AF5" s="85">
        <f t="shared" si="0"/>
        <v>-95.74223245109323</v>
      </c>
      <c r="AG5" s="10" t="str">
        <f t="shared" si="1"/>
        <v>1</v>
      </c>
      <c r="AH5" s="10"/>
      <c r="AI5" s="10"/>
      <c r="AK5" s="2"/>
      <c r="AL5" s="2"/>
      <c r="AM5" s="2"/>
      <c r="AN5" s="2"/>
    </row>
    <row r="6" spans="1:40" ht="15" x14ac:dyDescent="0.25">
      <c r="A6" s="82" t="s">
        <v>683</v>
      </c>
      <c r="B6" s="83">
        <v>0</v>
      </c>
      <c r="C6" s="83">
        <v>0</v>
      </c>
      <c r="D6" s="83">
        <v>0</v>
      </c>
      <c r="E6" s="83">
        <v>1</v>
      </c>
      <c r="F6" s="83">
        <v>0</v>
      </c>
      <c r="G6" s="83">
        <v>0</v>
      </c>
      <c r="H6" s="10">
        <v>0</v>
      </c>
      <c r="I6" s="84">
        <v>71.698630136986296</v>
      </c>
      <c r="J6" s="83">
        <v>1</v>
      </c>
      <c r="K6" s="84">
        <v>27.766666666666666</v>
      </c>
      <c r="L6" s="84">
        <v>0</v>
      </c>
      <c r="M6" s="83">
        <v>21.3</v>
      </c>
      <c r="N6" s="83">
        <v>44</v>
      </c>
      <c r="O6" s="85">
        <f>185/220</f>
        <v>0.84090909090909094</v>
      </c>
      <c r="P6" s="85">
        <f>98/145</f>
        <v>0.67586206896551726</v>
      </c>
      <c r="Q6" s="83">
        <v>142</v>
      </c>
      <c r="R6" s="86">
        <v>2.5714285714285716</v>
      </c>
      <c r="S6" s="83">
        <v>0</v>
      </c>
      <c r="T6" s="83">
        <v>1</v>
      </c>
      <c r="U6" s="83">
        <v>0</v>
      </c>
      <c r="V6" s="83">
        <v>0</v>
      </c>
      <c r="W6" s="83">
        <v>0</v>
      </c>
      <c r="X6" s="10"/>
      <c r="Y6" s="87">
        <v>15.8</v>
      </c>
      <c r="Z6" s="83">
        <v>1</v>
      </c>
      <c r="AA6" s="88">
        <v>15.8</v>
      </c>
      <c r="AB6" s="89">
        <v>0</v>
      </c>
      <c r="AC6" s="90">
        <v>1</v>
      </c>
      <c r="AD6" s="84">
        <v>7.2333333333333334</v>
      </c>
      <c r="AE6" s="83">
        <v>3.3</v>
      </c>
      <c r="AF6" s="85">
        <f t="shared" si="0"/>
        <v>-84.507042253521121</v>
      </c>
      <c r="AG6" s="10" t="str">
        <f t="shared" si="1"/>
        <v>1</v>
      </c>
      <c r="AH6" s="10"/>
      <c r="AI6" s="10"/>
      <c r="AK6" s="2"/>
      <c r="AL6" s="2"/>
      <c r="AM6" s="2"/>
      <c r="AN6" s="2"/>
    </row>
    <row r="7" spans="1:40" ht="15" x14ac:dyDescent="0.25">
      <c r="A7" s="82" t="s">
        <v>684</v>
      </c>
      <c r="B7" s="83">
        <v>0</v>
      </c>
      <c r="C7" s="83">
        <v>0</v>
      </c>
      <c r="D7" s="83">
        <v>0</v>
      </c>
      <c r="E7" s="83">
        <v>1</v>
      </c>
      <c r="F7" s="83">
        <v>0</v>
      </c>
      <c r="G7" s="83">
        <v>0</v>
      </c>
      <c r="H7" s="10">
        <v>0</v>
      </c>
      <c r="I7" s="84">
        <v>75.635616438356166</v>
      </c>
      <c r="J7" s="83">
        <v>1</v>
      </c>
      <c r="K7" s="84">
        <v>13.066666666666666</v>
      </c>
      <c r="L7" s="84">
        <v>0</v>
      </c>
      <c r="M7" s="83">
        <v>7.06</v>
      </c>
      <c r="N7" s="83">
        <v>41</v>
      </c>
      <c r="O7" s="85" t="s">
        <v>669</v>
      </c>
      <c r="P7" s="85">
        <f>73/100</f>
        <v>0.73</v>
      </c>
      <c r="Q7" s="83">
        <v>145</v>
      </c>
      <c r="R7" s="86">
        <v>2.4829545454545454</v>
      </c>
      <c r="S7" s="83">
        <v>0</v>
      </c>
      <c r="T7" s="83">
        <v>1</v>
      </c>
      <c r="U7" s="83">
        <v>0</v>
      </c>
      <c r="V7" s="83">
        <v>0</v>
      </c>
      <c r="W7" s="83">
        <v>0</v>
      </c>
      <c r="X7" s="10"/>
      <c r="Y7" s="87">
        <v>42.466666666666669</v>
      </c>
      <c r="Z7" s="83">
        <v>1</v>
      </c>
      <c r="AA7" s="88">
        <v>42.466666666666669</v>
      </c>
      <c r="AB7" s="89">
        <v>0</v>
      </c>
      <c r="AC7" s="90">
        <v>1</v>
      </c>
      <c r="AD7" s="84">
        <v>8.6333333333333329</v>
      </c>
      <c r="AE7" s="83">
        <v>0.03</v>
      </c>
      <c r="AF7" s="85">
        <f t="shared" si="0"/>
        <v>-99.575070821529749</v>
      </c>
      <c r="AG7" s="10" t="str">
        <f t="shared" si="1"/>
        <v>1</v>
      </c>
      <c r="AH7" s="10"/>
      <c r="AI7" s="10"/>
      <c r="AK7" s="2"/>
      <c r="AL7" s="2"/>
      <c r="AM7" s="2"/>
      <c r="AN7" s="2"/>
    </row>
    <row r="8" spans="1:40" ht="15" x14ac:dyDescent="0.25">
      <c r="A8" s="82" t="s">
        <v>685</v>
      </c>
      <c r="B8" s="83">
        <v>0</v>
      </c>
      <c r="C8" s="83">
        <v>0</v>
      </c>
      <c r="D8" s="83">
        <v>0</v>
      </c>
      <c r="E8" s="83">
        <v>1</v>
      </c>
      <c r="F8" s="83">
        <v>0</v>
      </c>
      <c r="G8" s="83">
        <v>1</v>
      </c>
      <c r="H8" s="10">
        <v>0</v>
      </c>
      <c r="I8" s="84">
        <v>69.989041095890414</v>
      </c>
      <c r="J8" s="83">
        <v>1</v>
      </c>
      <c r="K8" s="84">
        <v>11.933333333333334</v>
      </c>
      <c r="L8" s="84">
        <v>1</v>
      </c>
      <c r="M8" s="83">
        <v>0.54</v>
      </c>
      <c r="N8" s="83">
        <v>38</v>
      </c>
      <c r="O8" s="85">
        <f>212/240</f>
        <v>0.8833333333333333</v>
      </c>
      <c r="P8" s="85">
        <f>142/135</f>
        <v>1.0518518518518518</v>
      </c>
      <c r="Q8" s="83">
        <v>109</v>
      </c>
      <c r="R8" s="86">
        <v>3.9</v>
      </c>
      <c r="S8" s="83">
        <v>0</v>
      </c>
      <c r="T8" s="83">
        <v>0</v>
      </c>
      <c r="U8" s="83">
        <v>0</v>
      </c>
      <c r="V8" s="83">
        <v>0</v>
      </c>
      <c r="W8" s="83">
        <v>1</v>
      </c>
      <c r="X8" s="10"/>
      <c r="Y8" s="87">
        <v>13.166666666666666</v>
      </c>
      <c r="Z8" s="83">
        <v>1</v>
      </c>
      <c r="AA8" s="88">
        <v>13.166666666666666</v>
      </c>
      <c r="AB8" s="89">
        <v>0</v>
      </c>
      <c r="AC8" s="90">
        <v>0</v>
      </c>
      <c r="AD8" s="84">
        <v>11.466666666666667</v>
      </c>
      <c r="AE8" s="83">
        <v>9.9000000000000005E-2</v>
      </c>
      <c r="AF8" s="85">
        <f t="shared" si="0"/>
        <v>-81.666666666666671</v>
      </c>
      <c r="AG8" s="10" t="str">
        <f t="shared" si="1"/>
        <v>1</v>
      </c>
      <c r="AH8" s="10"/>
      <c r="AI8" s="10"/>
      <c r="AK8" s="2"/>
      <c r="AL8" s="2"/>
      <c r="AM8" s="2"/>
      <c r="AN8" s="2"/>
    </row>
    <row r="9" spans="1:40" ht="15" x14ac:dyDescent="0.25">
      <c r="A9" s="82" t="s">
        <v>686</v>
      </c>
      <c r="B9" s="83">
        <v>1</v>
      </c>
      <c r="C9" s="83">
        <v>0</v>
      </c>
      <c r="D9" s="83">
        <v>0</v>
      </c>
      <c r="E9" s="83">
        <v>1</v>
      </c>
      <c r="F9" s="83">
        <v>0</v>
      </c>
      <c r="G9" s="83">
        <v>0</v>
      </c>
      <c r="H9" s="10">
        <v>0</v>
      </c>
      <c r="I9" s="84">
        <v>89.673972602739724</v>
      </c>
      <c r="J9" s="83">
        <v>1</v>
      </c>
      <c r="K9" s="84">
        <v>107.3</v>
      </c>
      <c r="L9" s="84">
        <v>0</v>
      </c>
      <c r="M9" s="83">
        <v>38.5</v>
      </c>
      <c r="N9" s="83">
        <v>47</v>
      </c>
      <c r="O9" s="85">
        <f>298/220</f>
        <v>1.3545454545454545</v>
      </c>
      <c r="P9" s="85">
        <f>172/145</f>
        <v>1.1862068965517241</v>
      </c>
      <c r="Q9" s="83">
        <v>134</v>
      </c>
      <c r="R9" s="86">
        <v>2.263157894736842</v>
      </c>
      <c r="S9" s="83">
        <v>1</v>
      </c>
      <c r="T9" s="83">
        <v>0</v>
      </c>
      <c r="U9" s="83">
        <v>0</v>
      </c>
      <c r="V9" s="83">
        <v>0</v>
      </c>
      <c r="W9" s="83">
        <v>0</v>
      </c>
      <c r="X9" s="10"/>
      <c r="Y9" s="87">
        <v>23.233333333333334</v>
      </c>
      <c r="Z9" s="83">
        <v>1</v>
      </c>
      <c r="AA9" s="88">
        <v>23.233333333333334</v>
      </c>
      <c r="AB9" s="89">
        <v>0</v>
      </c>
      <c r="AC9" s="90">
        <v>0</v>
      </c>
      <c r="AD9" s="84">
        <v>22.8</v>
      </c>
      <c r="AE9" s="83">
        <v>2.8</v>
      </c>
      <c r="AF9" s="85">
        <f t="shared" si="0"/>
        <v>-92.727272727272734</v>
      </c>
      <c r="AG9" s="10" t="str">
        <f t="shared" si="1"/>
        <v>1</v>
      </c>
      <c r="AH9" s="10"/>
      <c r="AI9" s="10"/>
      <c r="AK9" s="2"/>
      <c r="AL9" s="2"/>
      <c r="AM9" s="2"/>
      <c r="AN9" s="2"/>
    </row>
    <row r="10" spans="1:40" ht="15" x14ac:dyDescent="0.25">
      <c r="A10" s="82" t="s">
        <v>687</v>
      </c>
      <c r="B10" s="83">
        <v>1</v>
      </c>
      <c r="C10" s="83">
        <v>1</v>
      </c>
      <c r="D10" s="83">
        <v>0</v>
      </c>
      <c r="E10" s="83">
        <v>0</v>
      </c>
      <c r="F10" s="83">
        <v>0</v>
      </c>
      <c r="G10" s="83">
        <v>0</v>
      </c>
      <c r="H10" s="10">
        <v>0</v>
      </c>
      <c r="I10" s="84">
        <v>74.252054794520546</v>
      </c>
      <c r="J10" s="83">
        <v>0</v>
      </c>
      <c r="K10" s="84">
        <v>16.133333333333333</v>
      </c>
      <c r="L10" s="84">
        <v>0</v>
      </c>
      <c r="M10" s="83">
        <v>2.1</v>
      </c>
      <c r="N10" s="83" t="s">
        <v>669</v>
      </c>
      <c r="O10" s="85">
        <f>168/241</f>
        <v>0.69709543568464727</v>
      </c>
      <c r="P10" s="85">
        <f>74/135</f>
        <v>0.54814814814814816</v>
      </c>
      <c r="Q10" s="83">
        <v>136</v>
      </c>
      <c r="R10" s="86">
        <v>1.65</v>
      </c>
      <c r="S10" s="83">
        <v>0</v>
      </c>
      <c r="T10" s="83">
        <v>1</v>
      </c>
      <c r="U10" s="83">
        <v>0</v>
      </c>
      <c r="V10" s="83">
        <v>0</v>
      </c>
      <c r="W10" s="83">
        <v>0</v>
      </c>
      <c r="X10" s="10"/>
      <c r="Y10" s="87">
        <v>48.033333333333331</v>
      </c>
      <c r="Z10" s="83">
        <v>0</v>
      </c>
      <c r="AA10" s="88">
        <v>48.033333333333331</v>
      </c>
      <c r="AB10" s="89">
        <v>1</v>
      </c>
      <c r="AC10" s="90">
        <v>0</v>
      </c>
      <c r="AD10" s="84">
        <v>47.93333333333333</v>
      </c>
      <c r="AE10" s="83">
        <v>8.0000000000000002E-3</v>
      </c>
      <c r="AF10" s="85">
        <f t="shared" si="0"/>
        <v>-99.61904761904762</v>
      </c>
      <c r="AG10" s="10" t="str">
        <f t="shared" si="1"/>
        <v>1</v>
      </c>
      <c r="AH10" s="10"/>
      <c r="AI10" s="10"/>
      <c r="AK10" s="2"/>
      <c r="AL10" s="2"/>
      <c r="AM10" s="2"/>
      <c r="AN10" s="2"/>
    </row>
    <row r="11" spans="1:40" ht="15" x14ac:dyDescent="0.25">
      <c r="A11" s="82" t="s">
        <v>688</v>
      </c>
      <c r="B11" s="83">
        <v>0</v>
      </c>
      <c r="C11" s="83">
        <v>0</v>
      </c>
      <c r="D11" s="83">
        <v>0</v>
      </c>
      <c r="E11" s="83">
        <v>1</v>
      </c>
      <c r="F11" s="83">
        <v>0</v>
      </c>
      <c r="G11" s="83">
        <v>0</v>
      </c>
      <c r="H11" s="10">
        <v>0</v>
      </c>
      <c r="I11" s="84">
        <v>69.139726027397259</v>
      </c>
      <c r="J11" s="83">
        <v>1</v>
      </c>
      <c r="K11" s="84">
        <v>56.133333333333333</v>
      </c>
      <c r="L11" s="84">
        <v>0</v>
      </c>
      <c r="M11" s="83">
        <v>6.2</v>
      </c>
      <c r="N11" s="83">
        <v>40</v>
      </c>
      <c r="O11" s="85">
        <f>180/240</f>
        <v>0.75</v>
      </c>
      <c r="P11" s="85">
        <f>102/135</f>
        <v>0.75555555555555554</v>
      </c>
      <c r="Q11" s="83">
        <v>121</v>
      </c>
      <c r="R11" s="86">
        <v>2.9</v>
      </c>
      <c r="S11" s="83">
        <v>0</v>
      </c>
      <c r="T11" s="83">
        <v>1</v>
      </c>
      <c r="U11" s="83">
        <v>0</v>
      </c>
      <c r="V11" s="83">
        <v>0</v>
      </c>
      <c r="W11" s="83">
        <v>0</v>
      </c>
      <c r="X11" s="10"/>
      <c r="Y11" s="87">
        <v>19.833333333333332</v>
      </c>
      <c r="Z11" s="83">
        <v>1</v>
      </c>
      <c r="AA11" s="88">
        <v>19.833333333333332</v>
      </c>
      <c r="AB11" s="89">
        <v>0</v>
      </c>
      <c r="AC11" s="90">
        <v>1</v>
      </c>
      <c r="AD11" s="84">
        <v>12.233333333333333</v>
      </c>
      <c r="AE11" s="83">
        <v>0.24</v>
      </c>
      <c r="AF11" s="85">
        <f t="shared" si="0"/>
        <v>-96.129032258064512</v>
      </c>
      <c r="AG11" s="10" t="str">
        <f t="shared" si="1"/>
        <v>1</v>
      </c>
      <c r="AH11" s="10"/>
      <c r="AI11" s="10"/>
      <c r="AK11" s="2"/>
      <c r="AL11" s="2"/>
      <c r="AM11" s="2"/>
      <c r="AN11" s="2"/>
    </row>
    <row r="12" spans="1:40" ht="15" x14ac:dyDescent="0.25">
      <c r="A12" s="82" t="s">
        <v>689</v>
      </c>
      <c r="B12" s="83">
        <v>0</v>
      </c>
      <c r="C12" s="83">
        <v>0</v>
      </c>
      <c r="D12" s="83">
        <v>1</v>
      </c>
      <c r="E12" s="83">
        <v>1</v>
      </c>
      <c r="F12" s="83">
        <v>0</v>
      </c>
      <c r="G12" s="83">
        <v>0</v>
      </c>
      <c r="H12" s="10">
        <v>0</v>
      </c>
      <c r="I12" s="84">
        <v>73.265753424657532</v>
      </c>
      <c r="J12" s="83">
        <v>0</v>
      </c>
      <c r="K12" s="84">
        <v>10.166666666666666</v>
      </c>
      <c r="L12" s="84">
        <v>1</v>
      </c>
      <c r="M12" s="83">
        <v>4.9000000000000004</v>
      </c>
      <c r="N12" s="83">
        <v>42</v>
      </c>
      <c r="O12" s="85">
        <f>196/220</f>
        <v>0.89090909090909087</v>
      </c>
      <c r="P12" s="85">
        <f>93/145</f>
        <v>0.64137931034482754</v>
      </c>
      <c r="Q12" s="83">
        <v>142</v>
      </c>
      <c r="R12" s="86">
        <v>2</v>
      </c>
      <c r="S12" s="83">
        <v>0</v>
      </c>
      <c r="T12" s="83">
        <v>1</v>
      </c>
      <c r="U12" s="83">
        <v>0</v>
      </c>
      <c r="V12" s="83">
        <v>0</v>
      </c>
      <c r="W12" s="83">
        <v>0</v>
      </c>
      <c r="X12" s="10"/>
      <c r="Y12" s="87">
        <v>45.266666666666666</v>
      </c>
      <c r="Z12" s="83">
        <v>1</v>
      </c>
      <c r="AA12" s="88">
        <v>45.266666666666666</v>
      </c>
      <c r="AB12" s="89">
        <v>0</v>
      </c>
      <c r="AC12" s="90">
        <v>1</v>
      </c>
      <c r="AD12" s="84">
        <v>7.4666666666666668</v>
      </c>
      <c r="AE12" s="83">
        <v>0.75</v>
      </c>
      <c r="AF12" s="85">
        <f t="shared" si="0"/>
        <v>-84.693877551020407</v>
      </c>
      <c r="AG12" s="10" t="str">
        <f t="shared" si="1"/>
        <v>1</v>
      </c>
      <c r="AH12" s="10"/>
      <c r="AI12" s="10"/>
      <c r="AK12" s="2"/>
      <c r="AL12" s="2"/>
      <c r="AM12" s="2"/>
      <c r="AN12" s="2"/>
    </row>
    <row r="13" spans="1:40" ht="15" x14ac:dyDescent="0.25">
      <c r="A13" s="82" t="s">
        <v>690</v>
      </c>
      <c r="B13" s="83">
        <v>0</v>
      </c>
      <c r="C13" s="83">
        <v>0</v>
      </c>
      <c r="D13" s="83">
        <v>1</v>
      </c>
      <c r="E13" s="83">
        <v>1</v>
      </c>
      <c r="F13" s="83">
        <v>0</v>
      </c>
      <c r="G13" s="83">
        <v>0</v>
      </c>
      <c r="H13" s="10">
        <v>0</v>
      </c>
      <c r="I13" s="84">
        <v>70.183561643835617</v>
      </c>
      <c r="J13" s="83">
        <v>3</v>
      </c>
      <c r="K13" s="84">
        <v>7.2666666666666666</v>
      </c>
      <c r="L13" s="84">
        <v>1</v>
      </c>
      <c r="M13" s="83">
        <v>122</v>
      </c>
      <c r="N13" s="83">
        <v>26</v>
      </c>
      <c r="O13" s="85">
        <f>168/240</f>
        <v>0.7</v>
      </c>
      <c r="P13" s="85">
        <f>76/135</f>
        <v>0.562962962962963</v>
      </c>
      <c r="Q13" s="83">
        <v>88</v>
      </c>
      <c r="R13" s="86">
        <v>8.3333333333333339</v>
      </c>
      <c r="S13" s="83">
        <v>0</v>
      </c>
      <c r="T13" s="83">
        <v>1</v>
      </c>
      <c r="U13" s="83">
        <v>0</v>
      </c>
      <c r="V13" s="83">
        <v>0</v>
      </c>
      <c r="W13" s="83">
        <v>0</v>
      </c>
      <c r="X13" s="10"/>
      <c r="Y13" s="87">
        <v>12.5</v>
      </c>
      <c r="Z13" s="83">
        <v>1</v>
      </c>
      <c r="AA13" s="88">
        <v>12.5</v>
      </c>
      <c r="AB13" s="89">
        <v>0</v>
      </c>
      <c r="AC13" s="90">
        <v>1</v>
      </c>
      <c r="AD13" s="84">
        <v>4.2333333333333334</v>
      </c>
      <c r="AE13" s="83">
        <v>7</v>
      </c>
      <c r="AF13" s="85">
        <f t="shared" si="0"/>
        <v>-94.262295081967224</v>
      </c>
      <c r="AG13" s="10" t="str">
        <f t="shared" si="1"/>
        <v>1</v>
      </c>
      <c r="AH13" s="10"/>
      <c r="AI13" s="10"/>
      <c r="AK13" s="2"/>
      <c r="AL13" s="2"/>
      <c r="AM13" s="2"/>
      <c r="AN13" s="2"/>
    </row>
    <row r="14" spans="1:40" ht="15" x14ac:dyDescent="0.25">
      <c r="A14" s="82" t="s">
        <v>691</v>
      </c>
      <c r="B14" s="83">
        <v>0</v>
      </c>
      <c r="C14" s="83">
        <v>0</v>
      </c>
      <c r="D14" s="83">
        <v>0</v>
      </c>
      <c r="E14" s="83">
        <v>1</v>
      </c>
      <c r="F14" s="83">
        <v>0</v>
      </c>
      <c r="G14" s="83">
        <v>0</v>
      </c>
      <c r="H14" s="10">
        <v>0</v>
      </c>
      <c r="I14" s="84">
        <v>86.986301369863014</v>
      </c>
      <c r="J14" s="83">
        <v>2</v>
      </c>
      <c r="K14" s="84">
        <v>22.933333333333334</v>
      </c>
      <c r="L14" s="84">
        <v>0</v>
      </c>
      <c r="M14" s="83">
        <v>18.399999999999999</v>
      </c>
      <c r="N14" s="83" t="s">
        <v>674</v>
      </c>
      <c r="O14" s="85">
        <f>182/220</f>
        <v>0.82727272727272727</v>
      </c>
      <c r="P14" s="85">
        <f>94/145</f>
        <v>0.64827586206896548</v>
      </c>
      <c r="Q14" s="83">
        <v>115</v>
      </c>
      <c r="R14" s="86">
        <v>1.5357142857142858</v>
      </c>
      <c r="S14" s="83">
        <v>0</v>
      </c>
      <c r="T14" s="83">
        <v>1</v>
      </c>
      <c r="U14" s="83">
        <v>0</v>
      </c>
      <c r="V14" s="83">
        <v>0</v>
      </c>
      <c r="W14" s="83">
        <v>0</v>
      </c>
      <c r="X14" s="10"/>
      <c r="Y14" s="87">
        <v>43.733333333333334</v>
      </c>
      <c r="Z14" s="83">
        <v>1</v>
      </c>
      <c r="AA14" s="88">
        <v>43.733333333333334</v>
      </c>
      <c r="AB14" s="89">
        <v>0</v>
      </c>
      <c r="AC14" s="90">
        <v>1</v>
      </c>
      <c r="AD14" s="84">
        <v>18.733333333333334</v>
      </c>
      <c r="AE14" s="83">
        <v>0.42</v>
      </c>
      <c r="AF14" s="85">
        <f t="shared" si="0"/>
        <v>-97.717391304347814</v>
      </c>
      <c r="AG14" s="10" t="str">
        <f t="shared" si="1"/>
        <v>1</v>
      </c>
      <c r="AH14" s="10"/>
      <c r="AI14" s="10"/>
      <c r="AK14" s="2"/>
      <c r="AL14" s="2"/>
      <c r="AM14" s="2"/>
      <c r="AN14" s="2"/>
    </row>
    <row r="15" spans="1:40" ht="15" x14ac:dyDescent="0.25">
      <c r="A15" s="82" t="s">
        <v>692</v>
      </c>
      <c r="B15" s="83">
        <v>1</v>
      </c>
      <c r="C15" s="83">
        <v>0</v>
      </c>
      <c r="D15" s="83">
        <v>0</v>
      </c>
      <c r="E15" s="83">
        <v>1</v>
      </c>
      <c r="F15" s="83">
        <v>0</v>
      </c>
      <c r="G15" s="83">
        <v>0</v>
      </c>
      <c r="H15" s="10">
        <v>0</v>
      </c>
      <c r="I15" s="84">
        <v>70.780821917808225</v>
      </c>
      <c r="J15" s="83">
        <v>0</v>
      </c>
      <c r="K15" s="84">
        <v>51.133333333333333</v>
      </c>
      <c r="L15" s="84">
        <v>0</v>
      </c>
      <c r="M15" s="83">
        <v>14.6</v>
      </c>
      <c r="N15" s="83">
        <v>45</v>
      </c>
      <c r="O15" s="85">
        <f>174/220</f>
        <v>0.79090909090909089</v>
      </c>
      <c r="P15" s="85">
        <f>73/145</f>
        <v>0.50344827586206897</v>
      </c>
      <c r="Q15" s="83">
        <v>131</v>
      </c>
      <c r="R15" s="86">
        <v>1</v>
      </c>
      <c r="S15" s="83">
        <v>1</v>
      </c>
      <c r="T15" s="83">
        <v>0</v>
      </c>
      <c r="U15" s="83">
        <v>0</v>
      </c>
      <c r="V15" s="83">
        <v>0</v>
      </c>
      <c r="W15" s="83">
        <v>0</v>
      </c>
      <c r="X15" s="10"/>
      <c r="Y15" s="87">
        <v>46.4</v>
      </c>
      <c r="Z15" s="83">
        <v>0</v>
      </c>
      <c r="AA15" s="88">
        <v>46.4</v>
      </c>
      <c r="AB15" s="89">
        <v>1</v>
      </c>
      <c r="AC15" s="90">
        <v>0</v>
      </c>
      <c r="AD15" s="84">
        <v>46.2</v>
      </c>
      <c r="AE15" s="83">
        <v>8.0000000000000002E-3</v>
      </c>
      <c r="AF15" s="85">
        <f t="shared" si="0"/>
        <v>-99.945205479452056</v>
      </c>
      <c r="AG15" s="10" t="str">
        <f t="shared" si="1"/>
        <v>1</v>
      </c>
      <c r="AH15" s="10"/>
      <c r="AI15" s="10"/>
      <c r="AK15" s="2"/>
      <c r="AL15" s="2"/>
      <c r="AM15" s="2"/>
      <c r="AN15" s="2"/>
    </row>
    <row r="16" spans="1:40" ht="15" x14ac:dyDescent="0.25">
      <c r="A16" s="82" t="s">
        <v>693</v>
      </c>
      <c r="B16" s="83">
        <v>1</v>
      </c>
      <c r="C16" s="83">
        <v>0</v>
      </c>
      <c r="D16" s="83">
        <v>1</v>
      </c>
      <c r="E16" s="83">
        <v>1</v>
      </c>
      <c r="F16" s="83">
        <v>0</v>
      </c>
      <c r="G16" s="83">
        <v>0</v>
      </c>
      <c r="H16" s="10">
        <v>0</v>
      </c>
      <c r="I16" s="84">
        <v>72.019178082191786</v>
      </c>
      <c r="J16" s="83">
        <v>0</v>
      </c>
      <c r="K16" s="84">
        <v>73.666666666666671</v>
      </c>
      <c r="L16" s="84">
        <v>0</v>
      </c>
      <c r="M16" s="83">
        <v>3.2</v>
      </c>
      <c r="N16" s="83" t="s">
        <v>674</v>
      </c>
      <c r="O16" s="85">
        <f>154/220</f>
        <v>0.7</v>
      </c>
      <c r="P16" s="85">
        <f>91/145</f>
        <v>0.62758620689655176</v>
      </c>
      <c r="Q16" s="83">
        <v>144</v>
      </c>
      <c r="R16" s="86">
        <v>0.94736842105263153</v>
      </c>
      <c r="S16" s="83">
        <v>1</v>
      </c>
      <c r="T16" s="83">
        <v>0</v>
      </c>
      <c r="U16" s="83">
        <v>0</v>
      </c>
      <c r="V16" s="83">
        <v>0</v>
      </c>
      <c r="W16" s="83">
        <v>0</v>
      </c>
      <c r="X16" s="10"/>
      <c r="Y16" s="87">
        <v>44.366666666666667</v>
      </c>
      <c r="Z16" s="83">
        <v>1</v>
      </c>
      <c r="AA16" s="88">
        <v>44.366666666666667</v>
      </c>
      <c r="AB16" s="89">
        <v>0</v>
      </c>
      <c r="AC16" s="90">
        <v>0</v>
      </c>
      <c r="AD16" s="84">
        <v>19.366666666666667</v>
      </c>
      <c r="AE16" s="83">
        <v>8.0000000000000002E-3</v>
      </c>
      <c r="AF16" s="85">
        <f t="shared" si="0"/>
        <v>-99.75</v>
      </c>
      <c r="AG16" s="10" t="str">
        <f t="shared" si="1"/>
        <v>1</v>
      </c>
      <c r="AH16" s="10"/>
      <c r="AI16" s="10"/>
      <c r="AK16" s="2"/>
      <c r="AL16" s="2"/>
      <c r="AM16" s="2"/>
      <c r="AN16" s="2"/>
    </row>
    <row r="17" spans="1:40" ht="15" x14ac:dyDescent="0.25">
      <c r="A17" s="82" t="s">
        <v>694</v>
      </c>
      <c r="B17" s="83">
        <v>0</v>
      </c>
      <c r="C17" s="83">
        <v>0</v>
      </c>
      <c r="D17" s="83">
        <v>0</v>
      </c>
      <c r="E17" s="83">
        <v>0</v>
      </c>
      <c r="F17" s="83">
        <v>1</v>
      </c>
      <c r="G17" s="83">
        <v>0</v>
      </c>
      <c r="H17" s="10">
        <v>0</v>
      </c>
      <c r="I17" s="84">
        <v>76.556164383561651</v>
      </c>
      <c r="J17" s="83">
        <v>2</v>
      </c>
      <c r="K17" s="84">
        <v>75.166666666666671</v>
      </c>
      <c r="L17" s="84">
        <v>0</v>
      </c>
      <c r="M17" s="83">
        <v>45</v>
      </c>
      <c r="N17" s="83">
        <v>25</v>
      </c>
      <c r="O17" s="85">
        <f>397/240</f>
        <v>1.6541666666666666</v>
      </c>
      <c r="P17" s="85">
        <f>131/135</f>
        <v>0.97037037037037033</v>
      </c>
      <c r="Q17" s="83">
        <v>101</v>
      </c>
      <c r="R17" s="86">
        <v>8.9</v>
      </c>
      <c r="S17" s="83">
        <v>1</v>
      </c>
      <c r="T17" s="83">
        <v>0</v>
      </c>
      <c r="U17" s="83">
        <v>0</v>
      </c>
      <c r="V17" s="83">
        <v>0</v>
      </c>
      <c r="W17" s="83">
        <v>0</v>
      </c>
      <c r="X17" s="10"/>
      <c r="Y17" s="87">
        <v>9.2666666666666675</v>
      </c>
      <c r="Z17" s="83">
        <v>1</v>
      </c>
      <c r="AA17" s="88">
        <v>9.2666666666666675</v>
      </c>
      <c r="AB17" s="89">
        <v>0</v>
      </c>
      <c r="AC17" s="90">
        <v>0</v>
      </c>
      <c r="AD17" s="84">
        <v>6.9333333333333336</v>
      </c>
      <c r="AE17" s="83">
        <v>18.399999999999999</v>
      </c>
      <c r="AF17" s="85">
        <f t="shared" si="0"/>
        <v>-59.111111111111114</v>
      </c>
      <c r="AG17" s="10" t="str">
        <f t="shared" si="1"/>
        <v>1</v>
      </c>
      <c r="AH17" s="10"/>
      <c r="AI17" s="10"/>
      <c r="AK17" s="2"/>
      <c r="AL17" s="2"/>
      <c r="AM17" s="2"/>
      <c r="AN17" s="2"/>
    </row>
    <row r="18" spans="1:40" ht="15" x14ac:dyDescent="0.25">
      <c r="A18" s="82" t="s">
        <v>859</v>
      </c>
      <c r="B18" s="83">
        <v>0</v>
      </c>
      <c r="C18" s="83">
        <v>0</v>
      </c>
      <c r="D18" s="83">
        <v>0</v>
      </c>
      <c r="E18" s="83">
        <v>1</v>
      </c>
      <c r="F18" s="83">
        <v>0</v>
      </c>
      <c r="G18" s="83">
        <v>0</v>
      </c>
      <c r="H18" s="10">
        <v>0</v>
      </c>
      <c r="I18" s="84">
        <v>70.473972602739721</v>
      </c>
      <c r="J18" s="83" t="s">
        <v>680</v>
      </c>
      <c r="K18" s="84">
        <v>17</v>
      </c>
      <c r="L18" s="84">
        <v>0</v>
      </c>
      <c r="M18" s="83">
        <v>30.26</v>
      </c>
      <c r="N18" s="83">
        <v>41</v>
      </c>
      <c r="O18" s="85">
        <f>203/271</f>
        <v>0.74907749077490771</v>
      </c>
      <c r="P18" s="85">
        <f>94/100</f>
        <v>0.94</v>
      </c>
      <c r="Q18" s="83">
        <v>126</v>
      </c>
      <c r="R18" s="86">
        <v>3.3085106382978724</v>
      </c>
      <c r="S18" s="83">
        <v>1</v>
      </c>
      <c r="T18" s="83">
        <v>0</v>
      </c>
      <c r="U18" s="83">
        <v>0</v>
      </c>
      <c r="V18" s="83">
        <v>0</v>
      </c>
      <c r="W18" s="83">
        <v>0</v>
      </c>
      <c r="X18" s="10"/>
      <c r="Y18" s="87">
        <v>16.866666666666667</v>
      </c>
      <c r="Z18" s="83">
        <v>1</v>
      </c>
      <c r="AA18" s="88">
        <v>16.866666666666667</v>
      </c>
      <c r="AB18" s="89">
        <v>0</v>
      </c>
      <c r="AC18" s="90">
        <v>1</v>
      </c>
      <c r="AD18" s="84">
        <v>0.16666666666666666</v>
      </c>
      <c r="AE18" s="83" t="s">
        <v>674</v>
      </c>
      <c r="AF18" s="85" t="s">
        <v>674</v>
      </c>
      <c r="AG18" s="10">
        <v>0</v>
      </c>
      <c r="AH18" s="10"/>
      <c r="AI18" s="10"/>
      <c r="AK18" s="2"/>
      <c r="AL18" s="2"/>
      <c r="AM18" s="2"/>
      <c r="AN18" s="2"/>
    </row>
    <row r="19" spans="1:40" ht="15" x14ac:dyDescent="0.25">
      <c r="A19" s="82" t="s">
        <v>695</v>
      </c>
      <c r="B19" s="83">
        <v>0</v>
      </c>
      <c r="C19" s="83">
        <v>0</v>
      </c>
      <c r="D19" s="83">
        <v>1</v>
      </c>
      <c r="E19" s="83">
        <v>1</v>
      </c>
      <c r="F19" s="83">
        <v>1</v>
      </c>
      <c r="G19" s="83">
        <v>1</v>
      </c>
      <c r="H19" s="10">
        <v>0</v>
      </c>
      <c r="I19" s="84">
        <v>79.342465753424662</v>
      </c>
      <c r="J19" s="83">
        <v>2</v>
      </c>
      <c r="K19" s="84">
        <v>152.5</v>
      </c>
      <c r="L19" s="84">
        <v>0</v>
      </c>
      <c r="M19" s="83">
        <v>36.9</v>
      </c>
      <c r="N19" s="83">
        <v>42</v>
      </c>
      <c r="O19" s="85">
        <f>233/220</f>
        <v>1.0590909090909091</v>
      </c>
      <c r="P19" s="85">
        <f>64/145</f>
        <v>0.44137931034482758</v>
      </c>
      <c r="Q19" s="83">
        <v>146</v>
      </c>
      <c r="R19" s="86">
        <v>1.625</v>
      </c>
      <c r="S19" s="83">
        <v>0</v>
      </c>
      <c r="T19" s="83">
        <v>1</v>
      </c>
      <c r="U19" s="83">
        <v>0</v>
      </c>
      <c r="V19" s="83">
        <v>0</v>
      </c>
      <c r="W19" s="83">
        <v>0</v>
      </c>
      <c r="X19" s="10"/>
      <c r="Y19" s="87">
        <v>24.066666666666666</v>
      </c>
      <c r="Z19" s="83">
        <v>1</v>
      </c>
      <c r="AA19" s="88">
        <v>24.066666666666666</v>
      </c>
      <c r="AB19" s="89">
        <v>0</v>
      </c>
      <c r="AC19" s="90">
        <v>1</v>
      </c>
      <c r="AD19" s="84">
        <v>14.466666666666667</v>
      </c>
      <c r="AE19" s="83">
        <v>0.2</v>
      </c>
      <c r="AF19" s="85">
        <f t="shared" ref="AF19:AF20" si="2">((M19-AE19)/M19)*(-100)</f>
        <v>-99.45799457994579</v>
      </c>
      <c r="AG19" s="10" t="str">
        <f t="shared" ref="AG19:AG20" si="3">IF((AE19/M19)&lt;0.5,"1","0")</f>
        <v>1</v>
      </c>
      <c r="AH19" s="10"/>
      <c r="AI19" s="10"/>
      <c r="AK19" s="2"/>
      <c r="AL19" s="2"/>
      <c r="AM19" s="2"/>
      <c r="AN19" s="2"/>
    </row>
    <row r="20" spans="1:40" ht="15" x14ac:dyDescent="0.25">
      <c r="A20" s="82" t="s">
        <v>696</v>
      </c>
      <c r="B20" s="83">
        <v>0</v>
      </c>
      <c r="C20" s="83">
        <v>0</v>
      </c>
      <c r="D20" s="83">
        <v>1</v>
      </c>
      <c r="E20" s="83">
        <v>1</v>
      </c>
      <c r="F20" s="83">
        <v>0</v>
      </c>
      <c r="G20" s="83">
        <v>0</v>
      </c>
      <c r="H20" s="10">
        <v>0</v>
      </c>
      <c r="I20" s="84">
        <v>73.649315068493152</v>
      </c>
      <c r="J20" s="83">
        <v>0</v>
      </c>
      <c r="K20" s="84">
        <v>125.2</v>
      </c>
      <c r="L20" s="84">
        <v>0</v>
      </c>
      <c r="M20" s="83">
        <v>166</v>
      </c>
      <c r="N20" s="83">
        <v>48</v>
      </c>
      <c r="O20" s="85" t="s">
        <v>674</v>
      </c>
      <c r="P20" s="85" t="s">
        <v>674</v>
      </c>
      <c r="Q20" s="83">
        <v>140</v>
      </c>
      <c r="R20" s="86">
        <v>2.4553571428571428</v>
      </c>
      <c r="S20" s="83">
        <v>0</v>
      </c>
      <c r="T20" s="83">
        <v>1</v>
      </c>
      <c r="U20" s="83">
        <v>0</v>
      </c>
      <c r="V20" s="83">
        <v>0</v>
      </c>
      <c r="W20" s="83">
        <v>0</v>
      </c>
      <c r="X20" s="10"/>
      <c r="Y20" s="87">
        <v>39.733333333333334</v>
      </c>
      <c r="Z20" s="83">
        <v>1</v>
      </c>
      <c r="AA20" s="88">
        <v>39.733333333333334</v>
      </c>
      <c r="AB20" s="89">
        <v>0</v>
      </c>
      <c r="AC20" s="90">
        <v>1</v>
      </c>
      <c r="AD20" s="84">
        <v>20.466666666666665</v>
      </c>
      <c r="AE20" s="83">
        <v>1.2</v>
      </c>
      <c r="AF20" s="85">
        <f t="shared" si="2"/>
        <v>-99.277108433734952</v>
      </c>
      <c r="AG20" s="10" t="str">
        <f t="shared" si="3"/>
        <v>1</v>
      </c>
      <c r="AH20" s="10"/>
      <c r="AI20" s="10"/>
      <c r="AK20" s="2"/>
      <c r="AL20" s="2"/>
      <c r="AM20" s="2"/>
      <c r="AN20" s="2"/>
    </row>
    <row r="21" spans="1:40" ht="15" x14ac:dyDescent="0.25">
      <c r="A21" s="82" t="s">
        <v>697</v>
      </c>
      <c r="B21" s="83">
        <v>1</v>
      </c>
      <c r="C21" s="83">
        <v>0</v>
      </c>
      <c r="D21" s="83">
        <v>1</v>
      </c>
      <c r="E21" s="83">
        <v>1</v>
      </c>
      <c r="F21" s="83">
        <v>1</v>
      </c>
      <c r="G21" s="83">
        <v>1</v>
      </c>
      <c r="H21" s="10">
        <v>0</v>
      </c>
      <c r="I21" s="84">
        <v>79.487671232876707</v>
      </c>
      <c r="J21" s="83">
        <v>1</v>
      </c>
      <c r="K21" s="84">
        <v>3.2666666666666666</v>
      </c>
      <c r="L21" s="84">
        <v>1</v>
      </c>
      <c r="M21" s="83">
        <v>7.1</v>
      </c>
      <c r="N21" s="83">
        <v>39</v>
      </c>
      <c r="O21" s="85">
        <f>192/220</f>
        <v>0.87272727272727268</v>
      </c>
      <c r="P21" s="85">
        <f>107/145</f>
        <v>0.73793103448275865</v>
      </c>
      <c r="Q21" s="83">
        <v>147</v>
      </c>
      <c r="R21" s="86">
        <v>2.2380952380952381</v>
      </c>
      <c r="S21" s="83">
        <v>0</v>
      </c>
      <c r="T21" s="83">
        <v>1</v>
      </c>
      <c r="U21" s="83">
        <v>0</v>
      </c>
      <c r="V21" s="83">
        <v>0</v>
      </c>
      <c r="W21" s="83">
        <v>0</v>
      </c>
      <c r="X21" s="10"/>
      <c r="Y21" s="87">
        <v>11.933333333333334</v>
      </c>
      <c r="Z21" s="83">
        <v>1</v>
      </c>
      <c r="AA21" s="88">
        <v>11.933333333333334</v>
      </c>
      <c r="AB21" s="89">
        <v>0</v>
      </c>
      <c r="AC21" s="90">
        <v>0</v>
      </c>
      <c r="AD21" s="84">
        <v>9.1999999999999993</v>
      </c>
      <c r="AE21" s="83" t="s">
        <v>674</v>
      </c>
      <c r="AF21" s="85" t="s">
        <v>674</v>
      </c>
      <c r="AG21" s="10">
        <v>0</v>
      </c>
      <c r="AH21" s="10"/>
      <c r="AI21" s="10"/>
      <c r="AK21" s="2"/>
      <c r="AL21" s="2"/>
      <c r="AM21" s="2"/>
      <c r="AN21" s="2"/>
    </row>
    <row r="22" spans="1:40" ht="15" x14ac:dyDescent="0.25">
      <c r="A22" s="82" t="s">
        <v>698</v>
      </c>
      <c r="B22" s="83">
        <v>0</v>
      </c>
      <c r="C22" s="83">
        <v>0</v>
      </c>
      <c r="D22" s="83">
        <v>0</v>
      </c>
      <c r="E22" s="83">
        <v>1</v>
      </c>
      <c r="F22" s="83">
        <v>0</v>
      </c>
      <c r="G22" s="83">
        <v>0</v>
      </c>
      <c r="H22" s="10">
        <v>0</v>
      </c>
      <c r="I22" s="84">
        <v>82.62465753424658</v>
      </c>
      <c r="J22" s="83">
        <v>1</v>
      </c>
      <c r="K22" s="84">
        <v>10.766666666666667</v>
      </c>
      <c r="L22" s="84">
        <v>1</v>
      </c>
      <c r="M22" s="83">
        <v>26.6</v>
      </c>
      <c r="N22" s="83">
        <v>44</v>
      </c>
      <c r="O22" s="85">
        <f>231/220</f>
        <v>1.05</v>
      </c>
      <c r="P22" s="85">
        <f>307/145</f>
        <v>2.1172413793103448</v>
      </c>
      <c r="Q22" s="83">
        <v>137</v>
      </c>
      <c r="R22" s="86">
        <v>2.5294117647058822</v>
      </c>
      <c r="S22" s="83">
        <v>0</v>
      </c>
      <c r="T22" s="83">
        <v>1</v>
      </c>
      <c r="U22" s="83">
        <v>0</v>
      </c>
      <c r="V22" s="83">
        <v>0</v>
      </c>
      <c r="W22" s="83">
        <v>0</v>
      </c>
      <c r="X22" s="10"/>
      <c r="Y22" s="87">
        <v>14.033333333333333</v>
      </c>
      <c r="Z22" s="83">
        <v>1</v>
      </c>
      <c r="AA22" s="88">
        <v>14.033333333333333</v>
      </c>
      <c r="AB22" s="89">
        <v>0</v>
      </c>
      <c r="AC22" s="90">
        <v>1</v>
      </c>
      <c r="AD22" s="84">
        <v>5.4666666666666668</v>
      </c>
      <c r="AE22" s="83">
        <v>8.6</v>
      </c>
      <c r="AF22" s="85">
        <f t="shared" ref="AF22:AF24" si="4">((M22-AE22)/M22)*(-100)</f>
        <v>-67.669172932330824</v>
      </c>
      <c r="AG22" s="10" t="str">
        <f t="shared" ref="AG22:AG24" si="5">IF((AE22/M22)&lt;0.5,"1","0")</f>
        <v>1</v>
      </c>
      <c r="AH22" s="10"/>
      <c r="AI22" s="10"/>
      <c r="AK22" s="2"/>
      <c r="AL22" s="2"/>
      <c r="AM22" s="2"/>
      <c r="AN22" s="2"/>
    </row>
    <row r="23" spans="1:40" ht="15" x14ac:dyDescent="0.25">
      <c r="A23" s="82" t="s">
        <v>877</v>
      </c>
      <c r="B23" s="83">
        <v>0</v>
      </c>
      <c r="C23" s="83">
        <v>0</v>
      </c>
      <c r="D23" s="83">
        <v>0</v>
      </c>
      <c r="E23" s="83">
        <v>1</v>
      </c>
      <c r="F23" s="83">
        <v>0</v>
      </c>
      <c r="G23" s="83">
        <v>0</v>
      </c>
      <c r="H23" s="10">
        <v>0</v>
      </c>
      <c r="I23" s="84">
        <v>63.358904109589041</v>
      </c>
      <c r="J23" s="83">
        <v>1</v>
      </c>
      <c r="K23" s="84">
        <v>7.333333333333333</v>
      </c>
      <c r="L23" s="84">
        <v>1</v>
      </c>
      <c r="M23" s="83">
        <v>4.03</v>
      </c>
      <c r="N23" s="83">
        <v>41</v>
      </c>
      <c r="O23" s="85">
        <f>162/271</f>
        <v>0.59778597785977861</v>
      </c>
      <c r="P23" s="85">
        <f>91/100</f>
        <v>0.91</v>
      </c>
      <c r="Q23" s="83">
        <v>145</v>
      </c>
      <c r="R23" s="86">
        <v>3.7168674698795181</v>
      </c>
      <c r="S23" s="83">
        <v>0</v>
      </c>
      <c r="T23" s="83">
        <v>1</v>
      </c>
      <c r="U23" s="83">
        <v>0</v>
      </c>
      <c r="V23" s="83">
        <v>0</v>
      </c>
      <c r="W23" s="83">
        <v>0</v>
      </c>
      <c r="X23" s="10"/>
      <c r="Y23" s="87">
        <v>44.166666666666664</v>
      </c>
      <c r="Z23" s="83">
        <v>0</v>
      </c>
      <c r="AA23" s="88">
        <v>44.166666666666664</v>
      </c>
      <c r="AB23" s="89">
        <v>0</v>
      </c>
      <c r="AC23" s="90">
        <v>1</v>
      </c>
      <c r="AD23" s="84">
        <v>14.833333333333334</v>
      </c>
      <c r="AE23" s="83">
        <v>0.28000000000000003</v>
      </c>
      <c r="AF23" s="85">
        <f t="shared" si="4"/>
        <v>-93.052109181141432</v>
      </c>
      <c r="AG23" s="10" t="str">
        <f t="shared" si="5"/>
        <v>1</v>
      </c>
      <c r="AH23" s="10"/>
      <c r="AI23" s="10"/>
      <c r="AK23" s="2"/>
      <c r="AL23" s="2"/>
      <c r="AM23" s="2"/>
      <c r="AN23" s="2"/>
    </row>
    <row r="24" spans="1:40" ht="15" x14ac:dyDescent="0.25">
      <c r="A24" s="82" t="s">
        <v>699</v>
      </c>
      <c r="B24" s="83">
        <v>0</v>
      </c>
      <c r="C24" s="83">
        <v>1</v>
      </c>
      <c r="D24" s="83">
        <v>1</v>
      </c>
      <c r="E24" s="83">
        <v>1</v>
      </c>
      <c r="F24" s="83">
        <v>0</v>
      </c>
      <c r="G24" s="83">
        <v>0</v>
      </c>
      <c r="H24" s="10">
        <v>0</v>
      </c>
      <c r="I24" s="84">
        <v>70.443835616438349</v>
      </c>
      <c r="J24" s="83">
        <v>1</v>
      </c>
      <c r="K24" s="84">
        <v>20.966666666666665</v>
      </c>
      <c r="L24" s="84">
        <v>0</v>
      </c>
      <c r="M24" s="83">
        <v>1.73</v>
      </c>
      <c r="N24" s="83">
        <v>39</v>
      </c>
      <c r="O24" s="85">
        <f>172/271</f>
        <v>0.63468634686346859</v>
      </c>
      <c r="P24" s="85">
        <f>112/100</f>
        <v>1.1200000000000001</v>
      </c>
      <c r="Q24" s="83">
        <v>138</v>
      </c>
      <c r="R24" s="86">
        <v>2.4015009380863042</v>
      </c>
      <c r="S24" s="83">
        <v>0</v>
      </c>
      <c r="T24" s="83">
        <v>1</v>
      </c>
      <c r="U24" s="83">
        <v>0</v>
      </c>
      <c r="V24" s="83">
        <v>0</v>
      </c>
      <c r="W24" s="83">
        <v>0</v>
      </c>
      <c r="X24" s="10"/>
      <c r="Y24" s="87">
        <v>30.166666666666668</v>
      </c>
      <c r="Z24" s="83">
        <v>1</v>
      </c>
      <c r="AA24" s="88">
        <v>30.166666666666668</v>
      </c>
      <c r="AB24" s="89">
        <v>0</v>
      </c>
      <c r="AC24" s="90">
        <v>1</v>
      </c>
      <c r="AD24" s="84">
        <v>8.6</v>
      </c>
      <c r="AE24" s="83">
        <v>0.32</v>
      </c>
      <c r="AF24" s="85">
        <f t="shared" si="4"/>
        <v>-81.502890173410407</v>
      </c>
      <c r="AG24" s="10" t="str">
        <f t="shared" si="5"/>
        <v>1</v>
      </c>
      <c r="AH24" s="10"/>
      <c r="AI24" s="10"/>
      <c r="AK24" s="2"/>
      <c r="AL24" s="2"/>
      <c r="AM24" s="2"/>
      <c r="AN24" s="2"/>
    </row>
    <row r="25" spans="1:40" ht="15" x14ac:dyDescent="0.25">
      <c r="A25" s="82" t="s">
        <v>700</v>
      </c>
      <c r="B25" s="83">
        <v>1</v>
      </c>
      <c r="C25" s="83">
        <v>0</v>
      </c>
      <c r="D25" s="83">
        <v>0</v>
      </c>
      <c r="E25" s="83">
        <v>1</v>
      </c>
      <c r="F25" s="83">
        <v>0</v>
      </c>
      <c r="G25" s="83">
        <v>0</v>
      </c>
      <c r="H25" s="10">
        <v>0</v>
      </c>
      <c r="I25" s="84">
        <v>74.578082191780823</v>
      </c>
      <c r="J25" s="83">
        <v>1</v>
      </c>
      <c r="K25" s="84">
        <v>22.233333333333334</v>
      </c>
      <c r="L25" s="84">
        <v>0</v>
      </c>
      <c r="M25" s="83">
        <v>5</v>
      </c>
      <c r="N25" s="83">
        <v>42</v>
      </c>
      <c r="O25" s="85" t="s">
        <v>674</v>
      </c>
      <c r="P25" s="85">
        <f>122/145</f>
        <v>0.8413793103448276</v>
      </c>
      <c r="Q25" s="83">
        <v>143</v>
      </c>
      <c r="R25" s="86">
        <v>2.4615384615384617</v>
      </c>
      <c r="S25" s="83">
        <v>0</v>
      </c>
      <c r="T25" s="83">
        <v>1</v>
      </c>
      <c r="U25" s="83">
        <v>0</v>
      </c>
      <c r="V25" s="83">
        <v>0</v>
      </c>
      <c r="W25" s="83">
        <v>0</v>
      </c>
      <c r="X25" s="10"/>
      <c r="Y25" s="87">
        <v>8.3333333333333339</v>
      </c>
      <c r="Z25" s="83">
        <v>1</v>
      </c>
      <c r="AA25" s="88">
        <v>8.3333333333333339</v>
      </c>
      <c r="AB25" s="89">
        <v>0</v>
      </c>
      <c r="AC25" s="90">
        <v>1</v>
      </c>
      <c r="AD25" s="84">
        <v>1.7</v>
      </c>
      <c r="AE25" s="83" t="s">
        <v>674</v>
      </c>
      <c r="AF25" s="85" t="s">
        <v>674</v>
      </c>
      <c r="AG25" s="10">
        <v>0</v>
      </c>
      <c r="AH25" s="10"/>
      <c r="AI25" s="10"/>
      <c r="AK25" s="2"/>
      <c r="AL25" s="2"/>
      <c r="AM25" s="2"/>
      <c r="AN25" s="2"/>
    </row>
    <row r="26" spans="1:40" ht="15" x14ac:dyDescent="0.25">
      <c r="A26" s="82" t="s">
        <v>702</v>
      </c>
      <c r="B26" s="83">
        <v>0</v>
      </c>
      <c r="C26" s="83">
        <v>0</v>
      </c>
      <c r="D26" s="83">
        <v>0</v>
      </c>
      <c r="E26" s="83">
        <v>1</v>
      </c>
      <c r="F26" s="83">
        <v>0</v>
      </c>
      <c r="G26" s="83">
        <v>0</v>
      </c>
      <c r="H26" s="10">
        <v>0</v>
      </c>
      <c r="I26" s="84">
        <v>71.964383561643842</v>
      </c>
      <c r="J26" s="83">
        <v>1</v>
      </c>
      <c r="K26" s="84">
        <v>8</v>
      </c>
      <c r="L26" s="84">
        <v>1</v>
      </c>
      <c r="M26" s="83">
        <v>11.6</v>
      </c>
      <c r="N26" s="83">
        <v>38</v>
      </c>
      <c r="O26" s="85" t="s">
        <v>674</v>
      </c>
      <c r="P26" s="85">
        <f>344/100</f>
        <v>3.44</v>
      </c>
      <c r="Q26" s="83">
        <v>107</v>
      </c>
      <c r="R26" s="86">
        <v>4.43</v>
      </c>
      <c r="S26" s="83">
        <v>0</v>
      </c>
      <c r="T26" s="83">
        <v>1</v>
      </c>
      <c r="U26" s="83">
        <v>0</v>
      </c>
      <c r="V26" s="83">
        <v>0</v>
      </c>
      <c r="W26" s="83">
        <v>0</v>
      </c>
      <c r="X26" s="10"/>
      <c r="Y26" s="87">
        <v>20</v>
      </c>
      <c r="Z26" s="83">
        <v>1</v>
      </c>
      <c r="AA26" s="88">
        <v>20</v>
      </c>
      <c r="AB26" s="89">
        <v>0</v>
      </c>
      <c r="AC26" s="90">
        <v>1</v>
      </c>
      <c r="AD26" s="84">
        <v>13.8</v>
      </c>
      <c r="AE26" s="83">
        <v>0.1</v>
      </c>
      <c r="AF26" s="85">
        <f t="shared" ref="AF26:AF27" si="6">((M26-AE26)/M26)*(-100)</f>
        <v>-99.137931034482762</v>
      </c>
      <c r="AG26" s="10" t="str">
        <f t="shared" ref="AG26:AG27" si="7">IF((AE26/M26)&lt;0.5,"1","0")</f>
        <v>1</v>
      </c>
      <c r="AH26" s="10"/>
      <c r="AI26" s="10"/>
      <c r="AK26" s="2"/>
      <c r="AL26" s="2"/>
      <c r="AM26" s="2"/>
      <c r="AN26" s="2"/>
    </row>
    <row r="27" spans="1:40" ht="15" x14ac:dyDescent="0.25">
      <c r="A27" s="82" t="s">
        <v>703</v>
      </c>
      <c r="B27" s="83">
        <v>1</v>
      </c>
      <c r="C27" s="83">
        <v>0</v>
      </c>
      <c r="D27" s="83">
        <v>1</v>
      </c>
      <c r="E27" s="83">
        <v>1</v>
      </c>
      <c r="F27" s="83">
        <v>0</v>
      </c>
      <c r="G27" s="83">
        <v>1</v>
      </c>
      <c r="H27" s="10">
        <v>0</v>
      </c>
      <c r="I27" s="84">
        <v>77.873972602739727</v>
      </c>
      <c r="J27" s="83">
        <v>1</v>
      </c>
      <c r="K27" s="84">
        <v>18.166666666666668</v>
      </c>
      <c r="L27" s="84">
        <v>0</v>
      </c>
      <c r="M27" s="83">
        <v>23.3</v>
      </c>
      <c r="N27" s="83">
        <v>39</v>
      </c>
      <c r="O27" s="85">
        <f>188/225</f>
        <v>0.83555555555555561</v>
      </c>
      <c r="P27" s="85">
        <f>95/145</f>
        <v>0.65517241379310343</v>
      </c>
      <c r="Q27" s="83">
        <v>105</v>
      </c>
      <c r="R27" s="86">
        <v>3.8333333333333335</v>
      </c>
      <c r="S27" s="83">
        <v>0</v>
      </c>
      <c r="T27" s="83">
        <v>1</v>
      </c>
      <c r="U27" s="83">
        <v>0</v>
      </c>
      <c r="V27" s="83">
        <v>0</v>
      </c>
      <c r="W27" s="83">
        <v>0</v>
      </c>
      <c r="X27" s="10"/>
      <c r="Y27" s="87">
        <v>3.0333333333333332</v>
      </c>
      <c r="Z27" s="83">
        <v>1</v>
      </c>
      <c r="AA27" s="88">
        <v>3.0333333333333332</v>
      </c>
      <c r="AB27" s="89">
        <v>0</v>
      </c>
      <c r="AC27" s="90">
        <v>1</v>
      </c>
      <c r="AD27" s="84">
        <v>2.5333333333333332</v>
      </c>
      <c r="AE27" s="83">
        <v>8.5</v>
      </c>
      <c r="AF27" s="85">
        <f t="shared" si="6"/>
        <v>-63.519313304721024</v>
      </c>
      <c r="AG27" s="10" t="str">
        <f t="shared" si="7"/>
        <v>1</v>
      </c>
      <c r="AH27" s="10"/>
      <c r="AI27" s="10"/>
      <c r="AK27" s="2"/>
      <c r="AL27" s="2"/>
      <c r="AM27" s="2"/>
      <c r="AN27" s="2"/>
    </row>
    <row r="28" spans="1:40" ht="15" x14ac:dyDescent="0.25">
      <c r="A28" s="82" t="s">
        <v>704</v>
      </c>
      <c r="B28" s="83">
        <v>0</v>
      </c>
      <c r="C28" s="83">
        <v>0</v>
      </c>
      <c r="D28" s="83">
        <v>0</v>
      </c>
      <c r="E28" s="83">
        <v>1</v>
      </c>
      <c r="F28" s="83">
        <v>0</v>
      </c>
      <c r="G28" s="83">
        <v>0</v>
      </c>
      <c r="H28" s="10">
        <v>0</v>
      </c>
      <c r="I28" s="84">
        <v>86.953424657534242</v>
      </c>
      <c r="J28" s="83">
        <v>1</v>
      </c>
      <c r="K28" s="84">
        <v>50.6</v>
      </c>
      <c r="L28" s="84">
        <v>0</v>
      </c>
      <c r="M28" s="83">
        <v>11.25</v>
      </c>
      <c r="N28" s="83">
        <v>40</v>
      </c>
      <c r="O28" s="85">
        <f>195/271</f>
        <v>0.71955719557195574</v>
      </c>
      <c r="P28" s="85">
        <f>79/100</f>
        <v>0.79</v>
      </c>
      <c r="Q28" s="83">
        <v>136</v>
      </c>
      <c r="R28" s="86">
        <v>3.7721518987341773</v>
      </c>
      <c r="S28" s="83">
        <v>0</v>
      </c>
      <c r="T28" s="83">
        <v>1</v>
      </c>
      <c r="U28" s="83">
        <v>0</v>
      </c>
      <c r="V28" s="83">
        <v>0</v>
      </c>
      <c r="W28" s="83">
        <v>0</v>
      </c>
      <c r="X28" s="10"/>
      <c r="Y28" s="87">
        <v>26.333333333333332</v>
      </c>
      <c r="Z28" s="83">
        <v>1</v>
      </c>
      <c r="AA28" s="88">
        <v>26.333333333333332</v>
      </c>
      <c r="AB28" s="89">
        <v>0</v>
      </c>
      <c r="AC28" s="90">
        <v>0</v>
      </c>
      <c r="AD28" s="84">
        <v>22.866666666666667</v>
      </c>
      <c r="AE28" s="83" t="s">
        <v>674</v>
      </c>
      <c r="AF28" s="85" t="s">
        <v>674</v>
      </c>
      <c r="AG28" s="10">
        <v>0</v>
      </c>
      <c r="AH28" s="10"/>
      <c r="AI28" s="10"/>
      <c r="AK28" s="2"/>
      <c r="AL28" s="2"/>
      <c r="AM28" s="2"/>
      <c r="AN28" s="2"/>
    </row>
    <row r="29" spans="1:40" ht="15" x14ac:dyDescent="0.25">
      <c r="A29" s="82" t="s">
        <v>860</v>
      </c>
      <c r="B29" s="83">
        <v>1</v>
      </c>
      <c r="C29" s="83">
        <v>0</v>
      </c>
      <c r="D29" s="83">
        <v>1</v>
      </c>
      <c r="E29" s="83">
        <v>0</v>
      </c>
      <c r="F29" s="83">
        <v>0</v>
      </c>
      <c r="G29" s="83">
        <v>0</v>
      </c>
      <c r="H29" s="10">
        <v>0</v>
      </c>
      <c r="I29" s="84">
        <v>64.791780821917811</v>
      </c>
      <c r="J29" s="83">
        <v>0</v>
      </c>
      <c r="K29" s="84">
        <v>12.133333333333333</v>
      </c>
      <c r="L29" s="84">
        <v>1</v>
      </c>
      <c r="M29" s="83">
        <v>16.100000000000001</v>
      </c>
      <c r="N29" s="83">
        <v>36</v>
      </c>
      <c r="O29" s="85">
        <f>330/225</f>
        <v>1.4666666666666666</v>
      </c>
      <c r="P29" s="85">
        <f>97/145</f>
        <v>0.66896551724137931</v>
      </c>
      <c r="Q29" s="83">
        <v>94</v>
      </c>
      <c r="R29" s="86">
        <v>12.2</v>
      </c>
      <c r="S29" s="83">
        <v>1</v>
      </c>
      <c r="T29" s="83">
        <v>0</v>
      </c>
      <c r="U29" s="83">
        <v>0</v>
      </c>
      <c r="V29" s="83">
        <v>0</v>
      </c>
      <c r="W29" s="83">
        <v>0</v>
      </c>
      <c r="X29" s="10"/>
      <c r="Y29" s="87">
        <v>5.0666666666666664</v>
      </c>
      <c r="Z29" s="83">
        <v>1</v>
      </c>
      <c r="AA29" s="88">
        <v>5.0666666666666664</v>
      </c>
      <c r="AB29" s="89">
        <v>0</v>
      </c>
      <c r="AC29" s="90">
        <v>1</v>
      </c>
      <c r="AD29" s="84">
        <v>1.0333333333333334</v>
      </c>
      <c r="AE29" s="83" t="s">
        <v>674</v>
      </c>
      <c r="AF29" s="85" t="s">
        <v>674</v>
      </c>
      <c r="AG29" s="10">
        <v>0</v>
      </c>
      <c r="AH29" s="10"/>
      <c r="AI29" s="10"/>
      <c r="AK29" s="2"/>
      <c r="AL29" s="2"/>
      <c r="AM29" s="2"/>
      <c r="AN29" s="2"/>
    </row>
    <row r="30" spans="1:40" ht="15" x14ac:dyDescent="0.25">
      <c r="A30" s="82" t="s">
        <v>705</v>
      </c>
      <c r="B30" s="83">
        <v>0</v>
      </c>
      <c r="C30" s="83">
        <v>0</v>
      </c>
      <c r="D30" s="83">
        <v>1</v>
      </c>
      <c r="E30" s="83">
        <v>0</v>
      </c>
      <c r="F30" s="83">
        <v>0</v>
      </c>
      <c r="G30" s="83">
        <v>0</v>
      </c>
      <c r="H30" s="10">
        <v>0</v>
      </c>
      <c r="I30" s="84">
        <v>78.30958904109589</v>
      </c>
      <c r="J30" s="83">
        <v>0</v>
      </c>
      <c r="K30" s="84">
        <v>46.06666666666667</v>
      </c>
      <c r="L30" s="84">
        <v>0</v>
      </c>
      <c r="M30" s="83">
        <v>50</v>
      </c>
      <c r="N30" s="83">
        <v>38</v>
      </c>
      <c r="O30" s="85">
        <f>176/240</f>
        <v>0.73333333333333328</v>
      </c>
      <c r="P30" s="85">
        <f>80/135</f>
        <v>0.59259259259259256</v>
      </c>
      <c r="Q30" s="83">
        <v>112</v>
      </c>
      <c r="R30" s="86">
        <v>2.5652173913043477</v>
      </c>
      <c r="S30" s="83">
        <v>0</v>
      </c>
      <c r="T30" s="83">
        <v>1</v>
      </c>
      <c r="U30" s="83">
        <v>0</v>
      </c>
      <c r="V30" s="83">
        <v>0</v>
      </c>
      <c r="W30" s="83">
        <v>0</v>
      </c>
      <c r="X30" s="10"/>
      <c r="Y30" s="87">
        <v>39.333333333333336</v>
      </c>
      <c r="Z30" s="83">
        <v>1</v>
      </c>
      <c r="AA30" s="88">
        <v>39.333333333333336</v>
      </c>
      <c r="AB30" s="89">
        <v>0</v>
      </c>
      <c r="AC30" s="90">
        <v>1</v>
      </c>
      <c r="AD30" s="84">
        <v>13</v>
      </c>
      <c r="AE30" s="83">
        <v>1.1000000000000001</v>
      </c>
      <c r="AF30" s="85">
        <f t="shared" ref="AF30:AF37" si="8">((M30-AE30)/M30)*(-100)</f>
        <v>-97.8</v>
      </c>
      <c r="AG30" s="10" t="str">
        <f t="shared" ref="AG30:AG37" si="9">IF((AE30/M30)&lt;0.5,"1","0")</f>
        <v>1</v>
      </c>
      <c r="AH30" s="10"/>
      <c r="AI30" s="10"/>
      <c r="AK30" s="2"/>
      <c r="AL30" s="2"/>
      <c r="AM30" s="2"/>
      <c r="AN30" s="2"/>
    </row>
    <row r="31" spans="1:40" ht="15" x14ac:dyDescent="0.25">
      <c r="A31" s="82" t="s">
        <v>706</v>
      </c>
      <c r="B31" s="83">
        <v>1</v>
      </c>
      <c r="C31" s="83">
        <v>0</v>
      </c>
      <c r="D31" s="83">
        <v>0</v>
      </c>
      <c r="E31" s="83">
        <v>1</v>
      </c>
      <c r="F31" s="83">
        <v>0</v>
      </c>
      <c r="G31" s="83">
        <v>0</v>
      </c>
      <c r="H31" s="10">
        <v>0</v>
      </c>
      <c r="I31" s="84">
        <v>76.410958904109592</v>
      </c>
      <c r="J31" s="83" t="s">
        <v>680</v>
      </c>
      <c r="K31" s="84">
        <v>9.1999999999999993</v>
      </c>
      <c r="L31" s="84">
        <v>1</v>
      </c>
      <c r="M31" s="83">
        <v>118.49</v>
      </c>
      <c r="N31" s="83">
        <v>41</v>
      </c>
      <c r="O31" s="85">
        <f>515/618</f>
        <v>0.83333333333333337</v>
      </c>
      <c r="P31" s="85">
        <f>61/130</f>
        <v>0.46923076923076923</v>
      </c>
      <c r="Q31" s="83">
        <v>141</v>
      </c>
      <c r="R31" s="86">
        <v>6.2857142857142856</v>
      </c>
      <c r="S31" s="83">
        <v>0</v>
      </c>
      <c r="T31" s="83">
        <v>1</v>
      </c>
      <c r="U31" s="83">
        <v>0</v>
      </c>
      <c r="V31" s="83">
        <v>0</v>
      </c>
      <c r="W31" s="83">
        <v>0</v>
      </c>
      <c r="X31" s="10"/>
      <c r="Y31" s="87">
        <v>28.766666666666666</v>
      </c>
      <c r="Z31" s="83">
        <v>1</v>
      </c>
      <c r="AA31" s="88">
        <v>28.766666666666666</v>
      </c>
      <c r="AB31" s="89">
        <v>0</v>
      </c>
      <c r="AC31" s="90">
        <v>1</v>
      </c>
      <c r="AD31" s="84">
        <v>9.3000000000000007</v>
      </c>
      <c r="AE31" s="83">
        <v>3.63</v>
      </c>
      <c r="AF31" s="85">
        <f t="shared" si="8"/>
        <v>-96.936450333361464</v>
      </c>
      <c r="AG31" s="10" t="str">
        <f t="shared" si="9"/>
        <v>1</v>
      </c>
      <c r="AH31" s="10"/>
      <c r="AI31" s="10"/>
      <c r="AK31" s="2"/>
      <c r="AL31" s="2"/>
      <c r="AM31" s="2"/>
      <c r="AN31" s="2"/>
    </row>
    <row r="32" spans="1:40" ht="15" x14ac:dyDescent="0.25">
      <c r="A32" s="82" t="s">
        <v>880</v>
      </c>
      <c r="B32" s="83">
        <v>0</v>
      </c>
      <c r="C32" s="83">
        <v>0</v>
      </c>
      <c r="D32" s="83">
        <v>0</v>
      </c>
      <c r="E32" s="83">
        <v>1</v>
      </c>
      <c r="F32" s="83">
        <v>0</v>
      </c>
      <c r="G32" s="83">
        <v>0</v>
      </c>
      <c r="H32" s="10">
        <v>0</v>
      </c>
      <c r="I32" s="84">
        <v>79.317808219178076</v>
      </c>
      <c r="J32" s="83">
        <v>1</v>
      </c>
      <c r="K32" s="84">
        <v>2.5333333333333332</v>
      </c>
      <c r="L32" s="84">
        <v>1</v>
      </c>
      <c r="M32" s="83">
        <v>52.78</v>
      </c>
      <c r="N32" s="83">
        <v>44</v>
      </c>
      <c r="O32" s="85">
        <f>462/618</f>
        <v>0.74757281553398058</v>
      </c>
      <c r="P32" s="85">
        <f>153/126</f>
        <v>1.2142857142857142</v>
      </c>
      <c r="Q32" s="83">
        <v>125</v>
      </c>
      <c r="R32" s="86">
        <v>2.9375</v>
      </c>
      <c r="S32" s="83">
        <v>0</v>
      </c>
      <c r="T32" s="83">
        <v>1</v>
      </c>
      <c r="U32" s="83">
        <v>0</v>
      </c>
      <c r="V32" s="83">
        <v>0</v>
      </c>
      <c r="W32" s="83">
        <v>0</v>
      </c>
      <c r="X32" s="10"/>
      <c r="Y32" s="87">
        <v>38.700000000000003</v>
      </c>
      <c r="Z32" s="83">
        <v>0</v>
      </c>
      <c r="AA32" s="88">
        <v>38.700000000000003</v>
      </c>
      <c r="AB32" s="89">
        <v>0</v>
      </c>
      <c r="AC32" s="90">
        <v>1</v>
      </c>
      <c r="AD32" s="84">
        <v>10</v>
      </c>
      <c r="AE32" s="83">
        <v>28.21</v>
      </c>
      <c r="AF32" s="85">
        <f t="shared" si="8"/>
        <v>-46.551724137931032</v>
      </c>
      <c r="AG32" s="10" t="str">
        <f t="shared" si="9"/>
        <v>0</v>
      </c>
      <c r="AH32" s="10"/>
      <c r="AI32" s="10"/>
      <c r="AK32" s="2"/>
      <c r="AL32" s="2"/>
      <c r="AM32" s="2"/>
      <c r="AN32" s="2"/>
    </row>
    <row r="33" spans="1:40" ht="15" x14ac:dyDescent="0.25">
      <c r="A33" s="82" t="s">
        <v>707</v>
      </c>
      <c r="B33" s="83">
        <v>0</v>
      </c>
      <c r="C33" s="83">
        <v>0</v>
      </c>
      <c r="D33" s="83">
        <v>0</v>
      </c>
      <c r="E33" s="83">
        <v>1</v>
      </c>
      <c r="F33" s="83">
        <v>0</v>
      </c>
      <c r="G33" s="83">
        <v>0</v>
      </c>
      <c r="H33" s="10">
        <v>0</v>
      </c>
      <c r="I33" s="84">
        <v>74.342465753424662</v>
      </c>
      <c r="J33" s="83" t="s">
        <v>680</v>
      </c>
      <c r="K33" s="84">
        <v>37.133333333333333</v>
      </c>
      <c r="L33" s="84">
        <v>0</v>
      </c>
      <c r="M33" s="83">
        <v>4.16</v>
      </c>
      <c r="N33" s="83" t="s">
        <v>674</v>
      </c>
      <c r="O33" s="85">
        <f>501/618</f>
        <v>0.81067961165048541</v>
      </c>
      <c r="P33" s="85">
        <f>70/126</f>
        <v>0.55555555555555558</v>
      </c>
      <c r="Q33" s="83">
        <v>139</v>
      </c>
      <c r="R33" s="86">
        <v>3.4545454545454546</v>
      </c>
      <c r="S33" s="83">
        <v>1</v>
      </c>
      <c r="T33" s="83">
        <v>0</v>
      </c>
      <c r="U33" s="83">
        <v>0</v>
      </c>
      <c r="V33" s="83">
        <v>0</v>
      </c>
      <c r="W33" s="83">
        <v>0</v>
      </c>
      <c r="X33" s="10"/>
      <c r="Y33" s="87">
        <v>34.833333333333336</v>
      </c>
      <c r="Z33" s="83">
        <v>0</v>
      </c>
      <c r="AA33" s="88">
        <v>34.833333333333336</v>
      </c>
      <c r="AB33" s="89">
        <v>0</v>
      </c>
      <c r="AC33" s="90">
        <v>0</v>
      </c>
      <c r="AD33" s="84">
        <v>34.266666666666666</v>
      </c>
      <c r="AE33" s="83">
        <v>0.09</v>
      </c>
      <c r="AF33" s="85">
        <f t="shared" si="8"/>
        <v>-97.836538461538467</v>
      </c>
      <c r="AG33" s="10" t="str">
        <f t="shared" si="9"/>
        <v>1</v>
      </c>
      <c r="AH33" s="10"/>
      <c r="AI33" s="10"/>
      <c r="AK33" s="2"/>
      <c r="AL33" s="2"/>
      <c r="AM33" s="2"/>
      <c r="AN33" s="2"/>
    </row>
    <row r="34" spans="1:40" ht="15" x14ac:dyDescent="0.25">
      <c r="A34" s="82" t="s">
        <v>874</v>
      </c>
      <c r="B34" s="83">
        <v>1</v>
      </c>
      <c r="C34" s="83">
        <v>1</v>
      </c>
      <c r="D34" s="83">
        <v>1</v>
      </c>
      <c r="E34" s="83">
        <v>1</v>
      </c>
      <c r="F34" s="83">
        <v>0</v>
      </c>
      <c r="G34" s="83">
        <v>0</v>
      </c>
      <c r="H34" s="10">
        <v>0</v>
      </c>
      <c r="I34" s="84">
        <v>76.517808219178079</v>
      </c>
      <c r="J34" s="83">
        <v>2</v>
      </c>
      <c r="K34" s="84">
        <v>16.266666666666666</v>
      </c>
      <c r="L34" s="84">
        <v>0</v>
      </c>
      <c r="M34" s="83">
        <v>12.5</v>
      </c>
      <c r="N34" s="83">
        <v>41</v>
      </c>
      <c r="O34" s="85">
        <f>559/618</f>
        <v>0.90453074433656955</v>
      </c>
      <c r="P34" s="85">
        <f>122/126</f>
        <v>0.96825396825396826</v>
      </c>
      <c r="Q34" s="83">
        <v>132</v>
      </c>
      <c r="R34" s="86">
        <v>1.037037037037037</v>
      </c>
      <c r="S34" s="83">
        <v>1</v>
      </c>
      <c r="T34" s="83">
        <v>0</v>
      </c>
      <c r="U34" s="83">
        <v>0</v>
      </c>
      <c r="V34" s="83">
        <v>0</v>
      </c>
      <c r="W34" s="83">
        <v>0</v>
      </c>
      <c r="X34" s="10"/>
      <c r="Y34" s="87">
        <v>38.266666666666666</v>
      </c>
      <c r="Z34" s="83">
        <v>0</v>
      </c>
      <c r="AA34" s="88">
        <v>38.266666666666666</v>
      </c>
      <c r="AB34" s="89">
        <v>0</v>
      </c>
      <c r="AC34" s="90">
        <v>1</v>
      </c>
      <c r="AD34" s="84">
        <v>6.3</v>
      </c>
      <c r="AE34" s="83">
        <v>8.16</v>
      </c>
      <c r="AF34" s="85">
        <f t="shared" si="8"/>
        <v>-34.72</v>
      </c>
      <c r="AG34" s="10" t="str">
        <f t="shared" si="9"/>
        <v>0</v>
      </c>
      <c r="AH34" s="10"/>
      <c r="AI34" s="10"/>
      <c r="AK34" s="2"/>
      <c r="AL34" s="2"/>
      <c r="AM34" s="2"/>
      <c r="AN34" s="2"/>
    </row>
    <row r="35" spans="1:40" ht="15" x14ac:dyDescent="0.25">
      <c r="A35" s="82" t="s">
        <v>708</v>
      </c>
      <c r="B35" s="83">
        <v>0</v>
      </c>
      <c r="C35" s="83">
        <v>0</v>
      </c>
      <c r="D35" s="83">
        <v>0</v>
      </c>
      <c r="E35" s="83">
        <v>1</v>
      </c>
      <c r="F35" s="83">
        <v>0</v>
      </c>
      <c r="G35" s="83">
        <v>0</v>
      </c>
      <c r="H35" s="10">
        <v>0</v>
      </c>
      <c r="I35" s="84">
        <v>70.495890410958907</v>
      </c>
      <c r="J35" s="83" t="s">
        <v>680</v>
      </c>
      <c r="K35" s="84">
        <v>26.333333333333332</v>
      </c>
      <c r="L35" s="84">
        <v>0</v>
      </c>
      <c r="M35" s="83">
        <v>5.21</v>
      </c>
      <c r="N35" s="83" t="s">
        <v>674</v>
      </c>
      <c r="O35" s="85" t="s">
        <v>674</v>
      </c>
      <c r="P35" s="85">
        <f>84/126</f>
        <v>0.66666666666666663</v>
      </c>
      <c r="Q35" s="83">
        <v>130</v>
      </c>
      <c r="R35" s="86">
        <v>1.875</v>
      </c>
      <c r="S35" s="83">
        <v>1</v>
      </c>
      <c r="T35" s="83">
        <v>0</v>
      </c>
      <c r="U35" s="83">
        <v>0</v>
      </c>
      <c r="V35" s="83">
        <v>0</v>
      </c>
      <c r="W35" s="83">
        <v>0</v>
      </c>
      <c r="X35" s="10"/>
      <c r="Y35" s="87">
        <v>38.1</v>
      </c>
      <c r="Z35" s="83">
        <v>0</v>
      </c>
      <c r="AA35" s="88">
        <v>38.1</v>
      </c>
      <c r="AB35" s="89">
        <v>1</v>
      </c>
      <c r="AC35" s="90">
        <v>1</v>
      </c>
      <c r="AD35" s="84">
        <v>33.9</v>
      </c>
      <c r="AE35" s="83">
        <v>0.05</v>
      </c>
      <c r="AF35" s="85">
        <f t="shared" si="8"/>
        <v>-99.04030710172745</v>
      </c>
      <c r="AG35" s="10" t="str">
        <f t="shared" si="9"/>
        <v>1</v>
      </c>
      <c r="AH35" s="10"/>
      <c r="AI35" s="10"/>
      <c r="AK35" s="2"/>
      <c r="AL35" s="2"/>
      <c r="AM35" s="2"/>
      <c r="AN35" s="2"/>
    </row>
    <row r="36" spans="1:40" ht="15" x14ac:dyDescent="0.25">
      <c r="A36" s="82" t="s">
        <v>709</v>
      </c>
      <c r="B36" s="83">
        <v>0</v>
      </c>
      <c r="C36" s="83">
        <v>0</v>
      </c>
      <c r="D36" s="83">
        <v>1</v>
      </c>
      <c r="E36" s="83">
        <v>0</v>
      </c>
      <c r="F36" s="83">
        <v>0</v>
      </c>
      <c r="G36" s="83">
        <v>0</v>
      </c>
      <c r="H36" s="10">
        <v>0</v>
      </c>
      <c r="I36" s="84">
        <v>81.219178082191775</v>
      </c>
      <c r="J36" s="83" t="s">
        <v>680</v>
      </c>
      <c r="K36" s="84">
        <v>29.366666666666667</v>
      </c>
      <c r="L36" s="84">
        <v>0</v>
      </c>
      <c r="M36" s="83">
        <v>15.25</v>
      </c>
      <c r="N36" s="83">
        <v>36</v>
      </c>
      <c r="O36" s="85" t="s">
        <v>674</v>
      </c>
      <c r="P36" s="85">
        <f>109/126</f>
        <v>0.86507936507936511</v>
      </c>
      <c r="Q36" s="83">
        <v>99</v>
      </c>
      <c r="R36" s="86">
        <v>3.5</v>
      </c>
      <c r="S36" s="83">
        <v>0</v>
      </c>
      <c r="T36" s="83">
        <v>1</v>
      </c>
      <c r="U36" s="83">
        <v>0</v>
      </c>
      <c r="V36" s="83">
        <v>0</v>
      </c>
      <c r="W36" s="83">
        <v>0</v>
      </c>
      <c r="X36" s="10"/>
      <c r="Y36" s="87">
        <v>3.2666666666666666</v>
      </c>
      <c r="Z36" s="83">
        <v>1</v>
      </c>
      <c r="AA36" s="88">
        <v>3.2666666666666666</v>
      </c>
      <c r="AB36" s="89">
        <v>0</v>
      </c>
      <c r="AC36" s="90">
        <v>1</v>
      </c>
      <c r="AD36" s="84">
        <v>1.7</v>
      </c>
      <c r="AE36" s="83">
        <v>3.31</v>
      </c>
      <c r="AF36" s="85">
        <f t="shared" si="8"/>
        <v>-78.295081967213108</v>
      </c>
      <c r="AG36" s="10" t="str">
        <f t="shared" si="9"/>
        <v>1</v>
      </c>
      <c r="AH36" s="10"/>
      <c r="AI36" s="10"/>
      <c r="AK36" s="2"/>
      <c r="AL36" s="2"/>
      <c r="AM36" s="2"/>
      <c r="AN36" s="2"/>
    </row>
    <row r="37" spans="1:40" ht="15" x14ac:dyDescent="0.25">
      <c r="A37" s="82" t="s">
        <v>710</v>
      </c>
      <c r="B37" s="83">
        <v>0</v>
      </c>
      <c r="C37" s="83">
        <v>0</v>
      </c>
      <c r="D37" s="83">
        <v>1</v>
      </c>
      <c r="E37" s="83">
        <v>0</v>
      </c>
      <c r="F37" s="83">
        <v>0</v>
      </c>
      <c r="G37" s="83">
        <v>0</v>
      </c>
      <c r="H37" s="10">
        <v>0</v>
      </c>
      <c r="I37" s="84">
        <v>73.890410958904113</v>
      </c>
      <c r="J37" s="83" t="s">
        <v>680</v>
      </c>
      <c r="K37" s="84">
        <v>8.5666666666666664</v>
      </c>
      <c r="L37" s="84">
        <v>1</v>
      </c>
      <c r="M37" s="83">
        <v>78.209999999999994</v>
      </c>
      <c r="N37" s="83">
        <v>42</v>
      </c>
      <c r="O37" s="85">
        <f>620/618</f>
        <v>1.0032362459546926</v>
      </c>
      <c r="P37" s="85">
        <f>87/126</f>
        <v>0.69047619047619047</v>
      </c>
      <c r="Q37" s="83">
        <v>135</v>
      </c>
      <c r="R37" s="86">
        <v>21.222222222222221</v>
      </c>
      <c r="S37" s="83">
        <v>0</v>
      </c>
      <c r="T37" s="83">
        <v>1</v>
      </c>
      <c r="U37" s="83">
        <v>0</v>
      </c>
      <c r="V37" s="83">
        <v>0</v>
      </c>
      <c r="W37" s="83">
        <v>0</v>
      </c>
      <c r="X37" s="10"/>
      <c r="Y37" s="87">
        <v>17.100000000000001</v>
      </c>
      <c r="Z37" s="83">
        <v>1</v>
      </c>
      <c r="AA37" s="88">
        <v>17.100000000000001</v>
      </c>
      <c r="AB37" s="89">
        <v>0</v>
      </c>
      <c r="AC37" s="90">
        <v>1</v>
      </c>
      <c r="AD37" s="84">
        <v>7.9333333333333336</v>
      </c>
      <c r="AE37" s="83">
        <v>9.2100000000000009</v>
      </c>
      <c r="AF37" s="85">
        <f t="shared" si="8"/>
        <v>-88.22401227464519</v>
      </c>
      <c r="AG37" s="10" t="str">
        <f t="shared" si="9"/>
        <v>1</v>
      </c>
      <c r="AH37" s="10"/>
      <c r="AI37" s="10"/>
      <c r="AK37" s="2"/>
      <c r="AL37" s="2"/>
      <c r="AM37" s="2"/>
      <c r="AN37" s="2"/>
    </row>
    <row r="38" spans="1:40" ht="15" x14ac:dyDescent="0.25">
      <c r="A38" s="82" t="s">
        <v>711</v>
      </c>
      <c r="B38" s="83">
        <v>1</v>
      </c>
      <c r="C38" s="83">
        <v>1</v>
      </c>
      <c r="D38" s="83">
        <v>1</v>
      </c>
      <c r="E38" s="83">
        <v>1</v>
      </c>
      <c r="F38" s="83">
        <v>0</v>
      </c>
      <c r="G38" s="83">
        <v>1</v>
      </c>
      <c r="H38" s="10">
        <v>0</v>
      </c>
      <c r="I38" s="84">
        <v>68.38630136986302</v>
      </c>
      <c r="J38" s="83">
        <v>0</v>
      </c>
      <c r="K38" s="84">
        <v>11.833333333333334</v>
      </c>
      <c r="L38" s="84">
        <v>1</v>
      </c>
      <c r="M38" s="83">
        <v>2.6</v>
      </c>
      <c r="N38" s="83">
        <v>39</v>
      </c>
      <c r="O38" s="85">
        <f>239/225</f>
        <v>1.0622222222222222</v>
      </c>
      <c r="P38" s="85">
        <f>121/145</f>
        <v>0.83448275862068966</v>
      </c>
      <c r="Q38" s="83">
        <v>122</v>
      </c>
      <c r="R38" s="86">
        <v>6</v>
      </c>
      <c r="S38" s="83">
        <v>0</v>
      </c>
      <c r="T38" s="83">
        <v>0</v>
      </c>
      <c r="U38" s="83">
        <v>0</v>
      </c>
      <c r="V38" s="83">
        <v>0</v>
      </c>
      <c r="W38" s="83">
        <v>1</v>
      </c>
      <c r="X38" s="10"/>
      <c r="Y38" s="87">
        <v>5.6333333333333337</v>
      </c>
      <c r="Z38" s="83">
        <v>1</v>
      </c>
      <c r="AA38" s="88">
        <v>5.6333333333333337</v>
      </c>
      <c r="AB38" s="89">
        <v>0</v>
      </c>
      <c r="AC38" s="90">
        <v>0</v>
      </c>
      <c r="AD38" s="84">
        <v>3.4</v>
      </c>
      <c r="AE38" s="83" t="s">
        <v>674</v>
      </c>
      <c r="AF38" s="85" t="s">
        <v>674</v>
      </c>
      <c r="AG38" s="10">
        <v>0</v>
      </c>
      <c r="AH38" s="10"/>
      <c r="AI38" s="10"/>
      <c r="AK38" s="2"/>
      <c r="AL38" s="2"/>
      <c r="AM38" s="2"/>
      <c r="AN38" s="2"/>
    </row>
    <row r="39" spans="1:40" ht="15" x14ac:dyDescent="0.25">
      <c r="A39" s="82" t="s">
        <v>861</v>
      </c>
      <c r="B39" s="83">
        <v>0</v>
      </c>
      <c r="C39" s="83">
        <v>0</v>
      </c>
      <c r="D39" s="83">
        <v>1</v>
      </c>
      <c r="E39" s="83">
        <v>0</v>
      </c>
      <c r="F39" s="83">
        <v>1</v>
      </c>
      <c r="G39" s="83">
        <v>0</v>
      </c>
      <c r="H39" s="10">
        <v>0</v>
      </c>
      <c r="I39" s="84">
        <v>73.279452054794518</v>
      </c>
      <c r="J39" s="83">
        <v>0</v>
      </c>
      <c r="K39" s="84">
        <v>15.1</v>
      </c>
      <c r="L39" s="84">
        <v>0</v>
      </c>
      <c r="M39" s="83">
        <v>19</v>
      </c>
      <c r="N39" s="83">
        <v>41</v>
      </c>
      <c r="O39" s="85">
        <f>154/225</f>
        <v>0.68444444444444441</v>
      </c>
      <c r="P39" s="85">
        <f>70/145</f>
        <v>0.48275862068965519</v>
      </c>
      <c r="Q39" s="83">
        <v>138</v>
      </c>
      <c r="R39" s="86">
        <v>5</v>
      </c>
      <c r="S39" s="83">
        <v>0</v>
      </c>
      <c r="T39" s="83">
        <v>1</v>
      </c>
      <c r="U39" s="83">
        <v>0</v>
      </c>
      <c r="V39" s="83">
        <v>0</v>
      </c>
      <c r="W39" s="83">
        <v>0</v>
      </c>
      <c r="X39" s="10"/>
      <c r="Y39" s="87">
        <v>35.56666666666667</v>
      </c>
      <c r="Z39" s="83">
        <v>1</v>
      </c>
      <c r="AA39" s="88">
        <v>35.56666666666667</v>
      </c>
      <c r="AB39" s="89">
        <v>0</v>
      </c>
      <c r="AC39" s="90">
        <v>1</v>
      </c>
      <c r="AD39" s="84">
        <v>5.1333333333333337</v>
      </c>
      <c r="AE39" s="83">
        <v>5.4</v>
      </c>
      <c r="AF39" s="85">
        <f t="shared" ref="AF39:AF40" si="10">((M39-AE39)/M39)*(-100)</f>
        <v>-71.578947368421055</v>
      </c>
      <c r="AG39" s="10" t="str">
        <f t="shared" ref="AG39:AG40" si="11">IF((AE39/M39)&lt;0.5,"1","0")</f>
        <v>1</v>
      </c>
      <c r="AH39" s="10"/>
      <c r="AI39" s="10"/>
      <c r="AK39" s="2"/>
      <c r="AL39" s="2"/>
      <c r="AM39" s="2"/>
      <c r="AN39" s="2"/>
    </row>
    <row r="40" spans="1:40" ht="15" x14ac:dyDescent="0.25">
      <c r="A40" s="82" t="s">
        <v>712</v>
      </c>
      <c r="B40" s="83">
        <v>0</v>
      </c>
      <c r="C40" s="83">
        <v>1</v>
      </c>
      <c r="D40" s="83">
        <v>0</v>
      </c>
      <c r="E40" s="83">
        <v>1</v>
      </c>
      <c r="F40" s="83">
        <v>0</v>
      </c>
      <c r="G40" s="83">
        <v>0</v>
      </c>
      <c r="H40" s="10">
        <v>0</v>
      </c>
      <c r="I40" s="84">
        <v>79.495890410958907</v>
      </c>
      <c r="J40" s="83">
        <v>1</v>
      </c>
      <c r="K40" s="84">
        <v>10.199999999999999</v>
      </c>
      <c r="L40" s="84">
        <v>1</v>
      </c>
      <c r="M40" s="83">
        <v>19.2</v>
      </c>
      <c r="N40" s="83" t="s">
        <v>674</v>
      </c>
      <c r="O40" s="85">
        <f>215/225</f>
        <v>0.9555555555555556</v>
      </c>
      <c r="P40" s="85">
        <f>114/145</f>
        <v>0.78620689655172415</v>
      </c>
      <c r="Q40" s="83">
        <v>128</v>
      </c>
      <c r="R40" s="86">
        <v>2.8333333333333335</v>
      </c>
      <c r="S40" s="83">
        <v>0</v>
      </c>
      <c r="T40" s="83">
        <v>1</v>
      </c>
      <c r="U40" s="83">
        <v>0</v>
      </c>
      <c r="V40" s="83">
        <v>0</v>
      </c>
      <c r="W40" s="83">
        <v>0</v>
      </c>
      <c r="X40" s="10"/>
      <c r="Y40" s="87">
        <v>43.233333333333334</v>
      </c>
      <c r="Z40" s="83">
        <v>0</v>
      </c>
      <c r="AA40" s="88">
        <v>43.233333333333334</v>
      </c>
      <c r="AB40" s="89">
        <v>1</v>
      </c>
      <c r="AC40" s="90">
        <v>1</v>
      </c>
      <c r="AD40" s="84">
        <v>28.333333333333332</v>
      </c>
      <c r="AE40" s="83">
        <v>0.13</v>
      </c>
      <c r="AF40" s="85">
        <f t="shared" si="10"/>
        <v>-99.322916666666671</v>
      </c>
      <c r="AG40" s="10" t="str">
        <f t="shared" si="11"/>
        <v>1</v>
      </c>
      <c r="AH40" s="10"/>
      <c r="AI40" s="10"/>
      <c r="AK40" s="2"/>
      <c r="AL40" s="2"/>
      <c r="AM40" s="2"/>
      <c r="AN40" s="2"/>
    </row>
    <row r="41" spans="1:40" ht="15" x14ac:dyDescent="0.25">
      <c r="A41" s="82" t="s">
        <v>713</v>
      </c>
      <c r="B41" s="83">
        <v>0</v>
      </c>
      <c r="C41" s="83">
        <v>0</v>
      </c>
      <c r="D41" s="83">
        <v>0</v>
      </c>
      <c r="E41" s="83">
        <v>0</v>
      </c>
      <c r="F41" s="83">
        <v>0</v>
      </c>
      <c r="G41" s="83">
        <v>1</v>
      </c>
      <c r="H41" s="10">
        <v>0</v>
      </c>
      <c r="I41" s="84">
        <v>81.054794520547944</v>
      </c>
      <c r="J41" s="83">
        <v>2</v>
      </c>
      <c r="K41" s="84">
        <v>5.6333333333333337</v>
      </c>
      <c r="L41" s="84">
        <v>1</v>
      </c>
      <c r="M41" s="83">
        <v>26</v>
      </c>
      <c r="N41" s="83" t="s">
        <v>674</v>
      </c>
      <c r="O41" s="85">
        <f>166/240</f>
        <v>0.69166666666666665</v>
      </c>
      <c r="P41" s="85">
        <f>90/135</f>
        <v>0.66666666666666663</v>
      </c>
      <c r="Q41" s="83">
        <v>103</v>
      </c>
      <c r="R41" s="86" t="s">
        <v>674</v>
      </c>
      <c r="S41" s="83">
        <v>1</v>
      </c>
      <c r="T41" s="83">
        <v>0</v>
      </c>
      <c r="U41" s="83">
        <v>0</v>
      </c>
      <c r="V41" s="83">
        <v>0</v>
      </c>
      <c r="W41" s="83">
        <v>0</v>
      </c>
      <c r="X41" s="10"/>
      <c r="Y41" s="87">
        <v>9.6666666666666661</v>
      </c>
      <c r="Z41" s="83">
        <v>1</v>
      </c>
      <c r="AA41" s="88">
        <v>9.6666666666666661</v>
      </c>
      <c r="AB41" s="89">
        <v>1</v>
      </c>
      <c r="AC41" s="90">
        <v>1</v>
      </c>
      <c r="AD41" s="84">
        <v>1.2666666666666666</v>
      </c>
      <c r="AE41" s="83" t="s">
        <v>674</v>
      </c>
      <c r="AF41" s="85" t="s">
        <v>674</v>
      </c>
      <c r="AG41" s="10">
        <v>0</v>
      </c>
      <c r="AH41" s="10"/>
      <c r="AI41" s="10"/>
      <c r="AK41" s="2"/>
      <c r="AL41" s="2"/>
      <c r="AM41" s="2"/>
      <c r="AN41" s="2"/>
    </row>
    <row r="42" spans="1:40" ht="15" x14ac:dyDescent="0.25">
      <c r="A42" s="82" t="s">
        <v>714</v>
      </c>
      <c r="B42" s="83">
        <v>1</v>
      </c>
      <c r="C42" s="83">
        <v>1</v>
      </c>
      <c r="D42" s="83">
        <v>1</v>
      </c>
      <c r="E42" s="83">
        <v>1</v>
      </c>
      <c r="F42" s="83">
        <v>0</v>
      </c>
      <c r="G42" s="83">
        <v>0</v>
      </c>
      <c r="H42" s="10">
        <v>0</v>
      </c>
      <c r="I42" s="84">
        <v>66.912328767123284</v>
      </c>
      <c r="J42" s="83">
        <v>1</v>
      </c>
      <c r="K42" s="84">
        <v>14.966666666666667</v>
      </c>
      <c r="L42" s="84">
        <v>0</v>
      </c>
      <c r="M42" s="83">
        <v>65.900000000000006</v>
      </c>
      <c r="N42" s="83">
        <v>42</v>
      </c>
      <c r="O42" s="85">
        <f>158/225</f>
        <v>0.70222222222222219</v>
      </c>
      <c r="P42" s="85">
        <f>141/145</f>
        <v>0.97241379310344822</v>
      </c>
      <c r="Q42" s="83">
        <v>117</v>
      </c>
      <c r="R42" s="86">
        <v>0.80952380952380953</v>
      </c>
      <c r="S42" s="83">
        <v>0</v>
      </c>
      <c r="T42" s="83">
        <v>1</v>
      </c>
      <c r="U42" s="83">
        <v>0</v>
      </c>
      <c r="V42" s="83">
        <v>0</v>
      </c>
      <c r="W42" s="83">
        <v>0</v>
      </c>
      <c r="X42" s="10"/>
      <c r="Y42" s="87">
        <v>21</v>
      </c>
      <c r="Z42" s="83">
        <v>1</v>
      </c>
      <c r="AA42" s="88">
        <v>21</v>
      </c>
      <c r="AB42" s="89">
        <v>0</v>
      </c>
      <c r="AC42" s="90">
        <v>1</v>
      </c>
      <c r="AD42" s="84">
        <v>1.2666666666666666</v>
      </c>
      <c r="AE42" s="83">
        <v>45.7</v>
      </c>
      <c r="AF42" s="85">
        <f t="shared" ref="AF42:AF51" si="12">((M42-AE42)/M42)*(-100)</f>
        <v>-30.652503793626707</v>
      </c>
      <c r="AG42" s="10" t="str">
        <f t="shared" ref="AG42:AG51" si="13">IF((AE42/M42)&lt;0.5,"1","0")</f>
        <v>0</v>
      </c>
      <c r="AH42" s="10"/>
      <c r="AI42" s="10"/>
      <c r="AK42" s="2"/>
      <c r="AL42" s="2"/>
      <c r="AM42" s="2"/>
      <c r="AN42" s="2"/>
    </row>
    <row r="43" spans="1:40" ht="15" x14ac:dyDescent="0.25">
      <c r="A43" s="82" t="s">
        <v>862</v>
      </c>
      <c r="B43" s="83">
        <v>0</v>
      </c>
      <c r="C43" s="83">
        <v>0</v>
      </c>
      <c r="D43" s="83">
        <v>0</v>
      </c>
      <c r="E43" s="83">
        <v>1</v>
      </c>
      <c r="F43" s="83">
        <v>0</v>
      </c>
      <c r="G43" s="83">
        <v>0</v>
      </c>
      <c r="H43" s="10">
        <v>0</v>
      </c>
      <c r="I43" s="84">
        <v>75.427397260273978</v>
      </c>
      <c r="J43" s="83">
        <v>1</v>
      </c>
      <c r="K43" s="84">
        <v>1.5666666666666667</v>
      </c>
      <c r="L43" s="84">
        <v>1</v>
      </c>
      <c r="M43" s="83">
        <v>12.9</v>
      </c>
      <c r="N43" s="83">
        <v>42</v>
      </c>
      <c r="O43" s="85" t="s">
        <v>674</v>
      </c>
      <c r="P43" s="85">
        <f>91/145</f>
        <v>0.62758620689655176</v>
      </c>
      <c r="Q43" s="83">
        <v>112</v>
      </c>
      <c r="R43" s="86">
        <v>0</v>
      </c>
      <c r="S43" s="83">
        <v>0</v>
      </c>
      <c r="T43" s="83">
        <v>1</v>
      </c>
      <c r="U43" s="83">
        <v>0</v>
      </c>
      <c r="V43" s="83">
        <v>0</v>
      </c>
      <c r="W43" s="83">
        <v>0</v>
      </c>
      <c r="X43" s="10"/>
      <c r="Y43" s="87">
        <v>19.333333333333332</v>
      </c>
      <c r="Z43" s="83">
        <v>1</v>
      </c>
      <c r="AA43" s="88">
        <v>19.333333333333332</v>
      </c>
      <c r="AB43" s="89">
        <v>0</v>
      </c>
      <c r="AC43" s="90">
        <v>1</v>
      </c>
      <c r="AD43" s="84">
        <v>3.6</v>
      </c>
      <c r="AE43" s="83">
        <v>11.9</v>
      </c>
      <c r="AF43" s="85">
        <f t="shared" si="12"/>
        <v>-7.7519379844961236</v>
      </c>
      <c r="AG43" s="10" t="str">
        <f t="shared" si="13"/>
        <v>0</v>
      </c>
      <c r="AH43" s="10"/>
      <c r="AI43" s="10"/>
      <c r="AK43" s="2"/>
      <c r="AL43" s="2"/>
      <c r="AM43" s="2"/>
      <c r="AN43" s="2"/>
    </row>
    <row r="44" spans="1:40" ht="15" x14ac:dyDescent="0.25">
      <c r="A44" s="82" t="s">
        <v>715</v>
      </c>
      <c r="B44" s="83">
        <v>0</v>
      </c>
      <c r="C44" s="83">
        <v>0</v>
      </c>
      <c r="D44" s="83">
        <v>0</v>
      </c>
      <c r="E44" s="83">
        <v>1</v>
      </c>
      <c r="F44" s="83">
        <v>0</v>
      </c>
      <c r="G44" s="83">
        <v>0</v>
      </c>
      <c r="H44" s="10">
        <v>0</v>
      </c>
      <c r="I44" s="84">
        <v>75.049315068493144</v>
      </c>
      <c r="J44" s="83">
        <v>1</v>
      </c>
      <c r="K44" s="84">
        <v>1.8333333333333333</v>
      </c>
      <c r="L44" s="84">
        <v>1</v>
      </c>
      <c r="M44" s="83">
        <v>2.7</v>
      </c>
      <c r="N44" s="83">
        <v>41</v>
      </c>
      <c r="O44" s="85">
        <f>155/225</f>
        <v>0.68888888888888888</v>
      </c>
      <c r="P44" s="85">
        <f>87/145</f>
        <v>0.6</v>
      </c>
      <c r="Q44" s="83">
        <v>136</v>
      </c>
      <c r="R44" s="86">
        <v>2</v>
      </c>
      <c r="S44" s="83">
        <v>0</v>
      </c>
      <c r="T44" s="83">
        <v>1</v>
      </c>
      <c r="U44" s="83">
        <v>0</v>
      </c>
      <c r="V44" s="83">
        <v>0</v>
      </c>
      <c r="W44" s="83">
        <v>0</v>
      </c>
      <c r="X44" s="10"/>
      <c r="Y44" s="87">
        <v>42.366666666666667</v>
      </c>
      <c r="Z44" s="83">
        <v>0</v>
      </c>
      <c r="AA44" s="88">
        <v>42.366666666666667</v>
      </c>
      <c r="AB44" s="89">
        <v>1</v>
      </c>
      <c r="AC44" s="90">
        <v>1</v>
      </c>
      <c r="AD44" s="84">
        <v>42.133333333333333</v>
      </c>
      <c r="AE44" s="83">
        <v>0.54</v>
      </c>
      <c r="AF44" s="85">
        <f t="shared" si="12"/>
        <v>-80</v>
      </c>
      <c r="AG44" s="10" t="str">
        <f t="shared" si="13"/>
        <v>1</v>
      </c>
      <c r="AH44" s="10"/>
      <c r="AI44" s="10"/>
      <c r="AK44" s="2"/>
      <c r="AL44" s="2"/>
      <c r="AM44" s="2"/>
      <c r="AN44" s="2"/>
    </row>
    <row r="45" spans="1:40" ht="15" x14ac:dyDescent="0.25">
      <c r="A45" s="82" t="s">
        <v>716</v>
      </c>
      <c r="B45" s="83">
        <v>1</v>
      </c>
      <c r="C45" s="83">
        <v>1</v>
      </c>
      <c r="D45" s="83">
        <v>1</v>
      </c>
      <c r="E45" s="83">
        <v>1</v>
      </c>
      <c r="F45" s="83">
        <v>1</v>
      </c>
      <c r="G45" s="83">
        <v>1</v>
      </c>
      <c r="H45" s="10">
        <v>0</v>
      </c>
      <c r="I45" s="84">
        <v>71.38082191780822</v>
      </c>
      <c r="J45" s="83">
        <v>1</v>
      </c>
      <c r="K45" s="84">
        <v>16.833333333333332</v>
      </c>
      <c r="L45" s="84">
        <v>0</v>
      </c>
      <c r="M45" s="83">
        <v>42.3</v>
      </c>
      <c r="N45" s="83">
        <v>44</v>
      </c>
      <c r="O45" s="85">
        <f>621/225</f>
        <v>2.76</v>
      </c>
      <c r="P45" s="85">
        <f>1544/145</f>
        <v>10.648275862068965</v>
      </c>
      <c r="Q45" s="83">
        <v>104</v>
      </c>
      <c r="R45" s="86">
        <v>4.875</v>
      </c>
      <c r="S45" s="83">
        <v>0</v>
      </c>
      <c r="T45" s="83">
        <v>1</v>
      </c>
      <c r="U45" s="83">
        <v>0</v>
      </c>
      <c r="V45" s="83">
        <v>0</v>
      </c>
      <c r="W45" s="83">
        <v>0</v>
      </c>
      <c r="X45" s="10"/>
      <c r="Y45" s="87">
        <v>7.9666666666666668</v>
      </c>
      <c r="Z45" s="83">
        <v>1</v>
      </c>
      <c r="AA45" s="88">
        <v>7.9666666666666668</v>
      </c>
      <c r="AB45" s="89">
        <v>0</v>
      </c>
      <c r="AC45" s="90">
        <v>1</v>
      </c>
      <c r="AD45" s="84">
        <v>5.9666666666666668</v>
      </c>
      <c r="AE45" s="83">
        <v>30.7</v>
      </c>
      <c r="AF45" s="85">
        <f t="shared" si="12"/>
        <v>-27.423167848699759</v>
      </c>
      <c r="AG45" s="10" t="str">
        <f t="shared" si="13"/>
        <v>0</v>
      </c>
      <c r="AH45" s="10"/>
      <c r="AI45" s="10"/>
      <c r="AK45" s="2"/>
      <c r="AL45" s="2"/>
      <c r="AM45" s="2"/>
      <c r="AN45" s="2"/>
    </row>
    <row r="46" spans="1:40" ht="15" x14ac:dyDescent="0.25">
      <c r="A46" s="82" t="s">
        <v>881</v>
      </c>
      <c r="B46" s="83">
        <v>0</v>
      </c>
      <c r="C46" s="83">
        <v>0</v>
      </c>
      <c r="D46" s="83">
        <v>0</v>
      </c>
      <c r="E46" s="83">
        <v>1</v>
      </c>
      <c r="F46" s="83">
        <v>0</v>
      </c>
      <c r="G46" s="83">
        <v>0</v>
      </c>
      <c r="H46" s="10">
        <v>0</v>
      </c>
      <c r="I46" s="84">
        <v>79.183561643835617</v>
      </c>
      <c r="J46" s="83">
        <v>1</v>
      </c>
      <c r="K46" s="84">
        <v>3.7333333333333334</v>
      </c>
      <c r="L46" s="84">
        <v>1</v>
      </c>
      <c r="M46" s="83">
        <v>80.8</v>
      </c>
      <c r="N46" s="83" t="s">
        <v>674</v>
      </c>
      <c r="O46" s="85">
        <f>156/225</f>
        <v>0.69333333333333336</v>
      </c>
      <c r="P46" s="85">
        <f>87/145</f>
        <v>0.6</v>
      </c>
      <c r="Q46" s="83">
        <v>138</v>
      </c>
      <c r="R46" s="86">
        <v>5.125</v>
      </c>
      <c r="S46" s="83">
        <v>0</v>
      </c>
      <c r="T46" s="83">
        <v>1</v>
      </c>
      <c r="U46" s="83">
        <v>0</v>
      </c>
      <c r="V46" s="83">
        <v>0</v>
      </c>
      <c r="W46" s="83">
        <v>0</v>
      </c>
      <c r="X46" s="10"/>
      <c r="Y46" s="87">
        <v>38.200000000000003</v>
      </c>
      <c r="Z46" s="83">
        <v>0</v>
      </c>
      <c r="AA46" s="88">
        <v>38.200000000000003</v>
      </c>
      <c r="AB46" s="89">
        <v>0</v>
      </c>
      <c r="AC46" s="90">
        <v>1</v>
      </c>
      <c r="AD46" s="84">
        <v>12.166666666666666</v>
      </c>
      <c r="AE46" s="83">
        <v>7.4</v>
      </c>
      <c r="AF46" s="85">
        <f t="shared" si="12"/>
        <v>-90.841584158415827</v>
      </c>
      <c r="AG46" s="10" t="str">
        <f t="shared" si="13"/>
        <v>1</v>
      </c>
      <c r="AH46" s="10"/>
      <c r="AI46" s="10"/>
      <c r="AK46" s="2"/>
      <c r="AL46" s="2"/>
      <c r="AM46" s="2"/>
      <c r="AN46" s="2"/>
    </row>
    <row r="47" spans="1:40" ht="15" x14ac:dyDescent="0.25">
      <c r="A47" s="82" t="s">
        <v>717</v>
      </c>
      <c r="B47" s="83">
        <v>1</v>
      </c>
      <c r="C47" s="83">
        <v>0</v>
      </c>
      <c r="D47" s="83">
        <v>1</v>
      </c>
      <c r="E47" s="83">
        <v>1</v>
      </c>
      <c r="F47" s="83">
        <v>0</v>
      </c>
      <c r="G47" s="83">
        <v>0</v>
      </c>
      <c r="H47" s="10">
        <v>0</v>
      </c>
      <c r="I47" s="84">
        <v>86.797260273972597</v>
      </c>
      <c r="J47" s="83" t="s">
        <v>680</v>
      </c>
      <c r="K47" s="84">
        <v>34.1</v>
      </c>
      <c r="L47" s="84">
        <v>0</v>
      </c>
      <c r="M47" s="83">
        <v>9.1999999999999993</v>
      </c>
      <c r="N47" s="83">
        <v>42</v>
      </c>
      <c r="O47" s="85">
        <f>248/225</f>
        <v>1.1022222222222222</v>
      </c>
      <c r="P47" s="85">
        <f>80/145</f>
        <v>0.55172413793103448</v>
      </c>
      <c r="Q47" s="83">
        <v>133</v>
      </c>
      <c r="R47" s="86">
        <v>2.0526315789473686</v>
      </c>
      <c r="S47" s="83">
        <v>0</v>
      </c>
      <c r="T47" s="83">
        <v>1</v>
      </c>
      <c r="U47" s="83">
        <v>0</v>
      </c>
      <c r="V47" s="83">
        <v>0</v>
      </c>
      <c r="W47" s="83">
        <v>0</v>
      </c>
      <c r="X47" s="10"/>
      <c r="Y47" s="87">
        <v>22.266666666666666</v>
      </c>
      <c r="Z47" s="83">
        <v>1</v>
      </c>
      <c r="AA47" s="88">
        <v>22.266666666666666</v>
      </c>
      <c r="AB47" s="89">
        <v>0</v>
      </c>
      <c r="AC47" s="90">
        <v>1</v>
      </c>
      <c r="AD47" s="84">
        <v>12.966666666666667</v>
      </c>
      <c r="AE47" s="83">
        <v>0.82</v>
      </c>
      <c r="AF47" s="85">
        <f t="shared" si="12"/>
        <v>-91.086956521739125</v>
      </c>
      <c r="AG47" s="10" t="str">
        <f t="shared" si="13"/>
        <v>1</v>
      </c>
      <c r="AH47" s="10"/>
      <c r="AI47" s="10"/>
      <c r="AK47" s="2"/>
      <c r="AL47" s="2"/>
      <c r="AM47" s="2"/>
      <c r="AN47" s="2"/>
    </row>
    <row r="48" spans="1:40" ht="15" x14ac:dyDescent="0.25">
      <c r="A48" s="82" t="s">
        <v>718</v>
      </c>
      <c r="B48" s="83">
        <v>1</v>
      </c>
      <c r="C48" s="83">
        <v>1</v>
      </c>
      <c r="D48" s="83">
        <v>0</v>
      </c>
      <c r="E48" s="83">
        <v>1</v>
      </c>
      <c r="F48" s="83">
        <v>0</v>
      </c>
      <c r="G48" s="83">
        <v>0</v>
      </c>
      <c r="H48" s="10">
        <v>0</v>
      </c>
      <c r="I48" s="84">
        <v>68.476712328767121</v>
      </c>
      <c r="J48" s="83" t="s">
        <v>680</v>
      </c>
      <c r="K48" s="84">
        <v>7.4</v>
      </c>
      <c r="L48" s="84">
        <v>1</v>
      </c>
      <c r="M48" s="83">
        <v>55.9</v>
      </c>
      <c r="N48" s="83">
        <v>23</v>
      </c>
      <c r="O48" s="85" t="s">
        <v>674</v>
      </c>
      <c r="P48" s="85">
        <f>499/130</f>
        <v>3.8384615384615386</v>
      </c>
      <c r="Q48" s="83">
        <v>95</v>
      </c>
      <c r="R48" s="86">
        <v>1</v>
      </c>
      <c r="S48" s="83">
        <v>0</v>
      </c>
      <c r="T48" s="83">
        <v>1</v>
      </c>
      <c r="U48" s="83">
        <v>0</v>
      </c>
      <c r="V48" s="83">
        <v>0</v>
      </c>
      <c r="W48" s="83">
        <v>0</v>
      </c>
      <c r="X48" s="10"/>
      <c r="Y48" s="87">
        <v>0.96666666666666667</v>
      </c>
      <c r="Z48" s="83">
        <v>1</v>
      </c>
      <c r="AA48" s="88">
        <v>0.96666666666666667</v>
      </c>
      <c r="AB48" s="89">
        <v>0</v>
      </c>
      <c r="AC48" s="90">
        <v>0</v>
      </c>
      <c r="AD48" s="84">
        <v>0.93333333333333335</v>
      </c>
      <c r="AE48" s="83">
        <v>41.9</v>
      </c>
      <c r="AF48" s="85">
        <f t="shared" si="12"/>
        <v>-25.044722719141326</v>
      </c>
      <c r="AG48" s="10" t="str">
        <f t="shared" si="13"/>
        <v>0</v>
      </c>
      <c r="AH48" s="10"/>
      <c r="AI48" s="10"/>
      <c r="AK48" s="2"/>
      <c r="AL48" s="2"/>
      <c r="AM48" s="2"/>
      <c r="AN48" s="2"/>
    </row>
    <row r="49" spans="1:40" ht="15" x14ac:dyDescent="0.25">
      <c r="A49" s="82" t="s">
        <v>719</v>
      </c>
      <c r="B49" s="83">
        <v>1</v>
      </c>
      <c r="C49" s="83">
        <v>0</v>
      </c>
      <c r="D49" s="83">
        <v>1</v>
      </c>
      <c r="E49" s="83">
        <v>1</v>
      </c>
      <c r="F49" s="83">
        <v>0</v>
      </c>
      <c r="G49" s="83">
        <v>0</v>
      </c>
      <c r="H49" s="10">
        <v>0</v>
      </c>
      <c r="I49" s="84">
        <v>82.090410958904116</v>
      </c>
      <c r="J49" s="83">
        <v>3</v>
      </c>
      <c r="K49" s="84">
        <v>13.233333333333333</v>
      </c>
      <c r="L49" s="84">
        <v>0</v>
      </c>
      <c r="M49" s="83">
        <v>250</v>
      </c>
      <c r="N49" s="83" t="s">
        <v>674</v>
      </c>
      <c r="O49" s="85">
        <f>218/240</f>
        <v>0.90833333333333333</v>
      </c>
      <c r="P49" s="85">
        <f>104/135</f>
        <v>0.77037037037037037</v>
      </c>
      <c r="Q49" s="83">
        <v>103</v>
      </c>
      <c r="R49" s="86">
        <v>3.3076923076923075</v>
      </c>
      <c r="S49" s="83">
        <v>0</v>
      </c>
      <c r="T49" s="83">
        <v>1</v>
      </c>
      <c r="U49" s="83">
        <v>0</v>
      </c>
      <c r="V49" s="83">
        <v>0</v>
      </c>
      <c r="W49" s="83">
        <v>0</v>
      </c>
      <c r="X49" s="10"/>
      <c r="Y49" s="87">
        <v>40.233333333333334</v>
      </c>
      <c r="Z49" s="83">
        <v>0</v>
      </c>
      <c r="AA49" s="88">
        <v>40.233333333333334</v>
      </c>
      <c r="AB49" s="89">
        <v>1</v>
      </c>
      <c r="AC49" s="90">
        <v>0</v>
      </c>
      <c r="AD49" s="84">
        <v>40.166666666666664</v>
      </c>
      <c r="AE49" s="83">
        <v>0.11</v>
      </c>
      <c r="AF49" s="85">
        <f t="shared" si="12"/>
        <v>-99.955999999999989</v>
      </c>
      <c r="AG49" s="10" t="str">
        <f t="shared" si="13"/>
        <v>1</v>
      </c>
      <c r="AH49" s="10"/>
      <c r="AI49" s="10"/>
      <c r="AK49" s="2"/>
      <c r="AL49" s="2"/>
      <c r="AM49" s="2"/>
      <c r="AN49" s="2"/>
    </row>
    <row r="50" spans="1:40" ht="15" x14ac:dyDescent="0.25">
      <c r="A50" s="82" t="s">
        <v>720</v>
      </c>
      <c r="B50" s="83">
        <v>0</v>
      </c>
      <c r="C50" s="83">
        <v>1</v>
      </c>
      <c r="D50" s="83">
        <v>0</v>
      </c>
      <c r="E50" s="83">
        <v>1</v>
      </c>
      <c r="F50" s="83">
        <v>0</v>
      </c>
      <c r="G50" s="83">
        <v>0</v>
      </c>
      <c r="H50" s="10">
        <v>0</v>
      </c>
      <c r="I50" s="84">
        <v>70.252054794520546</v>
      </c>
      <c r="J50" s="83">
        <v>0</v>
      </c>
      <c r="K50" s="84">
        <v>21.733333333333334</v>
      </c>
      <c r="L50" s="84">
        <v>0</v>
      </c>
      <c r="M50" s="83">
        <v>5.7</v>
      </c>
      <c r="N50" s="83" t="s">
        <v>674</v>
      </c>
      <c r="O50" s="85">
        <f>186/240</f>
        <v>0.77500000000000002</v>
      </c>
      <c r="P50" s="85">
        <f>98/135</f>
        <v>0.72592592592592597</v>
      </c>
      <c r="Q50" s="83">
        <v>126</v>
      </c>
      <c r="R50" s="86">
        <v>2.5</v>
      </c>
      <c r="S50" s="83">
        <v>0</v>
      </c>
      <c r="T50" s="83">
        <v>1</v>
      </c>
      <c r="U50" s="83">
        <v>0</v>
      </c>
      <c r="V50" s="83">
        <v>0</v>
      </c>
      <c r="W50" s="83">
        <v>0</v>
      </c>
      <c r="X50" s="10"/>
      <c r="Y50" s="87">
        <v>23.933333333333334</v>
      </c>
      <c r="Z50" s="83">
        <v>1</v>
      </c>
      <c r="AA50" s="88">
        <v>23.933333333333334</v>
      </c>
      <c r="AB50" s="89">
        <v>0</v>
      </c>
      <c r="AC50" s="90">
        <v>1</v>
      </c>
      <c r="AD50" s="84">
        <v>10.066666666666666</v>
      </c>
      <c r="AE50" s="83">
        <v>2.2000000000000002</v>
      </c>
      <c r="AF50" s="85">
        <f t="shared" si="12"/>
        <v>-61.403508771929829</v>
      </c>
      <c r="AG50" s="10" t="str">
        <f t="shared" si="13"/>
        <v>1</v>
      </c>
      <c r="AH50" s="10"/>
      <c r="AI50" s="10"/>
      <c r="AK50" s="2"/>
      <c r="AL50" s="2"/>
      <c r="AM50" s="2"/>
      <c r="AN50" s="2"/>
    </row>
    <row r="51" spans="1:40" ht="15" x14ac:dyDescent="0.25">
      <c r="A51" s="82" t="s">
        <v>721</v>
      </c>
      <c r="B51" s="83">
        <v>0</v>
      </c>
      <c r="C51" s="83">
        <v>0</v>
      </c>
      <c r="D51" s="83">
        <v>0</v>
      </c>
      <c r="E51" s="83">
        <v>1</v>
      </c>
      <c r="F51" s="83">
        <v>0</v>
      </c>
      <c r="G51" s="83">
        <v>0</v>
      </c>
      <c r="H51" s="10">
        <v>0</v>
      </c>
      <c r="I51" s="84">
        <v>76.057534246575344</v>
      </c>
      <c r="J51" s="83">
        <v>0</v>
      </c>
      <c r="K51" s="84">
        <v>37.733333333333334</v>
      </c>
      <c r="L51" s="84">
        <v>0</v>
      </c>
      <c r="M51" s="83">
        <v>14</v>
      </c>
      <c r="N51" s="83">
        <v>47</v>
      </c>
      <c r="O51" s="85">
        <f>242/225</f>
        <v>1.0755555555555556</v>
      </c>
      <c r="P51" s="85">
        <f>143/145</f>
        <v>0.98620689655172411</v>
      </c>
      <c r="Q51" s="83">
        <v>149</v>
      </c>
      <c r="R51" s="86">
        <v>2.3529411764705883</v>
      </c>
      <c r="S51" s="83">
        <v>0</v>
      </c>
      <c r="T51" s="83">
        <v>1</v>
      </c>
      <c r="U51" s="83">
        <v>0</v>
      </c>
      <c r="V51" s="83">
        <v>0</v>
      </c>
      <c r="W51" s="83">
        <v>0</v>
      </c>
      <c r="X51" s="10"/>
      <c r="Y51" s="87">
        <v>41.4</v>
      </c>
      <c r="Z51" s="83">
        <v>0</v>
      </c>
      <c r="AA51" s="88">
        <v>41.4</v>
      </c>
      <c r="AB51" s="89">
        <v>1</v>
      </c>
      <c r="AC51" s="90">
        <v>0</v>
      </c>
      <c r="AD51" s="84">
        <v>41.4</v>
      </c>
      <c r="AE51" s="83">
        <v>0.01</v>
      </c>
      <c r="AF51" s="85">
        <f t="shared" si="12"/>
        <v>-99.928571428571431</v>
      </c>
      <c r="AG51" s="10" t="str">
        <f t="shared" si="13"/>
        <v>1</v>
      </c>
      <c r="AH51" s="10"/>
      <c r="AI51" s="10"/>
      <c r="AK51" s="2"/>
      <c r="AL51" s="2"/>
      <c r="AM51" s="2"/>
      <c r="AN51" s="2"/>
    </row>
    <row r="52" spans="1:40" ht="15" x14ac:dyDescent="0.25">
      <c r="A52" s="82" t="s">
        <v>722</v>
      </c>
      <c r="B52" s="83">
        <v>1</v>
      </c>
      <c r="C52" s="83">
        <v>1</v>
      </c>
      <c r="D52" s="83">
        <v>1</v>
      </c>
      <c r="E52" s="83">
        <v>0</v>
      </c>
      <c r="F52" s="83">
        <v>0</v>
      </c>
      <c r="G52" s="83">
        <v>0</v>
      </c>
      <c r="H52" s="10">
        <v>0</v>
      </c>
      <c r="I52" s="84">
        <v>74.630136986301366</v>
      </c>
      <c r="J52" s="83">
        <v>0</v>
      </c>
      <c r="K52" s="84">
        <v>52.1</v>
      </c>
      <c r="L52" s="84">
        <v>0</v>
      </c>
      <c r="M52" s="83">
        <v>11</v>
      </c>
      <c r="N52" s="83">
        <v>44</v>
      </c>
      <c r="O52" s="85">
        <f>207/225</f>
        <v>0.92</v>
      </c>
      <c r="P52" s="85">
        <f>105/145</f>
        <v>0.72413793103448276</v>
      </c>
      <c r="Q52" s="83">
        <v>140</v>
      </c>
      <c r="R52" s="86">
        <v>2</v>
      </c>
      <c r="S52" s="83">
        <v>1</v>
      </c>
      <c r="T52" s="83">
        <v>0</v>
      </c>
      <c r="U52" s="83">
        <v>0</v>
      </c>
      <c r="V52" s="83">
        <v>0</v>
      </c>
      <c r="W52" s="83">
        <v>0</v>
      </c>
      <c r="X52" s="10"/>
      <c r="Y52" s="87">
        <v>19.899999999999999</v>
      </c>
      <c r="Z52" s="83">
        <v>1</v>
      </c>
      <c r="AA52" s="88">
        <v>19.899999999999999</v>
      </c>
      <c r="AB52" s="89">
        <v>0</v>
      </c>
      <c r="AC52" s="90">
        <v>1</v>
      </c>
      <c r="AD52" s="84">
        <v>-0.5</v>
      </c>
      <c r="AE52" s="83" t="s">
        <v>674</v>
      </c>
      <c r="AF52" s="85" t="s">
        <v>674</v>
      </c>
      <c r="AG52" s="10">
        <v>0</v>
      </c>
      <c r="AH52" s="10"/>
      <c r="AI52" s="10"/>
      <c r="AK52" s="2"/>
      <c r="AL52" s="2"/>
      <c r="AM52" s="2"/>
      <c r="AN52" s="2"/>
    </row>
    <row r="53" spans="1:40" ht="15" x14ac:dyDescent="0.25">
      <c r="A53" s="82" t="s">
        <v>875</v>
      </c>
      <c r="B53" s="83">
        <v>0</v>
      </c>
      <c r="C53" s="83">
        <v>0</v>
      </c>
      <c r="D53" s="83">
        <v>0</v>
      </c>
      <c r="E53" s="83">
        <v>1</v>
      </c>
      <c r="F53" s="83">
        <v>0</v>
      </c>
      <c r="G53" s="83">
        <v>0</v>
      </c>
      <c r="H53" s="10">
        <v>0</v>
      </c>
      <c r="I53" s="84">
        <v>65.767123287671239</v>
      </c>
      <c r="J53" s="83">
        <v>0</v>
      </c>
      <c r="K53" s="84">
        <v>10</v>
      </c>
      <c r="L53" s="84">
        <v>1</v>
      </c>
      <c r="M53" s="83">
        <v>8.4</v>
      </c>
      <c r="N53" s="83">
        <v>45</v>
      </c>
      <c r="O53" s="85" t="s">
        <v>674</v>
      </c>
      <c r="P53" s="85">
        <f>88/145</f>
        <v>0.60689655172413792</v>
      </c>
      <c r="Q53" s="83">
        <v>135</v>
      </c>
      <c r="R53" s="86">
        <v>1.625</v>
      </c>
      <c r="S53" s="83">
        <v>0</v>
      </c>
      <c r="T53" s="83">
        <v>1</v>
      </c>
      <c r="U53" s="83">
        <v>0</v>
      </c>
      <c r="V53" s="83">
        <v>0</v>
      </c>
      <c r="W53" s="83">
        <v>0</v>
      </c>
      <c r="X53" s="10"/>
      <c r="Y53" s="87">
        <v>18.133333333333333</v>
      </c>
      <c r="Z53" s="83">
        <v>1</v>
      </c>
      <c r="AA53" s="88">
        <v>18.133333333333333</v>
      </c>
      <c r="AB53" s="89">
        <v>0</v>
      </c>
      <c r="AC53" s="90">
        <v>1</v>
      </c>
      <c r="AD53" s="84">
        <v>0.93333333333333335</v>
      </c>
      <c r="AE53" s="83" t="s">
        <v>674</v>
      </c>
      <c r="AF53" s="85" t="s">
        <v>674</v>
      </c>
      <c r="AG53" s="10">
        <v>0</v>
      </c>
      <c r="AH53" s="10"/>
      <c r="AI53" s="10"/>
      <c r="AK53" s="2"/>
      <c r="AL53" s="2"/>
      <c r="AM53" s="2"/>
      <c r="AN53" s="2"/>
    </row>
    <row r="54" spans="1:40" ht="15" x14ac:dyDescent="0.25">
      <c r="A54" s="82" t="s">
        <v>723</v>
      </c>
      <c r="B54" s="83">
        <v>0</v>
      </c>
      <c r="C54" s="83">
        <v>0</v>
      </c>
      <c r="D54" s="83">
        <v>0</v>
      </c>
      <c r="E54" s="83">
        <v>0</v>
      </c>
      <c r="F54" s="83">
        <v>0</v>
      </c>
      <c r="G54" s="83">
        <v>1</v>
      </c>
      <c r="H54" s="10">
        <v>0</v>
      </c>
      <c r="I54" s="84">
        <v>82.254794520547946</v>
      </c>
      <c r="J54" s="83" t="s">
        <v>680</v>
      </c>
      <c r="K54" s="84">
        <v>141.73333333333332</v>
      </c>
      <c r="L54" s="84">
        <v>0</v>
      </c>
      <c r="M54" s="83">
        <v>11.38</v>
      </c>
      <c r="N54" s="83">
        <v>41</v>
      </c>
      <c r="O54" s="85" t="s">
        <v>674</v>
      </c>
      <c r="P54" s="85">
        <f>152/100</f>
        <v>1.52</v>
      </c>
      <c r="Q54" s="83">
        <v>141</v>
      </c>
      <c r="R54" s="86">
        <v>0.97785977859778594</v>
      </c>
      <c r="S54" s="83">
        <v>0</v>
      </c>
      <c r="T54" s="83">
        <v>1</v>
      </c>
      <c r="U54" s="83">
        <v>0</v>
      </c>
      <c r="V54" s="83">
        <v>0</v>
      </c>
      <c r="W54" s="83">
        <v>0</v>
      </c>
      <c r="X54" s="10"/>
      <c r="Y54" s="87">
        <v>27.966666666666665</v>
      </c>
      <c r="Z54" s="83">
        <v>1</v>
      </c>
      <c r="AA54" s="88">
        <v>27.966666666666665</v>
      </c>
      <c r="AB54" s="89">
        <v>0</v>
      </c>
      <c r="AC54" s="90">
        <v>1</v>
      </c>
      <c r="AD54" s="84">
        <v>8.7666666666666675</v>
      </c>
      <c r="AE54" s="83">
        <v>0.18</v>
      </c>
      <c r="AF54" s="85">
        <f t="shared" ref="AF54:AF57" si="14">((M54-AE54)/M54)*(-100)</f>
        <v>-98.418277680140591</v>
      </c>
      <c r="AG54" s="10" t="str">
        <f t="shared" ref="AG54:AG57" si="15">IF((AE54/M54)&lt;0.5,"1","0")</f>
        <v>1</v>
      </c>
      <c r="AH54" s="10"/>
      <c r="AI54" s="10"/>
      <c r="AK54" s="2"/>
      <c r="AL54" s="2"/>
      <c r="AM54" s="2"/>
      <c r="AN54" s="2"/>
    </row>
    <row r="55" spans="1:40" ht="15" x14ac:dyDescent="0.25">
      <c r="A55" s="82" t="s">
        <v>724</v>
      </c>
      <c r="B55" s="83">
        <v>0</v>
      </c>
      <c r="C55" s="83">
        <v>0</v>
      </c>
      <c r="D55" s="83">
        <v>1</v>
      </c>
      <c r="E55" s="83">
        <v>0</v>
      </c>
      <c r="F55" s="83">
        <v>1</v>
      </c>
      <c r="G55" s="83">
        <v>0</v>
      </c>
      <c r="H55" s="10">
        <v>0</v>
      </c>
      <c r="I55" s="84">
        <v>72.394520547945206</v>
      </c>
      <c r="J55" s="83">
        <v>0</v>
      </c>
      <c r="K55" s="84">
        <v>29.766666666666666</v>
      </c>
      <c r="L55" s="84">
        <v>0</v>
      </c>
      <c r="M55" s="83">
        <v>3.6</v>
      </c>
      <c r="N55" s="83">
        <v>45</v>
      </c>
      <c r="O55" s="85">
        <f>174/271</f>
        <v>0.64206642066420661</v>
      </c>
      <c r="P55" s="85">
        <f>79/100</f>
        <v>0.79</v>
      </c>
      <c r="Q55" s="83">
        <v>143</v>
      </c>
      <c r="R55" s="86">
        <v>3.5321100917431192</v>
      </c>
      <c r="S55" s="83">
        <v>0</v>
      </c>
      <c r="T55" s="83">
        <v>1</v>
      </c>
      <c r="U55" s="83">
        <v>0</v>
      </c>
      <c r="V55" s="83">
        <v>0</v>
      </c>
      <c r="W55" s="83">
        <v>0</v>
      </c>
      <c r="X55" s="10"/>
      <c r="Y55" s="87">
        <v>38.700000000000003</v>
      </c>
      <c r="Z55" s="83">
        <v>0</v>
      </c>
      <c r="AA55" s="88">
        <v>38.700000000000003</v>
      </c>
      <c r="AB55" s="89">
        <v>1</v>
      </c>
      <c r="AC55" s="90">
        <v>1</v>
      </c>
      <c r="AD55" s="84">
        <v>32.533333333333331</v>
      </c>
      <c r="AE55" s="83">
        <v>3.5000000000000003E-2</v>
      </c>
      <c r="AF55" s="85">
        <f t="shared" si="14"/>
        <v>-99.027777777777771</v>
      </c>
      <c r="AG55" s="10" t="str">
        <f t="shared" si="15"/>
        <v>1</v>
      </c>
      <c r="AH55" s="10"/>
      <c r="AI55" s="10"/>
      <c r="AK55" s="2"/>
      <c r="AL55" s="2"/>
      <c r="AM55" s="2"/>
      <c r="AN55" s="2"/>
    </row>
    <row r="56" spans="1:40" ht="15" x14ac:dyDescent="0.25">
      <c r="A56" s="82" t="s">
        <v>725</v>
      </c>
      <c r="B56" s="83">
        <v>1</v>
      </c>
      <c r="C56" s="83">
        <v>1</v>
      </c>
      <c r="D56" s="83">
        <v>0</v>
      </c>
      <c r="E56" s="83">
        <v>1</v>
      </c>
      <c r="F56" s="83">
        <v>0</v>
      </c>
      <c r="G56" s="83">
        <v>0</v>
      </c>
      <c r="H56" s="10">
        <v>0</v>
      </c>
      <c r="I56" s="84">
        <v>57.676712328767124</v>
      </c>
      <c r="J56" s="83">
        <v>1</v>
      </c>
      <c r="K56" s="84">
        <v>27.9</v>
      </c>
      <c r="L56" s="84">
        <v>0</v>
      </c>
      <c r="M56" s="83">
        <v>0.94</v>
      </c>
      <c r="N56" s="83">
        <v>46</v>
      </c>
      <c r="O56" s="85">
        <f>177/225</f>
        <v>0.78666666666666663</v>
      </c>
      <c r="P56" s="85">
        <f>73/145</f>
        <v>0.50344827586206897</v>
      </c>
      <c r="Q56" s="83">
        <v>135</v>
      </c>
      <c r="R56" s="86">
        <v>1.6428571428571428</v>
      </c>
      <c r="S56" s="83">
        <v>1</v>
      </c>
      <c r="T56" s="83">
        <v>0</v>
      </c>
      <c r="U56" s="83">
        <v>0</v>
      </c>
      <c r="V56" s="83">
        <v>0</v>
      </c>
      <c r="W56" s="83">
        <v>0</v>
      </c>
      <c r="X56" s="10"/>
      <c r="Y56" s="87">
        <v>35.733333333333334</v>
      </c>
      <c r="Z56" s="83">
        <v>0</v>
      </c>
      <c r="AA56" s="88">
        <v>35.733333333333334</v>
      </c>
      <c r="AB56" s="89">
        <v>0</v>
      </c>
      <c r="AC56" s="90">
        <v>1</v>
      </c>
      <c r="AD56" s="84">
        <v>27.3</v>
      </c>
      <c r="AE56" s="83">
        <v>0.37</v>
      </c>
      <c r="AF56" s="85">
        <f t="shared" si="14"/>
        <v>-60.638297872340416</v>
      </c>
      <c r="AG56" s="10" t="str">
        <f t="shared" si="15"/>
        <v>1</v>
      </c>
      <c r="AH56" s="10"/>
      <c r="AI56" s="10"/>
      <c r="AK56" s="2"/>
      <c r="AL56" s="2"/>
      <c r="AM56" s="2"/>
      <c r="AN56" s="2"/>
    </row>
    <row r="57" spans="1:40" ht="15" x14ac:dyDescent="0.25">
      <c r="A57" s="82" t="s">
        <v>726</v>
      </c>
      <c r="B57" s="83">
        <v>1</v>
      </c>
      <c r="C57" s="83">
        <v>0</v>
      </c>
      <c r="D57" s="83">
        <v>1</v>
      </c>
      <c r="E57" s="83">
        <v>0</v>
      </c>
      <c r="F57" s="83">
        <v>0</v>
      </c>
      <c r="G57" s="83">
        <v>0</v>
      </c>
      <c r="H57" s="10">
        <v>0</v>
      </c>
      <c r="I57" s="84">
        <v>68.939726027397256</v>
      </c>
      <c r="J57" s="83">
        <v>0</v>
      </c>
      <c r="K57" s="84">
        <v>56.56666666666667</v>
      </c>
      <c r="L57" s="84">
        <v>0</v>
      </c>
      <c r="M57" s="83">
        <v>15.7</v>
      </c>
      <c r="N57" s="83" t="s">
        <v>674</v>
      </c>
      <c r="O57" s="85" t="s">
        <v>674</v>
      </c>
      <c r="P57" s="85" t="s">
        <v>674</v>
      </c>
      <c r="Q57" s="83">
        <v>147</v>
      </c>
      <c r="R57" s="86">
        <v>2.459016393442623</v>
      </c>
      <c r="S57" s="83">
        <v>0</v>
      </c>
      <c r="T57" s="83">
        <v>1</v>
      </c>
      <c r="U57" s="83">
        <v>0</v>
      </c>
      <c r="V57" s="83">
        <v>0</v>
      </c>
      <c r="W57" s="83">
        <v>0</v>
      </c>
      <c r="X57" s="10"/>
      <c r="Y57" s="87">
        <v>38.966666666666669</v>
      </c>
      <c r="Z57" s="83">
        <v>0</v>
      </c>
      <c r="AA57" s="88">
        <v>38.966666666666669</v>
      </c>
      <c r="AB57" s="89">
        <v>1</v>
      </c>
      <c r="AC57" s="90">
        <v>1</v>
      </c>
      <c r="AD57" s="84">
        <v>32.43333333333333</v>
      </c>
      <c r="AE57" s="83">
        <v>0.48</v>
      </c>
      <c r="AF57" s="85">
        <f t="shared" si="14"/>
        <v>-96.942675159235677</v>
      </c>
      <c r="AG57" s="10" t="str">
        <f t="shared" si="15"/>
        <v>1</v>
      </c>
      <c r="AH57" s="10"/>
      <c r="AI57" s="10"/>
      <c r="AK57" s="2"/>
      <c r="AL57" s="2"/>
      <c r="AM57" s="2"/>
      <c r="AN57" s="2"/>
    </row>
    <row r="58" spans="1:40" ht="15" x14ac:dyDescent="0.25">
      <c r="A58" s="82" t="s">
        <v>882</v>
      </c>
      <c r="B58" s="83">
        <v>0</v>
      </c>
      <c r="C58" s="83">
        <v>0</v>
      </c>
      <c r="D58" s="83">
        <v>0</v>
      </c>
      <c r="E58" s="83">
        <v>1</v>
      </c>
      <c r="F58" s="83">
        <v>0</v>
      </c>
      <c r="G58" s="83">
        <v>0</v>
      </c>
      <c r="H58" s="10">
        <v>0</v>
      </c>
      <c r="I58" s="84">
        <v>56.016438356164386</v>
      </c>
      <c r="J58" s="83">
        <v>0</v>
      </c>
      <c r="K58" s="84">
        <v>8.6</v>
      </c>
      <c r="L58" s="84">
        <v>1</v>
      </c>
      <c r="M58" s="83">
        <v>17.3</v>
      </c>
      <c r="N58" s="83">
        <v>43</v>
      </c>
      <c r="O58" s="85">
        <f>191/225</f>
        <v>0.84888888888888892</v>
      </c>
      <c r="P58" s="85">
        <f>85/145</f>
        <v>0.58620689655172409</v>
      </c>
      <c r="Q58" s="83">
        <v>133</v>
      </c>
      <c r="R58" s="86">
        <v>4.7692307692307692</v>
      </c>
      <c r="S58" s="83">
        <v>0</v>
      </c>
      <c r="T58" s="83">
        <v>1</v>
      </c>
      <c r="U58" s="83">
        <v>0</v>
      </c>
      <c r="V58" s="83">
        <v>0</v>
      </c>
      <c r="W58" s="83">
        <v>0</v>
      </c>
      <c r="X58" s="10"/>
      <c r="Y58" s="87">
        <v>24.4</v>
      </c>
      <c r="Z58" s="83">
        <v>1</v>
      </c>
      <c r="AA58" s="88">
        <v>24.4</v>
      </c>
      <c r="AB58" s="89">
        <v>0</v>
      </c>
      <c r="AC58" s="90">
        <v>0</v>
      </c>
      <c r="AD58" s="84">
        <v>-0.13333333333333333</v>
      </c>
      <c r="AE58" s="83" t="s">
        <v>674</v>
      </c>
      <c r="AF58" s="85" t="s">
        <v>674</v>
      </c>
      <c r="AG58" s="10">
        <v>0</v>
      </c>
      <c r="AH58" s="10"/>
      <c r="AI58" s="10"/>
      <c r="AK58" s="2"/>
      <c r="AL58" s="2"/>
      <c r="AM58" s="2"/>
      <c r="AN58" s="2"/>
    </row>
    <row r="59" spans="1:40" ht="15" x14ac:dyDescent="0.25">
      <c r="A59" s="82" t="s">
        <v>727</v>
      </c>
      <c r="B59" s="83">
        <v>0</v>
      </c>
      <c r="C59" s="83">
        <v>0</v>
      </c>
      <c r="D59" s="83">
        <v>0</v>
      </c>
      <c r="E59" s="83">
        <v>1</v>
      </c>
      <c r="F59" s="83">
        <v>0</v>
      </c>
      <c r="G59" s="83">
        <v>0</v>
      </c>
      <c r="H59" s="10">
        <v>0</v>
      </c>
      <c r="I59" s="84">
        <v>87.230136986301375</v>
      </c>
      <c r="J59" s="83">
        <v>0</v>
      </c>
      <c r="K59" s="84">
        <v>9.1</v>
      </c>
      <c r="L59" s="84">
        <v>1</v>
      </c>
      <c r="M59" s="83">
        <v>67.260000000000005</v>
      </c>
      <c r="N59" s="83">
        <v>40</v>
      </c>
      <c r="O59" s="85" t="s">
        <v>674</v>
      </c>
      <c r="P59" s="85">
        <f>73/140</f>
        <v>0.52142857142857146</v>
      </c>
      <c r="Q59" s="83">
        <v>130</v>
      </c>
      <c r="R59" s="86">
        <v>3</v>
      </c>
      <c r="S59" s="83">
        <v>0</v>
      </c>
      <c r="T59" s="83">
        <v>1</v>
      </c>
      <c r="U59" s="83">
        <v>0</v>
      </c>
      <c r="V59" s="83">
        <v>0</v>
      </c>
      <c r="W59" s="83">
        <v>0</v>
      </c>
      <c r="X59" s="10"/>
      <c r="Y59" s="87">
        <v>37</v>
      </c>
      <c r="Z59" s="83">
        <v>0</v>
      </c>
      <c r="AA59" s="88">
        <v>37</v>
      </c>
      <c r="AB59" s="89">
        <v>1</v>
      </c>
      <c r="AC59" s="90">
        <v>0</v>
      </c>
      <c r="AD59" s="84">
        <v>36.866666666666667</v>
      </c>
      <c r="AE59" s="83">
        <v>0.14000000000000001</v>
      </c>
      <c r="AF59" s="85">
        <f t="shared" ref="AF59:AF68" si="16">((M59-AE59)/M59)*(-100)</f>
        <v>-99.791852512637519</v>
      </c>
      <c r="AG59" s="10" t="str">
        <f t="shared" ref="AG59:AG62" si="17">IF((AE59/M59)&lt;0.5,"1","0")</f>
        <v>1</v>
      </c>
      <c r="AH59" s="10"/>
      <c r="AI59" s="10"/>
      <c r="AK59" s="2"/>
      <c r="AL59" s="2"/>
      <c r="AM59" s="2"/>
      <c r="AN59" s="2"/>
    </row>
    <row r="60" spans="1:40" ht="15" x14ac:dyDescent="0.25">
      <c r="A60" s="82" t="s">
        <v>728</v>
      </c>
      <c r="B60" s="83">
        <v>1</v>
      </c>
      <c r="C60" s="83">
        <v>0</v>
      </c>
      <c r="D60" s="83">
        <v>1</v>
      </c>
      <c r="E60" s="83">
        <v>0</v>
      </c>
      <c r="F60" s="83">
        <v>0</v>
      </c>
      <c r="G60" s="83">
        <v>0</v>
      </c>
      <c r="H60" s="10">
        <v>0</v>
      </c>
      <c r="I60" s="84">
        <v>77.032876712328772</v>
      </c>
      <c r="J60" s="83" t="s">
        <v>680</v>
      </c>
      <c r="K60" s="84">
        <v>38.56666666666667</v>
      </c>
      <c r="L60" s="84">
        <v>0</v>
      </c>
      <c r="M60" s="83">
        <v>133.77000000000001</v>
      </c>
      <c r="N60" s="83">
        <v>40</v>
      </c>
      <c r="O60" s="85">
        <f>1044/618</f>
        <v>1.6893203883495145</v>
      </c>
      <c r="P60" s="85">
        <f>590/126</f>
        <v>4.6825396825396828</v>
      </c>
      <c r="Q60" s="83">
        <v>123</v>
      </c>
      <c r="R60" s="86">
        <v>7</v>
      </c>
      <c r="S60" s="83">
        <v>1</v>
      </c>
      <c r="T60" s="83">
        <v>0</v>
      </c>
      <c r="U60" s="83">
        <v>0</v>
      </c>
      <c r="V60" s="83">
        <v>0</v>
      </c>
      <c r="W60" s="83">
        <v>0</v>
      </c>
      <c r="X60" s="10"/>
      <c r="Y60" s="87">
        <v>12.866666666666667</v>
      </c>
      <c r="Z60" s="83">
        <v>1</v>
      </c>
      <c r="AA60" s="88">
        <v>12.866666666666667</v>
      </c>
      <c r="AB60" s="89">
        <v>0</v>
      </c>
      <c r="AC60" s="90">
        <v>1</v>
      </c>
      <c r="AD60" s="84">
        <v>5.7666666666666666</v>
      </c>
      <c r="AE60" s="83">
        <v>20.010000000000002</v>
      </c>
      <c r="AF60" s="85">
        <f t="shared" si="16"/>
        <v>-85.041489123121778</v>
      </c>
      <c r="AG60" s="10" t="str">
        <f t="shared" si="17"/>
        <v>1</v>
      </c>
      <c r="AH60" s="10"/>
      <c r="AI60" s="10"/>
      <c r="AK60" s="2"/>
      <c r="AL60" s="2"/>
      <c r="AM60" s="2"/>
      <c r="AN60" s="2"/>
    </row>
    <row r="61" spans="1:40" ht="15" x14ac:dyDescent="0.25">
      <c r="A61" s="82" t="s">
        <v>729</v>
      </c>
      <c r="B61" s="83">
        <v>0</v>
      </c>
      <c r="C61" s="83">
        <v>0</v>
      </c>
      <c r="D61" s="83">
        <v>1</v>
      </c>
      <c r="E61" s="83">
        <v>0</v>
      </c>
      <c r="F61" s="83">
        <v>0</v>
      </c>
      <c r="G61" s="83">
        <v>0</v>
      </c>
      <c r="H61" s="10">
        <v>0</v>
      </c>
      <c r="I61" s="84">
        <v>75.531506849315065</v>
      </c>
      <c r="J61" s="83">
        <v>3</v>
      </c>
      <c r="K61" s="84">
        <v>19.899999999999999</v>
      </c>
      <c r="L61" s="84">
        <v>0</v>
      </c>
      <c r="M61" s="83">
        <v>219</v>
      </c>
      <c r="N61" s="83" t="s">
        <v>674</v>
      </c>
      <c r="O61" s="85">
        <f>305/225</f>
        <v>1.3555555555555556</v>
      </c>
      <c r="P61" s="85">
        <f>55/145</f>
        <v>0.37931034482758619</v>
      </c>
      <c r="Q61" s="83">
        <v>130</v>
      </c>
      <c r="R61" s="86">
        <v>1.4285714285714286</v>
      </c>
      <c r="S61" s="83">
        <v>1</v>
      </c>
      <c r="T61" s="83">
        <v>0</v>
      </c>
      <c r="U61" s="83">
        <v>0</v>
      </c>
      <c r="V61" s="83">
        <v>0</v>
      </c>
      <c r="W61" s="83">
        <v>0</v>
      </c>
      <c r="X61" s="10"/>
      <c r="Y61" s="87">
        <v>4.1333333333333337</v>
      </c>
      <c r="Z61" s="83">
        <v>1</v>
      </c>
      <c r="AA61" s="88">
        <v>4.1333333333333337</v>
      </c>
      <c r="AB61" s="89">
        <v>0</v>
      </c>
      <c r="AC61" s="90">
        <v>0</v>
      </c>
      <c r="AD61" s="84">
        <v>2.2999999999999998</v>
      </c>
      <c r="AE61" s="83">
        <v>148</v>
      </c>
      <c r="AF61" s="85">
        <f t="shared" si="16"/>
        <v>-32.420091324200911</v>
      </c>
      <c r="AG61" s="10" t="str">
        <f t="shared" si="17"/>
        <v>0</v>
      </c>
      <c r="AH61" s="10"/>
      <c r="AI61" s="10"/>
      <c r="AK61" s="2"/>
      <c r="AL61" s="2"/>
      <c r="AM61" s="2"/>
      <c r="AN61" s="2"/>
    </row>
    <row r="62" spans="1:40" ht="15" x14ac:dyDescent="0.25">
      <c r="A62" s="82" t="s">
        <v>730</v>
      </c>
      <c r="B62" s="83">
        <v>0</v>
      </c>
      <c r="C62" s="83">
        <v>0</v>
      </c>
      <c r="D62" s="83">
        <v>1</v>
      </c>
      <c r="E62" s="83">
        <v>0</v>
      </c>
      <c r="F62" s="83">
        <v>0</v>
      </c>
      <c r="G62" s="83">
        <v>0</v>
      </c>
      <c r="H62" s="10">
        <v>0</v>
      </c>
      <c r="I62" s="84">
        <v>79.246575342465746</v>
      </c>
      <c r="J62" s="83">
        <v>1</v>
      </c>
      <c r="K62" s="84">
        <v>20.399999999999999</v>
      </c>
      <c r="L62" s="84">
        <v>0</v>
      </c>
      <c r="M62" s="83">
        <v>24.5</v>
      </c>
      <c r="N62" s="83" t="s">
        <v>674</v>
      </c>
      <c r="O62" s="85">
        <f>195/271</f>
        <v>0.71955719557195574</v>
      </c>
      <c r="P62" s="85">
        <f>60/100</f>
        <v>0.6</v>
      </c>
      <c r="Q62" s="83">
        <v>116</v>
      </c>
      <c r="R62" s="86">
        <v>1.4258064516129032</v>
      </c>
      <c r="S62" s="83">
        <v>0</v>
      </c>
      <c r="T62" s="83">
        <v>1</v>
      </c>
      <c r="U62" s="83">
        <v>0</v>
      </c>
      <c r="V62" s="83">
        <v>0</v>
      </c>
      <c r="W62" s="83">
        <v>0</v>
      </c>
      <c r="X62" s="10"/>
      <c r="Y62" s="87">
        <v>15.366666666666667</v>
      </c>
      <c r="Z62" s="83">
        <v>0</v>
      </c>
      <c r="AA62" s="88">
        <v>15.366666666666667</v>
      </c>
      <c r="AB62" s="89">
        <v>1</v>
      </c>
      <c r="AC62" s="90">
        <v>0</v>
      </c>
      <c r="AD62" s="84">
        <v>15.266666666666667</v>
      </c>
      <c r="AE62" s="83">
        <v>1.0999999999999999E-2</v>
      </c>
      <c r="AF62" s="85">
        <f t="shared" si="16"/>
        <v>-99.955102040816328</v>
      </c>
      <c r="AG62" s="10" t="str">
        <f t="shared" si="17"/>
        <v>1</v>
      </c>
      <c r="AH62" s="10"/>
      <c r="AI62" s="10"/>
      <c r="AK62" s="2"/>
      <c r="AL62" s="2"/>
      <c r="AM62" s="2"/>
      <c r="AN62" s="2"/>
    </row>
    <row r="63" spans="1:40" ht="15" x14ac:dyDescent="0.25">
      <c r="A63" s="82" t="s">
        <v>731</v>
      </c>
      <c r="B63" s="83">
        <v>0</v>
      </c>
      <c r="C63" s="83">
        <v>0</v>
      </c>
      <c r="D63" s="83">
        <v>1</v>
      </c>
      <c r="E63" s="83">
        <v>0</v>
      </c>
      <c r="F63" s="83">
        <v>0</v>
      </c>
      <c r="G63" s="83">
        <v>0</v>
      </c>
      <c r="H63" s="10">
        <v>0</v>
      </c>
      <c r="I63" s="84">
        <v>67.917808219178085</v>
      </c>
      <c r="J63" s="83">
        <v>0</v>
      </c>
      <c r="K63" s="84">
        <v>1.7666666666666666</v>
      </c>
      <c r="L63" s="84">
        <v>1</v>
      </c>
      <c r="M63" s="83">
        <v>0.02</v>
      </c>
      <c r="N63" s="83" t="s">
        <v>674</v>
      </c>
      <c r="O63" s="85">
        <f>252/225</f>
        <v>1.1200000000000001</v>
      </c>
      <c r="P63" s="85">
        <f>41/145</f>
        <v>0.28275862068965518</v>
      </c>
      <c r="Q63" s="83">
        <v>134</v>
      </c>
      <c r="R63" s="86">
        <v>9</v>
      </c>
      <c r="S63" s="83">
        <v>0</v>
      </c>
      <c r="T63" s="83">
        <v>0</v>
      </c>
      <c r="U63" s="83">
        <v>1</v>
      </c>
      <c r="V63" s="83">
        <v>0</v>
      </c>
      <c r="W63" s="83">
        <v>0</v>
      </c>
      <c r="X63" s="10"/>
      <c r="Y63" s="87">
        <v>5.9333333333333336</v>
      </c>
      <c r="Z63" s="83">
        <v>1</v>
      </c>
      <c r="AA63" s="88">
        <v>5.9333333333333336</v>
      </c>
      <c r="AB63" s="89">
        <v>0</v>
      </c>
      <c r="AC63" s="90">
        <v>0</v>
      </c>
      <c r="AD63" s="84">
        <v>1.7</v>
      </c>
      <c r="AE63" s="83">
        <v>0.02</v>
      </c>
      <c r="AF63" s="85">
        <f t="shared" si="16"/>
        <v>0</v>
      </c>
      <c r="AG63" s="10">
        <v>0</v>
      </c>
      <c r="AH63" s="10"/>
      <c r="AI63" s="10"/>
      <c r="AK63" s="2"/>
      <c r="AL63" s="2"/>
      <c r="AM63" s="2"/>
      <c r="AN63" s="2"/>
    </row>
    <row r="64" spans="1:40" ht="15" x14ac:dyDescent="0.25">
      <c r="A64" s="82" t="s">
        <v>732</v>
      </c>
      <c r="B64" s="83">
        <v>1</v>
      </c>
      <c r="C64" s="83">
        <v>0</v>
      </c>
      <c r="D64" s="83">
        <v>1</v>
      </c>
      <c r="E64" s="83">
        <v>0</v>
      </c>
      <c r="F64" s="83">
        <v>1</v>
      </c>
      <c r="G64" s="83">
        <v>0</v>
      </c>
      <c r="H64" s="10">
        <v>0</v>
      </c>
      <c r="I64" s="84">
        <v>72.586301369863008</v>
      </c>
      <c r="J64" s="83">
        <v>2</v>
      </c>
      <c r="K64" s="84">
        <v>16.133333333333333</v>
      </c>
      <c r="L64" s="84">
        <v>0</v>
      </c>
      <c r="M64" s="83">
        <v>160</v>
      </c>
      <c r="N64" s="83">
        <v>33</v>
      </c>
      <c r="O64" s="85">
        <f>177/225</f>
        <v>0.78666666666666663</v>
      </c>
      <c r="P64" s="85">
        <f>202/129</f>
        <v>1.5658914728682169</v>
      </c>
      <c r="Q64" s="83">
        <v>116</v>
      </c>
      <c r="R64" s="86">
        <v>5.6</v>
      </c>
      <c r="S64" s="83">
        <v>1</v>
      </c>
      <c r="T64" s="83">
        <v>0</v>
      </c>
      <c r="U64" s="83">
        <v>0</v>
      </c>
      <c r="V64" s="83">
        <v>0</v>
      </c>
      <c r="W64" s="83">
        <v>0</v>
      </c>
      <c r="X64" s="10"/>
      <c r="Y64" s="87">
        <v>6.2666666666666666</v>
      </c>
      <c r="Z64" s="83">
        <v>1</v>
      </c>
      <c r="AA64" s="88">
        <v>6.2666666666666666</v>
      </c>
      <c r="AB64" s="89">
        <v>0</v>
      </c>
      <c r="AC64" s="90">
        <v>0</v>
      </c>
      <c r="AD64" s="84">
        <v>5.3666666666666663</v>
      </c>
      <c r="AE64" s="83">
        <v>79.34</v>
      </c>
      <c r="AF64" s="85">
        <f t="shared" si="16"/>
        <v>-50.412499999999994</v>
      </c>
      <c r="AG64" s="10" t="str">
        <f t="shared" ref="AG64:AG68" si="18">IF((AE64/M64)&lt;0.5,"1","0")</f>
        <v>1</v>
      </c>
      <c r="AH64" s="10"/>
      <c r="AI64" s="10"/>
      <c r="AK64" s="2"/>
      <c r="AL64" s="2"/>
      <c r="AM64" s="2"/>
      <c r="AN64" s="2"/>
    </row>
    <row r="65" spans="1:40" ht="15" x14ac:dyDescent="0.25">
      <c r="A65" s="82" t="s">
        <v>733</v>
      </c>
      <c r="B65" s="83">
        <v>0</v>
      </c>
      <c r="C65" s="83">
        <v>0</v>
      </c>
      <c r="D65" s="83">
        <v>1</v>
      </c>
      <c r="E65" s="83">
        <v>1</v>
      </c>
      <c r="F65" s="83">
        <v>0</v>
      </c>
      <c r="G65" s="83">
        <v>0</v>
      </c>
      <c r="H65" s="10">
        <v>0</v>
      </c>
      <c r="I65" s="84">
        <v>65.342465753424662</v>
      </c>
      <c r="J65" s="83">
        <v>0</v>
      </c>
      <c r="K65" s="84">
        <v>4</v>
      </c>
      <c r="L65" s="84">
        <v>1</v>
      </c>
      <c r="M65" s="83">
        <v>33.200000000000003</v>
      </c>
      <c r="N65" s="83">
        <v>48</v>
      </c>
      <c r="O65" s="85">
        <f>191/225</f>
        <v>0.84888888888888892</v>
      </c>
      <c r="P65" s="85">
        <f>133/145</f>
        <v>0.91724137931034477</v>
      </c>
      <c r="Q65" s="83">
        <v>174</v>
      </c>
      <c r="R65" s="86">
        <v>3.1333333333333333</v>
      </c>
      <c r="S65" s="83">
        <v>1</v>
      </c>
      <c r="T65" s="83">
        <v>0</v>
      </c>
      <c r="U65" s="83">
        <v>0</v>
      </c>
      <c r="V65" s="83">
        <v>0</v>
      </c>
      <c r="W65" s="83">
        <v>0</v>
      </c>
      <c r="X65" s="10"/>
      <c r="Y65" s="87">
        <v>40.166666666666664</v>
      </c>
      <c r="Z65" s="83">
        <v>0</v>
      </c>
      <c r="AA65" s="88">
        <v>40.166666666666664</v>
      </c>
      <c r="AB65" s="89">
        <v>0</v>
      </c>
      <c r="AC65" s="90">
        <v>1</v>
      </c>
      <c r="AD65" s="84">
        <v>22.6</v>
      </c>
      <c r="AE65" s="83">
        <v>0.22</v>
      </c>
      <c r="AF65" s="85">
        <f t="shared" si="16"/>
        <v>-99.337349397590373</v>
      </c>
      <c r="AG65" s="10" t="str">
        <f t="shared" si="18"/>
        <v>1</v>
      </c>
      <c r="AH65" s="10"/>
      <c r="AI65" s="10"/>
      <c r="AK65" s="2"/>
      <c r="AL65" s="2"/>
      <c r="AM65" s="2"/>
      <c r="AN65" s="2"/>
    </row>
    <row r="66" spans="1:40" ht="15" x14ac:dyDescent="0.25">
      <c r="A66" s="82" t="s">
        <v>863</v>
      </c>
      <c r="B66" s="83">
        <v>0</v>
      </c>
      <c r="C66" s="83">
        <v>1</v>
      </c>
      <c r="D66" s="83">
        <v>1</v>
      </c>
      <c r="E66" s="83">
        <v>1</v>
      </c>
      <c r="F66" s="83">
        <v>1</v>
      </c>
      <c r="G66" s="83">
        <v>1</v>
      </c>
      <c r="H66" s="10">
        <v>0</v>
      </c>
      <c r="I66" s="84">
        <v>78.265753424657532</v>
      </c>
      <c r="J66" s="83">
        <v>1</v>
      </c>
      <c r="K66" s="84">
        <v>11.466666666666667</v>
      </c>
      <c r="L66" s="84">
        <v>1</v>
      </c>
      <c r="M66" s="83">
        <v>0.18</v>
      </c>
      <c r="N66" s="83">
        <v>31</v>
      </c>
      <c r="O66" s="85">
        <f>177/240</f>
        <v>0.73750000000000004</v>
      </c>
      <c r="P66" s="85">
        <f>607/135</f>
        <v>4.496296296296296</v>
      </c>
      <c r="Q66" s="83">
        <v>118</v>
      </c>
      <c r="R66" s="86">
        <v>4.4545454545454541</v>
      </c>
      <c r="S66" s="83">
        <v>1</v>
      </c>
      <c r="T66" s="83">
        <v>0</v>
      </c>
      <c r="U66" s="83">
        <v>0</v>
      </c>
      <c r="V66" s="83">
        <v>0</v>
      </c>
      <c r="W66" s="83">
        <v>0</v>
      </c>
      <c r="X66" s="10"/>
      <c r="Y66" s="87">
        <v>8.5666666666666664</v>
      </c>
      <c r="Z66" s="83">
        <v>1</v>
      </c>
      <c r="AA66" s="88">
        <v>8.5666666666666664</v>
      </c>
      <c r="AB66" s="89">
        <v>0</v>
      </c>
      <c r="AC66" s="90">
        <v>0</v>
      </c>
      <c r="AD66" s="84">
        <v>2.8333333333333335</v>
      </c>
      <c r="AE66" s="83">
        <v>0.18</v>
      </c>
      <c r="AF66" s="85">
        <f t="shared" si="16"/>
        <v>0</v>
      </c>
      <c r="AG66" s="10" t="str">
        <f t="shared" si="18"/>
        <v>0</v>
      </c>
      <c r="AH66" s="10"/>
      <c r="AI66" s="10"/>
      <c r="AK66" s="2"/>
      <c r="AL66" s="2"/>
      <c r="AM66" s="2"/>
      <c r="AN66" s="2"/>
    </row>
    <row r="67" spans="1:40" ht="15" x14ac:dyDescent="0.25">
      <c r="A67" s="82" t="s">
        <v>734</v>
      </c>
      <c r="B67" s="83">
        <v>0</v>
      </c>
      <c r="C67" s="83">
        <v>0</v>
      </c>
      <c r="D67" s="83">
        <v>0</v>
      </c>
      <c r="E67" s="83">
        <v>1</v>
      </c>
      <c r="F67" s="83">
        <v>0</v>
      </c>
      <c r="G67" s="83">
        <v>0</v>
      </c>
      <c r="H67" s="10">
        <v>0</v>
      </c>
      <c r="I67" s="84">
        <v>79.767123287671239</v>
      </c>
      <c r="J67" s="83">
        <v>1</v>
      </c>
      <c r="K67" s="84">
        <v>14.2</v>
      </c>
      <c r="L67" s="84">
        <v>0</v>
      </c>
      <c r="M67" s="83">
        <v>28.6</v>
      </c>
      <c r="N67" s="83">
        <v>39</v>
      </c>
      <c r="O67" s="85">
        <f>187/225</f>
        <v>0.83111111111111113</v>
      </c>
      <c r="P67" s="85">
        <f>66/145</f>
        <v>0.45517241379310347</v>
      </c>
      <c r="Q67" s="83">
        <v>138</v>
      </c>
      <c r="R67" s="86">
        <v>3.7692307692307692</v>
      </c>
      <c r="S67" s="83">
        <v>0</v>
      </c>
      <c r="T67" s="83">
        <v>1</v>
      </c>
      <c r="U67" s="83">
        <v>0</v>
      </c>
      <c r="V67" s="83">
        <v>0</v>
      </c>
      <c r="W67" s="83">
        <v>0</v>
      </c>
      <c r="X67" s="10"/>
      <c r="Y67" s="87">
        <v>30.5</v>
      </c>
      <c r="Z67" s="83">
        <v>1</v>
      </c>
      <c r="AA67" s="88">
        <v>30.5</v>
      </c>
      <c r="AB67" s="89">
        <v>0</v>
      </c>
      <c r="AC67" s="90">
        <v>1</v>
      </c>
      <c r="AD67" s="84">
        <v>6.0666666666666664</v>
      </c>
      <c r="AE67" s="83">
        <v>4.5</v>
      </c>
      <c r="AF67" s="85">
        <f t="shared" si="16"/>
        <v>-84.265734265734267</v>
      </c>
      <c r="AG67" s="10" t="str">
        <f t="shared" si="18"/>
        <v>1</v>
      </c>
      <c r="AH67" s="10"/>
      <c r="AI67" s="10"/>
      <c r="AK67" s="2"/>
      <c r="AL67" s="2"/>
      <c r="AM67" s="2"/>
      <c r="AN67" s="2"/>
    </row>
    <row r="68" spans="1:40" ht="15" x14ac:dyDescent="0.25">
      <c r="A68" s="82" t="s">
        <v>735</v>
      </c>
      <c r="B68" s="83">
        <v>0</v>
      </c>
      <c r="C68" s="83">
        <v>0</v>
      </c>
      <c r="D68" s="83">
        <v>1</v>
      </c>
      <c r="E68" s="83">
        <v>0</v>
      </c>
      <c r="F68" s="83">
        <v>0</v>
      </c>
      <c r="G68" s="83">
        <v>0</v>
      </c>
      <c r="H68" s="10">
        <v>0</v>
      </c>
      <c r="I68" s="84">
        <v>82.517808219178079</v>
      </c>
      <c r="J68" s="83">
        <v>0</v>
      </c>
      <c r="K68" s="84">
        <v>12.6</v>
      </c>
      <c r="L68" s="84">
        <v>0</v>
      </c>
      <c r="M68" s="83">
        <v>31.2</v>
      </c>
      <c r="N68" s="83">
        <v>45</v>
      </c>
      <c r="O68" s="85">
        <f>172/225</f>
        <v>0.76444444444444448</v>
      </c>
      <c r="P68" s="85">
        <f>59/145</f>
        <v>0.40689655172413791</v>
      </c>
      <c r="Q68" s="83">
        <v>146</v>
      </c>
      <c r="R68" s="86">
        <v>2.2999999999999998</v>
      </c>
      <c r="S68" s="83">
        <v>0</v>
      </c>
      <c r="T68" s="83">
        <v>1</v>
      </c>
      <c r="U68" s="83">
        <v>0</v>
      </c>
      <c r="V68" s="83">
        <v>0</v>
      </c>
      <c r="W68" s="83">
        <v>0</v>
      </c>
      <c r="X68" s="10"/>
      <c r="Y68" s="87">
        <v>29.633333333333333</v>
      </c>
      <c r="Z68" s="83">
        <v>1</v>
      </c>
      <c r="AA68" s="88">
        <v>29.633333333333333</v>
      </c>
      <c r="AB68" s="89">
        <v>0</v>
      </c>
      <c r="AC68" s="90">
        <v>1</v>
      </c>
      <c r="AD68" s="84">
        <v>13.1</v>
      </c>
      <c r="AE68" s="83">
        <v>2.2999999999999998</v>
      </c>
      <c r="AF68" s="85">
        <f t="shared" si="16"/>
        <v>-92.628205128205124</v>
      </c>
      <c r="AG68" s="10" t="str">
        <f t="shared" si="18"/>
        <v>1</v>
      </c>
      <c r="AH68" s="10"/>
      <c r="AI68" s="10"/>
      <c r="AK68" s="2"/>
      <c r="AL68" s="2"/>
      <c r="AM68" s="2"/>
      <c r="AN68" s="2"/>
    </row>
    <row r="69" spans="1:40" ht="15" x14ac:dyDescent="0.25">
      <c r="A69" s="82" t="s">
        <v>864</v>
      </c>
      <c r="B69" s="83">
        <v>1</v>
      </c>
      <c r="C69" s="83">
        <v>1</v>
      </c>
      <c r="D69" s="83">
        <v>1</v>
      </c>
      <c r="E69" s="83">
        <v>1</v>
      </c>
      <c r="F69" s="83">
        <v>0</v>
      </c>
      <c r="G69" s="83">
        <v>0</v>
      </c>
      <c r="H69" s="10">
        <v>0</v>
      </c>
      <c r="I69" s="84">
        <v>65.586301369863008</v>
      </c>
      <c r="J69" s="83" t="s">
        <v>680</v>
      </c>
      <c r="K69" s="84">
        <v>8.6666666666666661</v>
      </c>
      <c r="L69" s="84">
        <v>1</v>
      </c>
      <c r="M69" s="83">
        <v>105.76</v>
      </c>
      <c r="N69" s="83">
        <v>44</v>
      </c>
      <c r="O69" s="85">
        <f>171/271</f>
        <v>0.63099630996309963</v>
      </c>
      <c r="P69" s="85">
        <f>87/100</f>
        <v>0.87</v>
      </c>
      <c r="Q69" s="83">
        <v>127</v>
      </c>
      <c r="R69" s="86">
        <v>4.0757575757575761</v>
      </c>
      <c r="S69" s="83">
        <v>0</v>
      </c>
      <c r="T69" s="83">
        <v>1</v>
      </c>
      <c r="U69" s="83">
        <v>0</v>
      </c>
      <c r="V69" s="83">
        <v>0</v>
      </c>
      <c r="W69" s="83">
        <v>0</v>
      </c>
      <c r="X69" s="10"/>
      <c r="Y69" s="87">
        <v>12.4</v>
      </c>
      <c r="Z69" s="83">
        <v>1</v>
      </c>
      <c r="AA69" s="88">
        <v>12.4</v>
      </c>
      <c r="AB69" s="89">
        <v>0</v>
      </c>
      <c r="AC69" s="90">
        <v>1</v>
      </c>
      <c r="AD69" s="84">
        <v>0.93333333333333335</v>
      </c>
      <c r="AE69" s="83" t="s">
        <v>674</v>
      </c>
      <c r="AF69" s="85" t="s">
        <v>674</v>
      </c>
      <c r="AG69" s="10">
        <v>0</v>
      </c>
      <c r="AH69" s="10"/>
      <c r="AI69" s="10"/>
      <c r="AK69" s="2"/>
      <c r="AL69" s="2"/>
      <c r="AM69" s="2"/>
      <c r="AN69" s="2"/>
    </row>
    <row r="70" spans="1:40" ht="15" x14ac:dyDescent="0.25">
      <c r="A70" s="82" t="s">
        <v>736</v>
      </c>
      <c r="B70" s="83">
        <v>0</v>
      </c>
      <c r="C70" s="83">
        <v>0</v>
      </c>
      <c r="D70" s="83">
        <v>0</v>
      </c>
      <c r="E70" s="83">
        <v>1</v>
      </c>
      <c r="F70" s="83">
        <v>0</v>
      </c>
      <c r="G70" s="83">
        <v>0</v>
      </c>
      <c r="H70" s="10">
        <v>0</v>
      </c>
      <c r="I70" s="84">
        <v>71.758904109589039</v>
      </c>
      <c r="J70" s="83" t="s">
        <v>680</v>
      </c>
      <c r="K70" s="84">
        <v>75.166666666666671</v>
      </c>
      <c r="L70" s="84">
        <v>0</v>
      </c>
      <c r="M70" s="83">
        <v>47.29</v>
      </c>
      <c r="N70" s="83">
        <v>40</v>
      </c>
      <c r="O70" s="85" t="s">
        <v>674</v>
      </c>
      <c r="P70" s="85">
        <f>78/100</f>
        <v>0.78</v>
      </c>
      <c r="Q70" s="83">
        <v>148</v>
      </c>
      <c r="R70" s="86">
        <v>1.3971631205673758</v>
      </c>
      <c r="S70" s="83">
        <v>0</v>
      </c>
      <c r="T70" s="83">
        <v>1</v>
      </c>
      <c r="U70" s="83">
        <v>0</v>
      </c>
      <c r="V70" s="83">
        <v>0</v>
      </c>
      <c r="W70" s="83">
        <v>0</v>
      </c>
      <c r="X70" s="10"/>
      <c r="Y70" s="87">
        <v>32.033333333333331</v>
      </c>
      <c r="Z70" s="83">
        <v>0</v>
      </c>
      <c r="AA70" s="88">
        <v>32.033333333333331</v>
      </c>
      <c r="AB70" s="89">
        <v>1</v>
      </c>
      <c r="AC70" s="90">
        <v>0</v>
      </c>
      <c r="AD70" s="84">
        <v>37.200000000000003</v>
      </c>
      <c r="AE70" s="83">
        <v>0.02</v>
      </c>
      <c r="AF70" s="85">
        <f t="shared" ref="AF70:AF72" si="19">((M70-AE70)/M70)*(-100)</f>
        <v>-99.957707760625908</v>
      </c>
      <c r="AG70" s="10" t="str">
        <f t="shared" ref="AG70:AG72" si="20">IF((AE70/M70)&lt;0.5,"1","0")</f>
        <v>1</v>
      </c>
      <c r="AH70" s="10"/>
      <c r="AI70" s="10"/>
      <c r="AK70" s="2"/>
      <c r="AL70" s="2"/>
      <c r="AM70" s="2"/>
      <c r="AN70" s="2"/>
    </row>
    <row r="71" spans="1:40" ht="15" x14ac:dyDescent="0.25">
      <c r="A71" s="82" t="s">
        <v>737</v>
      </c>
      <c r="B71" s="83">
        <v>0</v>
      </c>
      <c r="C71" s="83">
        <v>0</v>
      </c>
      <c r="D71" s="83">
        <v>0</v>
      </c>
      <c r="E71" s="83">
        <v>0</v>
      </c>
      <c r="F71" s="83">
        <v>0</v>
      </c>
      <c r="G71" s="83">
        <v>0</v>
      </c>
      <c r="H71" s="10">
        <v>0</v>
      </c>
      <c r="I71" s="84">
        <v>84.726027397260268</v>
      </c>
      <c r="J71" s="83">
        <v>1</v>
      </c>
      <c r="K71" s="84">
        <v>26</v>
      </c>
      <c r="L71" s="84">
        <v>0</v>
      </c>
      <c r="M71" s="83">
        <v>80</v>
      </c>
      <c r="N71" s="83">
        <v>40</v>
      </c>
      <c r="O71" s="85">
        <f>173/240</f>
        <v>0.72083333333333333</v>
      </c>
      <c r="P71" s="85">
        <f>75/135</f>
        <v>0.55555555555555558</v>
      </c>
      <c r="Q71" s="83">
        <v>130</v>
      </c>
      <c r="R71" s="86">
        <v>3.1</v>
      </c>
      <c r="S71" s="83">
        <v>0</v>
      </c>
      <c r="T71" s="83">
        <v>1</v>
      </c>
      <c r="U71" s="83">
        <v>0</v>
      </c>
      <c r="V71" s="83">
        <v>0</v>
      </c>
      <c r="W71" s="83">
        <v>0</v>
      </c>
      <c r="X71" s="10"/>
      <c r="Y71" s="87">
        <v>4.7</v>
      </c>
      <c r="Z71" s="83">
        <v>0</v>
      </c>
      <c r="AA71" s="88">
        <v>4.7</v>
      </c>
      <c r="AB71" s="89">
        <v>0</v>
      </c>
      <c r="AC71" s="90">
        <v>0</v>
      </c>
      <c r="AD71" s="84">
        <v>3.0666666666666669</v>
      </c>
      <c r="AE71" s="83">
        <v>41</v>
      </c>
      <c r="AF71" s="85">
        <f t="shared" si="19"/>
        <v>-48.75</v>
      </c>
      <c r="AG71" s="10" t="str">
        <f t="shared" si="20"/>
        <v>0</v>
      </c>
      <c r="AH71" s="10"/>
      <c r="AI71" s="10"/>
      <c r="AK71" s="2"/>
      <c r="AL71" s="2"/>
      <c r="AM71" s="2"/>
      <c r="AN71" s="2"/>
    </row>
    <row r="72" spans="1:40" ht="15" x14ac:dyDescent="0.25">
      <c r="A72" s="82" t="s">
        <v>738</v>
      </c>
      <c r="B72" s="83">
        <v>1</v>
      </c>
      <c r="C72" s="83">
        <v>0</v>
      </c>
      <c r="D72" s="83">
        <v>1</v>
      </c>
      <c r="E72" s="83">
        <v>1</v>
      </c>
      <c r="F72" s="83">
        <v>0</v>
      </c>
      <c r="G72" s="83">
        <v>0</v>
      </c>
      <c r="H72" s="10">
        <v>0</v>
      </c>
      <c r="I72" s="84">
        <v>78.704109589041096</v>
      </c>
      <c r="J72" s="83">
        <v>0</v>
      </c>
      <c r="K72" s="84">
        <v>68.666666666666671</v>
      </c>
      <c r="L72" s="84">
        <v>0</v>
      </c>
      <c r="M72" s="83">
        <v>3.4</v>
      </c>
      <c r="N72" s="83" t="s">
        <v>674</v>
      </c>
      <c r="O72" s="85">
        <f>236/225</f>
        <v>1.048888888888889</v>
      </c>
      <c r="P72" s="85">
        <f>71/145</f>
        <v>0.48965517241379308</v>
      </c>
      <c r="Q72" s="83">
        <v>142</v>
      </c>
      <c r="R72" s="86">
        <v>2</v>
      </c>
      <c r="S72" s="83">
        <v>0</v>
      </c>
      <c r="T72" s="83">
        <v>1</v>
      </c>
      <c r="U72" s="83">
        <v>0</v>
      </c>
      <c r="V72" s="83">
        <v>0</v>
      </c>
      <c r="W72" s="83">
        <v>0</v>
      </c>
      <c r="X72" s="10"/>
      <c r="Y72" s="87">
        <v>36.133333333333333</v>
      </c>
      <c r="Z72" s="83">
        <v>0</v>
      </c>
      <c r="AA72" s="88">
        <v>36.133333333333333</v>
      </c>
      <c r="AB72" s="89">
        <v>0</v>
      </c>
      <c r="AC72" s="90">
        <v>1</v>
      </c>
      <c r="AD72" s="84">
        <v>27.8</v>
      </c>
      <c r="AE72" s="83">
        <v>0.38</v>
      </c>
      <c r="AF72" s="85">
        <f t="shared" si="19"/>
        <v>-88.82352941176471</v>
      </c>
      <c r="AG72" s="10" t="str">
        <f t="shared" si="20"/>
        <v>1</v>
      </c>
      <c r="AH72" s="10"/>
      <c r="AI72" s="10"/>
      <c r="AK72" s="2"/>
      <c r="AL72" s="2"/>
      <c r="AM72" s="2"/>
      <c r="AN72" s="2"/>
    </row>
    <row r="73" spans="1:40" ht="15" x14ac:dyDescent="0.25">
      <c r="A73" s="82" t="s">
        <v>739</v>
      </c>
      <c r="B73" s="83">
        <v>0</v>
      </c>
      <c r="C73" s="83">
        <v>0</v>
      </c>
      <c r="D73" s="83">
        <v>0</v>
      </c>
      <c r="E73" s="83">
        <v>1</v>
      </c>
      <c r="F73" s="83">
        <v>0</v>
      </c>
      <c r="G73" s="83">
        <v>0</v>
      </c>
      <c r="H73" s="10">
        <v>0</v>
      </c>
      <c r="I73" s="84">
        <v>88.632876712328766</v>
      </c>
      <c r="J73" s="83">
        <v>1</v>
      </c>
      <c r="K73" s="84">
        <v>7.4333333333333336</v>
      </c>
      <c r="L73" s="84">
        <v>1</v>
      </c>
      <c r="M73" s="83">
        <v>85.4</v>
      </c>
      <c r="N73" s="83" t="s">
        <v>674</v>
      </c>
      <c r="O73" s="85">
        <f>213/225</f>
        <v>0.94666666666666666</v>
      </c>
      <c r="P73" s="85">
        <f>145/145</f>
        <v>1</v>
      </c>
      <c r="Q73" s="83">
        <v>112</v>
      </c>
      <c r="R73" s="86">
        <v>3.5</v>
      </c>
      <c r="S73" s="83">
        <v>0</v>
      </c>
      <c r="T73" s="83">
        <v>1</v>
      </c>
      <c r="U73" s="83">
        <v>0</v>
      </c>
      <c r="V73" s="83">
        <v>0</v>
      </c>
      <c r="W73" s="83">
        <v>0</v>
      </c>
      <c r="X73" s="10"/>
      <c r="Y73" s="87">
        <v>8.7666666666666675</v>
      </c>
      <c r="Z73" s="83">
        <v>1</v>
      </c>
      <c r="AA73" s="88">
        <v>8.7666666666666675</v>
      </c>
      <c r="AB73" s="89">
        <v>0</v>
      </c>
      <c r="AC73" s="90">
        <v>1</v>
      </c>
      <c r="AD73" s="84">
        <v>7.4666666666666668</v>
      </c>
      <c r="AE73" s="83" t="s">
        <v>674</v>
      </c>
      <c r="AF73" s="85" t="s">
        <v>674</v>
      </c>
      <c r="AG73" s="10">
        <v>0</v>
      </c>
      <c r="AH73" s="10"/>
      <c r="AI73" s="10"/>
      <c r="AK73" s="2"/>
      <c r="AL73" s="2"/>
      <c r="AM73" s="2"/>
      <c r="AN73" s="2"/>
    </row>
    <row r="74" spans="1:40" ht="15" x14ac:dyDescent="0.25">
      <c r="A74" s="82" t="s">
        <v>740</v>
      </c>
      <c r="B74" s="83">
        <v>1</v>
      </c>
      <c r="C74" s="83">
        <v>1</v>
      </c>
      <c r="D74" s="83">
        <v>1</v>
      </c>
      <c r="E74" s="83">
        <v>0</v>
      </c>
      <c r="F74" s="83">
        <v>0</v>
      </c>
      <c r="G74" s="83">
        <v>0</v>
      </c>
      <c r="H74" s="10">
        <v>0</v>
      </c>
      <c r="I74" s="84">
        <v>55.80821917808219</v>
      </c>
      <c r="J74" s="83">
        <v>1</v>
      </c>
      <c r="K74" s="84">
        <v>18.566666666666666</v>
      </c>
      <c r="L74" s="84">
        <v>0</v>
      </c>
      <c r="M74" s="83">
        <v>0.96</v>
      </c>
      <c r="N74" s="83" t="s">
        <v>674</v>
      </c>
      <c r="O74" s="85" t="s">
        <v>674</v>
      </c>
      <c r="P74" s="85" t="e">
        <f>NA</f>
        <v>#NAME?</v>
      </c>
      <c r="Q74" s="83">
        <v>138</v>
      </c>
      <c r="R74" s="86">
        <v>2.5384615384615383</v>
      </c>
      <c r="S74" s="83">
        <v>0</v>
      </c>
      <c r="T74" s="83">
        <v>1</v>
      </c>
      <c r="U74" s="83">
        <v>0</v>
      </c>
      <c r="V74" s="83">
        <v>0</v>
      </c>
      <c r="W74" s="83">
        <v>0</v>
      </c>
      <c r="X74" s="10"/>
      <c r="Y74" s="87">
        <v>16.100000000000001</v>
      </c>
      <c r="Z74" s="83">
        <v>1</v>
      </c>
      <c r="AA74" s="88">
        <v>16.100000000000001</v>
      </c>
      <c r="AB74" s="89">
        <v>0</v>
      </c>
      <c r="AC74" s="90">
        <v>0</v>
      </c>
      <c r="AD74" s="84">
        <v>4.9000000000000004</v>
      </c>
      <c r="AE74" s="83">
        <v>0.23</v>
      </c>
      <c r="AF74" s="85">
        <f t="shared" ref="AF74:AF75" si="21">((M74-AE74)/M74)*(-100)</f>
        <v>-76.041666666666657</v>
      </c>
      <c r="AG74" s="10" t="str">
        <f t="shared" ref="AG74:AG75" si="22">IF((AE74/M74)&lt;0.5,"1","0")</f>
        <v>1</v>
      </c>
      <c r="AH74" s="10"/>
      <c r="AI74" s="10"/>
      <c r="AK74" s="2"/>
      <c r="AL74" s="2"/>
      <c r="AM74" s="2"/>
      <c r="AN74" s="2"/>
    </row>
    <row r="75" spans="1:40" ht="15" x14ac:dyDescent="0.25">
      <c r="A75" s="82" t="s">
        <v>741</v>
      </c>
      <c r="B75" s="83">
        <v>1</v>
      </c>
      <c r="C75" s="83">
        <v>0</v>
      </c>
      <c r="D75" s="83">
        <v>1</v>
      </c>
      <c r="E75" s="83">
        <v>1</v>
      </c>
      <c r="F75" s="83">
        <v>1</v>
      </c>
      <c r="G75" s="83">
        <v>0</v>
      </c>
      <c r="H75" s="10">
        <v>0</v>
      </c>
      <c r="I75" s="84">
        <v>81.635616438356166</v>
      </c>
      <c r="J75" s="83">
        <v>1</v>
      </c>
      <c r="K75" s="84">
        <v>20.666666666666668</v>
      </c>
      <c r="L75" s="84">
        <v>0</v>
      </c>
      <c r="M75" s="83">
        <v>20</v>
      </c>
      <c r="N75" s="83">
        <v>42</v>
      </c>
      <c r="O75" s="85">
        <f>194/240</f>
        <v>0.80833333333333335</v>
      </c>
      <c r="P75" s="85">
        <f>101/135</f>
        <v>0.74814814814814812</v>
      </c>
      <c r="Q75" s="83">
        <v>136</v>
      </c>
      <c r="R75" s="86">
        <v>5.0769230769230766</v>
      </c>
      <c r="S75" s="83">
        <v>1</v>
      </c>
      <c r="T75" s="83">
        <v>0</v>
      </c>
      <c r="U75" s="83">
        <v>0</v>
      </c>
      <c r="V75" s="83">
        <v>0</v>
      </c>
      <c r="W75" s="83">
        <v>0</v>
      </c>
      <c r="X75" s="10"/>
      <c r="Y75" s="87">
        <v>14.066666666666666</v>
      </c>
      <c r="Z75" s="83">
        <v>1</v>
      </c>
      <c r="AA75" s="88">
        <v>14.066666666666666</v>
      </c>
      <c r="AB75" s="89">
        <v>0</v>
      </c>
      <c r="AC75" s="90">
        <v>1</v>
      </c>
      <c r="AD75" s="84">
        <v>11.9</v>
      </c>
      <c r="AE75" s="83">
        <v>1.2</v>
      </c>
      <c r="AF75" s="85">
        <f t="shared" si="21"/>
        <v>-94</v>
      </c>
      <c r="AG75" s="10" t="str">
        <f t="shared" si="22"/>
        <v>1</v>
      </c>
      <c r="AH75" s="10"/>
      <c r="AI75" s="10"/>
      <c r="AK75" s="2"/>
      <c r="AL75" s="2"/>
      <c r="AM75" s="2"/>
      <c r="AN75" s="2"/>
    </row>
    <row r="76" spans="1:40" ht="15" x14ac:dyDescent="0.25">
      <c r="A76" s="82" t="s">
        <v>742</v>
      </c>
      <c r="B76" s="83">
        <v>0</v>
      </c>
      <c r="C76" s="83">
        <v>0</v>
      </c>
      <c r="D76" s="83">
        <v>1</v>
      </c>
      <c r="E76" s="83">
        <v>1</v>
      </c>
      <c r="F76" s="83">
        <v>0</v>
      </c>
      <c r="G76" s="83">
        <v>0</v>
      </c>
      <c r="H76" s="10">
        <v>0</v>
      </c>
      <c r="I76" s="84">
        <v>77.854794520547941</v>
      </c>
      <c r="J76" s="83">
        <v>1</v>
      </c>
      <c r="K76" s="84">
        <v>38.266666666666666</v>
      </c>
      <c r="L76" s="84">
        <v>0</v>
      </c>
      <c r="M76" s="83">
        <v>7.9</v>
      </c>
      <c r="N76" s="83">
        <v>42</v>
      </c>
      <c r="O76" s="85">
        <f>150/225</f>
        <v>0.66666666666666663</v>
      </c>
      <c r="P76" s="85">
        <f>108/145</f>
        <v>0.7448275862068966</v>
      </c>
      <c r="Q76" s="83">
        <v>121</v>
      </c>
      <c r="R76" s="86">
        <v>1.7692307692307692</v>
      </c>
      <c r="S76" s="83">
        <v>0</v>
      </c>
      <c r="T76" s="83">
        <v>1</v>
      </c>
      <c r="U76" s="83">
        <v>0</v>
      </c>
      <c r="V76" s="83">
        <v>0</v>
      </c>
      <c r="W76" s="83">
        <v>0</v>
      </c>
      <c r="X76" s="10"/>
      <c r="Y76" s="87">
        <v>14.6</v>
      </c>
      <c r="Z76" s="83">
        <v>1</v>
      </c>
      <c r="AA76" s="88">
        <v>14.6</v>
      </c>
      <c r="AB76" s="89">
        <v>0</v>
      </c>
      <c r="AC76" s="90">
        <v>1</v>
      </c>
      <c r="AD76" s="84">
        <v>2.1666666666666665</v>
      </c>
      <c r="AE76" s="83" t="s">
        <v>674</v>
      </c>
      <c r="AF76" s="85" t="s">
        <v>674</v>
      </c>
      <c r="AG76" s="10">
        <v>0</v>
      </c>
      <c r="AH76" s="10"/>
      <c r="AI76" s="10"/>
      <c r="AK76" s="2"/>
      <c r="AL76" s="2"/>
      <c r="AM76" s="2"/>
      <c r="AN76" s="2"/>
    </row>
    <row r="77" spans="1:40" ht="15" x14ac:dyDescent="0.25">
      <c r="A77" s="82" t="s">
        <v>1928</v>
      </c>
      <c r="B77" s="83">
        <v>1</v>
      </c>
      <c r="C77" s="83">
        <v>0</v>
      </c>
      <c r="D77" s="83">
        <v>1</v>
      </c>
      <c r="E77" s="83">
        <v>0</v>
      </c>
      <c r="F77" s="83">
        <v>0</v>
      </c>
      <c r="G77" s="83">
        <v>0</v>
      </c>
      <c r="H77" s="10">
        <v>0</v>
      </c>
      <c r="I77" s="84">
        <v>69.298630136986304</v>
      </c>
      <c r="J77" s="83">
        <v>1</v>
      </c>
      <c r="K77" s="84">
        <v>12.533333333333333</v>
      </c>
      <c r="L77" s="84">
        <v>0</v>
      </c>
      <c r="M77" s="83">
        <v>24.9</v>
      </c>
      <c r="N77" s="83">
        <v>42</v>
      </c>
      <c r="O77" s="85" t="s">
        <v>674</v>
      </c>
      <c r="P77" s="85">
        <f>88/145</f>
        <v>0.60689655172413792</v>
      </c>
      <c r="Q77" s="83">
        <v>145</v>
      </c>
      <c r="R77" s="86">
        <v>2.7777777777777777</v>
      </c>
      <c r="S77" s="83">
        <v>0</v>
      </c>
      <c r="T77" s="83">
        <v>1</v>
      </c>
      <c r="U77" s="83">
        <v>0</v>
      </c>
      <c r="V77" s="83">
        <v>0</v>
      </c>
      <c r="W77" s="83">
        <v>0</v>
      </c>
      <c r="X77" s="10"/>
      <c r="Y77" s="87">
        <v>35.43333333333333</v>
      </c>
      <c r="Z77" s="83">
        <v>0</v>
      </c>
      <c r="AA77" s="88">
        <v>35.43333333333333</v>
      </c>
      <c r="AB77" s="89">
        <v>1</v>
      </c>
      <c r="AC77" s="90">
        <v>0</v>
      </c>
      <c r="AD77" s="84">
        <v>35.333333333333336</v>
      </c>
      <c r="AE77" s="83">
        <v>0.64</v>
      </c>
      <c r="AF77" s="85">
        <f t="shared" ref="AF77:AF80" si="23">((M77-AE77)/M77)*(-100)</f>
        <v>-97.429718875502004</v>
      </c>
      <c r="AG77" s="10" t="str">
        <f t="shared" ref="AG77:AG80" si="24">IF((AE77/M77)&lt;0.5,"1","0")</f>
        <v>1</v>
      </c>
      <c r="AH77" s="10"/>
      <c r="AI77" s="10"/>
      <c r="AK77" s="2"/>
      <c r="AL77" s="2"/>
      <c r="AM77" s="2"/>
      <c r="AN77" s="2"/>
    </row>
    <row r="78" spans="1:40" ht="15" x14ac:dyDescent="0.25">
      <c r="A78" s="82" t="s">
        <v>743</v>
      </c>
      <c r="B78" s="83">
        <v>0</v>
      </c>
      <c r="C78" s="83">
        <v>0</v>
      </c>
      <c r="D78" s="83">
        <v>1</v>
      </c>
      <c r="E78" s="83">
        <v>0</v>
      </c>
      <c r="F78" s="83">
        <v>0</v>
      </c>
      <c r="G78" s="83">
        <v>0</v>
      </c>
      <c r="H78" s="10">
        <v>0</v>
      </c>
      <c r="I78" s="84">
        <v>80.786301369863011</v>
      </c>
      <c r="J78" s="83" t="s">
        <v>680</v>
      </c>
      <c r="K78" s="84">
        <v>9.9666666666666668</v>
      </c>
      <c r="L78" s="84">
        <v>1</v>
      </c>
      <c r="M78" s="83">
        <v>9.1</v>
      </c>
      <c r="N78" s="83">
        <v>42</v>
      </c>
      <c r="O78" s="85">
        <f>146/225</f>
        <v>0.64888888888888885</v>
      </c>
      <c r="P78" s="85">
        <f>53/145</f>
        <v>0.36551724137931035</v>
      </c>
      <c r="Q78" s="83">
        <v>119</v>
      </c>
      <c r="R78" s="86">
        <v>2.6363636363636362</v>
      </c>
      <c r="S78" s="83">
        <v>0</v>
      </c>
      <c r="T78" s="83">
        <v>1</v>
      </c>
      <c r="U78" s="83">
        <v>0</v>
      </c>
      <c r="V78" s="83">
        <v>0</v>
      </c>
      <c r="W78" s="83">
        <v>0</v>
      </c>
      <c r="X78" s="10"/>
      <c r="Y78" s="87">
        <v>34.6</v>
      </c>
      <c r="Z78" s="83">
        <v>0</v>
      </c>
      <c r="AA78" s="88">
        <v>34.6</v>
      </c>
      <c r="AB78" s="89">
        <v>0</v>
      </c>
      <c r="AC78" s="90">
        <v>1</v>
      </c>
      <c r="AD78" s="84">
        <v>7.3</v>
      </c>
      <c r="AE78" s="83">
        <v>1.7</v>
      </c>
      <c r="AF78" s="85">
        <f t="shared" si="23"/>
        <v>-81.318681318681314</v>
      </c>
      <c r="AG78" s="10" t="str">
        <f t="shared" si="24"/>
        <v>1</v>
      </c>
      <c r="AH78" s="10"/>
      <c r="AI78" s="10"/>
      <c r="AK78" s="2"/>
      <c r="AL78" s="2"/>
      <c r="AM78" s="2"/>
      <c r="AN78" s="2"/>
    </row>
    <row r="79" spans="1:40" ht="15" x14ac:dyDescent="0.25">
      <c r="A79" s="82" t="s">
        <v>744</v>
      </c>
      <c r="B79" s="83">
        <v>0</v>
      </c>
      <c r="C79" s="83">
        <v>0</v>
      </c>
      <c r="D79" s="83">
        <v>0</v>
      </c>
      <c r="E79" s="83">
        <v>1</v>
      </c>
      <c r="F79" s="83">
        <v>0</v>
      </c>
      <c r="G79" s="83">
        <v>0</v>
      </c>
      <c r="H79" s="10">
        <v>0</v>
      </c>
      <c r="I79" s="84">
        <v>85.506849315068493</v>
      </c>
      <c r="J79" s="83">
        <v>2</v>
      </c>
      <c r="K79" s="84">
        <v>131.36666666666667</v>
      </c>
      <c r="L79" s="84">
        <v>0</v>
      </c>
      <c r="M79" s="83">
        <v>258</v>
      </c>
      <c r="N79" s="83">
        <v>36</v>
      </c>
      <c r="O79" s="85">
        <f>225/225</f>
        <v>1</v>
      </c>
      <c r="P79" s="85">
        <f>101/145</f>
        <v>0.69655172413793098</v>
      </c>
      <c r="Q79" s="83">
        <v>125</v>
      </c>
      <c r="R79" s="86">
        <v>2.5333333333333332</v>
      </c>
      <c r="S79" s="83">
        <v>0</v>
      </c>
      <c r="T79" s="83">
        <v>1</v>
      </c>
      <c r="U79" s="83">
        <v>0</v>
      </c>
      <c r="V79" s="83">
        <v>0</v>
      </c>
      <c r="W79" s="83">
        <v>0</v>
      </c>
      <c r="X79" s="10"/>
      <c r="Y79" s="87">
        <v>6.166666666666667</v>
      </c>
      <c r="Z79" s="83">
        <v>1</v>
      </c>
      <c r="AA79" s="88">
        <v>6.166666666666667</v>
      </c>
      <c r="AB79" s="89">
        <v>0</v>
      </c>
      <c r="AC79" s="90">
        <v>1</v>
      </c>
      <c r="AD79" s="84">
        <v>2.4333333333333331</v>
      </c>
      <c r="AE79" s="83">
        <v>13.9</v>
      </c>
      <c r="AF79" s="85">
        <f t="shared" si="23"/>
        <v>-94.612403100775182</v>
      </c>
      <c r="AG79" s="10" t="str">
        <f t="shared" si="24"/>
        <v>1</v>
      </c>
      <c r="AH79" s="10"/>
      <c r="AI79" s="10"/>
      <c r="AK79" s="2"/>
      <c r="AL79" s="2"/>
      <c r="AM79" s="2"/>
      <c r="AN79" s="2"/>
    </row>
    <row r="80" spans="1:40" ht="15" x14ac:dyDescent="0.25">
      <c r="A80" s="82" t="s">
        <v>745</v>
      </c>
      <c r="B80" s="83">
        <v>0</v>
      </c>
      <c r="C80" s="83">
        <v>0</v>
      </c>
      <c r="D80" s="83">
        <v>1</v>
      </c>
      <c r="E80" s="83">
        <v>1</v>
      </c>
      <c r="F80" s="83">
        <v>0</v>
      </c>
      <c r="G80" s="83">
        <v>0</v>
      </c>
      <c r="H80" s="10">
        <v>0</v>
      </c>
      <c r="I80" s="84">
        <v>76.331506849315062</v>
      </c>
      <c r="J80" s="83">
        <v>0</v>
      </c>
      <c r="K80" s="84">
        <v>16.733333333333334</v>
      </c>
      <c r="L80" s="84">
        <v>0</v>
      </c>
      <c r="M80" s="83">
        <v>16.93</v>
      </c>
      <c r="N80" s="83">
        <v>39</v>
      </c>
      <c r="O80" s="85">
        <f>152/271</f>
        <v>0.56088560885608851</v>
      </c>
      <c r="P80" s="85">
        <f>126/100</f>
        <v>1.26</v>
      </c>
      <c r="Q80" s="83">
        <v>118</v>
      </c>
      <c r="R80" s="86">
        <v>5.9024390243902438</v>
      </c>
      <c r="S80" s="83">
        <v>1</v>
      </c>
      <c r="T80" s="83">
        <v>0</v>
      </c>
      <c r="U80" s="83">
        <v>0</v>
      </c>
      <c r="V80" s="83">
        <v>0</v>
      </c>
      <c r="W80" s="83">
        <v>0</v>
      </c>
      <c r="X80" s="10"/>
      <c r="Y80" s="87">
        <v>32.366666666666667</v>
      </c>
      <c r="Z80" s="83">
        <v>0</v>
      </c>
      <c r="AA80" s="88">
        <v>32.366666666666667</v>
      </c>
      <c r="AB80" s="89">
        <v>0</v>
      </c>
      <c r="AC80" s="90">
        <v>1</v>
      </c>
      <c r="AD80" s="84">
        <v>14.033333333333333</v>
      </c>
      <c r="AE80" s="83">
        <v>0.42</v>
      </c>
      <c r="AF80" s="85">
        <f t="shared" si="23"/>
        <v>-97.519196692262241</v>
      </c>
      <c r="AG80" s="10" t="str">
        <f t="shared" si="24"/>
        <v>1</v>
      </c>
      <c r="AH80" s="10"/>
      <c r="AI80" s="10"/>
      <c r="AK80" s="2"/>
      <c r="AL80" s="2"/>
      <c r="AM80" s="2"/>
      <c r="AN80" s="2"/>
    </row>
    <row r="81" spans="1:40" ht="15" x14ac:dyDescent="0.25">
      <c r="A81" s="82" t="s">
        <v>746</v>
      </c>
      <c r="B81" s="83">
        <v>0</v>
      </c>
      <c r="C81" s="83">
        <v>0</v>
      </c>
      <c r="D81" s="83">
        <v>0</v>
      </c>
      <c r="E81" s="83">
        <v>1</v>
      </c>
      <c r="F81" s="83">
        <v>0</v>
      </c>
      <c r="G81" s="83">
        <v>0</v>
      </c>
      <c r="H81" s="10">
        <v>0</v>
      </c>
      <c r="I81" s="84">
        <v>73.832876712328769</v>
      </c>
      <c r="J81" s="83" t="s">
        <v>680</v>
      </c>
      <c r="K81" s="84">
        <v>8.5</v>
      </c>
      <c r="L81" s="84">
        <v>1</v>
      </c>
      <c r="M81" s="83">
        <v>119.73</v>
      </c>
      <c r="N81" s="83">
        <v>41</v>
      </c>
      <c r="O81" s="85">
        <f>368/271</f>
        <v>1.3579335793357934</v>
      </c>
      <c r="P81" s="85">
        <f>182/100</f>
        <v>1.82</v>
      </c>
      <c r="Q81" s="83">
        <v>119</v>
      </c>
      <c r="R81" s="86">
        <v>3.7416666666666667</v>
      </c>
      <c r="S81" s="83">
        <v>0</v>
      </c>
      <c r="T81" s="83">
        <v>1</v>
      </c>
      <c r="U81" s="83">
        <v>0</v>
      </c>
      <c r="V81" s="83">
        <v>0</v>
      </c>
      <c r="W81" s="83">
        <v>0</v>
      </c>
      <c r="X81" s="10"/>
      <c r="Y81" s="87">
        <v>5</v>
      </c>
      <c r="Z81" s="83">
        <v>1</v>
      </c>
      <c r="AA81" s="88">
        <v>5</v>
      </c>
      <c r="AB81" s="89">
        <v>0</v>
      </c>
      <c r="AC81" s="90">
        <v>1</v>
      </c>
      <c r="AD81" s="84">
        <v>1.1333333333333333</v>
      </c>
      <c r="AE81" s="83" t="s">
        <v>674</v>
      </c>
      <c r="AF81" s="85" t="s">
        <v>674</v>
      </c>
      <c r="AG81" s="10">
        <v>0</v>
      </c>
      <c r="AH81" s="10"/>
      <c r="AI81" s="10"/>
      <c r="AK81" s="2"/>
      <c r="AL81" s="2"/>
      <c r="AM81" s="2"/>
      <c r="AN81" s="2"/>
    </row>
    <row r="82" spans="1:40" ht="15" x14ac:dyDescent="0.25">
      <c r="A82" s="82" t="s">
        <v>747</v>
      </c>
      <c r="B82" s="83">
        <v>0</v>
      </c>
      <c r="C82" s="83">
        <v>0</v>
      </c>
      <c r="D82" s="83">
        <v>0</v>
      </c>
      <c r="E82" s="83">
        <v>1</v>
      </c>
      <c r="F82" s="83">
        <v>0</v>
      </c>
      <c r="G82" s="83">
        <v>0</v>
      </c>
      <c r="H82" s="10">
        <v>0</v>
      </c>
      <c r="I82" s="84">
        <v>68.526027397260279</v>
      </c>
      <c r="J82" s="83" t="s">
        <v>680</v>
      </c>
      <c r="K82" s="84">
        <v>7.1333333333333337</v>
      </c>
      <c r="L82" s="84">
        <v>1</v>
      </c>
      <c r="M82" s="83">
        <v>49.1</v>
      </c>
      <c r="N82" s="83">
        <v>44</v>
      </c>
      <c r="O82" s="85">
        <f>178/225</f>
        <v>0.7911111111111111</v>
      </c>
      <c r="P82" s="85">
        <f>309/145</f>
        <v>2.1310344827586207</v>
      </c>
      <c r="Q82" s="83">
        <v>129</v>
      </c>
      <c r="R82" s="86">
        <v>3.4782608695652173</v>
      </c>
      <c r="S82" s="83">
        <v>0</v>
      </c>
      <c r="T82" s="83">
        <v>1</v>
      </c>
      <c r="U82" s="83">
        <v>0</v>
      </c>
      <c r="V82" s="83">
        <v>0</v>
      </c>
      <c r="W82" s="83">
        <v>0</v>
      </c>
      <c r="X82" s="10"/>
      <c r="Y82" s="87">
        <v>10.433333333333334</v>
      </c>
      <c r="Z82" s="83">
        <v>1</v>
      </c>
      <c r="AA82" s="88">
        <v>10.433333333333334</v>
      </c>
      <c r="AB82" s="89">
        <v>0</v>
      </c>
      <c r="AC82" s="90">
        <v>1</v>
      </c>
      <c r="AD82" s="84">
        <v>6.0666666666666664</v>
      </c>
      <c r="AE82" s="83">
        <v>9</v>
      </c>
      <c r="AF82" s="85">
        <f t="shared" ref="AF82:AF87" si="25">((M82-AE82)/M82)*(-100)</f>
        <v>-81.670061099796328</v>
      </c>
      <c r="AG82" s="10" t="str">
        <f t="shared" ref="AG82:AG87" si="26">IF((AE82/M82)&lt;0.5,"1","0")</f>
        <v>1</v>
      </c>
      <c r="AH82" s="10"/>
      <c r="AI82" s="10"/>
      <c r="AK82" s="2"/>
      <c r="AL82" s="2"/>
      <c r="AM82" s="2"/>
      <c r="AN82" s="2"/>
    </row>
    <row r="83" spans="1:40" ht="15" x14ac:dyDescent="0.25">
      <c r="A83" s="82" t="s">
        <v>748</v>
      </c>
      <c r="B83" s="83">
        <v>0</v>
      </c>
      <c r="C83" s="83">
        <v>0</v>
      </c>
      <c r="D83" s="83">
        <v>0</v>
      </c>
      <c r="E83" s="83">
        <v>1</v>
      </c>
      <c r="F83" s="83">
        <v>0</v>
      </c>
      <c r="G83" s="83">
        <v>0</v>
      </c>
      <c r="H83" s="10">
        <v>0</v>
      </c>
      <c r="I83" s="84">
        <v>80.991780821917814</v>
      </c>
      <c r="J83" s="83">
        <v>0</v>
      </c>
      <c r="K83" s="84">
        <v>54.43333333333333</v>
      </c>
      <c r="L83" s="84">
        <v>0</v>
      </c>
      <c r="M83" s="83">
        <v>50</v>
      </c>
      <c r="N83" s="83">
        <v>45</v>
      </c>
      <c r="O83" s="85" t="s">
        <v>674</v>
      </c>
      <c r="P83" s="85">
        <f>49/145</f>
        <v>0.33793103448275863</v>
      </c>
      <c r="Q83" s="83">
        <v>123</v>
      </c>
      <c r="R83" s="86">
        <v>1.2666666666666666</v>
      </c>
      <c r="S83" s="83">
        <v>0</v>
      </c>
      <c r="T83" s="83">
        <v>1</v>
      </c>
      <c r="U83" s="83">
        <v>0</v>
      </c>
      <c r="V83" s="83">
        <v>0</v>
      </c>
      <c r="W83" s="83">
        <v>0</v>
      </c>
      <c r="X83" s="10"/>
      <c r="Y83" s="87">
        <v>29.066666666666666</v>
      </c>
      <c r="Z83" s="83">
        <v>0</v>
      </c>
      <c r="AA83" s="88">
        <v>29.066666666666666</v>
      </c>
      <c r="AB83" s="89">
        <v>0</v>
      </c>
      <c r="AC83" s="90">
        <v>1</v>
      </c>
      <c r="AD83" s="84">
        <v>4.333333333333333</v>
      </c>
      <c r="AE83" s="83">
        <v>14.1</v>
      </c>
      <c r="AF83" s="85">
        <f t="shared" si="25"/>
        <v>-71.8</v>
      </c>
      <c r="AG83" s="10" t="str">
        <f t="shared" si="26"/>
        <v>1</v>
      </c>
      <c r="AH83" s="10"/>
      <c r="AI83" s="10"/>
      <c r="AK83" s="2"/>
      <c r="AL83" s="2"/>
      <c r="AM83" s="2"/>
      <c r="AN83" s="2"/>
    </row>
    <row r="84" spans="1:40" ht="15" x14ac:dyDescent="0.25">
      <c r="A84" s="82" t="s">
        <v>749</v>
      </c>
      <c r="B84" s="83">
        <v>0</v>
      </c>
      <c r="C84" s="83">
        <v>0</v>
      </c>
      <c r="D84" s="83">
        <v>0</v>
      </c>
      <c r="E84" s="83">
        <v>0</v>
      </c>
      <c r="F84" s="83">
        <v>0</v>
      </c>
      <c r="G84" s="83">
        <v>0</v>
      </c>
      <c r="H84" s="10">
        <v>1</v>
      </c>
      <c r="I84" s="84">
        <v>76.054794520547944</v>
      </c>
      <c r="J84" s="83" t="s">
        <v>680</v>
      </c>
      <c r="K84" s="84">
        <v>12</v>
      </c>
      <c r="L84" s="84">
        <v>1</v>
      </c>
      <c r="M84" s="83">
        <v>0.62</v>
      </c>
      <c r="N84" s="83">
        <v>44</v>
      </c>
      <c r="O84" s="85">
        <f>572/618</f>
        <v>0.92556634304207119</v>
      </c>
      <c r="P84" s="85">
        <f>93/126</f>
        <v>0.73809523809523814</v>
      </c>
      <c r="Q84" s="83">
        <v>161</v>
      </c>
      <c r="R84" s="86">
        <v>5.7857142857142856</v>
      </c>
      <c r="S84" s="83">
        <v>1</v>
      </c>
      <c r="T84" s="83">
        <v>0</v>
      </c>
      <c r="U84" s="83">
        <v>0</v>
      </c>
      <c r="V84" s="83">
        <v>0</v>
      </c>
      <c r="W84" s="83">
        <v>0</v>
      </c>
      <c r="X84" s="10"/>
      <c r="Y84" s="87">
        <v>14.7</v>
      </c>
      <c r="Z84" s="83">
        <v>1</v>
      </c>
      <c r="AA84" s="88">
        <v>14.7</v>
      </c>
      <c r="AB84" s="89">
        <v>0</v>
      </c>
      <c r="AC84" s="90">
        <v>0</v>
      </c>
      <c r="AD84" s="84">
        <v>12.9</v>
      </c>
      <c r="AE84" s="83">
        <v>0.18</v>
      </c>
      <c r="AF84" s="85">
        <f t="shared" si="25"/>
        <v>-70.967741935483872</v>
      </c>
      <c r="AG84" s="10" t="str">
        <f t="shared" si="26"/>
        <v>1</v>
      </c>
      <c r="AH84" s="10"/>
      <c r="AI84" s="10"/>
      <c r="AK84" s="2"/>
      <c r="AL84" s="2"/>
      <c r="AM84" s="2"/>
      <c r="AN84" s="2"/>
    </row>
    <row r="85" spans="1:40" ht="15" x14ac:dyDescent="0.25">
      <c r="A85" s="82" t="s">
        <v>750</v>
      </c>
      <c r="B85" s="83">
        <v>1</v>
      </c>
      <c r="C85" s="83">
        <v>0</v>
      </c>
      <c r="D85" s="83">
        <v>1</v>
      </c>
      <c r="E85" s="83">
        <v>1</v>
      </c>
      <c r="F85" s="83">
        <v>0</v>
      </c>
      <c r="G85" s="83">
        <v>0</v>
      </c>
      <c r="H85" s="10">
        <v>0</v>
      </c>
      <c r="I85" s="84">
        <v>57.969863013698628</v>
      </c>
      <c r="J85" s="83" t="s">
        <v>680</v>
      </c>
      <c r="K85" s="84">
        <v>3.5333333333333332</v>
      </c>
      <c r="L85" s="84">
        <v>1</v>
      </c>
      <c r="M85" s="83">
        <v>297</v>
      </c>
      <c r="N85" s="83" t="s">
        <v>674</v>
      </c>
      <c r="O85" s="85" t="s">
        <v>674</v>
      </c>
      <c r="P85" s="85" t="s">
        <v>674</v>
      </c>
      <c r="Q85" s="83" t="s">
        <v>674</v>
      </c>
      <c r="R85" s="86" t="s">
        <v>674</v>
      </c>
      <c r="S85" s="83">
        <v>1</v>
      </c>
      <c r="T85" s="83">
        <v>0</v>
      </c>
      <c r="U85" s="83">
        <v>0</v>
      </c>
      <c r="V85" s="83">
        <v>0</v>
      </c>
      <c r="W85" s="83">
        <v>0</v>
      </c>
      <c r="X85" s="10"/>
      <c r="Y85" s="87">
        <v>35.43333333333333</v>
      </c>
      <c r="Z85" s="83">
        <v>0</v>
      </c>
      <c r="AA85" s="88">
        <v>35.43333333333333</v>
      </c>
      <c r="AB85" s="89">
        <v>0</v>
      </c>
      <c r="AC85" s="90">
        <v>1</v>
      </c>
      <c r="AD85" s="84">
        <v>16.866666666666667</v>
      </c>
      <c r="AE85" s="83">
        <v>5.0599999999999996</v>
      </c>
      <c r="AF85" s="85">
        <f t="shared" si="25"/>
        <v>-98.296296296296291</v>
      </c>
      <c r="AG85" s="10" t="str">
        <f t="shared" si="26"/>
        <v>1</v>
      </c>
      <c r="AH85" s="10"/>
      <c r="AI85" s="10"/>
      <c r="AK85" s="2"/>
      <c r="AL85" s="2"/>
      <c r="AM85" s="2"/>
      <c r="AN85" s="2"/>
    </row>
    <row r="86" spans="1:40" ht="15" x14ac:dyDescent="0.25">
      <c r="A86" s="82" t="s">
        <v>751</v>
      </c>
      <c r="B86" s="83">
        <v>0</v>
      </c>
      <c r="C86" s="83">
        <v>0</v>
      </c>
      <c r="D86" s="83">
        <v>1</v>
      </c>
      <c r="E86" s="83">
        <v>1</v>
      </c>
      <c r="F86" s="83">
        <v>0</v>
      </c>
      <c r="G86" s="83">
        <v>0</v>
      </c>
      <c r="H86" s="10">
        <v>0</v>
      </c>
      <c r="I86" s="84">
        <v>70.101369863013701</v>
      </c>
      <c r="J86" s="83" t="s">
        <v>680</v>
      </c>
      <c r="K86" s="84">
        <v>18.5</v>
      </c>
      <c r="L86" s="84">
        <v>0</v>
      </c>
      <c r="M86" s="83">
        <v>116.02</v>
      </c>
      <c r="N86" s="83">
        <v>36</v>
      </c>
      <c r="O86" s="85" t="s">
        <v>674</v>
      </c>
      <c r="P86" s="85">
        <f>109/126</f>
        <v>0.86507936507936511</v>
      </c>
      <c r="Q86" s="83">
        <v>134</v>
      </c>
      <c r="R86" s="86">
        <v>2.4</v>
      </c>
      <c r="S86" s="83">
        <v>1</v>
      </c>
      <c r="T86" s="83">
        <v>0</v>
      </c>
      <c r="U86" s="83">
        <v>0</v>
      </c>
      <c r="V86" s="83">
        <v>0</v>
      </c>
      <c r="W86" s="83">
        <v>0</v>
      </c>
      <c r="X86" s="10"/>
      <c r="Y86" s="87">
        <v>21.466666666666665</v>
      </c>
      <c r="Z86" s="83">
        <v>0</v>
      </c>
      <c r="AA86" s="88">
        <v>21.466666666666665</v>
      </c>
      <c r="AB86" s="89">
        <v>0</v>
      </c>
      <c r="AC86" s="90">
        <v>1</v>
      </c>
      <c r="AD86" s="84">
        <v>11.4</v>
      </c>
      <c r="AE86" s="83">
        <v>92.3</v>
      </c>
      <c r="AF86" s="85">
        <f t="shared" si="25"/>
        <v>-20.444750905016377</v>
      </c>
      <c r="AG86" s="10" t="str">
        <f t="shared" si="26"/>
        <v>0</v>
      </c>
      <c r="AH86" s="10"/>
      <c r="AI86" s="10"/>
      <c r="AK86" s="2"/>
      <c r="AL86" s="2"/>
      <c r="AM86" s="2"/>
      <c r="AN86" s="2"/>
    </row>
    <row r="87" spans="1:40" ht="15" x14ac:dyDescent="0.25">
      <c r="A87" s="82" t="s">
        <v>865</v>
      </c>
      <c r="B87" s="83">
        <v>1</v>
      </c>
      <c r="C87" s="83">
        <v>0</v>
      </c>
      <c r="D87" s="83">
        <v>1</v>
      </c>
      <c r="E87" s="83">
        <v>1</v>
      </c>
      <c r="F87" s="83">
        <v>0</v>
      </c>
      <c r="G87" s="83">
        <v>0</v>
      </c>
      <c r="H87" s="10">
        <v>0</v>
      </c>
      <c r="I87" s="84">
        <v>78.69589041095891</v>
      </c>
      <c r="J87" s="83" t="s">
        <v>680</v>
      </c>
      <c r="K87" s="84">
        <v>24.2</v>
      </c>
      <c r="L87" s="84">
        <v>0</v>
      </c>
      <c r="M87" s="83">
        <v>21.59</v>
      </c>
      <c r="N87" s="83">
        <v>45</v>
      </c>
      <c r="O87" s="85">
        <f>831/618</f>
        <v>1.3446601941747574</v>
      </c>
      <c r="P87" s="85">
        <f>220/126</f>
        <v>1.746031746031746</v>
      </c>
      <c r="Q87" s="83">
        <v>123</v>
      </c>
      <c r="R87" s="86">
        <v>2.8235294117647061</v>
      </c>
      <c r="S87" s="83">
        <v>1</v>
      </c>
      <c r="T87" s="83">
        <v>0</v>
      </c>
      <c r="U87" s="83">
        <v>0</v>
      </c>
      <c r="V87" s="83">
        <v>0</v>
      </c>
      <c r="W87" s="83">
        <v>0</v>
      </c>
      <c r="X87" s="10"/>
      <c r="Y87" s="87">
        <v>24.833333333333332</v>
      </c>
      <c r="Z87" s="83">
        <v>1</v>
      </c>
      <c r="AA87" s="88">
        <v>24.833333333333332</v>
      </c>
      <c r="AB87" s="89">
        <v>0</v>
      </c>
      <c r="AC87" s="90">
        <v>1</v>
      </c>
      <c r="AD87" s="84">
        <v>5.5666666666666664</v>
      </c>
      <c r="AE87" s="83">
        <v>7.69</v>
      </c>
      <c r="AF87" s="85">
        <f t="shared" si="25"/>
        <v>-64.381658175081043</v>
      </c>
      <c r="AG87" s="10" t="str">
        <f t="shared" si="26"/>
        <v>1</v>
      </c>
      <c r="AH87" s="10"/>
      <c r="AI87" s="10"/>
      <c r="AK87" s="2"/>
      <c r="AL87" s="2"/>
      <c r="AM87" s="2"/>
      <c r="AN87" s="2"/>
    </row>
    <row r="88" spans="1:40" ht="15" x14ac:dyDescent="0.25">
      <c r="A88" s="82" t="s">
        <v>752</v>
      </c>
      <c r="B88" s="83">
        <v>1</v>
      </c>
      <c r="C88" s="83">
        <v>0</v>
      </c>
      <c r="D88" s="83">
        <v>0</v>
      </c>
      <c r="E88" s="83">
        <v>1</v>
      </c>
      <c r="F88" s="83">
        <v>0</v>
      </c>
      <c r="G88" s="83">
        <v>0</v>
      </c>
      <c r="H88" s="10">
        <v>0</v>
      </c>
      <c r="I88" s="84">
        <v>58.654794520547945</v>
      </c>
      <c r="J88" s="83" t="s">
        <v>680</v>
      </c>
      <c r="K88" s="84">
        <v>12.266666666666667</v>
      </c>
      <c r="L88" s="84">
        <v>1</v>
      </c>
      <c r="M88" s="83">
        <v>5.78</v>
      </c>
      <c r="N88" s="83">
        <v>44</v>
      </c>
      <c r="O88" s="85">
        <f>722/618</f>
        <v>1.1682847896440129</v>
      </c>
      <c r="P88" s="85">
        <f>530/126</f>
        <v>4.2063492063492065</v>
      </c>
      <c r="Q88" s="83">
        <v>133</v>
      </c>
      <c r="R88" s="86">
        <v>2.8</v>
      </c>
      <c r="S88" s="83">
        <v>0</v>
      </c>
      <c r="T88" s="83">
        <v>1</v>
      </c>
      <c r="U88" s="83">
        <v>0</v>
      </c>
      <c r="V88" s="83">
        <v>0</v>
      </c>
      <c r="W88" s="83">
        <v>0</v>
      </c>
      <c r="X88" s="10"/>
      <c r="Y88" s="87">
        <v>3.8</v>
      </c>
      <c r="Z88" s="83">
        <v>1</v>
      </c>
      <c r="AA88" s="88">
        <v>3.8</v>
      </c>
      <c r="AB88" s="89">
        <v>0</v>
      </c>
      <c r="AC88" s="90">
        <v>1</v>
      </c>
      <c r="AD88" s="84">
        <v>1.8333333333333333</v>
      </c>
      <c r="AE88" s="83" t="s">
        <v>674</v>
      </c>
      <c r="AF88" s="85" t="s">
        <v>674</v>
      </c>
      <c r="AG88" s="10">
        <v>0</v>
      </c>
      <c r="AH88" s="10"/>
      <c r="AI88" s="10"/>
      <c r="AK88" s="2"/>
      <c r="AL88" s="2"/>
      <c r="AM88" s="2"/>
      <c r="AN88" s="2"/>
    </row>
    <row r="89" spans="1:40" ht="15" x14ac:dyDescent="0.25">
      <c r="A89" s="82" t="s">
        <v>1932</v>
      </c>
      <c r="B89" s="83">
        <v>0</v>
      </c>
      <c r="C89" s="83">
        <v>0</v>
      </c>
      <c r="D89" s="83">
        <v>0</v>
      </c>
      <c r="E89" s="83">
        <v>1</v>
      </c>
      <c r="F89" s="83">
        <v>0</v>
      </c>
      <c r="G89" s="83">
        <v>0</v>
      </c>
      <c r="H89" s="10">
        <v>0</v>
      </c>
      <c r="I89" s="84">
        <v>79.402739726027391</v>
      </c>
      <c r="J89" s="83">
        <v>1</v>
      </c>
      <c r="K89" s="84">
        <v>94.033333333333331</v>
      </c>
      <c r="L89" s="84">
        <v>0</v>
      </c>
      <c r="M89" s="83">
        <v>21.53</v>
      </c>
      <c r="N89" s="83">
        <v>47</v>
      </c>
      <c r="O89" s="85">
        <f>145/250</f>
        <v>0.57999999999999996</v>
      </c>
      <c r="P89" s="85">
        <f>116/130</f>
        <v>0.89230769230769236</v>
      </c>
      <c r="Q89" s="83" t="s">
        <v>674</v>
      </c>
      <c r="R89" s="86" t="s">
        <v>674</v>
      </c>
      <c r="S89" s="83">
        <v>1</v>
      </c>
      <c r="T89" s="83">
        <v>0</v>
      </c>
      <c r="U89" s="83">
        <v>0</v>
      </c>
      <c r="V89" s="83">
        <v>0</v>
      </c>
      <c r="W89" s="83">
        <v>0</v>
      </c>
      <c r="X89" s="10"/>
      <c r="Y89" s="87">
        <v>16</v>
      </c>
      <c r="Z89" s="83">
        <v>1</v>
      </c>
      <c r="AA89" s="88">
        <v>16</v>
      </c>
      <c r="AB89" s="89">
        <v>0</v>
      </c>
      <c r="AC89" s="90">
        <v>1</v>
      </c>
      <c r="AD89" s="84">
        <v>13.1</v>
      </c>
      <c r="AE89" s="83">
        <v>29.17</v>
      </c>
      <c r="AF89" s="85">
        <f t="shared" ref="AF89:AF96" si="27">((M89-AE89)/M89)*(-100)</f>
        <v>35.485369252206226</v>
      </c>
      <c r="AG89" s="10" t="str">
        <f t="shared" ref="AG89:AG96" si="28">IF((AE89/M89)&lt;0.5,"1","0")</f>
        <v>0</v>
      </c>
      <c r="AH89" s="10"/>
      <c r="AI89" s="10"/>
      <c r="AK89" s="2"/>
      <c r="AL89" s="2"/>
      <c r="AM89" s="2"/>
      <c r="AN89" s="2"/>
    </row>
    <row r="90" spans="1:40" ht="15" x14ac:dyDescent="0.25">
      <c r="A90" s="82" t="s">
        <v>753</v>
      </c>
      <c r="B90" s="83">
        <v>1</v>
      </c>
      <c r="C90" s="83">
        <v>0</v>
      </c>
      <c r="D90" s="83">
        <v>1</v>
      </c>
      <c r="E90" s="83">
        <v>1</v>
      </c>
      <c r="F90" s="83">
        <v>0</v>
      </c>
      <c r="G90" s="83">
        <v>0</v>
      </c>
      <c r="H90" s="10">
        <v>0</v>
      </c>
      <c r="I90" s="84">
        <v>66.838356164383555</v>
      </c>
      <c r="J90" s="83">
        <v>1</v>
      </c>
      <c r="K90" s="84">
        <v>2.2999999999999998</v>
      </c>
      <c r="L90" s="84">
        <v>1</v>
      </c>
      <c r="M90" s="83">
        <v>5800</v>
      </c>
      <c r="N90" s="83" t="s">
        <v>674</v>
      </c>
      <c r="O90" s="85">
        <f>142/220</f>
        <v>0.6454545454545455</v>
      </c>
      <c r="P90" s="85">
        <f>672/130</f>
        <v>5.1692307692307695</v>
      </c>
      <c r="Q90" s="83">
        <v>143</v>
      </c>
      <c r="R90" s="86">
        <v>6.4</v>
      </c>
      <c r="S90" s="83">
        <v>0</v>
      </c>
      <c r="T90" s="83">
        <v>1</v>
      </c>
      <c r="U90" s="83">
        <v>0</v>
      </c>
      <c r="V90" s="83">
        <v>0</v>
      </c>
      <c r="W90" s="83">
        <v>0</v>
      </c>
      <c r="X90" s="10"/>
      <c r="Y90" s="87">
        <v>3.4</v>
      </c>
      <c r="Z90" s="83">
        <v>0</v>
      </c>
      <c r="AA90" s="88">
        <v>3.4</v>
      </c>
      <c r="AB90" s="89">
        <v>0</v>
      </c>
      <c r="AC90" s="90">
        <v>0</v>
      </c>
      <c r="AD90" s="84">
        <v>1.8</v>
      </c>
      <c r="AE90" s="83">
        <v>204.7</v>
      </c>
      <c r="AF90" s="85">
        <f t="shared" si="27"/>
        <v>-96.470689655172421</v>
      </c>
      <c r="AG90" s="10" t="str">
        <f t="shared" si="28"/>
        <v>1</v>
      </c>
      <c r="AH90" s="10"/>
      <c r="AI90" s="10"/>
      <c r="AK90" s="2"/>
      <c r="AL90" s="2"/>
      <c r="AM90" s="2"/>
      <c r="AN90" s="2"/>
    </row>
    <row r="91" spans="1:40" ht="15" x14ac:dyDescent="0.25">
      <c r="A91" s="82" t="s">
        <v>754</v>
      </c>
      <c r="B91" s="83">
        <v>0</v>
      </c>
      <c r="C91" s="83">
        <v>0</v>
      </c>
      <c r="D91" s="83">
        <v>1</v>
      </c>
      <c r="E91" s="83">
        <v>1</v>
      </c>
      <c r="F91" s="83">
        <v>0</v>
      </c>
      <c r="G91" s="83">
        <v>0</v>
      </c>
      <c r="H91" s="10">
        <v>0</v>
      </c>
      <c r="I91" s="84">
        <v>76.871232876712327</v>
      </c>
      <c r="J91" s="83">
        <v>1</v>
      </c>
      <c r="K91" s="84">
        <v>20.6</v>
      </c>
      <c r="L91" s="84">
        <v>0</v>
      </c>
      <c r="M91" s="83">
        <v>13.5</v>
      </c>
      <c r="N91" s="83" t="s">
        <v>674</v>
      </c>
      <c r="O91" s="85" t="s">
        <v>674</v>
      </c>
      <c r="P91" s="85" t="s">
        <v>674</v>
      </c>
      <c r="Q91" s="83" t="s">
        <v>674</v>
      </c>
      <c r="R91" s="86" t="s">
        <v>674</v>
      </c>
      <c r="S91" s="83">
        <v>0</v>
      </c>
      <c r="T91" s="83">
        <v>1</v>
      </c>
      <c r="U91" s="83">
        <v>0</v>
      </c>
      <c r="V91" s="83">
        <v>0</v>
      </c>
      <c r="W91" s="83">
        <v>0</v>
      </c>
      <c r="X91" s="10"/>
      <c r="Y91" s="87">
        <v>30.666666666666668</v>
      </c>
      <c r="Z91" s="83">
        <v>1</v>
      </c>
      <c r="AA91" s="88">
        <v>30.666666666666668</v>
      </c>
      <c r="AB91" s="89">
        <v>0</v>
      </c>
      <c r="AC91" s="90">
        <v>1</v>
      </c>
      <c r="AD91" s="84">
        <v>11.166666666666666</v>
      </c>
      <c r="AE91" s="83">
        <v>2.2000000000000002</v>
      </c>
      <c r="AF91" s="85">
        <f t="shared" si="27"/>
        <v>-83.703703703703709</v>
      </c>
      <c r="AG91" s="10" t="str">
        <f t="shared" si="28"/>
        <v>1</v>
      </c>
      <c r="AH91" s="10"/>
      <c r="AI91" s="10"/>
      <c r="AK91" s="2"/>
      <c r="AL91" s="2"/>
      <c r="AM91" s="2"/>
      <c r="AN91" s="2"/>
    </row>
    <row r="92" spans="1:40" ht="15" x14ac:dyDescent="0.25">
      <c r="A92" s="82" t="s">
        <v>755</v>
      </c>
      <c r="B92" s="83">
        <v>2</v>
      </c>
      <c r="C92" s="83">
        <v>0</v>
      </c>
      <c r="D92" s="83">
        <v>1</v>
      </c>
      <c r="E92" s="83">
        <v>1</v>
      </c>
      <c r="F92" s="83">
        <v>0</v>
      </c>
      <c r="G92" s="83">
        <v>0</v>
      </c>
      <c r="H92" s="10">
        <v>0</v>
      </c>
      <c r="I92" s="84">
        <v>88.098630136986301</v>
      </c>
      <c r="J92" s="83" t="s">
        <v>680</v>
      </c>
      <c r="K92" s="84">
        <v>13.4</v>
      </c>
      <c r="L92" s="84">
        <v>0</v>
      </c>
      <c r="M92" s="83">
        <v>77.7</v>
      </c>
      <c r="N92" s="83">
        <v>34</v>
      </c>
      <c r="O92" s="85">
        <f>183/220</f>
        <v>0.83181818181818179</v>
      </c>
      <c r="P92" s="85">
        <f>68/130</f>
        <v>0.52307692307692311</v>
      </c>
      <c r="Q92" s="83">
        <v>113</v>
      </c>
      <c r="R92" s="86">
        <v>3.4090909090909092</v>
      </c>
      <c r="S92" s="83">
        <v>1</v>
      </c>
      <c r="T92" s="83">
        <v>0</v>
      </c>
      <c r="U92" s="83">
        <v>0</v>
      </c>
      <c r="V92" s="83">
        <v>0</v>
      </c>
      <c r="W92" s="83">
        <v>0</v>
      </c>
      <c r="X92" s="10"/>
      <c r="Y92" s="87">
        <v>22.8</v>
      </c>
      <c r="Z92" s="83">
        <v>1</v>
      </c>
      <c r="AA92" s="88">
        <v>22.8</v>
      </c>
      <c r="AB92" s="89">
        <v>0</v>
      </c>
      <c r="AC92" s="90">
        <v>0</v>
      </c>
      <c r="AD92" s="84">
        <v>20.433333333333334</v>
      </c>
      <c r="AE92" s="83">
        <v>0.69</v>
      </c>
      <c r="AF92" s="85">
        <f t="shared" si="27"/>
        <v>-99.111969111969117</v>
      </c>
      <c r="AG92" s="10" t="str">
        <f t="shared" si="28"/>
        <v>1</v>
      </c>
      <c r="AH92" s="10"/>
      <c r="AI92" s="10"/>
      <c r="AK92" s="2"/>
      <c r="AL92" s="2"/>
      <c r="AM92" s="2"/>
      <c r="AN92" s="2"/>
    </row>
    <row r="93" spans="1:40" ht="15" x14ac:dyDescent="0.25">
      <c r="A93" s="82" t="s">
        <v>756</v>
      </c>
      <c r="B93" s="83">
        <v>1</v>
      </c>
      <c r="C93" s="83">
        <v>2</v>
      </c>
      <c r="D93" s="83">
        <v>1</v>
      </c>
      <c r="E93" s="83">
        <v>1</v>
      </c>
      <c r="F93" s="83">
        <v>0</v>
      </c>
      <c r="G93" s="83">
        <v>0</v>
      </c>
      <c r="H93" s="10">
        <v>0</v>
      </c>
      <c r="I93" s="84">
        <v>80.947945205479456</v>
      </c>
      <c r="J93" s="83">
        <v>1</v>
      </c>
      <c r="K93" s="84">
        <v>10.7</v>
      </c>
      <c r="L93" s="84">
        <v>1</v>
      </c>
      <c r="M93" s="83">
        <v>83.4</v>
      </c>
      <c r="N93" s="83" t="s">
        <v>674</v>
      </c>
      <c r="O93" s="85">
        <f>182/220</f>
        <v>0.82727272727272727</v>
      </c>
      <c r="P93" s="85">
        <f>188/130</f>
        <v>1.4461538461538461</v>
      </c>
      <c r="Q93" s="83">
        <v>127</v>
      </c>
      <c r="R93" s="86">
        <v>0.91666666666666663</v>
      </c>
      <c r="S93" s="83">
        <v>0</v>
      </c>
      <c r="T93" s="83">
        <v>0</v>
      </c>
      <c r="U93" s="83">
        <v>1</v>
      </c>
      <c r="V93" s="83">
        <v>0</v>
      </c>
      <c r="W93" s="83">
        <v>0</v>
      </c>
      <c r="X93" s="10"/>
      <c r="Y93" s="87">
        <v>9.3000000000000007</v>
      </c>
      <c r="Z93" s="83">
        <v>1</v>
      </c>
      <c r="AA93" s="88">
        <v>9.3000000000000007</v>
      </c>
      <c r="AB93" s="89">
        <v>0</v>
      </c>
      <c r="AC93" s="90">
        <v>1</v>
      </c>
      <c r="AD93" s="84">
        <v>4.1333333333333337</v>
      </c>
      <c r="AE93" s="83">
        <v>107</v>
      </c>
      <c r="AF93" s="85">
        <f t="shared" si="27"/>
        <v>28.297362110311742</v>
      </c>
      <c r="AG93" s="10" t="str">
        <f t="shared" si="28"/>
        <v>0</v>
      </c>
      <c r="AH93" s="10"/>
      <c r="AI93" s="10"/>
      <c r="AK93" s="2"/>
      <c r="AL93" s="2"/>
      <c r="AM93" s="2"/>
      <c r="AN93" s="2"/>
    </row>
    <row r="94" spans="1:40" ht="15" x14ac:dyDescent="0.25">
      <c r="A94" s="82" t="s">
        <v>1934</v>
      </c>
      <c r="B94" s="83">
        <v>0</v>
      </c>
      <c r="C94" s="83">
        <v>0</v>
      </c>
      <c r="D94" s="83">
        <v>1</v>
      </c>
      <c r="E94" s="83">
        <v>1</v>
      </c>
      <c r="F94" s="83">
        <v>1</v>
      </c>
      <c r="G94" s="83">
        <v>0</v>
      </c>
      <c r="H94" s="10">
        <v>0</v>
      </c>
      <c r="I94" s="84">
        <v>79.723287671232882</v>
      </c>
      <c r="J94" s="83">
        <v>2</v>
      </c>
      <c r="K94" s="84">
        <v>49.56666666666667</v>
      </c>
      <c r="L94" s="84">
        <v>0</v>
      </c>
      <c r="M94" s="83">
        <v>5.9</v>
      </c>
      <c r="N94" s="83" t="s">
        <v>674</v>
      </c>
      <c r="O94" s="85" t="s">
        <v>674</v>
      </c>
      <c r="P94" s="85" t="s">
        <v>674</v>
      </c>
      <c r="Q94" s="83">
        <v>118</v>
      </c>
      <c r="R94" s="86">
        <v>2.7894736842105261</v>
      </c>
      <c r="S94" s="83">
        <v>0</v>
      </c>
      <c r="T94" s="83">
        <v>1</v>
      </c>
      <c r="U94" s="83">
        <v>0</v>
      </c>
      <c r="V94" s="83">
        <v>0</v>
      </c>
      <c r="W94" s="83">
        <v>0</v>
      </c>
      <c r="X94" s="10"/>
      <c r="Y94" s="87">
        <v>14.5</v>
      </c>
      <c r="Z94" s="83">
        <v>1</v>
      </c>
      <c r="AA94" s="88">
        <v>14.5</v>
      </c>
      <c r="AB94" s="89">
        <v>0</v>
      </c>
      <c r="AC94" s="90">
        <v>1</v>
      </c>
      <c r="AD94" s="84">
        <v>4.9000000000000004</v>
      </c>
      <c r="AE94" s="83">
        <v>2.5099999999999998</v>
      </c>
      <c r="AF94" s="85">
        <f t="shared" si="27"/>
        <v>-57.457627118644069</v>
      </c>
      <c r="AG94" s="10" t="str">
        <f t="shared" si="28"/>
        <v>1</v>
      </c>
      <c r="AH94" s="10"/>
      <c r="AI94" s="10"/>
      <c r="AK94" s="2"/>
      <c r="AL94" s="2"/>
      <c r="AM94" s="2"/>
      <c r="AN94" s="2"/>
    </row>
    <row r="95" spans="1:40" ht="15" x14ac:dyDescent="0.25">
      <c r="A95" s="82" t="s">
        <v>757</v>
      </c>
      <c r="B95" s="83">
        <v>1</v>
      </c>
      <c r="C95" s="83">
        <v>0</v>
      </c>
      <c r="D95" s="83">
        <v>0</v>
      </c>
      <c r="E95" s="83">
        <v>1</v>
      </c>
      <c r="F95" s="83">
        <v>0</v>
      </c>
      <c r="G95" s="83">
        <v>0</v>
      </c>
      <c r="H95" s="10">
        <v>0</v>
      </c>
      <c r="I95" s="84">
        <v>83.369863013698634</v>
      </c>
      <c r="J95" s="83">
        <v>3</v>
      </c>
      <c r="K95" s="84">
        <v>20.333333333333332</v>
      </c>
      <c r="L95" s="84">
        <v>0</v>
      </c>
      <c r="M95" s="83">
        <v>0.17</v>
      </c>
      <c r="N95" s="83" t="s">
        <v>674</v>
      </c>
      <c r="O95" s="85">
        <f>255/225</f>
        <v>1.1333333333333333</v>
      </c>
      <c r="P95" s="85">
        <f>161/145</f>
        <v>1.1103448275862069</v>
      </c>
      <c r="Q95" s="83">
        <v>99</v>
      </c>
      <c r="R95" s="86">
        <v>4</v>
      </c>
      <c r="S95" s="83">
        <v>0</v>
      </c>
      <c r="T95" s="83">
        <v>1</v>
      </c>
      <c r="U95" s="83">
        <v>0</v>
      </c>
      <c r="V95" s="83">
        <v>0</v>
      </c>
      <c r="W95" s="83">
        <v>0</v>
      </c>
      <c r="X95" s="10"/>
      <c r="Y95" s="87">
        <v>13.533333333333333</v>
      </c>
      <c r="Z95" s="83">
        <v>1</v>
      </c>
      <c r="AA95" s="88">
        <v>13.533333333333333</v>
      </c>
      <c r="AB95" s="89">
        <v>0</v>
      </c>
      <c r="AC95" s="90">
        <v>0</v>
      </c>
      <c r="AD95" s="84">
        <v>11.566666666666666</v>
      </c>
      <c r="AE95" s="83">
        <v>0.1</v>
      </c>
      <c r="AF95" s="85">
        <f t="shared" si="27"/>
        <v>-41.176470588235297</v>
      </c>
      <c r="AG95" s="10" t="str">
        <f t="shared" si="28"/>
        <v>0</v>
      </c>
      <c r="AH95" s="10"/>
      <c r="AI95" s="10"/>
      <c r="AK95" s="2"/>
      <c r="AL95" s="2"/>
      <c r="AM95" s="2"/>
      <c r="AN95" s="2"/>
    </row>
    <row r="96" spans="1:40" ht="15" x14ac:dyDescent="0.25">
      <c r="A96" s="82" t="s">
        <v>883</v>
      </c>
      <c r="B96" s="83">
        <v>0</v>
      </c>
      <c r="C96" s="83">
        <v>4</v>
      </c>
      <c r="D96" s="83">
        <v>0</v>
      </c>
      <c r="E96" s="83">
        <v>1</v>
      </c>
      <c r="F96" s="83">
        <v>0</v>
      </c>
      <c r="G96" s="83">
        <v>0</v>
      </c>
      <c r="H96" s="10">
        <v>0</v>
      </c>
      <c r="I96" s="84">
        <v>76.347945205479448</v>
      </c>
      <c r="J96" s="83">
        <v>1</v>
      </c>
      <c r="K96" s="84">
        <v>37.43333333333333</v>
      </c>
      <c r="L96" s="84">
        <v>0</v>
      </c>
      <c r="M96" s="83">
        <v>321</v>
      </c>
      <c r="N96" s="83" t="s">
        <v>674</v>
      </c>
      <c r="O96" s="85">
        <f>199/240</f>
        <v>0.82916666666666672</v>
      </c>
      <c r="P96" s="85">
        <f>352/135</f>
        <v>2.6074074074074076</v>
      </c>
      <c r="Q96" s="83">
        <v>154</v>
      </c>
      <c r="R96" s="86">
        <v>3.8333333333333335</v>
      </c>
      <c r="S96" s="83">
        <v>0</v>
      </c>
      <c r="T96" s="83">
        <v>1</v>
      </c>
      <c r="U96" s="83">
        <v>0</v>
      </c>
      <c r="V96" s="83">
        <v>0</v>
      </c>
      <c r="W96" s="83">
        <v>0</v>
      </c>
      <c r="X96" s="10"/>
      <c r="Y96" s="87">
        <v>28.466666666666665</v>
      </c>
      <c r="Z96" s="83">
        <v>1</v>
      </c>
      <c r="AA96" s="88">
        <v>28.466666666666665</v>
      </c>
      <c r="AB96" s="89">
        <v>0</v>
      </c>
      <c r="AC96" s="90">
        <v>1</v>
      </c>
      <c r="AD96" s="84">
        <v>7.833333333333333</v>
      </c>
      <c r="AE96" s="83">
        <v>33</v>
      </c>
      <c r="AF96" s="85">
        <f t="shared" si="27"/>
        <v>-89.719626168224295</v>
      </c>
      <c r="AG96" s="10" t="str">
        <f t="shared" si="28"/>
        <v>1</v>
      </c>
      <c r="AH96" s="10"/>
      <c r="AI96" s="10"/>
      <c r="AK96" s="2"/>
      <c r="AL96" s="2"/>
      <c r="AM96" s="2"/>
      <c r="AN96" s="2"/>
    </row>
    <row r="97" spans="1:40" ht="15" x14ac:dyDescent="0.25">
      <c r="A97" s="82" t="s">
        <v>758</v>
      </c>
      <c r="B97" s="83">
        <v>1</v>
      </c>
      <c r="C97" s="83">
        <v>1</v>
      </c>
      <c r="D97" s="83">
        <v>0</v>
      </c>
      <c r="E97" s="83">
        <v>1</v>
      </c>
      <c r="F97" s="83">
        <v>0</v>
      </c>
      <c r="G97" s="83">
        <v>0</v>
      </c>
      <c r="H97" s="10">
        <v>0</v>
      </c>
      <c r="I97" s="84">
        <v>77.649315068493152</v>
      </c>
      <c r="J97" s="83">
        <v>1</v>
      </c>
      <c r="K97" s="84">
        <v>16.7</v>
      </c>
      <c r="L97" s="84">
        <v>0</v>
      </c>
      <c r="M97" s="83">
        <v>59.2</v>
      </c>
      <c r="N97" s="83">
        <v>42</v>
      </c>
      <c r="O97" s="85">
        <f>181/225</f>
        <v>0.80444444444444441</v>
      </c>
      <c r="P97" s="85">
        <f t="shared" ref="P97:P98" si="29">72/145</f>
        <v>0.49655172413793103</v>
      </c>
      <c r="Q97" s="83">
        <v>143</v>
      </c>
      <c r="R97" s="86">
        <v>1.625</v>
      </c>
      <c r="S97" s="83">
        <v>1</v>
      </c>
      <c r="T97" s="83">
        <v>0</v>
      </c>
      <c r="U97" s="83">
        <v>0</v>
      </c>
      <c r="V97" s="83">
        <v>0</v>
      </c>
      <c r="W97" s="83">
        <v>0</v>
      </c>
      <c r="X97" s="10"/>
      <c r="Y97" s="87">
        <v>18.533333333333335</v>
      </c>
      <c r="Z97" s="83">
        <v>1</v>
      </c>
      <c r="AA97" s="88">
        <v>18.533333333333335</v>
      </c>
      <c r="AB97" s="89">
        <v>0</v>
      </c>
      <c r="AC97" s="90">
        <v>1</v>
      </c>
      <c r="AD97" s="84">
        <v>1.3</v>
      </c>
      <c r="AE97" s="83" t="s">
        <v>674</v>
      </c>
      <c r="AF97" s="85" t="s">
        <v>674</v>
      </c>
      <c r="AG97" s="10">
        <v>0</v>
      </c>
      <c r="AH97" s="10"/>
      <c r="AI97" s="10"/>
      <c r="AK97" s="2"/>
      <c r="AL97" s="2"/>
      <c r="AM97" s="2"/>
      <c r="AN97" s="2"/>
    </row>
    <row r="98" spans="1:40" ht="15" x14ac:dyDescent="0.25">
      <c r="A98" s="82" t="s">
        <v>759</v>
      </c>
      <c r="B98" s="83">
        <v>0</v>
      </c>
      <c r="C98" s="83">
        <v>0</v>
      </c>
      <c r="D98" s="83">
        <v>1</v>
      </c>
      <c r="E98" s="83">
        <v>0</v>
      </c>
      <c r="F98" s="83">
        <v>0</v>
      </c>
      <c r="G98" s="83">
        <v>0</v>
      </c>
      <c r="H98" s="10">
        <v>0</v>
      </c>
      <c r="I98" s="84">
        <v>77.643835616438352</v>
      </c>
      <c r="J98" s="83">
        <v>1</v>
      </c>
      <c r="K98" s="84">
        <v>32.299999999999997</v>
      </c>
      <c r="L98" s="84">
        <v>0</v>
      </c>
      <c r="M98" s="83">
        <v>4</v>
      </c>
      <c r="N98" s="83" t="s">
        <v>674</v>
      </c>
      <c r="O98" s="85">
        <f>218/225</f>
        <v>0.96888888888888891</v>
      </c>
      <c r="P98" s="85">
        <f t="shared" si="29"/>
        <v>0.49655172413793103</v>
      </c>
      <c r="Q98" s="83">
        <v>123</v>
      </c>
      <c r="R98" s="86">
        <v>4.1111111111111107</v>
      </c>
      <c r="S98" s="83">
        <v>1</v>
      </c>
      <c r="T98" s="83">
        <v>0</v>
      </c>
      <c r="U98" s="83">
        <v>0</v>
      </c>
      <c r="V98" s="83">
        <v>0</v>
      </c>
      <c r="W98" s="83">
        <v>0</v>
      </c>
      <c r="X98" s="10"/>
      <c r="Y98" s="87">
        <v>29.833333333333332</v>
      </c>
      <c r="Z98" s="83">
        <v>0</v>
      </c>
      <c r="AA98" s="88">
        <v>29.833333333333332</v>
      </c>
      <c r="AB98" s="89">
        <v>0</v>
      </c>
      <c r="AC98" s="90">
        <v>1</v>
      </c>
      <c r="AD98" s="84">
        <v>12.066666666666666</v>
      </c>
      <c r="AE98" s="83">
        <v>1.7</v>
      </c>
      <c r="AF98" s="85">
        <f t="shared" ref="AF98:AF105" si="30">((M98-AE98)/M98)*(-100)</f>
        <v>-57.499999999999993</v>
      </c>
      <c r="AG98" s="10" t="str">
        <f t="shared" ref="AG98:AG105" si="31">IF((AE98/M98)&lt;0.5,"1","0")</f>
        <v>1</v>
      </c>
      <c r="AH98" s="10"/>
      <c r="AI98" s="10"/>
      <c r="AK98" s="2"/>
      <c r="AL98" s="2"/>
      <c r="AM98" s="2"/>
      <c r="AN98" s="2"/>
    </row>
    <row r="99" spans="1:40" ht="15" x14ac:dyDescent="0.25">
      <c r="A99" s="82" t="s">
        <v>884</v>
      </c>
      <c r="B99" s="83">
        <v>0</v>
      </c>
      <c r="C99" s="83">
        <v>0</v>
      </c>
      <c r="D99" s="83">
        <v>1</v>
      </c>
      <c r="E99" s="83">
        <v>0</v>
      </c>
      <c r="F99" s="83">
        <v>0</v>
      </c>
      <c r="G99" s="83">
        <v>0</v>
      </c>
      <c r="H99" s="10">
        <v>0</v>
      </c>
      <c r="I99" s="84">
        <v>45.087671232876716</v>
      </c>
      <c r="J99" s="83">
        <v>1</v>
      </c>
      <c r="K99" s="84">
        <v>43</v>
      </c>
      <c r="L99" s="84">
        <v>0</v>
      </c>
      <c r="M99" s="83">
        <v>1.9</v>
      </c>
      <c r="N99" s="83">
        <v>44</v>
      </c>
      <c r="O99" s="85">
        <f>172/240</f>
        <v>0.71666666666666667</v>
      </c>
      <c r="P99" s="85">
        <f>80/135</f>
        <v>0.59259259259259256</v>
      </c>
      <c r="Q99" s="83">
        <v>125</v>
      </c>
      <c r="R99" s="86">
        <v>4.0769230769230766</v>
      </c>
      <c r="S99" s="83">
        <v>0</v>
      </c>
      <c r="T99" s="83">
        <v>1</v>
      </c>
      <c r="U99" s="83">
        <v>0</v>
      </c>
      <c r="V99" s="83">
        <v>0</v>
      </c>
      <c r="W99" s="83">
        <v>0</v>
      </c>
      <c r="X99" s="10"/>
      <c r="Y99" s="87">
        <v>32.6</v>
      </c>
      <c r="Z99" s="83">
        <v>0</v>
      </c>
      <c r="AA99" s="88">
        <v>32.6</v>
      </c>
      <c r="AB99" s="89">
        <v>0</v>
      </c>
      <c r="AC99" s="90">
        <v>0</v>
      </c>
      <c r="AD99" s="84">
        <v>13.566666666666666</v>
      </c>
      <c r="AE99" s="83">
        <v>0.01</v>
      </c>
      <c r="AF99" s="85">
        <f t="shared" si="30"/>
        <v>-99.473684210526315</v>
      </c>
      <c r="AG99" s="10" t="str">
        <f t="shared" si="31"/>
        <v>1</v>
      </c>
      <c r="AH99" s="10"/>
      <c r="AI99" s="10"/>
      <c r="AK99" s="2"/>
      <c r="AL99" s="2"/>
      <c r="AM99" s="2"/>
      <c r="AN99" s="2"/>
    </row>
    <row r="100" spans="1:40" ht="15" x14ac:dyDescent="0.25">
      <c r="A100" s="82" t="s">
        <v>760</v>
      </c>
      <c r="B100" s="83">
        <v>1</v>
      </c>
      <c r="C100" s="83">
        <v>1</v>
      </c>
      <c r="D100" s="83">
        <v>0</v>
      </c>
      <c r="E100" s="83">
        <v>1</v>
      </c>
      <c r="F100" s="83">
        <v>0</v>
      </c>
      <c r="G100" s="83">
        <v>0</v>
      </c>
      <c r="H100" s="10">
        <v>0</v>
      </c>
      <c r="I100" s="84">
        <v>73.586301369863008</v>
      </c>
      <c r="J100" s="83">
        <v>1</v>
      </c>
      <c r="K100" s="84">
        <v>19.566666666666666</v>
      </c>
      <c r="L100" s="84">
        <v>0</v>
      </c>
      <c r="M100" s="83">
        <v>4.9000000000000004</v>
      </c>
      <c r="N100" s="83">
        <v>44</v>
      </c>
      <c r="O100" s="85">
        <f>155/225</f>
        <v>0.68888888888888888</v>
      </c>
      <c r="P100" s="85">
        <f>100/145</f>
        <v>0.68965517241379315</v>
      </c>
      <c r="Q100" s="83">
        <v>117</v>
      </c>
      <c r="R100" s="86">
        <v>3.9230769230769229</v>
      </c>
      <c r="S100" s="83">
        <v>1</v>
      </c>
      <c r="T100" s="83">
        <v>0</v>
      </c>
      <c r="U100" s="83">
        <v>0</v>
      </c>
      <c r="V100" s="83">
        <v>0</v>
      </c>
      <c r="W100" s="83">
        <v>0</v>
      </c>
      <c r="X100" s="10"/>
      <c r="Y100" s="87">
        <v>30.866666666666667</v>
      </c>
      <c r="Z100" s="83">
        <v>0</v>
      </c>
      <c r="AA100" s="88">
        <v>30.866666666666667</v>
      </c>
      <c r="AB100" s="89">
        <v>0</v>
      </c>
      <c r="AC100" s="90">
        <v>0</v>
      </c>
      <c r="AD100" s="84">
        <v>13.033333333333333</v>
      </c>
      <c r="AE100" s="83">
        <v>0.35</v>
      </c>
      <c r="AF100" s="85">
        <f t="shared" si="30"/>
        <v>-92.857142857142861</v>
      </c>
      <c r="AG100" s="10" t="str">
        <f t="shared" si="31"/>
        <v>1</v>
      </c>
      <c r="AH100" s="10"/>
      <c r="AI100" s="10"/>
      <c r="AK100" s="2"/>
      <c r="AL100" s="2"/>
      <c r="AM100" s="2"/>
      <c r="AN100" s="2"/>
    </row>
    <row r="101" spans="1:40" ht="15" x14ac:dyDescent="0.25">
      <c r="A101" s="82" t="s">
        <v>761</v>
      </c>
      <c r="B101" s="83">
        <v>0</v>
      </c>
      <c r="C101" s="83">
        <v>0</v>
      </c>
      <c r="D101" s="83">
        <v>1</v>
      </c>
      <c r="E101" s="83">
        <v>1</v>
      </c>
      <c r="F101" s="83">
        <v>0</v>
      </c>
      <c r="G101" s="83">
        <v>0</v>
      </c>
      <c r="H101" s="10">
        <v>0</v>
      </c>
      <c r="I101" s="84">
        <v>69.191780821917803</v>
      </c>
      <c r="J101" s="83">
        <v>0</v>
      </c>
      <c r="K101" s="84">
        <v>169.5</v>
      </c>
      <c r="L101" s="84">
        <v>0</v>
      </c>
      <c r="M101" s="83">
        <v>101</v>
      </c>
      <c r="N101" s="83" t="s">
        <v>674</v>
      </c>
      <c r="O101" s="85">
        <f>182/225</f>
        <v>0.80888888888888888</v>
      </c>
      <c r="P101" s="85">
        <f>83/145</f>
        <v>0.57241379310344831</v>
      </c>
      <c r="Q101" s="83">
        <v>138</v>
      </c>
      <c r="R101" s="86">
        <v>2.1666666666666665</v>
      </c>
      <c r="S101" s="83">
        <v>1</v>
      </c>
      <c r="T101" s="83">
        <v>0</v>
      </c>
      <c r="U101" s="83">
        <v>0</v>
      </c>
      <c r="V101" s="83">
        <v>0</v>
      </c>
      <c r="W101" s="83">
        <v>0</v>
      </c>
      <c r="X101" s="10"/>
      <c r="Y101" s="87">
        <v>31.066666666666666</v>
      </c>
      <c r="Z101" s="83">
        <v>0</v>
      </c>
      <c r="AA101" s="88">
        <v>31.066666666666666</v>
      </c>
      <c r="AB101" s="89">
        <v>0</v>
      </c>
      <c r="AC101" s="90">
        <v>1</v>
      </c>
      <c r="AD101" s="84">
        <v>5.5</v>
      </c>
      <c r="AE101" s="83">
        <v>8.3000000000000007</v>
      </c>
      <c r="AF101" s="85">
        <f t="shared" si="30"/>
        <v>-91.78217821782178</v>
      </c>
      <c r="AG101" s="10" t="str">
        <f t="shared" si="31"/>
        <v>1</v>
      </c>
      <c r="AH101" s="10"/>
      <c r="AI101" s="10"/>
      <c r="AK101" s="2"/>
      <c r="AL101" s="2"/>
      <c r="AM101" s="2"/>
      <c r="AN101" s="2"/>
    </row>
    <row r="102" spans="1:40" ht="15" x14ac:dyDescent="0.25">
      <c r="A102" s="82" t="s">
        <v>762</v>
      </c>
      <c r="B102" s="83">
        <v>1</v>
      </c>
      <c r="C102" s="83">
        <v>0</v>
      </c>
      <c r="D102" s="83">
        <v>1</v>
      </c>
      <c r="E102" s="83">
        <v>1</v>
      </c>
      <c r="F102" s="83">
        <v>0</v>
      </c>
      <c r="G102" s="83">
        <v>0</v>
      </c>
      <c r="H102" s="10">
        <v>0</v>
      </c>
      <c r="I102" s="84">
        <v>69.61917808219178</v>
      </c>
      <c r="J102" s="83">
        <v>1</v>
      </c>
      <c r="K102" s="84">
        <v>6</v>
      </c>
      <c r="L102" s="84">
        <v>1</v>
      </c>
      <c r="M102" s="83">
        <v>7.6</v>
      </c>
      <c r="N102" s="83">
        <v>41</v>
      </c>
      <c r="O102" s="85">
        <f>169/225</f>
        <v>0.75111111111111106</v>
      </c>
      <c r="P102" s="85">
        <f>153/145</f>
        <v>1.0551724137931036</v>
      </c>
      <c r="Q102" s="83">
        <v>119</v>
      </c>
      <c r="R102" s="86">
        <v>10</v>
      </c>
      <c r="S102" s="83">
        <v>0</v>
      </c>
      <c r="T102" s="83">
        <v>1</v>
      </c>
      <c r="U102" s="83">
        <v>0</v>
      </c>
      <c r="V102" s="83">
        <v>0</v>
      </c>
      <c r="W102" s="83">
        <v>0</v>
      </c>
      <c r="X102" s="10"/>
      <c r="Y102" s="87">
        <v>27.6</v>
      </c>
      <c r="Z102" s="83">
        <v>0</v>
      </c>
      <c r="AA102" s="88">
        <v>27.6</v>
      </c>
      <c r="AB102" s="89">
        <v>0</v>
      </c>
      <c r="AC102" s="90">
        <v>1</v>
      </c>
      <c r="AD102" s="84">
        <v>15.933333333333334</v>
      </c>
      <c r="AE102" s="83">
        <v>2</v>
      </c>
      <c r="AF102" s="85">
        <f t="shared" si="30"/>
        <v>-73.68421052631578</v>
      </c>
      <c r="AG102" s="10" t="str">
        <f t="shared" si="31"/>
        <v>1</v>
      </c>
      <c r="AH102" s="10"/>
      <c r="AI102" s="10"/>
      <c r="AK102" s="2"/>
      <c r="AL102" s="2"/>
      <c r="AM102" s="2"/>
      <c r="AN102" s="2"/>
    </row>
    <row r="103" spans="1:40" ht="15" x14ac:dyDescent="0.25">
      <c r="A103" s="82" t="s">
        <v>763</v>
      </c>
      <c r="B103" s="83">
        <v>0</v>
      </c>
      <c r="C103" s="83">
        <v>0</v>
      </c>
      <c r="D103" s="83">
        <v>0</v>
      </c>
      <c r="E103" s="83">
        <v>1</v>
      </c>
      <c r="F103" s="83">
        <v>0</v>
      </c>
      <c r="G103" s="83">
        <v>0</v>
      </c>
      <c r="H103" s="10">
        <v>0</v>
      </c>
      <c r="I103" s="84">
        <v>73.257534246575347</v>
      </c>
      <c r="J103" s="83" t="s">
        <v>680</v>
      </c>
      <c r="K103" s="84">
        <v>109.26666666666667</v>
      </c>
      <c r="L103" s="84">
        <v>0</v>
      </c>
      <c r="M103" s="83">
        <v>4.9000000000000004</v>
      </c>
      <c r="N103" s="83" t="s">
        <v>674</v>
      </c>
      <c r="O103" s="85" t="s">
        <v>674</v>
      </c>
      <c r="P103" s="85">
        <f>98/145</f>
        <v>0.67586206896551726</v>
      </c>
      <c r="Q103" s="83">
        <v>101</v>
      </c>
      <c r="R103" s="86">
        <v>4.125</v>
      </c>
      <c r="S103" s="83">
        <v>0</v>
      </c>
      <c r="T103" s="83">
        <v>1</v>
      </c>
      <c r="U103" s="83">
        <v>0</v>
      </c>
      <c r="V103" s="83">
        <v>0</v>
      </c>
      <c r="W103" s="83">
        <v>0</v>
      </c>
      <c r="X103" s="10"/>
      <c r="Y103" s="87">
        <v>16.266666666666666</v>
      </c>
      <c r="Z103" s="83">
        <v>0</v>
      </c>
      <c r="AA103" s="88">
        <v>16.266666666666666</v>
      </c>
      <c r="AB103" s="89">
        <v>0</v>
      </c>
      <c r="AC103" s="90">
        <v>1</v>
      </c>
      <c r="AD103" s="84">
        <v>11.266666666666667</v>
      </c>
      <c r="AE103" s="83">
        <v>0.23</v>
      </c>
      <c r="AF103" s="85">
        <f t="shared" si="30"/>
        <v>-95.306122448979579</v>
      </c>
      <c r="AG103" s="10" t="str">
        <f t="shared" si="31"/>
        <v>1</v>
      </c>
      <c r="AH103" s="10"/>
      <c r="AI103" s="10"/>
      <c r="AK103" s="2"/>
      <c r="AL103" s="2"/>
      <c r="AM103" s="2"/>
      <c r="AN103" s="2"/>
    </row>
    <row r="104" spans="1:40" ht="15" x14ac:dyDescent="0.25">
      <c r="A104" s="82" t="s">
        <v>764</v>
      </c>
      <c r="B104" s="83">
        <v>0</v>
      </c>
      <c r="C104" s="83">
        <v>0</v>
      </c>
      <c r="D104" s="83">
        <v>0</v>
      </c>
      <c r="E104" s="83">
        <v>1</v>
      </c>
      <c r="F104" s="83">
        <v>0</v>
      </c>
      <c r="G104" s="83">
        <v>0</v>
      </c>
      <c r="H104" s="10">
        <v>0</v>
      </c>
      <c r="I104" s="84">
        <v>82.041095890410958</v>
      </c>
      <c r="J104" s="83" t="s">
        <v>680</v>
      </c>
      <c r="K104" s="84">
        <v>79.8</v>
      </c>
      <c r="L104" s="84">
        <v>0</v>
      </c>
      <c r="M104" s="83">
        <v>4.2</v>
      </c>
      <c r="N104" s="83">
        <v>39</v>
      </c>
      <c r="O104" s="85" t="s">
        <v>674</v>
      </c>
      <c r="P104" s="85" t="s">
        <v>674</v>
      </c>
      <c r="Q104" s="83">
        <v>129</v>
      </c>
      <c r="R104" s="86">
        <v>3.1818181818181817</v>
      </c>
      <c r="S104" s="83">
        <v>1</v>
      </c>
      <c r="T104" s="83">
        <v>0</v>
      </c>
      <c r="U104" s="83">
        <v>0</v>
      </c>
      <c r="V104" s="83">
        <v>0</v>
      </c>
      <c r="W104" s="83">
        <v>0</v>
      </c>
      <c r="X104" s="10"/>
      <c r="Y104" s="87">
        <v>31</v>
      </c>
      <c r="Z104" s="83">
        <v>0</v>
      </c>
      <c r="AA104" s="88">
        <v>31</v>
      </c>
      <c r="AB104" s="89">
        <v>0</v>
      </c>
      <c r="AC104" s="90">
        <v>1</v>
      </c>
      <c r="AD104" s="84">
        <v>17.899999999999999</v>
      </c>
      <c r="AE104" s="83">
        <v>0.74</v>
      </c>
      <c r="AF104" s="85">
        <f t="shared" si="30"/>
        <v>-82.38095238095238</v>
      </c>
      <c r="AG104" s="10" t="str">
        <f t="shared" si="31"/>
        <v>1</v>
      </c>
      <c r="AH104" s="10"/>
      <c r="AI104" s="10"/>
      <c r="AK104" s="2"/>
      <c r="AL104" s="2"/>
      <c r="AM104" s="2"/>
      <c r="AN104" s="2"/>
    </row>
    <row r="105" spans="1:40" ht="15" x14ac:dyDescent="0.25">
      <c r="A105" s="82" t="s">
        <v>866</v>
      </c>
      <c r="B105" s="83">
        <v>0</v>
      </c>
      <c r="C105" s="83">
        <v>0</v>
      </c>
      <c r="D105" s="83">
        <v>1</v>
      </c>
      <c r="E105" s="83">
        <v>1</v>
      </c>
      <c r="F105" s="83">
        <v>0</v>
      </c>
      <c r="G105" s="83">
        <v>0</v>
      </c>
      <c r="H105" s="10">
        <v>0</v>
      </c>
      <c r="I105" s="84">
        <v>70.252054794520546</v>
      </c>
      <c r="J105" s="83">
        <v>0</v>
      </c>
      <c r="K105" s="84">
        <v>71.933333333333337</v>
      </c>
      <c r="L105" s="84">
        <v>0</v>
      </c>
      <c r="M105" s="83">
        <v>1.8</v>
      </c>
      <c r="N105" s="83" t="s">
        <v>674</v>
      </c>
      <c r="O105" s="85">
        <f>188/240</f>
        <v>0.78333333333333333</v>
      </c>
      <c r="P105" s="85">
        <f>74/135</f>
        <v>0.54814814814814816</v>
      </c>
      <c r="Q105" s="83">
        <v>129</v>
      </c>
      <c r="R105" s="86">
        <v>2</v>
      </c>
      <c r="S105" s="83">
        <v>0</v>
      </c>
      <c r="T105" s="83">
        <v>1</v>
      </c>
      <c r="U105" s="83">
        <v>0</v>
      </c>
      <c r="V105" s="83">
        <v>0</v>
      </c>
      <c r="W105" s="83">
        <v>0</v>
      </c>
      <c r="X105" s="10"/>
      <c r="Y105" s="87">
        <v>29.466666666666665</v>
      </c>
      <c r="Z105" s="83">
        <v>1</v>
      </c>
      <c r="AA105" s="88">
        <v>29.466666666666665</v>
      </c>
      <c r="AB105" s="89">
        <v>0</v>
      </c>
      <c r="AC105" s="90">
        <v>1</v>
      </c>
      <c r="AD105" s="84">
        <v>11.7</v>
      </c>
      <c r="AE105" s="83">
        <v>1.1000000000000001</v>
      </c>
      <c r="AF105" s="85">
        <f t="shared" si="30"/>
        <v>-38.888888888888886</v>
      </c>
      <c r="AG105" s="10" t="str">
        <f t="shared" si="31"/>
        <v>0</v>
      </c>
      <c r="AH105" s="10"/>
      <c r="AI105" s="10"/>
      <c r="AK105" s="2"/>
      <c r="AL105" s="2"/>
      <c r="AM105" s="2"/>
      <c r="AN105" s="2"/>
    </row>
    <row r="106" spans="1:40" ht="15" x14ac:dyDescent="0.25">
      <c r="A106" s="82" t="s">
        <v>765</v>
      </c>
      <c r="B106" s="83">
        <v>0</v>
      </c>
      <c r="C106" s="83">
        <v>0</v>
      </c>
      <c r="D106" s="83">
        <v>0</v>
      </c>
      <c r="E106" s="83">
        <v>0</v>
      </c>
      <c r="F106" s="83">
        <v>1</v>
      </c>
      <c r="G106" s="83">
        <v>1</v>
      </c>
      <c r="H106" s="10">
        <v>0</v>
      </c>
      <c r="I106" s="84">
        <v>70.69589041095891</v>
      </c>
      <c r="J106" s="83">
        <v>1</v>
      </c>
      <c r="K106" s="84">
        <v>17</v>
      </c>
      <c r="L106" s="84">
        <v>0</v>
      </c>
      <c r="M106" s="83">
        <v>0.02</v>
      </c>
      <c r="N106" s="83">
        <v>33</v>
      </c>
      <c r="O106" s="85">
        <f>901/225</f>
        <v>4.0044444444444443</v>
      </c>
      <c r="P106" s="85">
        <f>697/145</f>
        <v>4.8068965517241375</v>
      </c>
      <c r="Q106" s="83">
        <v>120</v>
      </c>
      <c r="R106" s="86">
        <v>2.8421052631578947</v>
      </c>
      <c r="S106" s="83">
        <v>0</v>
      </c>
      <c r="T106" s="83">
        <v>0</v>
      </c>
      <c r="U106" s="83">
        <v>1</v>
      </c>
      <c r="V106" s="83">
        <v>0</v>
      </c>
      <c r="W106" s="83">
        <v>0</v>
      </c>
      <c r="X106" s="10"/>
      <c r="Y106" s="87">
        <v>1.8</v>
      </c>
      <c r="Z106" s="83">
        <v>1</v>
      </c>
      <c r="AA106" s="88">
        <v>1.8</v>
      </c>
      <c r="AB106" s="89">
        <v>0</v>
      </c>
      <c r="AC106" s="90">
        <v>0</v>
      </c>
      <c r="AD106" s="84">
        <v>0.93333333333333335</v>
      </c>
      <c r="AE106" s="83" t="s">
        <v>674</v>
      </c>
      <c r="AF106" s="85" t="s">
        <v>674</v>
      </c>
      <c r="AG106" s="10">
        <v>0</v>
      </c>
      <c r="AH106" s="10"/>
      <c r="AI106" s="10"/>
      <c r="AK106" s="2"/>
      <c r="AL106" s="2"/>
      <c r="AM106" s="2"/>
      <c r="AN106" s="2"/>
    </row>
    <row r="107" spans="1:40" ht="15" x14ac:dyDescent="0.25">
      <c r="A107" s="82" t="s">
        <v>766</v>
      </c>
      <c r="B107" s="83">
        <v>1</v>
      </c>
      <c r="C107" s="83">
        <v>1</v>
      </c>
      <c r="D107" s="83">
        <v>1</v>
      </c>
      <c r="E107" s="83">
        <v>1</v>
      </c>
      <c r="F107" s="83">
        <v>0</v>
      </c>
      <c r="G107" s="83">
        <v>0</v>
      </c>
      <c r="H107" s="10">
        <v>0</v>
      </c>
      <c r="I107" s="84">
        <v>65.509589041095893</v>
      </c>
      <c r="J107" s="83">
        <v>1</v>
      </c>
      <c r="K107" s="84">
        <v>17.466666666666665</v>
      </c>
      <c r="L107" s="84">
        <v>0</v>
      </c>
      <c r="M107" s="83">
        <v>8.6</v>
      </c>
      <c r="N107" s="83">
        <v>41</v>
      </c>
      <c r="O107" s="85" t="s">
        <v>674</v>
      </c>
      <c r="P107" s="85">
        <f>75/130</f>
        <v>0.57692307692307687</v>
      </c>
      <c r="Q107" s="83">
        <v>159</v>
      </c>
      <c r="R107" s="86">
        <v>3</v>
      </c>
      <c r="S107" s="83">
        <v>0</v>
      </c>
      <c r="T107" s="83">
        <v>1</v>
      </c>
      <c r="U107" s="83">
        <v>0</v>
      </c>
      <c r="V107" s="83">
        <v>0</v>
      </c>
      <c r="W107" s="83">
        <v>0</v>
      </c>
      <c r="X107" s="10"/>
      <c r="Y107" s="87">
        <v>29.166666666666668</v>
      </c>
      <c r="Z107" s="83">
        <v>0</v>
      </c>
      <c r="AA107" s="88">
        <v>29.166666666666668</v>
      </c>
      <c r="AB107" s="89">
        <v>0</v>
      </c>
      <c r="AC107" s="90">
        <v>1</v>
      </c>
      <c r="AD107" s="84">
        <v>8.0666666666666664</v>
      </c>
      <c r="AE107" s="83">
        <v>1.1000000000000001</v>
      </c>
      <c r="AF107" s="85">
        <f>((M107-AE107)/M107)*(-100)</f>
        <v>-87.20930232558139</v>
      </c>
      <c r="AG107" s="10" t="str">
        <f>IF((AE107/M107)&lt;0.5,"1","0")</f>
        <v>1</v>
      </c>
      <c r="AH107" s="10"/>
      <c r="AI107" s="10"/>
      <c r="AK107" s="2"/>
      <c r="AL107" s="2"/>
      <c r="AM107" s="2"/>
      <c r="AN107" s="2"/>
    </row>
    <row r="108" spans="1:40" ht="15" x14ac:dyDescent="0.25">
      <c r="A108" s="82" t="s">
        <v>767</v>
      </c>
      <c r="B108" s="83">
        <v>0</v>
      </c>
      <c r="C108" s="83">
        <v>0</v>
      </c>
      <c r="D108" s="83">
        <v>1</v>
      </c>
      <c r="E108" s="83">
        <v>0</v>
      </c>
      <c r="F108" s="83">
        <v>0</v>
      </c>
      <c r="G108" s="83">
        <v>1</v>
      </c>
      <c r="H108" s="10">
        <v>0</v>
      </c>
      <c r="I108" s="84">
        <v>76.189041095890417</v>
      </c>
      <c r="J108" s="83">
        <v>1</v>
      </c>
      <c r="K108" s="84">
        <v>24.3</v>
      </c>
      <c r="L108" s="84">
        <v>0</v>
      </c>
      <c r="M108" s="83">
        <v>183</v>
      </c>
      <c r="N108" s="83">
        <v>36</v>
      </c>
      <c r="O108" s="85">
        <f>891/220</f>
        <v>4.05</v>
      </c>
      <c r="P108" s="85">
        <f>107/130</f>
        <v>0.82307692307692304</v>
      </c>
      <c r="Q108" s="83">
        <v>151</v>
      </c>
      <c r="R108" s="86">
        <v>2.4782608695652173</v>
      </c>
      <c r="S108" s="83">
        <v>0</v>
      </c>
      <c r="T108" s="83">
        <v>0</v>
      </c>
      <c r="U108" s="83">
        <v>1</v>
      </c>
      <c r="V108" s="83">
        <v>0</v>
      </c>
      <c r="W108" s="83">
        <v>0</v>
      </c>
      <c r="X108" s="10"/>
      <c r="Y108" s="87">
        <v>3.5666666666666669</v>
      </c>
      <c r="Z108" s="83">
        <v>1</v>
      </c>
      <c r="AA108" s="88">
        <v>3.5666666666666669</v>
      </c>
      <c r="AB108" s="89">
        <v>0</v>
      </c>
      <c r="AC108" s="90">
        <v>1</v>
      </c>
      <c r="AD108" s="84">
        <v>1.3</v>
      </c>
      <c r="AE108" s="83" t="s">
        <v>674</v>
      </c>
      <c r="AF108" s="85" t="s">
        <v>674</v>
      </c>
      <c r="AG108" s="10">
        <v>0</v>
      </c>
      <c r="AH108" s="10"/>
      <c r="AI108" s="10"/>
      <c r="AK108" s="2"/>
      <c r="AL108" s="2"/>
      <c r="AM108" s="2"/>
      <c r="AN108" s="2"/>
    </row>
    <row r="109" spans="1:40" ht="15" x14ac:dyDescent="0.25">
      <c r="A109" s="82" t="s">
        <v>768</v>
      </c>
      <c r="B109" s="83">
        <v>0</v>
      </c>
      <c r="C109" s="83">
        <v>0</v>
      </c>
      <c r="D109" s="83">
        <v>0</v>
      </c>
      <c r="E109" s="83">
        <v>1</v>
      </c>
      <c r="F109" s="83">
        <v>0</v>
      </c>
      <c r="G109" s="83">
        <v>0</v>
      </c>
      <c r="H109" s="10">
        <v>0</v>
      </c>
      <c r="I109" s="84">
        <v>67.904109589041099</v>
      </c>
      <c r="J109" s="83" t="s">
        <v>680</v>
      </c>
      <c r="K109" s="84">
        <v>58.6</v>
      </c>
      <c r="L109" s="84">
        <v>0</v>
      </c>
      <c r="M109" s="83">
        <v>20</v>
      </c>
      <c r="N109" s="83">
        <v>40</v>
      </c>
      <c r="O109" s="85">
        <f>181/240</f>
        <v>0.75416666666666665</v>
      </c>
      <c r="P109" s="85">
        <f>169/135</f>
        <v>1.2518518518518518</v>
      </c>
      <c r="Q109" s="83">
        <v>141</v>
      </c>
      <c r="R109" s="86">
        <v>1.56</v>
      </c>
      <c r="S109" s="83">
        <v>0</v>
      </c>
      <c r="T109" s="83">
        <v>1</v>
      </c>
      <c r="U109" s="83">
        <v>0</v>
      </c>
      <c r="V109" s="83">
        <v>0</v>
      </c>
      <c r="W109" s="83">
        <v>0</v>
      </c>
      <c r="X109" s="10"/>
      <c r="Y109" s="87">
        <v>29.833333333333332</v>
      </c>
      <c r="Z109" s="83">
        <v>0</v>
      </c>
      <c r="AA109" s="88">
        <v>29.833333333333332</v>
      </c>
      <c r="AB109" s="89">
        <v>1</v>
      </c>
      <c r="AC109" s="90">
        <v>0</v>
      </c>
      <c r="AD109" s="84">
        <v>29.833333333333332</v>
      </c>
      <c r="AE109" s="83">
        <v>0.32</v>
      </c>
      <c r="AF109" s="85">
        <f t="shared" ref="AF109:AF116" si="32">((M109-AE109)/M109)*(-100)</f>
        <v>-98.4</v>
      </c>
      <c r="AG109" s="10" t="str">
        <f t="shared" ref="AG109:AG116" si="33">IF((AE109/M109)&lt;0.5,"1","0")</f>
        <v>1</v>
      </c>
      <c r="AH109" s="10"/>
      <c r="AI109" s="10"/>
      <c r="AK109" s="2"/>
      <c r="AL109" s="2"/>
      <c r="AM109" s="2"/>
      <c r="AN109" s="2"/>
    </row>
    <row r="110" spans="1:40" ht="15" x14ac:dyDescent="0.25">
      <c r="A110" s="82" t="s">
        <v>769</v>
      </c>
      <c r="B110" s="83">
        <v>1</v>
      </c>
      <c r="C110" s="83">
        <v>0</v>
      </c>
      <c r="D110" s="83">
        <v>1</v>
      </c>
      <c r="E110" s="83">
        <v>1</v>
      </c>
      <c r="F110" s="83">
        <v>0</v>
      </c>
      <c r="G110" s="83">
        <v>0</v>
      </c>
      <c r="H110" s="10">
        <v>0</v>
      </c>
      <c r="I110" s="84">
        <v>71.841095890410955</v>
      </c>
      <c r="J110" s="83">
        <v>1</v>
      </c>
      <c r="K110" s="84">
        <v>22.2</v>
      </c>
      <c r="L110" s="84">
        <v>0</v>
      </c>
      <c r="M110" s="83">
        <v>55.7</v>
      </c>
      <c r="N110" s="83" t="s">
        <v>674</v>
      </c>
      <c r="O110" s="85" t="s">
        <v>674</v>
      </c>
      <c r="P110" s="85" t="s">
        <v>674</v>
      </c>
      <c r="Q110" s="83">
        <v>113</v>
      </c>
      <c r="R110" s="86">
        <v>6.8</v>
      </c>
      <c r="S110" s="83">
        <v>0</v>
      </c>
      <c r="T110" s="83">
        <v>1</v>
      </c>
      <c r="U110" s="83">
        <v>0</v>
      </c>
      <c r="V110" s="83">
        <v>0</v>
      </c>
      <c r="W110" s="83">
        <v>0</v>
      </c>
      <c r="X110" s="10"/>
      <c r="Y110" s="87">
        <v>28.7</v>
      </c>
      <c r="Z110" s="83">
        <v>0</v>
      </c>
      <c r="AA110" s="88">
        <v>28.7</v>
      </c>
      <c r="AB110" s="89">
        <v>0</v>
      </c>
      <c r="AC110" s="90">
        <v>1</v>
      </c>
      <c r="AD110" s="84">
        <v>21.2</v>
      </c>
      <c r="AE110" s="83">
        <v>9.2999999999999999E-2</v>
      </c>
      <c r="AF110" s="85">
        <f t="shared" si="32"/>
        <v>-99.833034111310582</v>
      </c>
      <c r="AG110" s="10" t="str">
        <f t="shared" si="33"/>
        <v>1</v>
      </c>
      <c r="AH110" s="10"/>
      <c r="AI110" s="10"/>
      <c r="AK110" s="2"/>
      <c r="AL110" s="2"/>
      <c r="AM110" s="2"/>
      <c r="AN110" s="2"/>
    </row>
    <row r="111" spans="1:40" ht="15" x14ac:dyDescent="0.25">
      <c r="A111" s="82" t="s">
        <v>770</v>
      </c>
      <c r="B111" s="83">
        <v>0</v>
      </c>
      <c r="C111" s="83">
        <v>0</v>
      </c>
      <c r="D111" s="83">
        <v>1</v>
      </c>
      <c r="E111" s="83">
        <v>1</v>
      </c>
      <c r="F111" s="83">
        <v>1</v>
      </c>
      <c r="G111" s="83">
        <v>0</v>
      </c>
      <c r="H111" s="10">
        <v>0</v>
      </c>
      <c r="I111" s="84">
        <v>82</v>
      </c>
      <c r="J111" s="83">
        <v>1</v>
      </c>
      <c r="K111" s="84">
        <v>100.06666666666666</v>
      </c>
      <c r="L111" s="84">
        <v>0</v>
      </c>
      <c r="M111" s="83">
        <v>1.5</v>
      </c>
      <c r="N111" s="83">
        <v>42</v>
      </c>
      <c r="O111" s="85">
        <f>156/225</f>
        <v>0.69333333333333336</v>
      </c>
      <c r="P111" s="85">
        <f>75/145</f>
        <v>0.51724137931034486</v>
      </c>
      <c r="Q111" s="83">
        <v>109</v>
      </c>
      <c r="R111" s="86">
        <v>5.5714285714285712</v>
      </c>
      <c r="S111" s="83">
        <v>1</v>
      </c>
      <c r="T111" s="83">
        <v>0</v>
      </c>
      <c r="U111" s="83">
        <v>0</v>
      </c>
      <c r="V111" s="83">
        <v>0</v>
      </c>
      <c r="W111" s="83">
        <v>0</v>
      </c>
      <c r="X111" s="10"/>
      <c r="Y111" s="87">
        <v>23.966666666666665</v>
      </c>
      <c r="Z111" s="83">
        <v>0</v>
      </c>
      <c r="AA111" s="88">
        <v>23.966666666666665</v>
      </c>
      <c r="AB111" s="89">
        <v>0</v>
      </c>
      <c r="AC111" s="90">
        <v>0</v>
      </c>
      <c r="AD111" s="84">
        <v>20.766666666666666</v>
      </c>
      <c r="AE111" s="83">
        <v>4.4999999999999998E-2</v>
      </c>
      <c r="AF111" s="85">
        <f t="shared" si="32"/>
        <v>-97.000000000000014</v>
      </c>
      <c r="AG111" s="10" t="str">
        <f t="shared" si="33"/>
        <v>1</v>
      </c>
      <c r="AH111" s="10"/>
      <c r="AI111" s="10"/>
      <c r="AK111" s="2"/>
      <c r="AL111" s="2"/>
      <c r="AM111" s="2"/>
      <c r="AN111" s="2"/>
    </row>
    <row r="112" spans="1:40" ht="15" x14ac:dyDescent="0.25">
      <c r="A112" s="82" t="s">
        <v>771</v>
      </c>
      <c r="B112" s="83">
        <v>0</v>
      </c>
      <c r="C112" s="83">
        <v>0</v>
      </c>
      <c r="D112" s="83">
        <v>1</v>
      </c>
      <c r="E112" s="83">
        <v>0</v>
      </c>
      <c r="F112" s="83">
        <v>0</v>
      </c>
      <c r="G112" s="83">
        <v>0</v>
      </c>
      <c r="H112" s="10">
        <v>0</v>
      </c>
      <c r="I112" s="84">
        <v>82.712328767123282</v>
      </c>
      <c r="J112" s="83">
        <v>1</v>
      </c>
      <c r="K112" s="84">
        <v>61.166666666666664</v>
      </c>
      <c r="L112" s="84">
        <v>0</v>
      </c>
      <c r="M112" s="83">
        <v>19.8</v>
      </c>
      <c r="N112" s="83" t="s">
        <v>674</v>
      </c>
      <c r="O112" s="85">
        <f>186/225</f>
        <v>0.82666666666666666</v>
      </c>
      <c r="P112" s="85">
        <f>84/145</f>
        <v>0.57931034482758625</v>
      </c>
      <c r="Q112" s="83">
        <v>122</v>
      </c>
      <c r="R112" s="86">
        <v>2.4285714285714284</v>
      </c>
      <c r="S112" s="83">
        <v>0</v>
      </c>
      <c r="T112" s="83">
        <v>1</v>
      </c>
      <c r="U112" s="83">
        <v>0</v>
      </c>
      <c r="V112" s="83">
        <v>0</v>
      </c>
      <c r="W112" s="83">
        <v>0</v>
      </c>
      <c r="X112" s="10"/>
      <c r="Y112" s="87">
        <v>28.8</v>
      </c>
      <c r="Z112" s="83">
        <v>0</v>
      </c>
      <c r="AA112" s="88">
        <v>28.8</v>
      </c>
      <c r="AB112" s="89">
        <v>0</v>
      </c>
      <c r="AC112" s="90">
        <v>1</v>
      </c>
      <c r="AD112" s="84">
        <v>16.100000000000001</v>
      </c>
      <c r="AE112" s="83">
        <v>0.11</v>
      </c>
      <c r="AF112" s="85">
        <f t="shared" si="32"/>
        <v>-99.444444444444443</v>
      </c>
      <c r="AG112" s="10" t="str">
        <f t="shared" si="33"/>
        <v>1</v>
      </c>
      <c r="AH112" s="10"/>
      <c r="AI112" s="10"/>
      <c r="AK112" s="2"/>
      <c r="AL112" s="2"/>
      <c r="AM112" s="2"/>
      <c r="AN112" s="2"/>
    </row>
    <row r="113" spans="1:40" ht="15" x14ac:dyDescent="0.25">
      <c r="A113" s="82" t="s">
        <v>772</v>
      </c>
      <c r="B113" s="83">
        <v>0</v>
      </c>
      <c r="C113" s="83">
        <v>0</v>
      </c>
      <c r="D113" s="83">
        <v>1</v>
      </c>
      <c r="E113" s="83">
        <v>0</v>
      </c>
      <c r="F113" s="83">
        <v>0</v>
      </c>
      <c r="G113" s="83">
        <v>0</v>
      </c>
      <c r="H113" s="10">
        <v>0</v>
      </c>
      <c r="I113" s="84">
        <v>78.175342465753431</v>
      </c>
      <c r="J113" s="83">
        <v>2</v>
      </c>
      <c r="K113" s="84">
        <v>24.1</v>
      </c>
      <c r="L113" s="84">
        <v>0</v>
      </c>
      <c r="M113" s="83">
        <v>11.3</v>
      </c>
      <c r="N113" s="83">
        <v>38</v>
      </c>
      <c r="O113" s="85">
        <f>191/220</f>
        <v>0.86818181818181817</v>
      </c>
      <c r="P113" s="85">
        <f>57/130</f>
        <v>0.43846153846153846</v>
      </c>
      <c r="Q113" s="83">
        <v>121</v>
      </c>
      <c r="R113" s="86">
        <v>6</v>
      </c>
      <c r="S113" s="83">
        <v>0</v>
      </c>
      <c r="T113" s="83">
        <v>1</v>
      </c>
      <c r="U113" s="83">
        <v>0</v>
      </c>
      <c r="V113" s="83">
        <v>0</v>
      </c>
      <c r="W113" s="83">
        <v>0</v>
      </c>
      <c r="X113" s="10"/>
      <c r="Y113" s="87">
        <v>26.533333333333335</v>
      </c>
      <c r="Z113" s="83">
        <v>0</v>
      </c>
      <c r="AA113" s="88">
        <v>26.533333333333335</v>
      </c>
      <c r="AB113" s="89">
        <v>0</v>
      </c>
      <c r="AC113" s="90">
        <v>1</v>
      </c>
      <c r="AD113" s="84">
        <v>22.4</v>
      </c>
      <c r="AE113" s="83">
        <v>0.11</v>
      </c>
      <c r="AF113" s="85">
        <f t="shared" si="32"/>
        <v>-99.026548672566378</v>
      </c>
      <c r="AG113" s="10" t="str">
        <f t="shared" si="33"/>
        <v>1</v>
      </c>
      <c r="AH113" s="10"/>
      <c r="AI113" s="10"/>
      <c r="AK113" s="2"/>
      <c r="AL113" s="2"/>
      <c r="AM113" s="2"/>
      <c r="AN113" s="2"/>
    </row>
    <row r="114" spans="1:40" ht="15" x14ac:dyDescent="0.25">
      <c r="A114" s="82" t="s">
        <v>773</v>
      </c>
      <c r="B114" s="83">
        <v>0</v>
      </c>
      <c r="C114" s="83">
        <v>0</v>
      </c>
      <c r="D114" s="83">
        <v>0</v>
      </c>
      <c r="E114" s="83">
        <v>1</v>
      </c>
      <c r="F114" s="83">
        <v>0</v>
      </c>
      <c r="G114" s="83">
        <v>0</v>
      </c>
      <c r="H114" s="10">
        <v>0</v>
      </c>
      <c r="I114" s="84">
        <v>92.679452054794524</v>
      </c>
      <c r="J114" s="83">
        <v>2</v>
      </c>
      <c r="K114" s="84">
        <v>235.06666666666666</v>
      </c>
      <c r="L114" s="84">
        <v>0</v>
      </c>
      <c r="M114" s="83">
        <v>32</v>
      </c>
      <c r="N114" s="83">
        <v>44</v>
      </c>
      <c r="O114" s="85">
        <f>164/240</f>
        <v>0.68333333333333335</v>
      </c>
      <c r="P114" s="85">
        <f>78/135</f>
        <v>0.57777777777777772</v>
      </c>
      <c r="Q114" s="83">
        <v>129</v>
      </c>
      <c r="R114" s="86">
        <v>2.6842105263157894</v>
      </c>
      <c r="S114" s="83">
        <v>1</v>
      </c>
      <c r="T114" s="83">
        <v>0</v>
      </c>
      <c r="U114" s="83">
        <v>0</v>
      </c>
      <c r="V114" s="83">
        <v>0</v>
      </c>
      <c r="W114" s="83">
        <v>0</v>
      </c>
      <c r="X114" s="10"/>
      <c r="Y114" s="87">
        <v>7.2333333333333334</v>
      </c>
      <c r="Z114" s="83">
        <v>1</v>
      </c>
      <c r="AA114" s="88">
        <v>7.2333333333333334</v>
      </c>
      <c r="AB114" s="89">
        <v>0</v>
      </c>
      <c r="AC114" s="90">
        <v>0</v>
      </c>
      <c r="AD114" s="84">
        <v>6.7666666666666666</v>
      </c>
      <c r="AE114" s="83">
        <v>2.2999999999999998</v>
      </c>
      <c r="AF114" s="85">
        <f t="shared" si="32"/>
        <v>-92.8125</v>
      </c>
      <c r="AG114" s="10" t="str">
        <f t="shared" si="33"/>
        <v>1</v>
      </c>
      <c r="AH114" s="10"/>
      <c r="AI114" s="10"/>
      <c r="AK114" s="2"/>
      <c r="AL114" s="2"/>
      <c r="AM114" s="2"/>
      <c r="AN114" s="2"/>
    </row>
    <row r="115" spans="1:40" ht="15" x14ac:dyDescent="0.25">
      <c r="A115" s="82" t="s">
        <v>774</v>
      </c>
      <c r="B115" s="83">
        <v>0</v>
      </c>
      <c r="C115" s="83">
        <v>0</v>
      </c>
      <c r="D115" s="83">
        <v>1</v>
      </c>
      <c r="E115" s="83">
        <v>1</v>
      </c>
      <c r="F115" s="83">
        <v>0</v>
      </c>
      <c r="G115" s="83">
        <v>0</v>
      </c>
      <c r="H115" s="10">
        <v>0</v>
      </c>
      <c r="I115" s="84">
        <v>86.909589041095884</v>
      </c>
      <c r="J115" s="83">
        <v>0</v>
      </c>
      <c r="K115" s="84">
        <v>14.933333333333334</v>
      </c>
      <c r="L115" s="84">
        <v>0</v>
      </c>
      <c r="M115" s="83">
        <v>5.6</v>
      </c>
      <c r="N115" s="83" t="s">
        <v>674</v>
      </c>
      <c r="O115" s="85" t="s">
        <v>674</v>
      </c>
      <c r="P115" s="85" t="s">
        <v>674</v>
      </c>
      <c r="Q115" s="83">
        <v>111</v>
      </c>
      <c r="R115" s="86">
        <v>2.75</v>
      </c>
      <c r="S115" s="83">
        <v>0</v>
      </c>
      <c r="T115" s="83">
        <v>1</v>
      </c>
      <c r="U115" s="83">
        <v>0</v>
      </c>
      <c r="V115" s="83">
        <v>0</v>
      </c>
      <c r="W115" s="83">
        <v>0</v>
      </c>
      <c r="X115" s="10"/>
      <c r="Y115" s="87">
        <v>28.466666666666665</v>
      </c>
      <c r="Z115" s="83">
        <v>0</v>
      </c>
      <c r="AA115" s="88">
        <v>28.466666666666665</v>
      </c>
      <c r="AB115" s="89">
        <v>0</v>
      </c>
      <c r="AC115" s="90">
        <v>0</v>
      </c>
      <c r="AD115" s="84">
        <v>8.8000000000000007</v>
      </c>
      <c r="AE115" s="83">
        <v>0.42</v>
      </c>
      <c r="AF115" s="85">
        <f t="shared" si="32"/>
        <v>-92.5</v>
      </c>
      <c r="AG115" s="10" t="str">
        <f t="shared" si="33"/>
        <v>1</v>
      </c>
      <c r="AH115" s="10"/>
      <c r="AI115" s="10"/>
      <c r="AK115" s="2"/>
      <c r="AL115" s="2"/>
      <c r="AM115" s="2"/>
      <c r="AN115" s="2"/>
    </row>
    <row r="116" spans="1:40" ht="15" x14ac:dyDescent="0.25">
      <c r="A116" s="82" t="s">
        <v>775</v>
      </c>
      <c r="B116" s="83">
        <v>0</v>
      </c>
      <c r="C116" s="83">
        <v>0</v>
      </c>
      <c r="D116" s="83">
        <v>0</v>
      </c>
      <c r="E116" s="83">
        <v>1</v>
      </c>
      <c r="F116" s="83">
        <v>0</v>
      </c>
      <c r="G116" s="83">
        <v>0</v>
      </c>
      <c r="H116" s="10">
        <v>0</v>
      </c>
      <c r="I116" s="84">
        <v>65.457534246575349</v>
      </c>
      <c r="J116" s="83">
        <v>0</v>
      </c>
      <c r="K116" s="84">
        <v>74.966666666666669</v>
      </c>
      <c r="L116" s="84">
        <v>0</v>
      </c>
      <c r="M116" s="83">
        <v>7.7</v>
      </c>
      <c r="N116" s="83">
        <v>42</v>
      </c>
      <c r="O116" s="85">
        <f>158/225</f>
        <v>0.70222222222222219</v>
      </c>
      <c r="P116" s="85">
        <f>124/145</f>
        <v>0.85517241379310349</v>
      </c>
      <c r="Q116" s="83">
        <v>134</v>
      </c>
      <c r="R116" s="86">
        <v>1.2857142857142858</v>
      </c>
      <c r="S116" s="83">
        <v>0</v>
      </c>
      <c r="T116" s="83">
        <v>1</v>
      </c>
      <c r="U116" s="83">
        <v>0</v>
      </c>
      <c r="V116" s="83">
        <v>0</v>
      </c>
      <c r="W116" s="83">
        <v>0</v>
      </c>
      <c r="X116" s="10"/>
      <c r="Y116" s="87">
        <v>28.9</v>
      </c>
      <c r="Z116" s="83">
        <v>0</v>
      </c>
      <c r="AA116" s="88">
        <v>28.9</v>
      </c>
      <c r="AB116" s="89">
        <v>1</v>
      </c>
      <c r="AC116" s="90">
        <v>0</v>
      </c>
      <c r="AD116" s="84">
        <v>28.8</v>
      </c>
      <c r="AE116" s="83">
        <v>8.0000000000000002E-3</v>
      </c>
      <c r="AF116" s="85">
        <f t="shared" si="32"/>
        <v>-99.896103896103895</v>
      </c>
      <c r="AG116" s="10" t="str">
        <f t="shared" si="33"/>
        <v>1</v>
      </c>
      <c r="AH116" s="10"/>
      <c r="AI116" s="10"/>
      <c r="AK116" s="2"/>
      <c r="AL116" s="2"/>
      <c r="AM116" s="2"/>
      <c r="AN116" s="2"/>
    </row>
    <row r="117" spans="1:40" ht="15" x14ac:dyDescent="0.25">
      <c r="A117" s="82" t="s">
        <v>776</v>
      </c>
      <c r="B117" s="83">
        <v>1</v>
      </c>
      <c r="C117" s="83">
        <v>2</v>
      </c>
      <c r="D117" s="83">
        <v>1</v>
      </c>
      <c r="E117" s="83">
        <v>1</v>
      </c>
      <c r="F117" s="83">
        <v>0</v>
      </c>
      <c r="G117" s="83">
        <v>0</v>
      </c>
      <c r="H117" s="10">
        <v>0</v>
      </c>
      <c r="I117" s="84">
        <v>67.580821917808223</v>
      </c>
      <c r="J117" s="83" t="s">
        <v>680</v>
      </c>
      <c r="K117" s="84">
        <v>12.9</v>
      </c>
      <c r="L117" s="84">
        <v>0</v>
      </c>
      <c r="M117" s="83">
        <v>1300</v>
      </c>
      <c r="N117" s="83">
        <v>32</v>
      </c>
      <c r="O117" s="85" t="s">
        <v>674</v>
      </c>
      <c r="P117" s="85">
        <f>222/135</f>
        <v>1.6444444444444444</v>
      </c>
      <c r="Q117" s="83">
        <v>92</v>
      </c>
      <c r="R117" s="86">
        <v>2.9375</v>
      </c>
      <c r="S117" s="83">
        <v>0</v>
      </c>
      <c r="T117" s="83">
        <v>0</v>
      </c>
      <c r="U117" s="83">
        <v>0</v>
      </c>
      <c r="V117" s="83">
        <v>0</v>
      </c>
      <c r="W117" s="83">
        <v>1</v>
      </c>
      <c r="X117" s="10"/>
      <c r="Y117" s="87">
        <v>5.833333333333333</v>
      </c>
      <c r="Z117" s="83">
        <v>1</v>
      </c>
      <c r="AA117" s="88">
        <v>5.833333333333333</v>
      </c>
      <c r="AB117" s="89">
        <v>0</v>
      </c>
      <c r="AC117" s="90">
        <v>1</v>
      </c>
      <c r="AD117" s="84">
        <v>0.7</v>
      </c>
      <c r="AE117" s="83" t="s">
        <v>674</v>
      </c>
      <c r="AF117" s="85" t="s">
        <v>674</v>
      </c>
      <c r="AG117" s="10">
        <v>0</v>
      </c>
      <c r="AH117" s="10"/>
      <c r="AI117" s="10"/>
      <c r="AK117" s="2"/>
      <c r="AL117" s="2"/>
      <c r="AM117" s="2"/>
      <c r="AN117" s="2"/>
    </row>
    <row r="118" spans="1:40" ht="15" x14ac:dyDescent="0.25">
      <c r="A118" s="82" t="s">
        <v>777</v>
      </c>
      <c r="B118" s="83">
        <v>1</v>
      </c>
      <c r="C118" s="83">
        <v>0</v>
      </c>
      <c r="D118" s="83">
        <v>0</v>
      </c>
      <c r="E118" s="83">
        <v>1</v>
      </c>
      <c r="F118" s="83">
        <v>0</v>
      </c>
      <c r="G118" s="83">
        <v>0</v>
      </c>
      <c r="H118" s="10">
        <v>0</v>
      </c>
      <c r="I118" s="84">
        <v>71.986301369863014</v>
      </c>
      <c r="J118" s="83" t="s">
        <v>680</v>
      </c>
      <c r="K118" s="84">
        <v>79.599999999999994</v>
      </c>
      <c r="L118" s="84">
        <v>0</v>
      </c>
      <c r="M118" s="83">
        <v>3.4</v>
      </c>
      <c r="N118" s="83">
        <v>42</v>
      </c>
      <c r="O118" s="85">
        <f>213/225</f>
        <v>0.94666666666666666</v>
      </c>
      <c r="P118" s="85">
        <f>81/145</f>
        <v>0.55862068965517242</v>
      </c>
      <c r="Q118" s="83">
        <v>111</v>
      </c>
      <c r="R118" s="86">
        <v>1.8461538461538463</v>
      </c>
      <c r="S118" s="83">
        <v>0</v>
      </c>
      <c r="T118" s="83">
        <v>1</v>
      </c>
      <c r="U118" s="83">
        <v>0</v>
      </c>
      <c r="V118" s="83">
        <v>0</v>
      </c>
      <c r="W118" s="83">
        <v>0</v>
      </c>
      <c r="X118" s="10"/>
      <c r="Y118" s="87">
        <v>18.333333333333332</v>
      </c>
      <c r="Z118" s="83">
        <v>0</v>
      </c>
      <c r="AA118" s="88">
        <v>18.333333333333332</v>
      </c>
      <c r="AB118" s="89">
        <v>0</v>
      </c>
      <c r="AC118" s="90">
        <v>0</v>
      </c>
      <c r="AD118" s="84">
        <v>25.433333333333334</v>
      </c>
      <c r="AE118" s="83">
        <v>8.0000000000000002E-3</v>
      </c>
      <c r="AF118" s="85">
        <f t="shared" ref="AF118:AF121" si="34">((M118-AE118)/M118)*(-100)</f>
        <v>-99.764705882352942</v>
      </c>
      <c r="AG118" s="10" t="str">
        <f t="shared" ref="AG118:AG121" si="35">IF((AE118/M118)&lt;0.5,"1","0")</f>
        <v>1</v>
      </c>
      <c r="AH118" s="10"/>
      <c r="AI118" s="10"/>
      <c r="AK118" s="2"/>
      <c r="AL118" s="2"/>
      <c r="AM118" s="2"/>
      <c r="AN118" s="2"/>
    </row>
    <row r="119" spans="1:40" ht="15" x14ac:dyDescent="0.25">
      <c r="A119" s="82" t="s">
        <v>778</v>
      </c>
      <c r="B119" s="83">
        <v>0</v>
      </c>
      <c r="C119" s="83">
        <v>0</v>
      </c>
      <c r="D119" s="83">
        <v>0</v>
      </c>
      <c r="E119" s="83">
        <v>1</v>
      </c>
      <c r="F119" s="83">
        <v>0</v>
      </c>
      <c r="G119" s="83">
        <v>0</v>
      </c>
      <c r="H119" s="10">
        <v>0</v>
      </c>
      <c r="I119" s="84">
        <v>70.739726027397253</v>
      </c>
      <c r="J119" s="83" t="s">
        <v>680</v>
      </c>
      <c r="K119" s="84">
        <v>13</v>
      </c>
      <c r="L119" s="84">
        <v>0</v>
      </c>
      <c r="M119" s="83">
        <v>13.24</v>
      </c>
      <c r="N119" s="83">
        <v>35</v>
      </c>
      <c r="O119" s="85">
        <f>428/618</f>
        <v>0.69255663430420711</v>
      </c>
      <c r="P119" s="85">
        <f>202/126</f>
        <v>1.6031746031746033</v>
      </c>
      <c r="Q119" s="83">
        <v>114</v>
      </c>
      <c r="R119" s="86">
        <v>24</v>
      </c>
      <c r="S119" s="83">
        <v>1</v>
      </c>
      <c r="T119" s="83">
        <v>0</v>
      </c>
      <c r="U119" s="83">
        <v>0</v>
      </c>
      <c r="V119" s="83">
        <v>0</v>
      </c>
      <c r="W119" s="83">
        <v>0</v>
      </c>
      <c r="X119" s="10"/>
      <c r="Y119" s="87">
        <v>3.9333333333333331</v>
      </c>
      <c r="Z119" s="83">
        <v>1</v>
      </c>
      <c r="AA119" s="88">
        <v>3.9333333333333331</v>
      </c>
      <c r="AB119" s="89">
        <v>0</v>
      </c>
      <c r="AC119" s="90">
        <v>0</v>
      </c>
      <c r="AD119" s="84">
        <v>2</v>
      </c>
      <c r="AE119" s="83">
        <v>2.2999999999999998</v>
      </c>
      <c r="AF119" s="85">
        <f t="shared" si="34"/>
        <v>-82.628398791540789</v>
      </c>
      <c r="AG119" s="10" t="str">
        <f t="shared" si="35"/>
        <v>1</v>
      </c>
      <c r="AH119" s="10"/>
      <c r="AI119" s="10"/>
      <c r="AK119" s="2"/>
      <c r="AL119" s="2"/>
      <c r="AM119" s="2"/>
      <c r="AN119" s="2"/>
    </row>
    <row r="120" spans="1:40" ht="15" x14ac:dyDescent="0.25">
      <c r="A120" s="82" t="s">
        <v>779</v>
      </c>
      <c r="B120" s="83">
        <v>0</v>
      </c>
      <c r="C120" s="83">
        <v>0</v>
      </c>
      <c r="D120" s="83">
        <v>1</v>
      </c>
      <c r="E120" s="83">
        <v>1</v>
      </c>
      <c r="F120" s="83">
        <v>0</v>
      </c>
      <c r="G120" s="83">
        <v>0</v>
      </c>
      <c r="H120" s="10">
        <v>0</v>
      </c>
      <c r="I120" s="84">
        <v>78.31232876712329</v>
      </c>
      <c r="J120" s="83" t="s">
        <v>680</v>
      </c>
      <c r="K120" s="84">
        <v>75</v>
      </c>
      <c r="L120" s="84">
        <v>0</v>
      </c>
      <c r="M120" s="83">
        <v>33.4</v>
      </c>
      <c r="N120" s="83" t="s">
        <v>674</v>
      </c>
      <c r="O120" s="85" t="s">
        <v>674</v>
      </c>
      <c r="P120" s="85" t="s">
        <v>674</v>
      </c>
      <c r="Q120" s="83" t="s">
        <v>674</v>
      </c>
      <c r="R120" s="86" t="s">
        <v>674</v>
      </c>
      <c r="S120" s="83">
        <v>0</v>
      </c>
      <c r="T120" s="83">
        <v>1</v>
      </c>
      <c r="U120" s="83">
        <v>0</v>
      </c>
      <c r="V120" s="83">
        <v>0</v>
      </c>
      <c r="W120" s="83">
        <v>0</v>
      </c>
      <c r="X120" s="10"/>
      <c r="Y120" s="87">
        <v>22.666666666666668</v>
      </c>
      <c r="Z120" s="83">
        <v>0</v>
      </c>
      <c r="AA120" s="88">
        <v>22.666666666666668</v>
      </c>
      <c r="AB120" s="89">
        <v>1</v>
      </c>
      <c r="AC120" s="90">
        <v>1</v>
      </c>
      <c r="AD120" s="84">
        <v>15.266666666666667</v>
      </c>
      <c r="AE120" s="83">
        <v>5.9</v>
      </c>
      <c r="AF120" s="85">
        <f t="shared" si="34"/>
        <v>-82.335329341317362</v>
      </c>
      <c r="AG120" s="10" t="str">
        <f t="shared" si="35"/>
        <v>1</v>
      </c>
      <c r="AH120" s="10"/>
      <c r="AI120" s="10"/>
      <c r="AK120" s="2"/>
      <c r="AL120" s="2"/>
      <c r="AM120" s="2"/>
      <c r="AN120" s="2"/>
    </row>
    <row r="121" spans="1:40" ht="15" x14ac:dyDescent="0.25">
      <c r="A121" s="82" t="s">
        <v>780</v>
      </c>
      <c r="B121" s="83">
        <v>0</v>
      </c>
      <c r="C121" s="83">
        <v>0</v>
      </c>
      <c r="D121" s="83">
        <v>1</v>
      </c>
      <c r="E121" s="83">
        <v>0</v>
      </c>
      <c r="F121" s="83">
        <v>0</v>
      </c>
      <c r="G121" s="83">
        <v>0</v>
      </c>
      <c r="H121" s="10">
        <v>0</v>
      </c>
      <c r="I121" s="84">
        <v>62.019178082191779</v>
      </c>
      <c r="J121" s="83">
        <v>0</v>
      </c>
      <c r="K121" s="84">
        <v>67.2</v>
      </c>
      <c r="L121" s="84">
        <v>0</v>
      </c>
      <c r="M121" s="83">
        <v>4</v>
      </c>
      <c r="N121" s="83">
        <v>48</v>
      </c>
      <c r="O121" s="85" t="s">
        <v>674</v>
      </c>
      <c r="P121" s="85">
        <f>107/145</f>
        <v>0.73793103448275865</v>
      </c>
      <c r="Q121" s="83">
        <v>139</v>
      </c>
      <c r="R121" s="86">
        <v>5.3636363636363633</v>
      </c>
      <c r="S121" s="83">
        <v>1</v>
      </c>
      <c r="T121" s="83">
        <v>0</v>
      </c>
      <c r="U121" s="83">
        <v>0</v>
      </c>
      <c r="V121" s="83">
        <v>0</v>
      </c>
      <c r="W121" s="83">
        <v>0</v>
      </c>
      <c r="X121" s="10"/>
      <c r="Y121" s="87">
        <v>23.9</v>
      </c>
      <c r="Z121" s="83">
        <v>1</v>
      </c>
      <c r="AA121" s="88">
        <v>23.9</v>
      </c>
      <c r="AB121" s="89">
        <v>0</v>
      </c>
      <c r="AC121" s="90">
        <v>1</v>
      </c>
      <c r="AD121" s="84">
        <v>4.7333333333333334</v>
      </c>
      <c r="AE121" s="83">
        <v>3</v>
      </c>
      <c r="AF121" s="85">
        <f t="shared" si="34"/>
        <v>-25</v>
      </c>
      <c r="AG121" s="10" t="str">
        <f t="shared" si="35"/>
        <v>0</v>
      </c>
      <c r="AH121" s="10"/>
      <c r="AI121" s="10"/>
      <c r="AK121" s="2"/>
      <c r="AL121" s="2"/>
      <c r="AM121" s="2"/>
      <c r="AN121" s="2"/>
    </row>
    <row r="122" spans="1:40" ht="15" x14ac:dyDescent="0.25">
      <c r="A122" s="82" t="s">
        <v>781</v>
      </c>
      <c r="B122" s="83">
        <v>1</v>
      </c>
      <c r="C122" s="83">
        <v>1</v>
      </c>
      <c r="D122" s="83">
        <v>0</v>
      </c>
      <c r="E122" s="83">
        <v>1</v>
      </c>
      <c r="F122" s="83">
        <v>0</v>
      </c>
      <c r="G122" s="83">
        <v>0</v>
      </c>
      <c r="H122" s="10">
        <v>0</v>
      </c>
      <c r="I122" s="84">
        <v>68.62465753424658</v>
      </c>
      <c r="J122" s="83">
        <v>1</v>
      </c>
      <c r="K122" s="84">
        <v>30.8</v>
      </c>
      <c r="L122" s="84">
        <v>0</v>
      </c>
      <c r="M122" s="83">
        <v>91</v>
      </c>
      <c r="N122" s="83">
        <v>40</v>
      </c>
      <c r="O122" s="85">
        <f>547/240</f>
        <v>2.2791666666666668</v>
      </c>
      <c r="P122" s="85">
        <f>115/135</f>
        <v>0.85185185185185186</v>
      </c>
      <c r="Q122" s="83">
        <v>117</v>
      </c>
      <c r="R122" s="86">
        <v>2.875</v>
      </c>
      <c r="S122" s="83">
        <v>0</v>
      </c>
      <c r="T122" s="83">
        <v>1</v>
      </c>
      <c r="U122" s="83">
        <v>0</v>
      </c>
      <c r="V122" s="83">
        <v>0</v>
      </c>
      <c r="W122" s="83">
        <v>0</v>
      </c>
      <c r="X122" s="10"/>
      <c r="Y122" s="87">
        <v>3.9333333333333331</v>
      </c>
      <c r="Z122" s="83">
        <v>1</v>
      </c>
      <c r="AA122" s="88">
        <v>3.9333333333333331</v>
      </c>
      <c r="AB122" s="89">
        <v>0</v>
      </c>
      <c r="AC122" s="90">
        <v>1</v>
      </c>
      <c r="AD122" s="84">
        <v>0.46666666666666667</v>
      </c>
      <c r="AE122" s="83" t="s">
        <v>674</v>
      </c>
      <c r="AF122" s="85" t="s">
        <v>674</v>
      </c>
      <c r="AG122" s="10">
        <v>0</v>
      </c>
      <c r="AH122" s="10"/>
      <c r="AI122" s="10"/>
      <c r="AK122" s="2"/>
      <c r="AL122" s="2"/>
      <c r="AM122" s="2"/>
      <c r="AN122" s="2"/>
    </row>
    <row r="123" spans="1:40" ht="15" x14ac:dyDescent="0.25">
      <c r="A123" s="82" t="s">
        <v>782</v>
      </c>
      <c r="B123" s="83">
        <v>0</v>
      </c>
      <c r="C123" s="83">
        <v>0</v>
      </c>
      <c r="D123" s="83">
        <v>0</v>
      </c>
      <c r="E123" s="83">
        <v>1</v>
      </c>
      <c r="F123" s="83">
        <v>0</v>
      </c>
      <c r="G123" s="83">
        <v>0</v>
      </c>
      <c r="H123" s="10">
        <v>0</v>
      </c>
      <c r="I123" s="84">
        <v>70.0027397260274</v>
      </c>
      <c r="J123" s="83">
        <v>0</v>
      </c>
      <c r="K123" s="84">
        <v>24.933333333333334</v>
      </c>
      <c r="L123" s="84">
        <v>0</v>
      </c>
      <c r="M123" s="83">
        <v>4.2</v>
      </c>
      <c r="N123" s="83" t="s">
        <v>674</v>
      </c>
      <c r="O123" s="85">
        <f>166/240</f>
        <v>0.69166666666666665</v>
      </c>
      <c r="P123" s="85">
        <f>97/135</f>
        <v>0.71851851851851856</v>
      </c>
      <c r="Q123" s="83">
        <v>146</v>
      </c>
      <c r="R123" s="86">
        <v>1.6785714285714286</v>
      </c>
      <c r="S123" s="83">
        <v>0</v>
      </c>
      <c r="T123" s="83">
        <v>1</v>
      </c>
      <c r="U123" s="83">
        <v>0</v>
      </c>
      <c r="V123" s="83">
        <v>0</v>
      </c>
      <c r="W123" s="83">
        <v>0</v>
      </c>
      <c r="X123" s="10"/>
      <c r="Y123" s="87">
        <v>22.2</v>
      </c>
      <c r="Z123" s="83">
        <v>0</v>
      </c>
      <c r="AA123" s="88">
        <v>22.2</v>
      </c>
      <c r="AB123" s="89">
        <v>1</v>
      </c>
      <c r="AC123" s="90">
        <v>0</v>
      </c>
      <c r="AD123" s="84">
        <v>23.966666666666665</v>
      </c>
      <c r="AE123" s="83">
        <v>8.0000000000000002E-3</v>
      </c>
      <c r="AF123" s="85">
        <f t="shared" ref="AF123:AF135" si="36">((M123-AE123)/M123)*(-100)</f>
        <v>-99.80952380952381</v>
      </c>
      <c r="AG123" s="10" t="str">
        <f t="shared" ref="AG123:AG135" si="37">IF((AE123/M123)&lt;0.5,"1","0")</f>
        <v>1</v>
      </c>
      <c r="AH123" s="10"/>
      <c r="AI123" s="10"/>
      <c r="AK123" s="2"/>
      <c r="AL123" s="2"/>
      <c r="AM123" s="2"/>
      <c r="AN123" s="2"/>
    </row>
    <row r="124" spans="1:40" ht="15" x14ac:dyDescent="0.25">
      <c r="A124" s="82" t="s">
        <v>783</v>
      </c>
      <c r="B124" s="83">
        <v>0</v>
      </c>
      <c r="C124" s="83">
        <v>0</v>
      </c>
      <c r="D124" s="83">
        <v>0</v>
      </c>
      <c r="E124" s="83">
        <v>1</v>
      </c>
      <c r="F124" s="83">
        <v>0</v>
      </c>
      <c r="G124" s="83">
        <v>0</v>
      </c>
      <c r="H124" s="10">
        <v>0</v>
      </c>
      <c r="I124" s="84">
        <v>57.846575342465755</v>
      </c>
      <c r="J124" s="83">
        <v>0</v>
      </c>
      <c r="K124" s="84">
        <v>118.86666666666666</v>
      </c>
      <c r="L124" s="84">
        <v>0</v>
      </c>
      <c r="M124" s="83">
        <v>5.8</v>
      </c>
      <c r="N124" s="83" t="s">
        <v>674</v>
      </c>
      <c r="O124" s="85">
        <f>187/225</f>
        <v>0.83111111111111113</v>
      </c>
      <c r="P124" s="85">
        <f>109/145</f>
        <v>0.75172413793103443</v>
      </c>
      <c r="Q124" s="83">
        <v>144</v>
      </c>
      <c r="R124" s="86">
        <v>2.5333333333333332</v>
      </c>
      <c r="S124" s="83">
        <v>1</v>
      </c>
      <c r="T124" s="83">
        <v>0</v>
      </c>
      <c r="U124" s="83">
        <v>0</v>
      </c>
      <c r="V124" s="83">
        <v>0</v>
      </c>
      <c r="W124" s="83">
        <v>0</v>
      </c>
      <c r="X124" s="10"/>
      <c r="Y124" s="87">
        <v>22.333333333333332</v>
      </c>
      <c r="Z124" s="83">
        <v>0</v>
      </c>
      <c r="AA124" s="88">
        <v>22.333333333333332</v>
      </c>
      <c r="AB124" s="89">
        <v>0</v>
      </c>
      <c r="AC124" s="90">
        <v>0</v>
      </c>
      <c r="AD124" s="84">
        <v>18.233333333333334</v>
      </c>
      <c r="AE124" s="83">
        <v>0.38</v>
      </c>
      <c r="AF124" s="85">
        <f t="shared" si="36"/>
        <v>-93.448275862068968</v>
      </c>
      <c r="AG124" s="10" t="str">
        <f t="shared" si="37"/>
        <v>1</v>
      </c>
      <c r="AH124" s="10"/>
      <c r="AI124" s="10"/>
      <c r="AK124" s="2"/>
      <c r="AL124" s="2"/>
      <c r="AM124" s="2"/>
      <c r="AN124" s="2"/>
    </row>
    <row r="125" spans="1:40" ht="15" x14ac:dyDescent="0.25">
      <c r="A125" s="82" t="s">
        <v>784</v>
      </c>
      <c r="B125" s="83">
        <v>0</v>
      </c>
      <c r="C125" s="83">
        <v>0</v>
      </c>
      <c r="D125" s="83">
        <v>1</v>
      </c>
      <c r="E125" s="83">
        <v>0</v>
      </c>
      <c r="F125" s="83">
        <v>0</v>
      </c>
      <c r="G125" s="83">
        <v>0</v>
      </c>
      <c r="H125" s="10">
        <v>0</v>
      </c>
      <c r="I125" s="84">
        <v>73.575342465753423</v>
      </c>
      <c r="J125" s="83">
        <v>1</v>
      </c>
      <c r="K125" s="84">
        <v>77.099999999999994</v>
      </c>
      <c r="L125" s="84">
        <v>0</v>
      </c>
      <c r="M125" s="83">
        <v>12.3</v>
      </c>
      <c r="N125" s="83" t="s">
        <v>674</v>
      </c>
      <c r="O125" s="85">
        <f>189/225</f>
        <v>0.84</v>
      </c>
      <c r="P125" s="85">
        <f>76/145</f>
        <v>0.52413793103448281</v>
      </c>
      <c r="Q125" s="83">
        <v>127</v>
      </c>
      <c r="R125" s="86">
        <v>2.5172413793103448</v>
      </c>
      <c r="S125" s="83">
        <v>0</v>
      </c>
      <c r="T125" s="83">
        <v>1</v>
      </c>
      <c r="U125" s="83">
        <v>0</v>
      </c>
      <c r="V125" s="83">
        <v>0</v>
      </c>
      <c r="W125" s="83">
        <v>0</v>
      </c>
      <c r="X125" s="10"/>
      <c r="Y125" s="87">
        <v>21.466666666666665</v>
      </c>
      <c r="Z125" s="83">
        <v>1</v>
      </c>
      <c r="AA125" s="88">
        <v>21.466666666666665</v>
      </c>
      <c r="AB125" s="89">
        <v>0</v>
      </c>
      <c r="AC125" s="90">
        <v>1</v>
      </c>
      <c r="AD125" s="84">
        <v>6.2</v>
      </c>
      <c r="AE125" s="83">
        <v>11.8</v>
      </c>
      <c r="AF125" s="85">
        <f t="shared" si="36"/>
        <v>-4.0650406504065035</v>
      </c>
      <c r="AG125" s="10" t="str">
        <f t="shared" si="37"/>
        <v>0</v>
      </c>
      <c r="AH125" s="10"/>
      <c r="AI125" s="10"/>
      <c r="AK125" s="2"/>
      <c r="AL125" s="2"/>
      <c r="AM125" s="2"/>
      <c r="AN125" s="2"/>
    </row>
    <row r="126" spans="1:40" ht="15" x14ac:dyDescent="0.25">
      <c r="A126" s="82" t="s">
        <v>867</v>
      </c>
      <c r="B126" s="83">
        <v>0</v>
      </c>
      <c r="C126" s="83">
        <v>0</v>
      </c>
      <c r="D126" s="83">
        <v>1</v>
      </c>
      <c r="E126" s="83">
        <v>1</v>
      </c>
      <c r="F126" s="83">
        <v>0</v>
      </c>
      <c r="G126" s="83">
        <v>0</v>
      </c>
      <c r="H126" s="10">
        <v>0</v>
      </c>
      <c r="I126" s="84">
        <v>74.783561643835611</v>
      </c>
      <c r="J126" s="83">
        <v>0</v>
      </c>
      <c r="K126" s="84">
        <v>16.333333333333332</v>
      </c>
      <c r="L126" s="84">
        <v>0</v>
      </c>
      <c r="M126" s="83">
        <v>9.1</v>
      </c>
      <c r="N126" s="83">
        <v>41</v>
      </c>
      <c r="O126" s="85">
        <f>212/225</f>
        <v>0.94222222222222218</v>
      </c>
      <c r="P126" s="85">
        <f>80/135</f>
        <v>0.59259259259259256</v>
      </c>
      <c r="Q126" s="83">
        <v>131</v>
      </c>
      <c r="R126" s="86">
        <v>8</v>
      </c>
      <c r="S126" s="83">
        <v>1</v>
      </c>
      <c r="T126" s="83">
        <v>0</v>
      </c>
      <c r="U126" s="83">
        <v>0</v>
      </c>
      <c r="V126" s="83">
        <v>0</v>
      </c>
      <c r="W126" s="83">
        <v>1</v>
      </c>
      <c r="X126" s="10"/>
      <c r="Y126" s="87">
        <v>12.8</v>
      </c>
      <c r="Z126" s="83">
        <v>1</v>
      </c>
      <c r="AA126" s="88">
        <v>12.8</v>
      </c>
      <c r="AB126" s="89">
        <v>0</v>
      </c>
      <c r="AC126" s="90">
        <v>1</v>
      </c>
      <c r="AD126" s="84">
        <v>5.7666666666666666</v>
      </c>
      <c r="AE126" s="83">
        <v>4.4000000000000004</v>
      </c>
      <c r="AF126" s="85">
        <f t="shared" si="36"/>
        <v>-51.648351648351642</v>
      </c>
      <c r="AG126" s="10" t="str">
        <f t="shared" si="37"/>
        <v>1</v>
      </c>
      <c r="AH126" s="10"/>
      <c r="AI126" s="10"/>
      <c r="AK126" s="2"/>
      <c r="AL126" s="2"/>
      <c r="AM126" s="2"/>
      <c r="AN126" s="2"/>
    </row>
    <row r="127" spans="1:40" ht="15" x14ac:dyDescent="0.25">
      <c r="A127" s="82" t="s">
        <v>785</v>
      </c>
      <c r="B127" s="83">
        <v>0</v>
      </c>
      <c r="C127" s="83">
        <v>0</v>
      </c>
      <c r="D127" s="83">
        <v>1</v>
      </c>
      <c r="E127" s="83">
        <v>0</v>
      </c>
      <c r="F127" s="83">
        <v>1</v>
      </c>
      <c r="G127" s="83">
        <v>0</v>
      </c>
      <c r="H127" s="10">
        <v>0</v>
      </c>
      <c r="I127" s="84">
        <v>64.038356164383558</v>
      </c>
      <c r="J127" s="83">
        <v>1</v>
      </c>
      <c r="K127" s="84">
        <v>16.100000000000001</v>
      </c>
      <c r="L127" s="84">
        <v>0</v>
      </c>
      <c r="M127" s="83">
        <v>79.3</v>
      </c>
      <c r="N127" s="83" t="s">
        <v>674</v>
      </c>
      <c r="O127" s="85">
        <f>238/225</f>
        <v>1.0577777777777777</v>
      </c>
      <c r="P127" s="85">
        <f>87/145</f>
        <v>0.6</v>
      </c>
      <c r="Q127" s="83">
        <v>141</v>
      </c>
      <c r="R127" s="86">
        <v>3.6923076923076925</v>
      </c>
      <c r="S127" s="83">
        <v>1</v>
      </c>
      <c r="T127" s="83">
        <v>0</v>
      </c>
      <c r="U127" s="83">
        <v>0</v>
      </c>
      <c r="V127" s="83">
        <v>0</v>
      </c>
      <c r="W127" s="83">
        <v>0</v>
      </c>
      <c r="X127" s="10"/>
      <c r="Y127" s="87">
        <v>9.6666666666666661</v>
      </c>
      <c r="Z127" s="83">
        <v>1</v>
      </c>
      <c r="AA127" s="88">
        <v>9.6666666666666661</v>
      </c>
      <c r="AB127" s="89">
        <v>0</v>
      </c>
      <c r="AC127" s="90">
        <v>1</v>
      </c>
      <c r="AD127" s="84">
        <v>4.6333333333333337</v>
      </c>
      <c r="AE127" s="83">
        <v>6.8</v>
      </c>
      <c r="AF127" s="85">
        <f t="shared" si="36"/>
        <v>-91.424968474148798</v>
      </c>
      <c r="AG127" s="10" t="str">
        <f t="shared" si="37"/>
        <v>1</v>
      </c>
      <c r="AH127" s="10"/>
      <c r="AI127" s="10"/>
      <c r="AK127" s="2"/>
      <c r="AL127" s="2"/>
      <c r="AM127" s="2"/>
      <c r="AN127" s="2"/>
    </row>
    <row r="128" spans="1:40" ht="15" x14ac:dyDescent="0.25">
      <c r="A128" s="82" t="s">
        <v>786</v>
      </c>
      <c r="B128" s="83">
        <v>0</v>
      </c>
      <c r="C128" s="83">
        <v>0</v>
      </c>
      <c r="D128" s="83">
        <v>0</v>
      </c>
      <c r="E128" s="83">
        <v>1</v>
      </c>
      <c r="F128" s="83">
        <v>0</v>
      </c>
      <c r="G128" s="83">
        <v>0</v>
      </c>
      <c r="H128" s="10">
        <v>0</v>
      </c>
      <c r="I128" s="84">
        <v>62.087671232876716</v>
      </c>
      <c r="J128" s="83">
        <v>1</v>
      </c>
      <c r="K128" s="84">
        <v>12.266666666666667</v>
      </c>
      <c r="L128" s="84">
        <v>1</v>
      </c>
      <c r="M128" s="83">
        <v>18.399999999999999</v>
      </c>
      <c r="N128" s="83" t="s">
        <v>674</v>
      </c>
      <c r="O128" s="85" t="s">
        <v>674</v>
      </c>
      <c r="P128" s="85" t="s">
        <v>674</v>
      </c>
      <c r="Q128" s="83">
        <v>142</v>
      </c>
      <c r="R128" s="86">
        <v>4.333333333333333</v>
      </c>
      <c r="S128" s="83">
        <v>0</v>
      </c>
      <c r="T128" s="83">
        <v>1</v>
      </c>
      <c r="U128" s="83">
        <v>0</v>
      </c>
      <c r="V128" s="83">
        <v>0</v>
      </c>
      <c r="W128" s="83">
        <v>0</v>
      </c>
      <c r="X128" s="10"/>
      <c r="Y128" s="87">
        <v>10.833333333333334</v>
      </c>
      <c r="Z128" s="83">
        <v>1</v>
      </c>
      <c r="AA128" s="88">
        <v>10.833333333333334</v>
      </c>
      <c r="AB128" s="89">
        <v>0</v>
      </c>
      <c r="AC128" s="90">
        <v>1</v>
      </c>
      <c r="AD128" s="84">
        <v>2.8</v>
      </c>
      <c r="AE128" s="83">
        <v>1.6</v>
      </c>
      <c r="AF128" s="85">
        <f t="shared" si="36"/>
        <v>-91.304347826086953</v>
      </c>
      <c r="AG128" s="10" t="str">
        <f t="shared" si="37"/>
        <v>1</v>
      </c>
      <c r="AH128" s="10"/>
      <c r="AI128" s="10"/>
      <c r="AK128" s="2"/>
      <c r="AL128" s="2"/>
      <c r="AM128" s="2"/>
      <c r="AN128" s="2"/>
    </row>
    <row r="129" spans="1:40" ht="15" x14ac:dyDescent="0.25">
      <c r="A129" s="82" t="s">
        <v>787</v>
      </c>
      <c r="B129" s="83">
        <v>0</v>
      </c>
      <c r="C129" s="83">
        <v>0</v>
      </c>
      <c r="D129" s="83">
        <v>1</v>
      </c>
      <c r="E129" s="83">
        <v>1</v>
      </c>
      <c r="F129" s="83">
        <v>0</v>
      </c>
      <c r="G129" s="83">
        <v>0</v>
      </c>
      <c r="H129" s="10">
        <v>0</v>
      </c>
      <c r="I129" s="84">
        <v>84.126027397260273</v>
      </c>
      <c r="J129" s="83">
        <v>0</v>
      </c>
      <c r="K129" s="84">
        <v>51.93333333333333</v>
      </c>
      <c r="L129" s="84">
        <v>0</v>
      </c>
      <c r="M129" s="83">
        <v>5.7</v>
      </c>
      <c r="N129" s="83" t="s">
        <v>674</v>
      </c>
      <c r="O129" s="85">
        <f>198/225</f>
        <v>0.88</v>
      </c>
      <c r="P129" s="85">
        <f>58/145</f>
        <v>0.4</v>
      </c>
      <c r="Q129" s="83">
        <v>124</v>
      </c>
      <c r="R129" s="86">
        <v>1.2142857142857142</v>
      </c>
      <c r="S129" s="83">
        <v>1</v>
      </c>
      <c r="T129" s="83">
        <v>0</v>
      </c>
      <c r="U129" s="83">
        <v>0</v>
      </c>
      <c r="V129" s="83">
        <v>0</v>
      </c>
      <c r="W129" s="83">
        <v>0</v>
      </c>
      <c r="X129" s="10"/>
      <c r="Y129" s="87">
        <v>13.766666666666667</v>
      </c>
      <c r="Z129" s="83">
        <v>0</v>
      </c>
      <c r="AA129" s="88">
        <v>13.766666666666667</v>
      </c>
      <c r="AB129" s="89">
        <v>0</v>
      </c>
      <c r="AC129" s="90">
        <v>1</v>
      </c>
      <c r="AD129" s="84">
        <v>12.7</v>
      </c>
      <c r="AE129" s="83">
        <v>1</v>
      </c>
      <c r="AF129" s="85">
        <f t="shared" si="36"/>
        <v>-82.456140350877192</v>
      </c>
      <c r="AG129" s="10" t="str">
        <f t="shared" si="37"/>
        <v>1</v>
      </c>
      <c r="AH129" s="10"/>
      <c r="AI129" s="10"/>
      <c r="AK129" s="2"/>
      <c r="AL129" s="2"/>
      <c r="AM129" s="2"/>
      <c r="AN129" s="2"/>
    </row>
    <row r="130" spans="1:40" ht="15" x14ac:dyDescent="0.25">
      <c r="A130" s="82" t="s">
        <v>788</v>
      </c>
      <c r="B130" s="83">
        <v>1</v>
      </c>
      <c r="C130" s="83">
        <v>0</v>
      </c>
      <c r="D130" s="83">
        <v>1</v>
      </c>
      <c r="E130" s="83">
        <v>1</v>
      </c>
      <c r="F130" s="83">
        <v>0</v>
      </c>
      <c r="G130" s="83">
        <v>0</v>
      </c>
      <c r="H130" s="10">
        <v>0</v>
      </c>
      <c r="I130" s="84">
        <v>87.819178082191783</v>
      </c>
      <c r="J130" s="83">
        <v>1</v>
      </c>
      <c r="K130" s="84">
        <v>10.166666666666666</v>
      </c>
      <c r="L130" s="84">
        <v>1</v>
      </c>
      <c r="M130" s="83">
        <v>16.21</v>
      </c>
      <c r="N130" s="83">
        <v>39</v>
      </c>
      <c r="O130" s="85">
        <f>611/618</f>
        <v>0.98867313915857602</v>
      </c>
      <c r="P130" s="85">
        <f>133/126</f>
        <v>1.0555555555555556</v>
      </c>
      <c r="Q130" s="83">
        <v>128</v>
      </c>
      <c r="R130" s="86">
        <v>4.25</v>
      </c>
      <c r="S130" s="83">
        <v>1</v>
      </c>
      <c r="T130" s="83">
        <v>0</v>
      </c>
      <c r="U130" s="83">
        <v>0</v>
      </c>
      <c r="V130" s="83">
        <v>0</v>
      </c>
      <c r="W130" s="83">
        <v>0</v>
      </c>
      <c r="X130" s="10"/>
      <c r="Y130" s="87">
        <v>19.8</v>
      </c>
      <c r="Z130" s="83">
        <v>1</v>
      </c>
      <c r="AA130" s="88">
        <v>19.8</v>
      </c>
      <c r="AB130" s="89">
        <v>0</v>
      </c>
      <c r="AC130" s="90">
        <v>1</v>
      </c>
      <c r="AD130" s="84">
        <v>7.4666666666666668</v>
      </c>
      <c r="AE130" s="83">
        <v>3.69</v>
      </c>
      <c r="AF130" s="85">
        <f t="shared" si="36"/>
        <v>-77.236273904996921</v>
      </c>
      <c r="AG130" s="10" t="str">
        <f t="shared" si="37"/>
        <v>1</v>
      </c>
      <c r="AH130" s="10"/>
      <c r="AI130" s="10"/>
      <c r="AK130" s="2"/>
      <c r="AL130" s="2"/>
      <c r="AM130" s="2"/>
      <c r="AN130" s="2"/>
    </row>
    <row r="131" spans="1:40" ht="15" x14ac:dyDescent="0.25">
      <c r="A131" s="82" t="s">
        <v>789</v>
      </c>
      <c r="B131" s="83">
        <v>0</v>
      </c>
      <c r="C131" s="83">
        <v>0</v>
      </c>
      <c r="D131" s="83">
        <v>0</v>
      </c>
      <c r="E131" s="83">
        <v>1</v>
      </c>
      <c r="F131" s="83">
        <v>0</v>
      </c>
      <c r="G131" s="83">
        <v>0</v>
      </c>
      <c r="H131" s="10">
        <v>0</v>
      </c>
      <c r="I131" s="84">
        <v>73.024657534246572</v>
      </c>
      <c r="J131" s="83">
        <v>0</v>
      </c>
      <c r="K131" s="84">
        <v>45.766666666666666</v>
      </c>
      <c r="L131" s="84">
        <v>0</v>
      </c>
      <c r="M131" s="83">
        <v>2.58</v>
      </c>
      <c r="N131" s="83">
        <v>45</v>
      </c>
      <c r="O131" s="85">
        <f>540/618</f>
        <v>0.87378640776699024</v>
      </c>
      <c r="P131" s="85">
        <f>67/126</f>
        <v>0.53174603174603174</v>
      </c>
      <c r="Q131" s="83">
        <v>136</v>
      </c>
      <c r="R131" s="86">
        <v>1.3636363636363635</v>
      </c>
      <c r="S131" s="83">
        <v>1</v>
      </c>
      <c r="T131" s="83">
        <v>0</v>
      </c>
      <c r="U131" s="83">
        <v>0</v>
      </c>
      <c r="V131" s="83">
        <v>0</v>
      </c>
      <c r="W131" s="83">
        <v>0</v>
      </c>
      <c r="X131" s="10"/>
      <c r="Y131" s="87">
        <v>19.100000000000001</v>
      </c>
      <c r="Z131" s="83">
        <v>0</v>
      </c>
      <c r="AA131" s="88">
        <v>19.100000000000001</v>
      </c>
      <c r="AB131" s="89">
        <v>1</v>
      </c>
      <c r="AC131" s="90">
        <v>0</v>
      </c>
      <c r="AD131" s="84">
        <v>18.933333333333334</v>
      </c>
      <c r="AE131" s="83">
        <v>0.43</v>
      </c>
      <c r="AF131" s="85">
        <f t="shared" si="36"/>
        <v>-83.333333333333329</v>
      </c>
      <c r="AG131" s="10" t="str">
        <f t="shared" si="37"/>
        <v>1</v>
      </c>
      <c r="AH131" s="10"/>
      <c r="AI131" s="10"/>
      <c r="AK131" s="2"/>
      <c r="AL131" s="2"/>
      <c r="AM131" s="2"/>
      <c r="AN131" s="2"/>
    </row>
    <row r="132" spans="1:40" ht="15" x14ac:dyDescent="0.25">
      <c r="A132" s="82" t="s">
        <v>790</v>
      </c>
      <c r="B132" s="83">
        <v>1</v>
      </c>
      <c r="C132" s="83">
        <v>0</v>
      </c>
      <c r="D132" s="83">
        <v>0</v>
      </c>
      <c r="E132" s="83">
        <v>1</v>
      </c>
      <c r="F132" s="83">
        <v>0</v>
      </c>
      <c r="G132" s="83">
        <v>0</v>
      </c>
      <c r="H132" s="10">
        <v>0</v>
      </c>
      <c r="I132" s="84">
        <v>97.539726027397265</v>
      </c>
      <c r="J132" s="83" t="s">
        <v>680</v>
      </c>
      <c r="K132" s="84">
        <v>13.433333333333334</v>
      </c>
      <c r="L132" s="84">
        <v>0</v>
      </c>
      <c r="M132" s="83">
        <v>191.29</v>
      </c>
      <c r="N132" s="83" t="s">
        <v>674</v>
      </c>
      <c r="O132" s="85">
        <f>622/618</f>
        <v>1.006472491909385</v>
      </c>
      <c r="P132" s="85">
        <f>588/126</f>
        <v>4.666666666666667</v>
      </c>
      <c r="Q132" s="83">
        <v>94</v>
      </c>
      <c r="R132" s="86">
        <v>5.2222222222222223</v>
      </c>
      <c r="S132" s="83">
        <v>1</v>
      </c>
      <c r="T132" s="83">
        <v>0</v>
      </c>
      <c r="U132" s="83">
        <v>0</v>
      </c>
      <c r="V132" s="83">
        <v>0</v>
      </c>
      <c r="W132" s="83">
        <v>0</v>
      </c>
      <c r="X132" s="10"/>
      <c r="Y132" s="87">
        <v>11.2</v>
      </c>
      <c r="Z132" s="83">
        <v>1</v>
      </c>
      <c r="AA132" s="88">
        <v>11.2</v>
      </c>
      <c r="AB132" s="89">
        <v>0</v>
      </c>
      <c r="AC132" s="90">
        <v>1</v>
      </c>
      <c r="AD132" s="84">
        <v>3.5</v>
      </c>
      <c r="AE132" s="83">
        <v>165.31</v>
      </c>
      <c r="AF132" s="85">
        <f t="shared" si="36"/>
        <v>-13.581473155941238</v>
      </c>
      <c r="AG132" s="10" t="str">
        <f t="shared" si="37"/>
        <v>0</v>
      </c>
      <c r="AH132" s="10"/>
      <c r="AI132" s="10"/>
      <c r="AK132" s="2"/>
      <c r="AL132" s="2"/>
      <c r="AM132" s="2"/>
      <c r="AN132" s="2"/>
    </row>
    <row r="133" spans="1:40" ht="15" x14ac:dyDescent="0.25">
      <c r="A133" s="82" t="s">
        <v>791</v>
      </c>
      <c r="B133" s="83">
        <v>0</v>
      </c>
      <c r="C133" s="83">
        <v>0</v>
      </c>
      <c r="D133" s="83">
        <v>1</v>
      </c>
      <c r="E133" s="83">
        <v>1</v>
      </c>
      <c r="F133" s="83">
        <v>1</v>
      </c>
      <c r="G133" s="83">
        <v>0</v>
      </c>
      <c r="H133" s="10">
        <v>0</v>
      </c>
      <c r="I133" s="84">
        <v>71.898630136986299</v>
      </c>
      <c r="J133" s="83" t="s">
        <v>680</v>
      </c>
      <c r="K133" s="84">
        <v>36.799999999999997</v>
      </c>
      <c r="L133" s="84">
        <v>0</v>
      </c>
      <c r="M133" s="83">
        <v>5.33</v>
      </c>
      <c r="N133" s="83">
        <v>42</v>
      </c>
      <c r="O133" s="85">
        <f>195/250</f>
        <v>0.78</v>
      </c>
      <c r="P133" s="85">
        <f>70/129</f>
        <v>0.54263565891472865</v>
      </c>
      <c r="Q133" s="83">
        <v>127</v>
      </c>
      <c r="R133" s="86">
        <v>1.7777777777777777</v>
      </c>
      <c r="S133" s="83">
        <v>1</v>
      </c>
      <c r="T133" s="83">
        <v>0</v>
      </c>
      <c r="U133" s="83">
        <v>0</v>
      </c>
      <c r="V133" s="83">
        <v>0</v>
      </c>
      <c r="W133" s="83">
        <v>0</v>
      </c>
      <c r="X133" s="10"/>
      <c r="Y133" s="87">
        <v>11.433333333333334</v>
      </c>
      <c r="Z133" s="83">
        <v>0</v>
      </c>
      <c r="AA133" s="88">
        <v>11.433333333333334</v>
      </c>
      <c r="AB133" s="89">
        <v>0</v>
      </c>
      <c r="AC133" s="90">
        <v>0</v>
      </c>
      <c r="AD133" s="84">
        <v>3.5333333333333332</v>
      </c>
      <c r="AE133" s="83">
        <v>3.18</v>
      </c>
      <c r="AF133" s="85">
        <f t="shared" si="36"/>
        <v>-40.337711069418383</v>
      </c>
      <c r="AG133" s="10" t="str">
        <f t="shared" si="37"/>
        <v>0</v>
      </c>
      <c r="AH133" s="10"/>
      <c r="AI133" s="10"/>
      <c r="AK133" s="2"/>
      <c r="AL133" s="2"/>
      <c r="AM133" s="2"/>
      <c r="AN133" s="2"/>
    </row>
    <row r="134" spans="1:40" ht="15" x14ac:dyDescent="0.25">
      <c r="A134" s="82" t="s">
        <v>792</v>
      </c>
      <c r="B134" s="83">
        <v>0</v>
      </c>
      <c r="C134" s="83">
        <v>0</v>
      </c>
      <c r="D134" s="83">
        <v>1</v>
      </c>
      <c r="E134" s="83">
        <v>1</v>
      </c>
      <c r="F134" s="83">
        <v>0</v>
      </c>
      <c r="G134" s="83">
        <v>0</v>
      </c>
      <c r="H134" s="10">
        <v>0</v>
      </c>
      <c r="I134" s="84">
        <v>81.30410958904109</v>
      </c>
      <c r="J134" s="83" t="s">
        <v>680</v>
      </c>
      <c r="K134" s="84">
        <v>79.400000000000006</v>
      </c>
      <c r="L134" s="84">
        <v>0</v>
      </c>
      <c r="M134" s="83">
        <v>159.65</v>
      </c>
      <c r="N134" s="83">
        <v>39</v>
      </c>
      <c r="O134" s="85">
        <f>181/250</f>
        <v>0.72399999999999998</v>
      </c>
      <c r="P134" s="85">
        <f>108/130</f>
        <v>0.83076923076923082</v>
      </c>
      <c r="Q134" s="83">
        <v>142</v>
      </c>
      <c r="R134" s="86">
        <v>2.5384615384615383</v>
      </c>
      <c r="S134" s="83">
        <v>0</v>
      </c>
      <c r="T134" s="83">
        <v>1</v>
      </c>
      <c r="U134" s="83">
        <v>0</v>
      </c>
      <c r="V134" s="83">
        <v>0</v>
      </c>
      <c r="W134" s="83">
        <v>0</v>
      </c>
      <c r="X134" s="10"/>
      <c r="Y134" s="87">
        <v>7.5</v>
      </c>
      <c r="Z134" s="83">
        <v>1</v>
      </c>
      <c r="AA134" s="88">
        <v>7.5</v>
      </c>
      <c r="AB134" s="89">
        <v>0</v>
      </c>
      <c r="AC134" s="90">
        <v>1</v>
      </c>
      <c r="AD134" s="84">
        <v>1.8333333333333333</v>
      </c>
      <c r="AE134" s="83">
        <v>31.92</v>
      </c>
      <c r="AF134" s="85">
        <f t="shared" si="36"/>
        <v>-80.006263701847786</v>
      </c>
      <c r="AG134" s="10" t="str">
        <f t="shared" si="37"/>
        <v>1</v>
      </c>
      <c r="AH134" s="10"/>
      <c r="AI134" s="10"/>
      <c r="AK134" s="2"/>
      <c r="AL134" s="2"/>
      <c r="AM134" s="2"/>
      <c r="AN134" s="2"/>
    </row>
    <row r="135" spans="1:40" ht="15" x14ac:dyDescent="0.25">
      <c r="A135" s="82" t="s">
        <v>793</v>
      </c>
      <c r="B135" s="83">
        <v>0</v>
      </c>
      <c r="C135" s="83">
        <v>0</v>
      </c>
      <c r="D135" s="83">
        <v>1</v>
      </c>
      <c r="E135" s="83">
        <v>1</v>
      </c>
      <c r="F135" s="83">
        <v>0</v>
      </c>
      <c r="G135" s="83">
        <v>1</v>
      </c>
      <c r="H135" s="10">
        <v>0</v>
      </c>
      <c r="I135" s="84">
        <v>77.473972602739721</v>
      </c>
      <c r="J135" s="83" t="s">
        <v>680</v>
      </c>
      <c r="K135" s="84">
        <v>15.066666666666666</v>
      </c>
      <c r="L135" s="84">
        <v>0</v>
      </c>
      <c r="M135" s="83">
        <v>10.31</v>
      </c>
      <c r="N135" s="83">
        <v>41</v>
      </c>
      <c r="O135" s="85">
        <f>214/250</f>
        <v>0.85599999999999998</v>
      </c>
      <c r="P135" s="85">
        <f>83/130</f>
        <v>0.63846153846153841</v>
      </c>
      <c r="Q135" s="83">
        <v>137</v>
      </c>
      <c r="R135" s="86">
        <v>2.9375</v>
      </c>
      <c r="S135" s="83">
        <v>1</v>
      </c>
      <c r="T135" s="83">
        <v>0</v>
      </c>
      <c r="U135" s="83">
        <v>0</v>
      </c>
      <c r="V135" s="83">
        <v>0</v>
      </c>
      <c r="W135" s="83">
        <v>0</v>
      </c>
      <c r="X135" s="10"/>
      <c r="Y135" s="87">
        <v>6.8</v>
      </c>
      <c r="Z135" s="83">
        <v>1</v>
      </c>
      <c r="AA135" s="88">
        <v>6.8</v>
      </c>
      <c r="AB135" s="89">
        <v>0</v>
      </c>
      <c r="AC135" s="90">
        <v>1</v>
      </c>
      <c r="AD135" s="84">
        <v>1.7333333333333334</v>
      </c>
      <c r="AE135" s="83">
        <v>8.23</v>
      </c>
      <c r="AF135" s="85">
        <f t="shared" si="36"/>
        <v>-20.174587778855479</v>
      </c>
      <c r="AG135" s="10" t="str">
        <f t="shared" si="37"/>
        <v>0</v>
      </c>
      <c r="AH135" s="10"/>
      <c r="AI135" s="10"/>
      <c r="AK135" s="2"/>
      <c r="AL135" s="2"/>
      <c r="AM135" s="2"/>
      <c r="AN135" s="2"/>
    </row>
    <row r="136" spans="1:40" ht="15" x14ac:dyDescent="0.25">
      <c r="A136" s="82" t="s">
        <v>794</v>
      </c>
      <c r="B136" s="83">
        <v>1</v>
      </c>
      <c r="C136" s="83">
        <v>0</v>
      </c>
      <c r="D136" s="83">
        <v>0</v>
      </c>
      <c r="E136" s="83">
        <v>1</v>
      </c>
      <c r="F136" s="83">
        <v>0</v>
      </c>
      <c r="G136" s="83">
        <v>1</v>
      </c>
      <c r="H136" s="10">
        <v>0</v>
      </c>
      <c r="I136" s="84">
        <v>70.961643835616442</v>
      </c>
      <c r="J136" s="83" t="s">
        <v>680</v>
      </c>
      <c r="K136" s="84">
        <v>12.3</v>
      </c>
      <c r="L136" s="84">
        <v>1</v>
      </c>
      <c r="M136" s="83">
        <v>52.07</v>
      </c>
      <c r="N136" s="83">
        <v>34</v>
      </c>
      <c r="O136" s="85">
        <f>692/250</f>
        <v>2.7679999999999998</v>
      </c>
      <c r="P136" s="85">
        <f>158/130</f>
        <v>1.2153846153846153</v>
      </c>
      <c r="Q136" s="83">
        <v>91</v>
      </c>
      <c r="R136" s="86">
        <v>14.428571428571429</v>
      </c>
      <c r="S136" s="83">
        <v>0</v>
      </c>
      <c r="T136" s="83">
        <v>1</v>
      </c>
      <c r="U136" s="83">
        <v>0</v>
      </c>
      <c r="V136" s="83">
        <v>0</v>
      </c>
      <c r="W136" s="83">
        <v>0</v>
      </c>
      <c r="X136" s="10"/>
      <c r="Y136" s="87">
        <v>1.2</v>
      </c>
      <c r="Z136" s="83">
        <v>1</v>
      </c>
      <c r="AA136" s="88">
        <v>1.2</v>
      </c>
      <c r="AB136" s="89">
        <v>0</v>
      </c>
      <c r="AC136" s="90">
        <v>0</v>
      </c>
      <c r="AD136" s="84">
        <v>0.8</v>
      </c>
      <c r="AE136" s="83" t="s">
        <v>674</v>
      </c>
      <c r="AF136" s="85" t="s">
        <v>674</v>
      </c>
      <c r="AG136" s="10">
        <v>0</v>
      </c>
      <c r="AH136" s="10"/>
      <c r="AI136" s="10"/>
      <c r="AK136" s="2"/>
      <c r="AL136" s="2"/>
      <c r="AM136" s="2"/>
      <c r="AN136" s="2"/>
    </row>
    <row r="137" spans="1:40" ht="15" x14ac:dyDescent="0.25">
      <c r="A137" s="82" t="s">
        <v>795</v>
      </c>
      <c r="B137" s="83">
        <v>0</v>
      </c>
      <c r="C137" s="83">
        <v>0</v>
      </c>
      <c r="D137" s="83">
        <v>0</v>
      </c>
      <c r="E137" s="83">
        <v>1</v>
      </c>
      <c r="F137" s="83">
        <v>0</v>
      </c>
      <c r="G137" s="83">
        <v>0</v>
      </c>
      <c r="H137" s="10">
        <v>0</v>
      </c>
      <c r="I137" s="84">
        <v>74.720547945205482</v>
      </c>
      <c r="J137" s="83" t="s">
        <v>680</v>
      </c>
      <c r="K137" s="84">
        <v>79.900000000000006</v>
      </c>
      <c r="L137" s="84">
        <v>0</v>
      </c>
      <c r="M137" s="83">
        <v>17.260000000000002</v>
      </c>
      <c r="N137" s="83">
        <v>42</v>
      </c>
      <c r="O137" s="85" t="s">
        <v>674</v>
      </c>
      <c r="P137" s="85">
        <f>704/126</f>
        <v>5.587301587301587</v>
      </c>
      <c r="Q137" s="83">
        <v>126</v>
      </c>
      <c r="R137" s="86">
        <v>3.875</v>
      </c>
      <c r="S137" s="83">
        <v>1</v>
      </c>
      <c r="T137" s="83">
        <v>0</v>
      </c>
      <c r="U137" s="83">
        <v>0</v>
      </c>
      <c r="V137" s="83">
        <v>0</v>
      </c>
      <c r="W137" s="83">
        <v>0</v>
      </c>
      <c r="X137" s="10"/>
      <c r="Y137" s="87">
        <v>21.233333333333334</v>
      </c>
      <c r="Z137" s="83">
        <v>0</v>
      </c>
      <c r="AA137" s="88">
        <v>21.233333333333334</v>
      </c>
      <c r="AB137" s="89">
        <v>0</v>
      </c>
      <c r="AC137" s="90">
        <v>1</v>
      </c>
      <c r="AD137" s="84">
        <v>14.333333333333334</v>
      </c>
      <c r="AE137" s="83">
        <v>5.1100000000000003</v>
      </c>
      <c r="AF137" s="85">
        <f t="shared" ref="AF137:AF138" si="38">((M137-AE137)/M137)*(-100)</f>
        <v>-70.39397450753188</v>
      </c>
      <c r="AG137" s="10" t="str">
        <f t="shared" ref="AG137:AG138" si="39">IF((AE137/M137)&lt;0.5,"1","0")</f>
        <v>1</v>
      </c>
      <c r="AH137" s="10"/>
      <c r="AI137" s="10"/>
      <c r="AK137" s="2"/>
      <c r="AL137" s="2"/>
      <c r="AM137" s="2"/>
      <c r="AN137" s="2"/>
    </row>
    <row r="138" spans="1:40" ht="15" x14ac:dyDescent="0.25">
      <c r="A138" s="82" t="s">
        <v>796</v>
      </c>
      <c r="B138" s="83">
        <v>0</v>
      </c>
      <c r="C138" s="83">
        <v>0</v>
      </c>
      <c r="D138" s="83">
        <v>0</v>
      </c>
      <c r="E138" s="83">
        <v>1</v>
      </c>
      <c r="F138" s="83">
        <v>1</v>
      </c>
      <c r="G138" s="83">
        <v>0</v>
      </c>
      <c r="H138" s="10">
        <v>0</v>
      </c>
      <c r="I138" s="84">
        <v>70.627397260273966</v>
      </c>
      <c r="J138" s="83" t="s">
        <v>680</v>
      </c>
      <c r="K138" s="84">
        <v>15.766666666666667</v>
      </c>
      <c r="L138" s="84">
        <v>0</v>
      </c>
      <c r="M138" s="83">
        <v>26.25</v>
      </c>
      <c r="N138" s="83" t="s">
        <v>674</v>
      </c>
      <c r="O138" s="85" t="s">
        <v>674</v>
      </c>
      <c r="P138" s="85" t="s">
        <v>674</v>
      </c>
      <c r="Q138" s="83" t="s">
        <v>674</v>
      </c>
      <c r="R138" s="86" t="s">
        <v>674</v>
      </c>
      <c r="S138" s="83">
        <v>0</v>
      </c>
      <c r="T138" s="83">
        <v>1</v>
      </c>
      <c r="U138" s="83">
        <v>0</v>
      </c>
      <c r="V138" s="83">
        <v>0</v>
      </c>
      <c r="W138" s="83">
        <v>0</v>
      </c>
      <c r="X138" s="10"/>
      <c r="Y138" s="87">
        <v>19.733333333333334</v>
      </c>
      <c r="Z138" s="83">
        <v>0</v>
      </c>
      <c r="AA138" s="88">
        <v>19.733333333333334</v>
      </c>
      <c r="AB138" s="89">
        <v>1</v>
      </c>
      <c r="AC138" s="90">
        <v>0</v>
      </c>
      <c r="AD138" s="84">
        <v>19.600000000000001</v>
      </c>
      <c r="AE138" s="83">
        <v>0.09</v>
      </c>
      <c r="AF138" s="85">
        <f t="shared" si="38"/>
        <v>-99.657142857142858</v>
      </c>
      <c r="AG138" s="10" t="str">
        <f t="shared" si="39"/>
        <v>1</v>
      </c>
      <c r="AH138" s="10"/>
      <c r="AI138" s="10"/>
      <c r="AK138" s="2"/>
      <c r="AL138" s="2"/>
      <c r="AM138" s="2"/>
      <c r="AN138" s="2"/>
    </row>
    <row r="139" spans="1:40" ht="15" x14ac:dyDescent="0.25">
      <c r="A139" s="82" t="s">
        <v>797</v>
      </c>
      <c r="B139" s="83">
        <v>0</v>
      </c>
      <c r="C139" s="83">
        <v>0</v>
      </c>
      <c r="D139" s="83">
        <v>1</v>
      </c>
      <c r="E139" s="83">
        <v>0</v>
      </c>
      <c r="F139" s="83">
        <v>0</v>
      </c>
      <c r="G139" s="83">
        <v>0</v>
      </c>
      <c r="H139" s="10">
        <v>0</v>
      </c>
      <c r="I139" s="84">
        <v>88.69315068493151</v>
      </c>
      <c r="J139" s="83" t="s">
        <v>680</v>
      </c>
      <c r="K139" s="84">
        <v>237.03333333333333</v>
      </c>
      <c r="L139" s="84">
        <v>0</v>
      </c>
      <c r="M139" s="83">
        <v>6.55</v>
      </c>
      <c r="N139" s="83">
        <v>42</v>
      </c>
      <c r="O139" s="85" t="s">
        <v>674</v>
      </c>
      <c r="P139" s="85">
        <f>44/130</f>
        <v>0.33846153846153848</v>
      </c>
      <c r="Q139" s="83">
        <v>125</v>
      </c>
      <c r="R139" s="86">
        <v>2.1875</v>
      </c>
      <c r="S139" s="83">
        <v>1</v>
      </c>
      <c r="T139" s="83">
        <v>0</v>
      </c>
      <c r="U139" s="83">
        <v>0</v>
      </c>
      <c r="V139" s="83">
        <v>0</v>
      </c>
      <c r="W139" s="83">
        <v>0</v>
      </c>
      <c r="X139" s="10"/>
      <c r="Y139" s="87">
        <v>21.633333333333333</v>
      </c>
      <c r="Z139" s="83">
        <v>0</v>
      </c>
      <c r="AA139" s="88">
        <v>21.633333333333333</v>
      </c>
      <c r="AB139" s="89">
        <v>0</v>
      </c>
      <c r="AC139" s="90">
        <v>1</v>
      </c>
      <c r="AD139" s="84">
        <v>4.7333333333333334</v>
      </c>
      <c r="AE139" s="83" t="s">
        <v>674</v>
      </c>
      <c r="AF139" s="85" t="s">
        <v>674</v>
      </c>
      <c r="AG139" s="10">
        <v>0</v>
      </c>
      <c r="AH139" s="10"/>
      <c r="AI139" s="10"/>
      <c r="AK139" s="2"/>
      <c r="AL139" s="2"/>
      <c r="AM139" s="2"/>
      <c r="AN139" s="2"/>
    </row>
    <row r="140" spans="1:40" ht="15" x14ac:dyDescent="0.25">
      <c r="A140" s="82" t="s">
        <v>798</v>
      </c>
      <c r="B140" s="83">
        <v>1</v>
      </c>
      <c r="C140" s="83">
        <v>0</v>
      </c>
      <c r="D140" s="83">
        <v>0</v>
      </c>
      <c r="E140" s="83">
        <v>1</v>
      </c>
      <c r="F140" s="83">
        <v>0</v>
      </c>
      <c r="G140" s="83">
        <v>0</v>
      </c>
      <c r="H140" s="10">
        <v>0</v>
      </c>
      <c r="I140" s="84">
        <v>80.715068493150682</v>
      </c>
      <c r="J140" s="83">
        <v>0</v>
      </c>
      <c r="K140" s="84">
        <v>30.433333333333334</v>
      </c>
      <c r="L140" s="84">
        <v>0</v>
      </c>
      <c r="M140" s="83">
        <v>78.81</v>
      </c>
      <c r="N140" s="83">
        <v>38</v>
      </c>
      <c r="O140" s="85">
        <f>476/618</f>
        <v>0.77022653721682843</v>
      </c>
      <c r="P140" s="85">
        <f>160/126</f>
        <v>1.2698412698412698</v>
      </c>
      <c r="Q140" s="83">
        <v>146</v>
      </c>
      <c r="R140" s="86">
        <v>1.7777777777777777</v>
      </c>
      <c r="S140" s="83">
        <v>1</v>
      </c>
      <c r="T140" s="83">
        <v>0</v>
      </c>
      <c r="U140" s="83">
        <v>0</v>
      </c>
      <c r="V140" s="83">
        <v>0</v>
      </c>
      <c r="W140" s="83">
        <v>0</v>
      </c>
      <c r="X140" s="10"/>
      <c r="Y140" s="87">
        <v>18.466666666666665</v>
      </c>
      <c r="Z140" s="83">
        <v>0</v>
      </c>
      <c r="AA140" s="88">
        <v>18.466666666666665</v>
      </c>
      <c r="AB140" s="89">
        <v>0</v>
      </c>
      <c r="AC140" s="90">
        <v>1</v>
      </c>
      <c r="AD140" s="84">
        <v>10.966666666666667</v>
      </c>
      <c r="AE140" s="83">
        <v>0.27</v>
      </c>
      <c r="AF140" s="85">
        <f t="shared" ref="AF140:AF157" si="40">((M140-AE140)/M140)*(-100)</f>
        <v>-99.657403882756</v>
      </c>
      <c r="AG140" s="10" t="str">
        <f t="shared" ref="AG140:AG157" si="41">IF((AE140/M140)&lt;0.5,"1","0")</f>
        <v>1</v>
      </c>
      <c r="AH140" s="10"/>
      <c r="AI140" s="10"/>
      <c r="AK140" s="2"/>
      <c r="AL140" s="2"/>
      <c r="AM140" s="2"/>
      <c r="AN140" s="2"/>
    </row>
    <row r="141" spans="1:40" ht="15" x14ac:dyDescent="0.25">
      <c r="A141" s="82" t="s">
        <v>799</v>
      </c>
      <c r="B141" s="83">
        <v>0</v>
      </c>
      <c r="C141" s="83">
        <v>0</v>
      </c>
      <c r="D141" s="83">
        <v>0</v>
      </c>
      <c r="E141" s="83">
        <v>1</v>
      </c>
      <c r="F141" s="83">
        <v>0</v>
      </c>
      <c r="G141" s="83">
        <v>0</v>
      </c>
      <c r="H141" s="10">
        <v>0</v>
      </c>
      <c r="I141" s="84">
        <v>78.334246575342462</v>
      </c>
      <c r="J141" s="83">
        <v>2</v>
      </c>
      <c r="K141" s="84">
        <v>65.8</v>
      </c>
      <c r="L141" s="84">
        <v>0</v>
      </c>
      <c r="M141" s="83">
        <v>7.07</v>
      </c>
      <c r="N141" s="83">
        <v>43</v>
      </c>
      <c r="O141" s="85">
        <f>510/618</f>
        <v>0.82524271844660191</v>
      </c>
      <c r="P141" s="85">
        <f>77/126</f>
        <v>0.61111111111111116</v>
      </c>
      <c r="Q141" s="83">
        <v>125</v>
      </c>
      <c r="R141" s="86">
        <v>3.7272727272727271</v>
      </c>
      <c r="S141" s="83">
        <v>1</v>
      </c>
      <c r="T141" s="83">
        <v>0</v>
      </c>
      <c r="U141" s="83">
        <v>0</v>
      </c>
      <c r="V141" s="83">
        <v>0</v>
      </c>
      <c r="W141" s="83">
        <v>0</v>
      </c>
      <c r="X141" s="10"/>
      <c r="Y141" s="87">
        <v>16.833333333333332</v>
      </c>
      <c r="Z141" s="83">
        <v>0</v>
      </c>
      <c r="AA141" s="88">
        <v>16.833333333333332</v>
      </c>
      <c r="AB141" s="89">
        <v>1</v>
      </c>
      <c r="AC141" s="90">
        <v>0</v>
      </c>
      <c r="AD141" s="84">
        <v>16.633333333333333</v>
      </c>
      <c r="AE141" s="83">
        <v>1.8</v>
      </c>
      <c r="AF141" s="85">
        <f t="shared" si="40"/>
        <v>-74.540311173974544</v>
      </c>
      <c r="AG141" s="10" t="str">
        <f t="shared" si="41"/>
        <v>1</v>
      </c>
      <c r="AH141" s="10"/>
      <c r="AI141" s="10"/>
      <c r="AK141" s="2"/>
      <c r="AL141" s="2"/>
      <c r="AM141" s="2"/>
      <c r="AN141" s="2"/>
    </row>
    <row r="142" spans="1:40" ht="15" x14ac:dyDescent="0.25">
      <c r="A142" s="82" t="s">
        <v>800</v>
      </c>
      <c r="B142" s="83">
        <v>1</v>
      </c>
      <c r="C142" s="83">
        <v>1</v>
      </c>
      <c r="D142" s="83">
        <v>1</v>
      </c>
      <c r="E142" s="83">
        <v>1</v>
      </c>
      <c r="F142" s="83">
        <v>0</v>
      </c>
      <c r="G142" s="83">
        <v>0</v>
      </c>
      <c r="H142" s="10">
        <v>0</v>
      </c>
      <c r="I142" s="84">
        <v>66.731506849315068</v>
      </c>
      <c r="J142" s="83">
        <v>1</v>
      </c>
      <c r="K142" s="84">
        <v>34.06666666666667</v>
      </c>
      <c r="L142" s="84">
        <v>0</v>
      </c>
      <c r="M142" s="83">
        <v>32.4</v>
      </c>
      <c r="N142" s="83" t="s">
        <v>674</v>
      </c>
      <c r="O142" s="85" t="s">
        <v>674</v>
      </c>
      <c r="P142" s="85" t="s">
        <v>674</v>
      </c>
      <c r="Q142" s="83">
        <v>133</v>
      </c>
      <c r="R142" s="86">
        <v>1.7894736842105263</v>
      </c>
      <c r="S142" s="83">
        <v>0</v>
      </c>
      <c r="T142" s="83">
        <v>1</v>
      </c>
      <c r="U142" s="83">
        <v>0</v>
      </c>
      <c r="V142" s="83">
        <v>0</v>
      </c>
      <c r="W142" s="83">
        <v>0</v>
      </c>
      <c r="X142" s="10"/>
      <c r="Y142" s="87">
        <v>9.8666666666666671</v>
      </c>
      <c r="Z142" s="83">
        <v>1</v>
      </c>
      <c r="AA142" s="88">
        <v>9.8666666666666671</v>
      </c>
      <c r="AB142" s="89">
        <v>0</v>
      </c>
      <c r="AC142" s="90">
        <v>1</v>
      </c>
      <c r="AD142" s="84">
        <v>3.7333333333333334</v>
      </c>
      <c r="AE142" s="83">
        <v>18.3</v>
      </c>
      <c r="AF142" s="85">
        <f t="shared" si="40"/>
        <v>-43.518518518518512</v>
      </c>
      <c r="AG142" s="10" t="str">
        <f t="shared" si="41"/>
        <v>0</v>
      </c>
      <c r="AH142" s="10"/>
      <c r="AI142" s="10"/>
      <c r="AK142" s="2"/>
      <c r="AL142" s="2"/>
      <c r="AM142" s="2"/>
      <c r="AN142" s="2"/>
    </row>
    <row r="143" spans="1:40" ht="15" x14ac:dyDescent="0.25">
      <c r="A143" s="82" t="s">
        <v>801</v>
      </c>
      <c r="B143" s="83">
        <v>1</v>
      </c>
      <c r="C143" s="83">
        <v>0</v>
      </c>
      <c r="D143" s="83">
        <v>0</v>
      </c>
      <c r="E143" s="83">
        <v>1</v>
      </c>
      <c r="F143" s="83">
        <v>0</v>
      </c>
      <c r="G143" s="83">
        <v>0</v>
      </c>
      <c r="H143" s="10">
        <v>0</v>
      </c>
      <c r="I143" s="84">
        <v>84.791780821917811</v>
      </c>
      <c r="J143" s="83">
        <v>1</v>
      </c>
      <c r="K143" s="84">
        <v>21.966666666666665</v>
      </c>
      <c r="L143" s="84">
        <v>0</v>
      </c>
      <c r="M143" s="83">
        <v>4.2</v>
      </c>
      <c r="N143" s="83">
        <v>45</v>
      </c>
      <c r="O143" s="85">
        <f>212/225</f>
        <v>0.94222222222222218</v>
      </c>
      <c r="P143" s="85">
        <f>133/145</f>
        <v>0.91724137931034477</v>
      </c>
      <c r="Q143" s="83">
        <v>151</v>
      </c>
      <c r="R143" s="86">
        <v>2.1176470588235294</v>
      </c>
      <c r="S143" s="83">
        <v>1</v>
      </c>
      <c r="T143" s="83">
        <v>0</v>
      </c>
      <c r="U143" s="83">
        <v>0</v>
      </c>
      <c r="V143" s="83">
        <v>0</v>
      </c>
      <c r="W143" s="83">
        <v>0</v>
      </c>
      <c r="X143" s="10"/>
      <c r="Y143" s="87">
        <v>32.299999999999997</v>
      </c>
      <c r="Z143" s="83">
        <v>0</v>
      </c>
      <c r="AA143" s="88">
        <v>32.299999999999997</v>
      </c>
      <c r="AB143" s="89">
        <v>0</v>
      </c>
      <c r="AC143" s="90">
        <v>0</v>
      </c>
      <c r="AD143" s="84">
        <v>32.266666666666666</v>
      </c>
      <c r="AE143" s="83">
        <v>1.0999999999999999E-2</v>
      </c>
      <c r="AF143" s="85">
        <f t="shared" si="40"/>
        <v>-99.738095238095241</v>
      </c>
      <c r="AG143" s="10" t="str">
        <f t="shared" si="41"/>
        <v>1</v>
      </c>
      <c r="AH143" s="10"/>
      <c r="AI143" s="10"/>
      <c r="AK143" s="2"/>
      <c r="AL143" s="2"/>
      <c r="AM143" s="2"/>
      <c r="AN143" s="2"/>
    </row>
    <row r="144" spans="1:40" ht="15" x14ac:dyDescent="0.25">
      <c r="A144" s="82" t="s">
        <v>802</v>
      </c>
      <c r="B144" s="83">
        <v>0</v>
      </c>
      <c r="C144" s="83">
        <v>0</v>
      </c>
      <c r="D144" s="83">
        <v>0</v>
      </c>
      <c r="E144" s="83">
        <v>1</v>
      </c>
      <c r="F144" s="83">
        <v>0</v>
      </c>
      <c r="G144" s="83">
        <v>0</v>
      </c>
      <c r="H144" s="10">
        <v>0</v>
      </c>
      <c r="I144" s="84">
        <v>86.884931506849313</v>
      </c>
      <c r="J144" s="83">
        <v>1</v>
      </c>
      <c r="K144" s="84">
        <v>8.3333333333333339</v>
      </c>
      <c r="L144" s="84">
        <v>1</v>
      </c>
      <c r="M144" s="83">
        <v>125.2</v>
      </c>
      <c r="N144" s="83">
        <v>32</v>
      </c>
      <c r="O144" s="85">
        <f>362/271</f>
        <v>1.3357933579335792</v>
      </c>
      <c r="P144" s="85">
        <f>355/100</f>
        <v>3.55</v>
      </c>
      <c r="Q144" s="83">
        <v>104</v>
      </c>
      <c r="R144" s="86">
        <v>4.25</v>
      </c>
      <c r="S144" s="83">
        <v>0</v>
      </c>
      <c r="T144" s="83">
        <v>1</v>
      </c>
      <c r="U144" s="83">
        <v>0</v>
      </c>
      <c r="V144" s="83">
        <v>0</v>
      </c>
      <c r="W144" s="83">
        <v>0</v>
      </c>
      <c r="X144" s="10"/>
      <c r="Y144" s="87">
        <v>6.7333333333333334</v>
      </c>
      <c r="Z144" s="83">
        <v>1</v>
      </c>
      <c r="AA144" s="88">
        <v>6.7333333333333334</v>
      </c>
      <c r="AB144" s="89">
        <v>0</v>
      </c>
      <c r="AC144" s="90">
        <v>1</v>
      </c>
      <c r="AD144" s="84">
        <v>2.6333333333333333</v>
      </c>
      <c r="AE144" s="83">
        <v>48.6</v>
      </c>
      <c r="AF144" s="85">
        <f t="shared" si="40"/>
        <v>-61.182108626198072</v>
      </c>
      <c r="AG144" s="10" t="str">
        <f t="shared" si="41"/>
        <v>1</v>
      </c>
      <c r="AH144" s="10"/>
      <c r="AI144" s="10"/>
      <c r="AK144" s="2"/>
      <c r="AL144" s="2"/>
      <c r="AM144" s="2"/>
      <c r="AN144" s="2"/>
    </row>
    <row r="145" spans="1:40" ht="15" x14ac:dyDescent="0.25">
      <c r="A145" s="82" t="s">
        <v>803</v>
      </c>
      <c r="B145" s="83">
        <v>0</v>
      </c>
      <c r="C145" s="83">
        <v>0</v>
      </c>
      <c r="D145" s="83">
        <v>1</v>
      </c>
      <c r="E145" s="83">
        <v>1</v>
      </c>
      <c r="F145" s="83">
        <v>0</v>
      </c>
      <c r="G145" s="83">
        <v>0</v>
      </c>
      <c r="H145" s="10">
        <v>0</v>
      </c>
      <c r="I145" s="84">
        <v>70.454794520547949</v>
      </c>
      <c r="J145" s="83" t="s">
        <v>680</v>
      </c>
      <c r="K145" s="84">
        <v>29.6</v>
      </c>
      <c r="L145" s="84">
        <v>0</v>
      </c>
      <c r="M145" s="83">
        <v>61.9</v>
      </c>
      <c r="N145" s="83">
        <v>42</v>
      </c>
      <c r="O145" s="85">
        <f>120/225</f>
        <v>0.53333333333333333</v>
      </c>
      <c r="P145" s="85">
        <f>130/145</f>
        <v>0.89655172413793105</v>
      </c>
      <c r="Q145" s="83">
        <v>127</v>
      </c>
      <c r="R145" s="86">
        <v>1.0869565217391304</v>
      </c>
      <c r="S145" s="83">
        <v>0</v>
      </c>
      <c r="T145" s="83">
        <v>1</v>
      </c>
      <c r="U145" s="83">
        <v>0</v>
      </c>
      <c r="V145" s="83">
        <v>0</v>
      </c>
      <c r="W145" s="83">
        <v>0</v>
      </c>
      <c r="X145" s="10"/>
      <c r="Y145" s="87">
        <v>21.733333333333334</v>
      </c>
      <c r="Z145" s="83">
        <v>0</v>
      </c>
      <c r="AA145" s="88">
        <v>21.733333333333334</v>
      </c>
      <c r="AB145" s="89">
        <v>0</v>
      </c>
      <c r="AC145" s="90">
        <v>1</v>
      </c>
      <c r="AD145" s="84">
        <v>4.4666666666666668</v>
      </c>
      <c r="AE145" s="83">
        <v>1.6</v>
      </c>
      <c r="AF145" s="85">
        <f t="shared" si="40"/>
        <v>-97.415185783521807</v>
      </c>
      <c r="AG145" s="10" t="str">
        <f t="shared" si="41"/>
        <v>1</v>
      </c>
      <c r="AH145" s="10"/>
      <c r="AI145" s="10"/>
      <c r="AK145" s="2"/>
      <c r="AL145" s="2"/>
      <c r="AM145" s="2"/>
      <c r="AN145" s="2"/>
    </row>
    <row r="146" spans="1:40" ht="15" x14ac:dyDescent="0.25">
      <c r="A146" s="82" t="s">
        <v>804</v>
      </c>
      <c r="B146" s="83">
        <v>1</v>
      </c>
      <c r="C146" s="83">
        <v>0</v>
      </c>
      <c r="D146" s="83">
        <v>0</v>
      </c>
      <c r="E146" s="83">
        <v>1</v>
      </c>
      <c r="F146" s="83">
        <v>0</v>
      </c>
      <c r="G146" s="83">
        <v>0</v>
      </c>
      <c r="H146" s="10">
        <v>0</v>
      </c>
      <c r="I146" s="84">
        <v>83.947945205479456</v>
      </c>
      <c r="J146" s="83" t="s">
        <v>680</v>
      </c>
      <c r="K146" s="84">
        <v>17.833333333333332</v>
      </c>
      <c r="L146" s="84">
        <v>0</v>
      </c>
      <c r="M146" s="83">
        <v>8.83</v>
      </c>
      <c r="N146" s="83">
        <v>42</v>
      </c>
      <c r="O146" s="85" t="s">
        <v>674</v>
      </c>
      <c r="P146" s="85">
        <f>109/100</f>
        <v>1.0900000000000001</v>
      </c>
      <c r="Q146" s="83">
        <v>137</v>
      </c>
      <c r="R146" s="86">
        <v>2.1191489361702129</v>
      </c>
      <c r="S146" s="83">
        <v>1</v>
      </c>
      <c r="T146" s="83">
        <v>0</v>
      </c>
      <c r="U146" s="83">
        <v>0</v>
      </c>
      <c r="V146" s="83">
        <v>0</v>
      </c>
      <c r="W146" s="83">
        <v>0</v>
      </c>
      <c r="X146" s="10"/>
      <c r="Y146" s="87">
        <v>20.066666666666666</v>
      </c>
      <c r="Z146" s="83">
        <v>1</v>
      </c>
      <c r="AA146" s="88">
        <v>20.066666666666666</v>
      </c>
      <c r="AB146" s="89">
        <v>0</v>
      </c>
      <c r="AC146" s="90">
        <v>1</v>
      </c>
      <c r="AD146" s="84">
        <v>3.8333333333333335</v>
      </c>
      <c r="AE146" s="83">
        <v>6.85</v>
      </c>
      <c r="AF146" s="85">
        <f t="shared" si="40"/>
        <v>-22.423556058890153</v>
      </c>
      <c r="AG146" s="10" t="str">
        <f t="shared" si="41"/>
        <v>0</v>
      </c>
      <c r="AH146" s="10"/>
      <c r="AI146" s="10"/>
      <c r="AK146" s="2"/>
      <c r="AL146" s="2"/>
      <c r="AM146" s="2"/>
      <c r="AN146" s="2"/>
    </row>
    <row r="147" spans="1:40" ht="15" x14ac:dyDescent="0.25">
      <c r="A147" s="82" t="s">
        <v>805</v>
      </c>
      <c r="B147" s="83">
        <v>1</v>
      </c>
      <c r="C147" s="83">
        <v>0</v>
      </c>
      <c r="D147" s="83">
        <v>1</v>
      </c>
      <c r="E147" s="83">
        <v>1</v>
      </c>
      <c r="F147" s="83">
        <v>0</v>
      </c>
      <c r="G147" s="83">
        <v>0</v>
      </c>
      <c r="H147" s="10">
        <v>0</v>
      </c>
      <c r="I147" s="84">
        <v>67.986301369863014</v>
      </c>
      <c r="J147" s="83">
        <v>1</v>
      </c>
      <c r="K147" s="84">
        <v>10.633333333333333</v>
      </c>
      <c r="L147" s="84">
        <v>0</v>
      </c>
      <c r="M147" s="83">
        <v>45.99</v>
      </c>
      <c r="N147" s="83">
        <v>40</v>
      </c>
      <c r="O147" s="85">
        <f>232/271</f>
        <v>0.85608856088560881</v>
      </c>
      <c r="P147" s="85">
        <f>95/100</f>
        <v>0.95</v>
      </c>
      <c r="Q147" s="83">
        <v>102</v>
      </c>
      <c r="R147" s="86">
        <v>3.3026315789473686</v>
      </c>
      <c r="S147" s="83">
        <v>0</v>
      </c>
      <c r="T147" s="83">
        <v>1</v>
      </c>
      <c r="U147" s="83">
        <v>0</v>
      </c>
      <c r="V147" s="83">
        <v>0</v>
      </c>
      <c r="W147" s="83">
        <v>0</v>
      </c>
      <c r="X147" s="10"/>
      <c r="Y147" s="87">
        <v>19.966666666666665</v>
      </c>
      <c r="Z147" s="83">
        <v>0</v>
      </c>
      <c r="AA147" s="88">
        <v>19.966666666666665</v>
      </c>
      <c r="AB147" s="89">
        <v>0</v>
      </c>
      <c r="AC147" s="90">
        <v>1</v>
      </c>
      <c r="AD147" s="84">
        <v>11.7</v>
      </c>
      <c r="AE147" s="83">
        <v>0.34</v>
      </c>
      <c r="AF147" s="85">
        <f t="shared" si="40"/>
        <v>-99.260708849749932</v>
      </c>
      <c r="AG147" s="10" t="str">
        <f t="shared" si="41"/>
        <v>1</v>
      </c>
      <c r="AH147" s="10"/>
      <c r="AI147" s="10"/>
      <c r="AK147" s="2"/>
      <c r="AL147" s="2"/>
      <c r="AM147" s="2"/>
      <c r="AN147" s="2"/>
    </row>
    <row r="148" spans="1:40" ht="15" x14ac:dyDescent="0.25">
      <c r="A148" s="82" t="s">
        <v>806</v>
      </c>
      <c r="B148" s="83">
        <v>1</v>
      </c>
      <c r="C148" s="83">
        <v>0</v>
      </c>
      <c r="D148" s="83">
        <v>0</v>
      </c>
      <c r="E148" s="83">
        <v>1</v>
      </c>
      <c r="F148" s="83">
        <v>0</v>
      </c>
      <c r="G148" s="83">
        <v>0</v>
      </c>
      <c r="H148" s="10">
        <v>0</v>
      </c>
      <c r="I148" s="84">
        <v>82.717808219178082</v>
      </c>
      <c r="J148" s="83" t="s">
        <v>680</v>
      </c>
      <c r="K148" s="84">
        <v>25.566666666666666</v>
      </c>
      <c r="L148" s="84">
        <v>0</v>
      </c>
      <c r="M148" s="83">
        <v>17.5</v>
      </c>
      <c r="N148" s="83" t="s">
        <v>674</v>
      </c>
      <c r="O148" s="85" t="s">
        <v>674</v>
      </c>
      <c r="P148" s="85" t="s">
        <v>674</v>
      </c>
      <c r="Q148" s="83">
        <v>129</v>
      </c>
      <c r="R148" s="86">
        <v>1.8235294117647058</v>
      </c>
      <c r="S148" s="83">
        <v>0</v>
      </c>
      <c r="T148" s="83">
        <v>1</v>
      </c>
      <c r="U148" s="83">
        <v>0</v>
      </c>
      <c r="V148" s="83">
        <v>0</v>
      </c>
      <c r="W148" s="83">
        <v>0</v>
      </c>
      <c r="X148" s="10"/>
      <c r="Y148" s="87">
        <v>16.3</v>
      </c>
      <c r="Z148" s="83">
        <v>1</v>
      </c>
      <c r="AA148" s="88">
        <v>16.3</v>
      </c>
      <c r="AB148" s="89">
        <v>0</v>
      </c>
      <c r="AC148" s="90">
        <v>1</v>
      </c>
      <c r="AD148" s="84">
        <v>5.9666666666666668</v>
      </c>
      <c r="AE148" s="83">
        <v>10.3</v>
      </c>
      <c r="AF148" s="85">
        <f t="shared" si="40"/>
        <v>-41.142857142857139</v>
      </c>
      <c r="AG148" s="10" t="str">
        <f t="shared" si="41"/>
        <v>0</v>
      </c>
      <c r="AH148" s="10"/>
      <c r="AI148" s="10"/>
      <c r="AK148" s="2"/>
      <c r="AL148" s="2"/>
      <c r="AM148" s="2"/>
      <c r="AN148" s="2"/>
    </row>
    <row r="149" spans="1:40" ht="15" x14ac:dyDescent="0.25">
      <c r="A149" s="82" t="s">
        <v>807</v>
      </c>
      <c r="B149" s="83">
        <v>0</v>
      </c>
      <c r="C149" s="83">
        <v>0</v>
      </c>
      <c r="D149" s="83">
        <v>0</v>
      </c>
      <c r="E149" s="83">
        <v>1</v>
      </c>
      <c r="F149" s="83">
        <v>0</v>
      </c>
      <c r="G149" s="83">
        <v>0</v>
      </c>
      <c r="H149" s="10">
        <v>0</v>
      </c>
      <c r="I149" s="84">
        <v>87.427397260273978</v>
      </c>
      <c r="J149" s="2">
        <v>1</v>
      </c>
      <c r="K149" s="84">
        <v>14.9</v>
      </c>
      <c r="L149" s="84">
        <v>0</v>
      </c>
      <c r="M149" s="83">
        <v>163</v>
      </c>
      <c r="N149" s="83">
        <v>39</v>
      </c>
      <c r="O149" s="85">
        <f>246/220</f>
        <v>1.1181818181818182</v>
      </c>
      <c r="P149" s="85">
        <f>109/130</f>
        <v>0.83846153846153848</v>
      </c>
      <c r="Q149" s="83">
        <v>153</v>
      </c>
      <c r="R149" s="86">
        <v>12.666666666666666</v>
      </c>
      <c r="S149" s="83">
        <v>1</v>
      </c>
      <c r="T149" s="83">
        <v>0</v>
      </c>
      <c r="U149" s="83">
        <v>0</v>
      </c>
      <c r="V149" s="83">
        <v>0</v>
      </c>
      <c r="W149" s="83">
        <v>0</v>
      </c>
      <c r="X149" s="10"/>
      <c r="Y149" s="87">
        <v>9.7666666666666675</v>
      </c>
      <c r="Z149" s="83">
        <v>1</v>
      </c>
      <c r="AA149" s="88">
        <v>9.7666666666666675</v>
      </c>
      <c r="AB149" s="89">
        <v>0</v>
      </c>
      <c r="AC149" s="90">
        <v>1</v>
      </c>
      <c r="AD149" s="84">
        <v>6.6333333333333337</v>
      </c>
      <c r="AE149" s="83">
        <v>146</v>
      </c>
      <c r="AF149" s="85">
        <f t="shared" si="40"/>
        <v>-10.429447852760736</v>
      </c>
      <c r="AG149" s="10" t="str">
        <f t="shared" si="41"/>
        <v>0</v>
      </c>
      <c r="AH149" s="10"/>
      <c r="AI149" s="10"/>
      <c r="AK149" s="2"/>
      <c r="AL149" s="2"/>
      <c r="AM149" s="2"/>
      <c r="AN149" s="2"/>
    </row>
    <row r="150" spans="1:40" ht="15" x14ac:dyDescent="0.25">
      <c r="A150" s="82" t="s">
        <v>808</v>
      </c>
      <c r="B150" s="83">
        <v>0</v>
      </c>
      <c r="C150" s="83">
        <v>0</v>
      </c>
      <c r="D150" s="83">
        <v>0</v>
      </c>
      <c r="E150" s="83">
        <v>1</v>
      </c>
      <c r="F150" s="83">
        <v>0</v>
      </c>
      <c r="G150" s="83">
        <v>0</v>
      </c>
      <c r="H150" s="10">
        <v>0</v>
      </c>
      <c r="I150" s="84">
        <v>73.161643835616445</v>
      </c>
      <c r="J150" s="83">
        <v>1</v>
      </c>
      <c r="K150" s="84">
        <v>72.2</v>
      </c>
      <c r="L150" s="84">
        <v>0</v>
      </c>
      <c r="M150" s="83">
        <v>22.5</v>
      </c>
      <c r="N150" s="83">
        <v>44</v>
      </c>
      <c r="O150" s="85">
        <f>185/225</f>
        <v>0.82222222222222219</v>
      </c>
      <c r="P150" s="85">
        <f>345/145</f>
        <v>2.3793103448275863</v>
      </c>
      <c r="Q150" s="83">
        <v>109</v>
      </c>
      <c r="R150" s="86">
        <v>2</v>
      </c>
      <c r="S150" s="83">
        <v>1</v>
      </c>
      <c r="T150" s="83">
        <v>0</v>
      </c>
      <c r="U150" s="83"/>
      <c r="V150" s="83">
        <v>0</v>
      </c>
      <c r="W150" s="83">
        <v>0</v>
      </c>
      <c r="X150" s="10"/>
      <c r="Y150" s="87">
        <v>14.933333333333334</v>
      </c>
      <c r="Z150" s="83">
        <v>0</v>
      </c>
      <c r="AA150" s="88">
        <v>14.933333333333334</v>
      </c>
      <c r="AB150" s="89">
        <v>0</v>
      </c>
      <c r="AC150" s="90">
        <v>1</v>
      </c>
      <c r="AD150" s="84">
        <v>7.2666666666666666</v>
      </c>
      <c r="AE150" s="83">
        <v>5.2</v>
      </c>
      <c r="AF150" s="85">
        <f t="shared" si="40"/>
        <v>-76.8888888888889</v>
      </c>
      <c r="AG150" s="10" t="str">
        <f t="shared" si="41"/>
        <v>1</v>
      </c>
      <c r="AH150" s="10"/>
      <c r="AI150" s="10"/>
      <c r="AK150" s="2"/>
      <c r="AL150" s="2"/>
      <c r="AM150" s="2"/>
      <c r="AN150" s="2"/>
    </row>
    <row r="151" spans="1:40" ht="15" x14ac:dyDescent="0.25">
      <c r="A151" s="82" t="s">
        <v>809</v>
      </c>
      <c r="B151" s="83">
        <v>1</v>
      </c>
      <c r="C151" s="83">
        <v>0</v>
      </c>
      <c r="D151" s="83">
        <v>1</v>
      </c>
      <c r="E151" s="83">
        <v>1</v>
      </c>
      <c r="F151" s="83">
        <v>0</v>
      </c>
      <c r="G151" s="83">
        <v>0</v>
      </c>
      <c r="H151" s="10">
        <v>0</v>
      </c>
      <c r="I151" s="84">
        <v>86.761643835616439</v>
      </c>
      <c r="J151" s="83">
        <v>3</v>
      </c>
      <c r="K151" s="84">
        <v>5.8</v>
      </c>
      <c r="L151" s="84">
        <v>1</v>
      </c>
      <c r="M151" s="83">
        <v>230.2</v>
      </c>
      <c r="N151" s="83">
        <v>40</v>
      </c>
      <c r="O151" s="85">
        <f>210/220</f>
        <v>0.95454545454545459</v>
      </c>
      <c r="P151" s="85">
        <f>157/130</f>
        <v>1.2076923076923076</v>
      </c>
      <c r="Q151" s="83">
        <v>111</v>
      </c>
      <c r="R151" s="86">
        <v>1.6666666666666667</v>
      </c>
      <c r="S151" s="83">
        <v>1</v>
      </c>
      <c r="T151" s="83">
        <v>0</v>
      </c>
      <c r="U151" s="83">
        <v>0</v>
      </c>
      <c r="V151" s="83">
        <v>0</v>
      </c>
      <c r="W151" s="83">
        <v>0</v>
      </c>
      <c r="X151" s="10"/>
      <c r="Y151" s="87">
        <v>13.3</v>
      </c>
      <c r="Z151" s="83">
        <v>1</v>
      </c>
      <c r="AA151" s="88">
        <v>13.3</v>
      </c>
      <c r="AB151" s="89">
        <v>0</v>
      </c>
      <c r="AC151" s="90">
        <v>0</v>
      </c>
      <c r="AD151" s="84">
        <v>11.066666666666666</v>
      </c>
      <c r="AE151" s="83">
        <v>53.6</v>
      </c>
      <c r="AF151" s="85">
        <f t="shared" si="40"/>
        <v>-76.715899218071243</v>
      </c>
      <c r="AG151" s="10" t="str">
        <f t="shared" si="41"/>
        <v>1</v>
      </c>
      <c r="AH151" s="10"/>
      <c r="AI151" s="10"/>
      <c r="AK151" s="2"/>
      <c r="AL151" s="2"/>
      <c r="AM151" s="2"/>
      <c r="AN151" s="2"/>
    </row>
    <row r="152" spans="1:40" ht="15" x14ac:dyDescent="0.25">
      <c r="A152" s="82" t="s">
        <v>810</v>
      </c>
      <c r="B152" s="83">
        <v>1</v>
      </c>
      <c r="C152" s="83">
        <v>0</v>
      </c>
      <c r="D152" s="83">
        <v>0</v>
      </c>
      <c r="E152" s="83">
        <v>1</v>
      </c>
      <c r="F152" s="83">
        <v>0</v>
      </c>
      <c r="G152" s="83">
        <v>0</v>
      </c>
      <c r="H152" s="10">
        <v>0</v>
      </c>
      <c r="I152" s="84">
        <v>73.098630136986301</v>
      </c>
      <c r="J152" s="83" t="s">
        <v>680</v>
      </c>
      <c r="K152" s="84">
        <v>7.7666666666666666</v>
      </c>
      <c r="L152" s="84">
        <v>1</v>
      </c>
      <c r="M152" s="83">
        <v>379.63</v>
      </c>
      <c r="N152" s="83">
        <v>35</v>
      </c>
      <c r="O152" s="85" t="s">
        <v>674</v>
      </c>
      <c r="P152" s="85">
        <f>224/100</f>
        <v>2.2400000000000002</v>
      </c>
      <c r="Q152" s="83">
        <v>102</v>
      </c>
      <c r="R152" s="86">
        <v>5.4523809523809526</v>
      </c>
      <c r="S152" s="83">
        <v>0</v>
      </c>
      <c r="T152" s="83">
        <v>1</v>
      </c>
      <c r="U152" s="83">
        <v>0</v>
      </c>
      <c r="V152" s="83">
        <v>0</v>
      </c>
      <c r="W152" s="83">
        <v>0</v>
      </c>
      <c r="X152" s="10"/>
      <c r="Y152" s="87">
        <v>2.8</v>
      </c>
      <c r="Z152" s="83">
        <v>1</v>
      </c>
      <c r="AA152" s="88">
        <v>2.8</v>
      </c>
      <c r="AB152" s="89">
        <v>0</v>
      </c>
      <c r="AC152" s="90">
        <v>0</v>
      </c>
      <c r="AD152" s="84">
        <v>1.8</v>
      </c>
      <c r="AE152" s="83">
        <v>114</v>
      </c>
      <c r="AF152" s="85">
        <f t="shared" si="40"/>
        <v>-69.970761004135611</v>
      </c>
      <c r="AG152" s="10" t="str">
        <f t="shared" si="41"/>
        <v>1</v>
      </c>
      <c r="AH152" s="10"/>
      <c r="AI152" s="10"/>
      <c r="AK152" s="2"/>
      <c r="AL152" s="2"/>
      <c r="AM152" s="2"/>
      <c r="AN152" s="2"/>
    </row>
    <row r="153" spans="1:40" ht="15" x14ac:dyDescent="0.25">
      <c r="A153" s="82" t="s">
        <v>811</v>
      </c>
      <c r="B153" s="83">
        <v>0</v>
      </c>
      <c r="C153" s="83">
        <v>0</v>
      </c>
      <c r="D153" s="83">
        <v>0</v>
      </c>
      <c r="E153" s="83">
        <v>1</v>
      </c>
      <c r="F153" s="83">
        <v>0</v>
      </c>
      <c r="G153" s="83">
        <v>0</v>
      </c>
      <c r="H153" s="10">
        <v>0</v>
      </c>
      <c r="I153" s="84">
        <v>64.106849315068487</v>
      </c>
      <c r="J153" s="83">
        <v>0</v>
      </c>
      <c r="K153" s="84">
        <v>64.86666666666666</v>
      </c>
      <c r="L153" s="84">
        <v>0</v>
      </c>
      <c r="M153" s="83">
        <v>18.100000000000001</v>
      </c>
      <c r="N153" s="83">
        <v>44</v>
      </c>
      <c r="O153" s="85">
        <f>203/225</f>
        <v>0.90222222222222226</v>
      </c>
      <c r="P153" s="85">
        <f>45/145</f>
        <v>0.31034482758620691</v>
      </c>
      <c r="Q153" s="83">
        <v>133</v>
      </c>
      <c r="R153" s="86">
        <v>1.7333333333333334</v>
      </c>
      <c r="S153" s="83">
        <v>1</v>
      </c>
      <c r="T153" s="83">
        <v>0</v>
      </c>
      <c r="U153" s="83">
        <v>0</v>
      </c>
      <c r="V153" s="83">
        <v>0</v>
      </c>
      <c r="W153" s="83">
        <v>1</v>
      </c>
      <c r="X153" s="10"/>
      <c r="Y153" s="87">
        <v>17.600000000000001</v>
      </c>
      <c r="Z153" s="83">
        <v>0</v>
      </c>
      <c r="AA153" s="88">
        <v>17.600000000000001</v>
      </c>
      <c r="AB153" s="89">
        <v>1</v>
      </c>
      <c r="AC153" s="90">
        <v>1</v>
      </c>
      <c r="AD153" s="84">
        <v>4.1333333333333337</v>
      </c>
      <c r="AE153" s="83">
        <v>15.4</v>
      </c>
      <c r="AF153" s="85">
        <f t="shared" si="40"/>
        <v>-14.917127071823208</v>
      </c>
      <c r="AG153" s="10" t="str">
        <f t="shared" si="41"/>
        <v>0</v>
      </c>
      <c r="AH153" s="10"/>
      <c r="AI153" s="10"/>
      <c r="AK153" s="2"/>
      <c r="AL153" s="2"/>
      <c r="AM153" s="2"/>
      <c r="AN153" s="2"/>
    </row>
    <row r="154" spans="1:40" ht="15" x14ac:dyDescent="0.25">
      <c r="A154" s="82" t="s">
        <v>812</v>
      </c>
      <c r="B154" s="83">
        <v>0</v>
      </c>
      <c r="C154" s="83">
        <v>0</v>
      </c>
      <c r="D154" s="83">
        <v>0</v>
      </c>
      <c r="E154" s="83">
        <v>1</v>
      </c>
      <c r="F154" s="83">
        <v>0</v>
      </c>
      <c r="G154" s="83">
        <v>0</v>
      </c>
      <c r="H154" s="10">
        <v>0</v>
      </c>
      <c r="I154" s="84">
        <v>66.871232876712327</v>
      </c>
      <c r="J154" s="83">
        <v>1</v>
      </c>
      <c r="K154" s="84">
        <v>73.433333333333337</v>
      </c>
      <c r="L154" s="84">
        <v>0</v>
      </c>
      <c r="M154" s="83">
        <v>2.8</v>
      </c>
      <c r="N154" s="83">
        <v>43</v>
      </c>
      <c r="O154" s="85">
        <f>174/225</f>
        <v>0.77333333333333332</v>
      </c>
      <c r="P154" s="85">
        <f>95/145</f>
        <v>0.65517241379310343</v>
      </c>
      <c r="Q154" s="83">
        <v>129</v>
      </c>
      <c r="R154" s="86">
        <v>1.8076923076923077</v>
      </c>
      <c r="S154" s="83">
        <v>1</v>
      </c>
      <c r="T154" s="83">
        <v>0</v>
      </c>
      <c r="U154" s="83">
        <v>0</v>
      </c>
      <c r="V154" s="83">
        <v>0</v>
      </c>
      <c r="W154" s="83">
        <v>0</v>
      </c>
      <c r="X154" s="10"/>
      <c r="Y154" s="87">
        <v>17.5</v>
      </c>
      <c r="Z154" s="83">
        <v>0</v>
      </c>
      <c r="AA154" s="88">
        <v>17.5</v>
      </c>
      <c r="AB154" s="89">
        <v>1</v>
      </c>
      <c r="AC154" s="90">
        <v>0</v>
      </c>
      <c r="AD154" s="84">
        <v>17.433333333333334</v>
      </c>
      <c r="AE154" s="83">
        <v>0.3</v>
      </c>
      <c r="AF154" s="85">
        <f t="shared" si="40"/>
        <v>-89.285714285714292</v>
      </c>
      <c r="AG154" s="10" t="str">
        <f t="shared" si="41"/>
        <v>1</v>
      </c>
      <c r="AH154" s="10"/>
      <c r="AI154" s="10"/>
      <c r="AK154" s="2"/>
      <c r="AL154" s="2"/>
      <c r="AM154" s="2"/>
      <c r="AN154" s="2"/>
    </row>
    <row r="155" spans="1:40" ht="15" x14ac:dyDescent="0.25">
      <c r="A155" s="82" t="s">
        <v>813</v>
      </c>
      <c r="B155" s="83">
        <v>0</v>
      </c>
      <c r="C155" s="83">
        <v>0</v>
      </c>
      <c r="D155" s="83">
        <v>0</v>
      </c>
      <c r="E155" s="83">
        <v>1</v>
      </c>
      <c r="F155" s="83">
        <v>0</v>
      </c>
      <c r="G155" s="83">
        <v>0</v>
      </c>
      <c r="H155" s="10">
        <v>0</v>
      </c>
      <c r="I155" s="84">
        <v>69.8</v>
      </c>
      <c r="J155" s="83">
        <v>0</v>
      </c>
      <c r="K155" s="84">
        <v>17.600000000000001</v>
      </c>
      <c r="L155" s="84">
        <v>0</v>
      </c>
      <c r="M155" s="83">
        <v>21.93</v>
      </c>
      <c r="N155" s="83">
        <v>39</v>
      </c>
      <c r="O155" s="85" t="s">
        <v>674</v>
      </c>
      <c r="P155" s="85">
        <f>72/100</f>
        <v>0.72</v>
      </c>
      <c r="Q155" s="83">
        <v>141</v>
      </c>
      <c r="R155" s="86">
        <v>3.3956834532374103</v>
      </c>
      <c r="S155" s="83">
        <v>1</v>
      </c>
      <c r="T155" s="83">
        <v>0</v>
      </c>
      <c r="U155" s="83">
        <v>0</v>
      </c>
      <c r="V155" s="83">
        <v>0</v>
      </c>
      <c r="W155" s="83">
        <v>0</v>
      </c>
      <c r="X155" s="10"/>
      <c r="Y155" s="87">
        <v>15.166666666666666</v>
      </c>
      <c r="Z155" s="83">
        <v>1</v>
      </c>
      <c r="AA155" s="88">
        <v>15.166666666666666</v>
      </c>
      <c r="AB155" s="89">
        <v>0</v>
      </c>
      <c r="AC155" s="90">
        <v>1</v>
      </c>
      <c r="AD155" s="84">
        <v>3.7333333333333334</v>
      </c>
      <c r="AE155" s="83">
        <v>15.24</v>
      </c>
      <c r="AF155" s="85">
        <f t="shared" si="40"/>
        <v>-30.50615595075239</v>
      </c>
      <c r="AG155" s="10" t="str">
        <f t="shared" si="41"/>
        <v>0</v>
      </c>
      <c r="AH155" s="10"/>
      <c r="AI155" s="10"/>
      <c r="AK155" s="2"/>
      <c r="AL155" s="2"/>
      <c r="AM155" s="2"/>
      <c r="AN155" s="2"/>
    </row>
    <row r="156" spans="1:40" ht="15" x14ac:dyDescent="0.25">
      <c r="A156" s="82" t="s">
        <v>814</v>
      </c>
      <c r="B156" s="83">
        <v>1</v>
      </c>
      <c r="C156" s="83">
        <v>0</v>
      </c>
      <c r="D156" s="83">
        <v>0</v>
      </c>
      <c r="E156" s="83">
        <v>1</v>
      </c>
      <c r="F156" s="83">
        <v>0</v>
      </c>
      <c r="G156" s="83">
        <v>0</v>
      </c>
      <c r="H156" s="10">
        <v>0</v>
      </c>
      <c r="I156" s="84">
        <v>69.145205479452059</v>
      </c>
      <c r="J156" s="83" t="s">
        <v>680</v>
      </c>
      <c r="K156" s="84">
        <v>25.5</v>
      </c>
      <c r="L156" s="84">
        <v>0</v>
      </c>
      <c r="M156" s="83">
        <v>3.4</v>
      </c>
      <c r="N156" s="83" t="s">
        <v>674</v>
      </c>
      <c r="O156" s="85" t="s">
        <v>674</v>
      </c>
      <c r="P156" s="85" t="s">
        <v>674</v>
      </c>
      <c r="Q156" s="83">
        <v>126</v>
      </c>
      <c r="R156" s="86">
        <v>2.5314960629921259</v>
      </c>
      <c r="S156" s="83">
        <v>0</v>
      </c>
      <c r="T156" s="83">
        <v>1</v>
      </c>
      <c r="U156" s="83">
        <v>0</v>
      </c>
      <c r="V156" s="83">
        <v>0</v>
      </c>
      <c r="W156" s="83">
        <v>0</v>
      </c>
      <c r="X156" s="10"/>
      <c r="Y156" s="87">
        <v>15.8</v>
      </c>
      <c r="Z156" s="83">
        <v>0</v>
      </c>
      <c r="AA156" s="88">
        <v>15.8</v>
      </c>
      <c r="AB156" s="89">
        <v>1</v>
      </c>
      <c r="AC156" s="90">
        <v>1</v>
      </c>
      <c r="AD156" s="84">
        <v>9.9666666666666668</v>
      </c>
      <c r="AE156" s="83">
        <v>0.81</v>
      </c>
      <c r="AF156" s="85">
        <f t="shared" si="40"/>
        <v>-76.17647058823529</v>
      </c>
      <c r="AG156" s="10" t="str">
        <f t="shared" si="41"/>
        <v>1</v>
      </c>
      <c r="AH156" s="10"/>
      <c r="AI156" s="10"/>
      <c r="AK156" s="2"/>
      <c r="AL156" s="2"/>
      <c r="AM156" s="2"/>
      <c r="AN156" s="2"/>
    </row>
    <row r="157" spans="1:40" ht="15" x14ac:dyDescent="0.25">
      <c r="A157" s="82" t="s">
        <v>815</v>
      </c>
      <c r="B157" s="83">
        <v>1</v>
      </c>
      <c r="C157" s="83">
        <v>0</v>
      </c>
      <c r="D157" s="83">
        <v>0</v>
      </c>
      <c r="E157" s="83">
        <v>1</v>
      </c>
      <c r="F157" s="83">
        <v>0</v>
      </c>
      <c r="G157" s="83">
        <v>0</v>
      </c>
      <c r="H157" s="10">
        <v>0</v>
      </c>
      <c r="I157" s="84">
        <v>82.019178082191786</v>
      </c>
      <c r="J157" s="83" t="s">
        <v>680</v>
      </c>
      <c r="K157" s="84">
        <v>14</v>
      </c>
      <c r="L157" s="84">
        <v>0</v>
      </c>
      <c r="M157" s="83">
        <v>9.98</v>
      </c>
      <c r="N157" s="83" t="s">
        <v>674</v>
      </c>
      <c r="O157" s="85" t="s">
        <v>674</v>
      </c>
      <c r="P157" s="85" t="s">
        <v>674</v>
      </c>
      <c r="Q157" s="83">
        <v>134</v>
      </c>
      <c r="R157" s="86">
        <v>4.1487603305785123</v>
      </c>
      <c r="S157" s="83">
        <v>0</v>
      </c>
      <c r="T157" s="83">
        <v>1</v>
      </c>
      <c r="U157" s="83">
        <v>0</v>
      </c>
      <c r="V157" s="83">
        <v>0</v>
      </c>
      <c r="W157" s="83">
        <v>0</v>
      </c>
      <c r="X157" s="10"/>
      <c r="Y157" s="87">
        <v>15.133333333333333</v>
      </c>
      <c r="Z157" s="83">
        <v>0</v>
      </c>
      <c r="AA157" s="88">
        <v>15.133333333333333</v>
      </c>
      <c r="AB157" s="89">
        <v>1</v>
      </c>
      <c r="AC157" s="90">
        <v>0</v>
      </c>
      <c r="AD157" s="84">
        <v>16</v>
      </c>
      <c r="AE157" s="83">
        <v>0.32</v>
      </c>
      <c r="AF157" s="85">
        <f t="shared" si="40"/>
        <v>-96.793587174348687</v>
      </c>
      <c r="AG157" s="10" t="str">
        <f t="shared" si="41"/>
        <v>1</v>
      </c>
      <c r="AH157" s="10"/>
      <c r="AI157" s="10"/>
      <c r="AK157" s="2"/>
      <c r="AL157" s="2"/>
      <c r="AM157" s="2"/>
      <c r="AN157" s="2"/>
    </row>
    <row r="158" spans="1:40" ht="15" x14ac:dyDescent="0.25">
      <c r="A158" s="82" t="s">
        <v>816</v>
      </c>
      <c r="B158" s="83">
        <v>0</v>
      </c>
      <c r="C158" s="83">
        <v>0</v>
      </c>
      <c r="D158" s="83">
        <v>0</v>
      </c>
      <c r="E158" s="83">
        <v>1</v>
      </c>
      <c r="F158" s="83">
        <v>0</v>
      </c>
      <c r="G158" s="83">
        <v>0</v>
      </c>
      <c r="H158" s="10">
        <v>0</v>
      </c>
      <c r="I158" s="84">
        <v>77.136986301369859</v>
      </c>
      <c r="J158" s="83">
        <v>0</v>
      </c>
      <c r="K158" s="84">
        <v>15.9</v>
      </c>
      <c r="L158" s="84">
        <v>0</v>
      </c>
      <c r="M158" s="83">
        <v>26</v>
      </c>
      <c r="N158" s="83">
        <v>42</v>
      </c>
      <c r="O158" s="85">
        <f>159/240</f>
        <v>0.66249999999999998</v>
      </c>
      <c r="P158" s="85">
        <f>144/135</f>
        <v>1.0666666666666667</v>
      </c>
      <c r="Q158" s="83">
        <v>135</v>
      </c>
      <c r="R158" s="86">
        <v>7.8571428571428568</v>
      </c>
      <c r="S158" s="83">
        <v>0</v>
      </c>
      <c r="T158" s="83">
        <v>1</v>
      </c>
      <c r="U158" s="83">
        <v>0</v>
      </c>
      <c r="V158" s="83">
        <v>0</v>
      </c>
      <c r="W158" s="83">
        <v>0</v>
      </c>
      <c r="X158" s="10"/>
      <c r="Y158" s="87">
        <v>13.9</v>
      </c>
      <c r="Z158" s="83">
        <v>1</v>
      </c>
      <c r="AA158" s="88">
        <v>13.9</v>
      </c>
      <c r="AB158" s="89">
        <v>0</v>
      </c>
      <c r="AC158" s="90">
        <v>1</v>
      </c>
      <c r="AD158" s="84">
        <v>1.1000000000000001</v>
      </c>
      <c r="AE158" s="83" t="s">
        <v>674</v>
      </c>
      <c r="AF158" s="85" t="s">
        <v>674</v>
      </c>
      <c r="AG158" s="10">
        <v>0</v>
      </c>
      <c r="AH158" s="10"/>
      <c r="AI158" s="10"/>
      <c r="AK158" s="2"/>
      <c r="AL158" s="2"/>
      <c r="AM158" s="2"/>
      <c r="AN158" s="2"/>
    </row>
    <row r="159" spans="1:40" ht="15" x14ac:dyDescent="0.25">
      <c r="A159" s="82" t="s">
        <v>868</v>
      </c>
      <c r="B159" s="83">
        <v>1</v>
      </c>
      <c r="C159" s="83">
        <v>1</v>
      </c>
      <c r="D159" s="83">
        <v>1</v>
      </c>
      <c r="E159" s="83">
        <v>1</v>
      </c>
      <c r="F159" s="83">
        <v>0</v>
      </c>
      <c r="G159" s="83">
        <v>0</v>
      </c>
      <c r="H159" s="10">
        <v>0</v>
      </c>
      <c r="I159" s="84">
        <v>55.556164383561644</v>
      </c>
      <c r="J159" s="83" t="s">
        <v>680</v>
      </c>
      <c r="K159" s="84">
        <v>63.033333333333331</v>
      </c>
      <c r="L159" s="84">
        <v>0</v>
      </c>
      <c r="M159" s="83">
        <v>5</v>
      </c>
      <c r="N159" s="83">
        <v>39</v>
      </c>
      <c r="O159" s="85">
        <f>150/240</f>
        <v>0.625</v>
      </c>
      <c r="P159" s="85">
        <f>76/135</f>
        <v>0.562962962962963</v>
      </c>
      <c r="Q159" s="83">
        <v>141</v>
      </c>
      <c r="R159" s="86">
        <v>2.9047619047619047</v>
      </c>
      <c r="S159" s="83">
        <v>0</v>
      </c>
      <c r="T159" s="83">
        <v>1</v>
      </c>
      <c r="U159" s="83">
        <v>0</v>
      </c>
      <c r="V159" s="83">
        <v>0</v>
      </c>
      <c r="W159" s="83">
        <v>0</v>
      </c>
      <c r="X159" s="10"/>
      <c r="Y159" s="87">
        <v>19.399999999999999</v>
      </c>
      <c r="Z159" s="83">
        <v>0</v>
      </c>
      <c r="AA159" s="88">
        <v>19.399999999999999</v>
      </c>
      <c r="AB159" s="89">
        <v>0</v>
      </c>
      <c r="AC159" s="90">
        <v>1</v>
      </c>
      <c r="AD159" s="84">
        <v>13.6</v>
      </c>
      <c r="AE159" s="83">
        <v>0.21</v>
      </c>
      <c r="AF159" s="85">
        <f>((M159-AE159)/M159)*(-100)</f>
        <v>-95.8</v>
      </c>
      <c r="AG159" s="10" t="str">
        <f>IF((AE159/M159)&lt;0.5,"1","0")</f>
        <v>1</v>
      </c>
      <c r="AH159" s="10"/>
      <c r="AI159" s="10"/>
      <c r="AK159" s="2"/>
      <c r="AL159" s="2"/>
      <c r="AM159" s="2"/>
      <c r="AN159" s="2"/>
    </row>
    <row r="160" spans="1:40" ht="15" x14ac:dyDescent="0.25">
      <c r="A160" s="82" t="s">
        <v>817</v>
      </c>
      <c r="B160" s="83">
        <v>1</v>
      </c>
      <c r="C160" s="83">
        <v>2</v>
      </c>
      <c r="D160" s="83">
        <v>1</v>
      </c>
      <c r="E160" s="83">
        <v>1</v>
      </c>
      <c r="F160" s="83">
        <v>0</v>
      </c>
      <c r="G160" s="83">
        <v>1</v>
      </c>
      <c r="H160" s="10">
        <v>0</v>
      </c>
      <c r="I160" s="84">
        <v>67.410958904109592</v>
      </c>
      <c r="J160" s="83">
        <v>0</v>
      </c>
      <c r="K160" s="84">
        <v>12.1</v>
      </c>
      <c r="L160" s="84">
        <v>1</v>
      </c>
      <c r="M160" s="83">
        <v>1.4</v>
      </c>
      <c r="N160" s="83" t="s">
        <v>674</v>
      </c>
      <c r="O160" s="85">
        <f>242/240</f>
        <v>1.0083333333333333</v>
      </c>
      <c r="P160" s="85">
        <f>146/135</f>
        <v>1.0814814814814815</v>
      </c>
      <c r="Q160" s="83">
        <v>133</v>
      </c>
      <c r="R160" s="86">
        <v>5.5454545454545459</v>
      </c>
      <c r="S160" s="83">
        <v>0</v>
      </c>
      <c r="T160" s="83">
        <v>0</v>
      </c>
      <c r="U160" s="83">
        <v>1</v>
      </c>
      <c r="V160" s="83">
        <v>0</v>
      </c>
      <c r="W160" s="83">
        <v>0</v>
      </c>
      <c r="X160" s="10"/>
      <c r="Y160" s="87">
        <v>8.1</v>
      </c>
      <c r="Z160" s="83">
        <v>1</v>
      </c>
      <c r="AA160" s="88">
        <v>8.1</v>
      </c>
      <c r="AB160" s="89">
        <v>0</v>
      </c>
      <c r="AC160" s="90">
        <v>1</v>
      </c>
      <c r="AD160" s="84">
        <v>5.6333333333333337</v>
      </c>
      <c r="AE160" s="83" t="s">
        <v>674</v>
      </c>
      <c r="AF160" s="85" t="s">
        <v>674</v>
      </c>
      <c r="AG160" s="10">
        <v>0</v>
      </c>
      <c r="AH160" s="10"/>
      <c r="AI160" s="10"/>
      <c r="AK160" s="2"/>
      <c r="AL160" s="2"/>
      <c r="AM160" s="2"/>
      <c r="AN160" s="2"/>
    </row>
    <row r="161" spans="1:40" ht="15" x14ac:dyDescent="0.25">
      <c r="A161" s="82" t="s">
        <v>818</v>
      </c>
      <c r="B161" s="83">
        <v>1</v>
      </c>
      <c r="C161" s="83">
        <v>0</v>
      </c>
      <c r="D161" s="83">
        <v>1</v>
      </c>
      <c r="E161" s="83">
        <v>1</v>
      </c>
      <c r="F161" s="83">
        <v>0</v>
      </c>
      <c r="G161" s="83">
        <v>0</v>
      </c>
      <c r="H161" s="10">
        <v>0</v>
      </c>
      <c r="I161" s="84">
        <v>73.854794520547941</v>
      </c>
      <c r="J161" s="83">
        <v>1</v>
      </c>
      <c r="K161" s="84">
        <v>45.966666666666669</v>
      </c>
      <c r="L161" s="84">
        <v>0</v>
      </c>
      <c r="M161" s="83">
        <v>1.2</v>
      </c>
      <c r="N161" s="83">
        <v>42</v>
      </c>
      <c r="O161" s="85">
        <f>198/225</f>
        <v>0.88</v>
      </c>
      <c r="P161" s="85" t="s">
        <v>674</v>
      </c>
      <c r="Q161" s="83">
        <v>107</v>
      </c>
      <c r="R161" s="86">
        <v>2.4166666666666665</v>
      </c>
      <c r="S161" s="83">
        <v>0</v>
      </c>
      <c r="T161" s="83">
        <v>1</v>
      </c>
      <c r="U161" s="83">
        <v>0</v>
      </c>
      <c r="V161" s="83">
        <v>0</v>
      </c>
      <c r="W161" s="83">
        <v>0</v>
      </c>
      <c r="X161" s="10"/>
      <c r="Y161" s="87">
        <v>14.933333333333334</v>
      </c>
      <c r="Z161" s="83">
        <v>0</v>
      </c>
      <c r="AA161" s="88">
        <v>14.933333333333334</v>
      </c>
      <c r="AB161" s="89">
        <v>1</v>
      </c>
      <c r="AC161" s="90">
        <v>1</v>
      </c>
      <c r="AD161" s="84">
        <v>14.433333333333334</v>
      </c>
      <c r="AE161" s="83">
        <v>8.0000000000000002E-3</v>
      </c>
      <c r="AF161" s="85">
        <f t="shared" ref="AF161:AF164" si="42">((M161-AE161)/M161)*(-100)</f>
        <v>-99.333333333333329</v>
      </c>
      <c r="AG161" s="10" t="str">
        <f t="shared" ref="AG161:AG164" si="43">IF((AE161/M161)&lt;0.5,"1","0")</f>
        <v>1</v>
      </c>
      <c r="AH161" s="10"/>
      <c r="AI161" s="10"/>
      <c r="AK161" s="2"/>
      <c r="AL161" s="2"/>
      <c r="AM161" s="2"/>
      <c r="AN161" s="2"/>
    </row>
    <row r="162" spans="1:40" ht="15" x14ac:dyDescent="0.25">
      <c r="A162" s="82" t="s">
        <v>819</v>
      </c>
      <c r="B162" s="83">
        <v>1</v>
      </c>
      <c r="C162" s="83">
        <v>0</v>
      </c>
      <c r="D162" s="83">
        <v>0</v>
      </c>
      <c r="E162" s="83">
        <v>1</v>
      </c>
      <c r="F162" s="83">
        <v>0</v>
      </c>
      <c r="G162" s="83">
        <v>0</v>
      </c>
      <c r="H162" s="10">
        <v>0</v>
      </c>
      <c r="I162" s="84">
        <v>68.553424657534251</v>
      </c>
      <c r="J162" s="83">
        <v>0</v>
      </c>
      <c r="K162" s="84">
        <v>38.4</v>
      </c>
      <c r="L162" s="84">
        <v>0</v>
      </c>
      <c r="M162" s="83">
        <v>6.48</v>
      </c>
      <c r="N162" s="83">
        <v>39</v>
      </c>
      <c r="O162" s="85">
        <f>221/234</f>
        <v>0.94444444444444442</v>
      </c>
      <c r="P162" s="85">
        <f>65/129</f>
        <v>0.50387596899224807</v>
      </c>
      <c r="Q162" s="83">
        <v>130</v>
      </c>
      <c r="R162" s="86">
        <v>2.31055900621118</v>
      </c>
      <c r="S162" s="83">
        <v>1</v>
      </c>
      <c r="T162" s="83">
        <v>0</v>
      </c>
      <c r="U162" s="83">
        <v>0</v>
      </c>
      <c r="V162" s="83">
        <v>0</v>
      </c>
      <c r="W162" s="83">
        <v>1</v>
      </c>
      <c r="X162" s="10"/>
      <c r="Y162" s="87">
        <v>10.266666666666667</v>
      </c>
      <c r="Z162" s="83">
        <v>0</v>
      </c>
      <c r="AA162" s="88">
        <v>10.266666666666667</v>
      </c>
      <c r="AB162" s="89">
        <v>1</v>
      </c>
      <c r="AC162" s="90">
        <v>0</v>
      </c>
      <c r="AD162" s="84">
        <v>10.266666666666667</v>
      </c>
      <c r="AE162" s="83">
        <v>0.34</v>
      </c>
      <c r="AF162" s="85">
        <f t="shared" si="42"/>
        <v>-94.753086419753089</v>
      </c>
      <c r="AG162" s="10" t="str">
        <f t="shared" si="43"/>
        <v>1</v>
      </c>
      <c r="AH162" s="10"/>
      <c r="AI162" s="10"/>
      <c r="AK162" s="2"/>
      <c r="AL162" s="2"/>
      <c r="AM162" s="2"/>
      <c r="AN162" s="2"/>
    </row>
    <row r="163" spans="1:40" ht="15" x14ac:dyDescent="0.25">
      <c r="A163" s="82" t="s">
        <v>820</v>
      </c>
      <c r="B163" s="83">
        <v>1</v>
      </c>
      <c r="C163" s="83">
        <v>0</v>
      </c>
      <c r="D163" s="83">
        <v>0</v>
      </c>
      <c r="E163" s="83">
        <v>1</v>
      </c>
      <c r="F163" s="83">
        <v>0</v>
      </c>
      <c r="G163" s="83">
        <v>0</v>
      </c>
      <c r="H163" s="10">
        <v>0</v>
      </c>
      <c r="I163" s="84">
        <v>78.726027397260268</v>
      </c>
      <c r="J163" s="83">
        <v>1</v>
      </c>
      <c r="K163" s="84">
        <v>27.6</v>
      </c>
      <c r="L163" s="84">
        <v>0</v>
      </c>
      <c r="M163" s="83">
        <v>2.2000000000000002</v>
      </c>
      <c r="N163" s="83" t="s">
        <v>674</v>
      </c>
      <c r="O163" s="85">
        <f>181/225</f>
        <v>0.80444444444444441</v>
      </c>
      <c r="P163" s="85">
        <f>133/145</f>
        <v>0.91724137931034477</v>
      </c>
      <c r="Q163" s="83">
        <v>125</v>
      </c>
      <c r="R163" s="86">
        <v>2.75</v>
      </c>
      <c r="S163" s="83">
        <v>1</v>
      </c>
      <c r="T163" s="83">
        <v>0</v>
      </c>
      <c r="U163" s="83">
        <v>0</v>
      </c>
      <c r="V163" s="83">
        <v>0</v>
      </c>
      <c r="W163" s="83">
        <v>0</v>
      </c>
      <c r="X163" s="10"/>
      <c r="Y163" s="87">
        <v>12</v>
      </c>
      <c r="Z163" s="83">
        <v>0</v>
      </c>
      <c r="AA163" s="88">
        <v>12</v>
      </c>
      <c r="AB163" s="89">
        <v>1</v>
      </c>
      <c r="AC163" s="90">
        <v>0</v>
      </c>
      <c r="AD163" s="84">
        <v>11.8</v>
      </c>
      <c r="AE163" s="83">
        <v>1.6</v>
      </c>
      <c r="AF163" s="85">
        <f t="shared" si="42"/>
        <v>-27.272727272727277</v>
      </c>
      <c r="AG163" s="10" t="str">
        <f t="shared" si="43"/>
        <v>0</v>
      </c>
      <c r="AH163" s="10"/>
      <c r="AI163" s="10"/>
      <c r="AK163" s="2"/>
      <c r="AL163" s="2"/>
      <c r="AM163" s="2"/>
      <c r="AN163" s="2"/>
    </row>
    <row r="164" spans="1:40" ht="15" x14ac:dyDescent="0.25">
      <c r="A164" s="82" t="s">
        <v>821</v>
      </c>
      <c r="B164" s="83">
        <v>0</v>
      </c>
      <c r="C164" s="83">
        <v>0</v>
      </c>
      <c r="D164" s="83">
        <v>1</v>
      </c>
      <c r="E164" s="83">
        <v>0</v>
      </c>
      <c r="F164" s="83">
        <v>0</v>
      </c>
      <c r="G164" s="83">
        <v>0</v>
      </c>
      <c r="H164" s="10">
        <v>0</v>
      </c>
      <c r="I164" s="84">
        <v>69.37534246575342</v>
      </c>
      <c r="J164" s="83">
        <v>0</v>
      </c>
      <c r="K164" s="84">
        <v>29.266666666666666</v>
      </c>
      <c r="L164" s="84">
        <v>0</v>
      </c>
      <c r="M164" s="83">
        <v>6.1</v>
      </c>
      <c r="N164" s="83">
        <v>46</v>
      </c>
      <c r="O164" s="85">
        <f>187/225</f>
        <v>0.83111111111111113</v>
      </c>
      <c r="P164" s="85">
        <f>115/145</f>
        <v>0.7931034482758621</v>
      </c>
      <c r="Q164" s="83">
        <v>131</v>
      </c>
      <c r="R164" s="86">
        <v>3.25</v>
      </c>
      <c r="S164" s="83">
        <v>1</v>
      </c>
      <c r="T164" s="83">
        <v>0</v>
      </c>
      <c r="U164" s="83">
        <v>0</v>
      </c>
      <c r="V164" s="83">
        <v>0</v>
      </c>
      <c r="W164" s="83">
        <v>0</v>
      </c>
      <c r="X164" s="10"/>
      <c r="Y164" s="87">
        <v>9.4666666666666668</v>
      </c>
      <c r="Z164" s="83">
        <v>0</v>
      </c>
      <c r="AA164" s="88">
        <v>9.4666666666666668</v>
      </c>
      <c r="AB164" s="89">
        <v>1</v>
      </c>
      <c r="AC164" s="90">
        <v>1</v>
      </c>
      <c r="AD164" s="84">
        <v>8.4</v>
      </c>
      <c r="AE164" s="83">
        <v>0.26</v>
      </c>
      <c r="AF164" s="85">
        <f t="shared" si="42"/>
        <v>-95.73770491803279</v>
      </c>
      <c r="AG164" s="10" t="str">
        <f t="shared" si="43"/>
        <v>1</v>
      </c>
      <c r="AH164" s="10"/>
      <c r="AI164" s="10"/>
      <c r="AK164" s="2"/>
      <c r="AL164" s="2"/>
      <c r="AM164" s="2"/>
      <c r="AN164" s="2"/>
    </row>
    <row r="165" spans="1:40" ht="15" x14ac:dyDescent="0.25">
      <c r="A165" s="82" t="s">
        <v>822</v>
      </c>
      <c r="B165" s="83">
        <v>1</v>
      </c>
      <c r="C165" s="83">
        <v>0</v>
      </c>
      <c r="D165" s="83">
        <v>1</v>
      </c>
      <c r="E165" s="83">
        <v>1</v>
      </c>
      <c r="F165" s="83">
        <v>0</v>
      </c>
      <c r="G165" s="83">
        <v>0</v>
      </c>
      <c r="H165" s="10">
        <v>0</v>
      </c>
      <c r="I165" s="84">
        <v>78.430136986301363</v>
      </c>
      <c r="J165" s="83">
        <v>2</v>
      </c>
      <c r="K165" s="84">
        <v>5.8</v>
      </c>
      <c r="L165" s="84">
        <v>1</v>
      </c>
      <c r="M165" s="83">
        <v>523.6</v>
      </c>
      <c r="N165" s="83" t="s">
        <v>674</v>
      </c>
      <c r="O165" s="85">
        <f>1518/220</f>
        <v>6.9</v>
      </c>
      <c r="P165" s="85">
        <f>437/130</f>
        <v>3.3615384615384616</v>
      </c>
      <c r="Q165" s="83">
        <v>105</v>
      </c>
      <c r="R165" s="86">
        <v>2.9090909090909092</v>
      </c>
      <c r="S165" s="83">
        <v>1</v>
      </c>
      <c r="T165" s="83">
        <v>0</v>
      </c>
      <c r="U165" s="83">
        <v>0</v>
      </c>
      <c r="V165" s="83">
        <v>0</v>
      </c>
      <c r="W165" s="83">
        <v>0</v>
      </c>
      <c r="X165" s="10"/>
      <c r="Y165" s="87">
        <v>2.4666666666666668</v>
      </c>
      <c r="Z165" s="83">
        <v>1</v>
      </c>
      <c r="AA165" s="88">
        <v>2.4666666666666668</v>
      </c>
      <c r="AB165" s="89">
        <v>0</v>
      </c>
      <c r="AC165" s="90">
        <v>1</v>
      </c>
      <c r="AD165" s="84">
        <v>0.66666666666666663</v>
      </c>
      <c r="AE165" s="83" t="s">
        <v>674</v>
      </c>
      <c r="AF165" s="85" t="s">
        <v>674</v>
      </c>
      <c r="AG165" s="10">
        <v>0</v>
      </c>
      <c r="AH165" s="10"/>
      <c r="AI165" s="10"/>
      <c r="AK165" s="2"/>
      <c r="AL165" s="2"/>
      <c r="AM165" s="2"/>
      <c r="AN165" s="2"/>
    </row>
    <row r="166" spans="1:40" ht="15" x14ac:dyDescent="0.25">
      <c r="A166" s="82" t="s">
        <v>823</v>
      </c>
      <c r="B166" s="83">
        <v>1</v>
      </c>
      <c r="C166" s="83">
        <v>0</v>
      </c>
      <c r="D166" s="83">
        <v>1</v>
      </c>
      <c r="E166" s="83">
        <v>1</v>
      </c>
      <c r="F166" s="83">
        <v>0</v>
      </c>
      <c r="G166" s="83">
        <v>0</v>
      </c>
      <c r="H166" s="10">
        <v>0</v>
      </c>
      <c r="I166" s="84">
        <v>67.69041095890411</v>
      </c>
      <c r="J166" s="83">
        <v>1</v>
      </c>
      <c r="K166" s="84">
        <v>5.833333333333333</v>
      </c>
      <c r="L166" s="84">
        <v>1</v>
      </c>
      <c r="M166" s="83">
        <v>14.48</v>
      </c>
      <c r="N166" s="83" t="s">
        <v>674</v>
      </c>
      <c r="O166" s="85" t="s">
        <v>674</v>
      </c>
      <c r="P166" s="85">
        <f>54/129</f>
        <v>0.41860465116279072</v>
      </c>
      <c r="Q166" s="83">
        <v>148</v>
      </c>
      <c r="R166" s="86">
        <v>2.0625</v>
      </c>
      <c r="S166" s="83">
        <v>0</v>
      </c>
      <c r="T166" s="83">
        <v>1</v>
      </c>
      <c r="U166" s="83">
        <v>0</v>
      </c>
      <c r="V166" s="83">
        <v>0</v>
      </c>
      <c r="W166" s="83">
        <v>0</v>
      </c>
      <c r="X166" s="10"/>
      <c r="Y166" s="87">
        <v>7.666666666666667</v>
      </c>
      <c r="Z166" s="83">
        <v>0</v>
      </c>
      <c r="AA166" s="88">
        <v>7.666666666666667</v>
      </c>
      <c r="AB166" s="89">
        <v>1</v>
      </c>
      <c r="AC166" s="90">
        <v>0</v>
      </c>
      <c r="AD166" s="84">
        <v>7.4333333333333336</v>
      </c>
      <c r="AE166" s="83">
        <v>0.33</v>
      </c>
      <c r="AF166" s="85">
        <f t="shared" ref="AF166:AF187" si="44">((M166-AE166)/M166)*(-100)</f>
        <v>-97.720994475138127</v>
      </c>
      <c r="AG166" s="10" t="str">
        <f t="shared" ref="AG166:AG187" si="45">IF((AE166/M166)&lt;0.5,"1","0")</f>
        <v>1</v>
      </c>
      <c r="AH166" s="10"/>
      <c r="AI166" s="10"/>
      <c r="AK166" s="2"/>
      <c r="AL166" s="2"/>
      <c r="AM166" s="2"/>
      <c r="AN166" s="2"/>
    </row>
    <row r="167" spans="1:40" ht="15" x14ac:dyDescent="0.25">
      <c r="A167" s="82" t="s">
        <v>824</v>
      </c>
      <c r="B167" s="83">
        <v>1</v>
      </c>
      <c r="C167" s="83">
        <v>0</v>
      </c>
      <c r="D167" s="83">
        <v>0</v>
      </c>
      <c r="E167" s="83">
        <v>1</v>
      </c>
      <c r="F167" s="83">
        <v>0</v>
      </c>
      <c r="G167" s="83">
        <v>0</v>
      </c>
      <c r="H167" s="10">
        <v>0</v>
      </c>
      <c r="I167" s="84">
        <v>78.947945205479456</v>
      </c>
      <c r="J167" s="83" t="s">
        <v>680</v>
      </c>
      <c r="K167" s="84">
        <v>15.833333333333334</v>
      </c>
      <c r="L167" s="84">
        <v>0</v>
      </c>
      <c r="M167" s="83">
        <v>2.5499999999999998</v>
      </c>
      <c r="N167" s="83">
        <v>41</v>
      </c>
      <c r="O167" s="85">
        <f>547/618</f>
        <v>0.88511326860841422</v>
      </c>
      <c r="P167" s="85">
        <f>148/126</f>
        <v>1.1746031746031746</v>
      </c>
      <c r="Q167" s="83">
        <v>122</v>
      </c>
      <c r="R167" s="86">
        <v>1.3076923076923077</v>
      </c>
      <c r="S167" s="83">
        <v>0</v>
      </c>
      <c r="T167" s="83">
        <v>1</v>
      </c>
      <c r="U167" s="83">
        <v>0</v>
      </c>
      <c r="V167" s="83">
        <v>0</v>
      </c>
      <c r="W167" s="83">
        <v>0</v>
      </c>
      <c r="X167" s="10"/>
      <c r="Y167" s="87">
        <v>1.8666666666666667</v>
      </c>
      <c r="Z167" s="83">
        <v>0</v>
      </c>
      <c r="AA167" s="88">
        <v>1.8666666666666667</v>
      </c>
      <c r="AB167" s="89">
        <v>1</v>
      </c>
      <c r="AC167" s="90">
        <v>1</v>
      </c>
      <c r="AD167" s="84">
        <v>3.2333333333333334</v>
      </c>
      <c r="AE167" s="83">
        <v>2.34</v>
      </c>
      <c r="AF167" s="85">
        <f t="shared" si="44"/>
        <v>-8.235294117647058</v>
      </c>
      <c r="AG167" s="10" t="str">
        <f t="shared" si="45"/>
        <v>0</v>
      </c>
      <c r="AH167" s="10"/>
      <c r="AI167" s="10"/>
      <c r="AK167" s="2"/>
      <c r="AL167" s="2"/>
      <c r="AM167" s="2"/>
      <c r="AN167" s="2"/>
    </row>
    <row r="168" spans="1:40" ht="15" x14ac:dyDescent="0.25">
      <c r="A168" s="82" t="s">
        <v>825</v>
      </c>
      <c r="B168" s="83">
        <v>1</v>
      </c>
      <c r="C168" s="83">
        <v>1</v>
      </c>
      <c r="D168" s="83">
        <v>0</v>
      </c>
      <c r="E168" s="83">
        <v>1</v>
      </c>
      <c r="F168" s="83">
        <v>0</v>
      </c>
      <c r="G168" s="83">
        <v>0</v>
      </c>
      <c r="H168" s="10">
        <v>0</v>
      </c>
      <c r="I168" s="84">
        <v>83.145205479452059</v>
      </c>
      <c r="J168" s="83" t="s">
        <v>680</v>
      </c>
      <c r="K168" s="84">
        <v>57.4</v>
      </c>
      <c r="L168" s="84">
        <v>0</v>
      </c>
      <c r="M168" s="83">
        <v>5.8</v>
      </c>
      <c r="N168" s="83">
        <v>42</v>
      </c>
      <c r="O168" s="85" t="s">
        <v>674</v>
      </c>
      <c r="P168" s="85">
        <f>124/129</f>
        <v>0.96124031007751942</v>
      </c>
      <c r="Q168" s="83">
        <v>141</v>
      </c>
      <c r="R168" s="86">
        <v>3.4615384615384617</v>
      </c>
      <c r="S168" s="83">
        <v>1</v>
      </c>
      <c r="T168" s="83">
        <v>0</v>
      </c>
      <c r="U168" s="83">
        <v>0</v>
      </c>
      <c r="V168" s="83">
        <v>0</v>
      </c>
      <c r="W168" s="83">
        <v>0</v>
      </c>
      <c r="X168" s="10"/>
      <c r="Y168" s="87">
        <v>1.8666666666666667</v>
      </c>
      <c r="Z168" s="83">
        <v>0</v>
      </c>
      <c r="AA168" s="88">
        <v>1.8666666666666667</v>
      </c>
      <c r="AB168" s="89">
        <v>1</v>
      </c>
      <c r="AC168" s="90">
        <v>0</v>
      </c>
      <c r="AD168" s="84">
        <v>1.8</v>
      </c>
      <c r="AE168" s="83">
        <v>5.27</v>
      </c>
      <c r="AF168" s="85">
        <f t="shared" si="44"/>
        <v>-9.1379310344827633</v>
      </c>
      <c r="AG168" s="10" t="str">
        <f t="shared" si="45"/>
        <v>0</v>
      </c>
      <c r="AH168" s="10"/>
      <c r="AI168" s="10"/>
      <c r="AK168" s="2"/>
      <c r="AL168" s="2"/>
      <c r="AM168" s="2"/>
      <c r="AN168" s="2"/>
    </row>
    <row r="169" spans="1:40" ht="15" x14ac:dyDescent="0.25">
      <c r="A169" s="82" t="s">
        <v>826</v>
      </c>
      <c r="B169" s="83">
        <v>1</v>
      </c>
      <c r="C169" s="83">
        <v>0</v>
      </c>
      <c r="D169" s="83">
        <v>1</v>
      </c>
      <c r="E169" s="83">
        <v>1</v>
      </c>
      <c r="F169" s="83">
        <v>0</v>
      </c>
      <c r="G169" s="83">
        <v>0</v>
      </c>
      <c r="H169" s="10">
        <v>0</v>
      </c>
      <c r="I169" s="84">
        <v>71.92602739726027</v>
      </c>
      <c r="J169" s="83" t="s">
        <v>680</v>
      </c>
      <c r="K169" s="84">
        <v>22.666666666666668</v>
      </c>
      <c r="L169" s="84">
        <v>0</v>
      </c>
      <c r="M169" s="83">
        <v>9.6</v>
      </c>
      <c r="N169" s="83">
        <v>36</v>
      </c>
      <c r="O169" s="85">
        <f>216/220</f>
        <v>0.98181818181818181</v>
      </c>
      <c r="P169" s="85">
        <f>90/130</f>
        <v>0.69230769230769229</v>
      </c>
      <c r="Q169" s="83">
        <v>145</v>
      </c>
      <c r="R169" s="86">
        <v>3.1875</v>
      </c>
      <c r="S169" s="83">
        <v>0</v>
      </c>
      <c r="T169" s="83">
        <v>1</v>
      </c>
      <c r="U169" s="83">
        <v>0</v>
      </c>
      <c r="V169" s="83">
        <v>0</v>
      </c>
      <c r="W169" s="83">
        <v>0</v>
      </c>
      <c r="X169" s="10"/>
      <c r="Y169" s="87">
        <v>10.933333333333334</v>
      </c>
      <c r="Z169" s="83">
        <v>0</v>
      </c>
      <c r="AA169" s="88">
        <v>10.933333333333334</v>
      </c>
      <c r="AB169" s="89">
        <v>1</v>
      </c>
      <c r="AC169" s="90">
        <v>0</v>
      </c>
      <c r="AD169" s="84">
        <v>10.7</v>
      </c>
      <c r="AE169" s="83">
        <v>0.02</v>
      </c>
      <c r="AF169" s="85">
        <f t="shared" si="44"/>
        <v>-99.791666666666671</v>
      </c>
      <c r="AG169" s="10" t="str">
        <f t="shared" si="45"/>
        <v>1</v>
      </c>
      <c r="AH169" s="10"/>
      <c r="AI169" s="10"/>
      <c r="AK169" s="2"/>
      <c r="AL169" s="2"/>
      <c r="AM169" s="2"/>
      <c r="AN169" s="2"/>
    </row>
    <row r="170" spans="1:40" ht="15" x14ac:dyDescent="0.25">
      <c r="A170" s="82" t="s">
        <v>827</v>
      </c>
      <c r="B170" s="83">
        <v>0</v>
      </c>
      <c r="C170" s="83">
        <v>0</v>
      </c>
      <c r="D170" s="83">
        <v>0</v>
      </c>
      <c r="E170" s="83">
        <v>1</v>
      </c>
      <c r="F170" s="83">
        <v>0</v>
      </c>
      <c r="G170" s="83">
        <v>0</v>
      </c>
      <c r="H170" s="10">
        <v>0</v>
      </c>
      <c r="I170" s="84">
        <v>71.989041095890414</v>
      </c>
      <c r="J170" s="83" t="s">
        <v>680</v>
      </c>
      <c r="K170" s="84">
        <v>46.6</v>
      </c>
      <c r="L170" s="84">
        <v>0</v>
      </c>
      <c r="M170" s="83">
        <v>26.9</v>
      </c>
      <c r="N170" s="83" t="s">
        <v>674</v>
      </c>
      <c r="O170" s="85" t="s">
        <v>674</v>
      </c>
      <c r="P170" s="85" t="s">
        <v>674</v>
      </c>
      <c r="Q170" s="83">
        <v>130</v>
      </c>
      <c r="R170" s="86">
        <v>2.4166666666666665</v>
      </c>
      <c r="S170" s="83">
        <v>0</v>
      </c>
      <c r="T170" s="83">
        <v>1</v>
      </c>
      <c r="U170" s="83">
        <v>0</v>
      </c>
      <c r="V170" s="83">
        <v>0</v>
      </c>
      <c r="W170" s="83">
        <v>0</v>
      </c>
      <c r="X170" s="10"/>
      <c r="Y170" s="87">
        <v>10.466666666666667</v>
      </c>
      <c r="Z170" s="83">
        <v>0</v>
      </c>
      <c r="AA170" s="88">
        <v>10.466666666666667</v>
      </c>
      <c r="AB170" s="89">
        <v>1</v>
      </c>
      <c r="AC170" s="90">
        <v>0</v>
      </c>
      <c r="AD170" s="84">
        <v>10.4</v>
      </c>
      <c r="AE170" s="83">
        <v>1.9</v>
      </c>
      <c r="AF170" s="85">
        <f t="shared" si="44"/>
        <v>-92.936802973977692</v>
      </c>
      <c r="AG170" s="10" t="str">
        <f t="shared" si="45"/>
        <v>1</v>
      </c>
      <c r="AH170" s="10"/>
      <c r="AI170" s="10"/>
      <c r="AK170" s="2"/>
      <c r="AL170" s="2"/>
      <c r="AM170" s="2"/>
      <c r="AN170" s="2"/>
    </row>
    <row r="171" spans="1:40" ht="15" x14ac:dyDescent="0.25">
      <c r="A171" s="82" t="s">
        <v>828</v>
      </c>
      <c r="B171" s="83">
        <v>0</v>
      </c>
      <c r="C171" s="83">
        <v>0</v>
      </c>
      <c r="D171" s="83">
        <v>0</v>
      </c>
      <c r="E171" s="83">
        <v>1</v>
      </c>
      <c r="F171" s="83">
        <v>0</v>
      </c>
      <c r="G171" s="83">
        <v>0</v>
      </c>
      <c r="H171" s="10">
        <v>0</v>
      </c>
      <c r="I171" s="84">
        <v>73.169863013698631</v>
      </c>
      <c r="J171" s="83">
        <v>2</v>
      </c>
      <c r="K171" s="84">
        <v>110.6</v>
      </c>
      <c r="L171" s="84">
        <v>0</v>
      </c>
      <c r="M171" s="83">
        <v>44</v>
      </c>
      <c r="N171" s="83" t="s">
        <v>674</v>
      </c>
      <c r="O171" s="85" t="s">
        <v>674</v>
      </c>
      <c r="P171" s="85" t="s">
        <v>674</v>
      </c>
      <c r="Q171" s="83">
        <v>121</v>
      </c>
      <c r="R171" s="86">
        <v>2.4166666666666665</v>
      </c>
      <c r="S171" s="83">
        <v>0</v>
      </c>
      <c r="T171" s="83">
        <v>1</v>
      </c>
      <c r="U171" s="83">
        <v>0</v>
      </c>
      <c r="V171" s="83">
        <v>0</v>
      </c>
      <c r="W171" s="83">
        <v>0</v>
      </c>
      <c r="X171" s="10"/>
      <c r="Y171" s="87">
        <v>9.3333333333333339</v>
      </c>
      <c r="Z171" s="83">
        <v>0</v>
      </c>
      <c r="AA171" s="88">
        <v>9.3333333333333339</v>
      </c>
      <c r="AB171" s="89">
        <v>1</v>
      </c>
      <c r="AC171" s="90">
        <v>0</v>
      </c>
      <c r="AD171" s="84">
        <v>9.1666666666666661</v>
      </c>
      <c r="AE171" s="83">
        <v>5.4</v>
      </c>
      <c r="AF171" s="85">
        <f t="shared" si="44"/>
        <v>-87.727272727272734</v>
      </c>
      <c r="AG171" s="10" t="str">
        <f t="shared" si="45"/>
        <v>1</v>
      </c>
      <c r="AH171" s="10"/>
      <c r="AI171" s="10"/>
      <c r="AK171" s="2"/>
      <c r="AL171" s="2"/>
      <c r="AM171" s="2"/>
      <c r="AN171" s="2"/>
    </row>
    <row r="172" spans="1:40" ht="15" x14ac:dyDescent="0.25">
      <c r="A172" s="82" t="s">
        <v>829</v>
      </c>
      <c r="B172" s="83">
        <v>0</v>
      </c>
      <c r="C172" s="83">
        <v>0</v>
      </c>
      <c r="D172" s="83">
        <v>1</v>
      </c>
      <c r="E172" s="83">
        <v>1</v>
      </c>
      <c r="F172" s="83">
        <v>0</v>
      </c>
      <c r="G172" s="83">
        <v>0</v>
      </c>
      <c r="H172" s="10">
        <v>0</v>
      </c>
      <c r="I172" s="84">
        <v>93.912328767123284</v>
      </c>
      <c r="J172" s="83">
        <v>3</v>
      </c>
      <c r="K172" s="84">
        <v>40.700000000000003</v>
      </c>
      <c r="L172" s="84">
        <v>0</v>
      </c>
      <c r="M172" s="83">
        <v>151.6</v>
      </c>
      <c r="N172" s="83">
        <v>40</v>
      </c>
      <c r="O172" s="85">
        <f>157/220</f>
        <v>0.71363636363636362</v>
      </c>
      <c r="P172" s="85">
        <f>165/130</f>
        <v>1.2692307692307692</v>
      </c>
      <c r="Q172" s="83">
        <v>127</v>
      </c>
      <c r="R172" s="86">
        <v>4.833333333333333</v>
      </c>
      <c r="S172" s="83">
        <v>1</v>
      </c>
      <c r="T172" s="83">
        <v>0</v>
      </c>
      <c r="U172" s="83">
        <v>0</v>
      </c>
      <c r="V172" s="83">
        <v>0</v>
      </c>
      <c r="W172" s="83">
        <v>0</v>
      </c>
      <c r="X172" s="10"/>
      <c r="Y172" s="87">
        <v>6.9333333333333336</v>
      </c>
      <c r="Z172" s="83">
        <v>1</v>
      </c>
      <c r="AA172" s="88">
        <v>6.9333333333333336</v>
      </c>
      <c r="AB172" s="89">
        <v>0</v>
      </c>
      <c r="AC172" s="90">
        <v>0</v>
      </c>
      <c r="AD172" s="84">
        <v>2.8666666666666667</v>
      </c>
      <c r="AE172" s="83">
        <v>19.600000000000001</v>
      </c>
      <c r="AF172" s="85">
        <f t="shared" si="44"/>
        <v>-87.071240105540909</v>
      </c>
      <c r="AG172" s="10" t="str">
        <f t="shared" si="45"/>
        <v>1</v>
      </c>
      <c r="AH172" s="10"/>
      <c r="AI172" s="10"/>
      <c r="AK172" s="2"/>
      <c r="AL172" s="2"/>
      <c r="AM172" s="2"/>
      <c r="AN172" s="2"/>
    </row>
    <row r="173" spans="1:40" ht="15" x14ac:dyDescent="0.25">
      <c r="A173" s="82" t="s">
        <v>830</v>
      </c>
      <c r="B173" s="83">
        <v>1</v>
      </c>
      <c r="C173" s="83">
        <v>0</v>
      </c>
      <c r="D173" s="83">
        <v>1</v>
      </c>
      <c r="E173" s="83">
        <v>1</v>
      </c>
      <c r="F173" s="83">
        <v>0</v>
      </c>
      <c r="G173" s="83">
        <v>0</v>
      </c>
      <c r="H173" s="10">
        <v>0</v>
      </c>
      <c r="I173" s="84">
        <v>72.268493150684932</v>
      </c>
      <c r="J173" s="83">
        <v>1</v>
      </c>
      <c r="K173" s="84">
        <v>17.766666666666666</v>
      </c>
      <c r="L173" s="84">
        <v>0</v>
      </c>
      <c r="M173" s="83">
        <v>5.5</v>
      </c>
      <c r="N173" s="83">
        <v>39</v>
      </c>
      <c r="O173" s="85">
        <f>138/220</f>
        <v>0.62727272727272732</v>
      </c>
      <c r="P173" s="85">
        <f>63/130</f>
        <v>0.48461538461538461</v>
      </c>
      <c r="Q173" s="83">
        <v>100</v>
      </c>
      <c r="R173" s="86">
        <v>2</v>
      </c>
      <c r="S173" s="83">
        <v>1</v>
      </c>
      <c r="T173" s="83">
        <v>0</v>
      </c>
      <c r="U173" s="83">
        <v>0</v>
      </c>
      <c r="V173" s="83">
        <v>0</v>
      </c>
      <c r="W173" s="83">
        <v>0</v>
      </c>
      <c r="X173" s="10"/>
      <c r="Y173" s="87">
        <v>5.5666666666666664</v>
      </c>
      <c r="Z173" s="83">
        <v>0</v>
      </c>
      <c r="AA173" s="88">
        <v>5.5666666666666664</v>
      </c>
      <c r="AB173" s="89">
        <v>0</v>
      </c>
      <c r="AC173" s="90">
        <v>0</v>
      </c>
      <c r="AD173" s="84">
        <v>2.7333333333333334</v>
      </c>
      <c r="AE173" s="83">
        <v>4.5</v>
      </c>
      <c r="AF173" s="85">
        <f t="shared" si="44"/>
        <v>-18.181818181818183</v>
      </c>
      <c r="AG173" s="10" t="str">
        <f t="shared" si="45"/>
        <v>0</v>
      </c>
      <c r="AH173" s="10"/>
      <c r="AI173" s="10"/>
      <c r="AK173" s="2"/>
      <c r="AL173" s="2"/>
      <c r="AM173" s="2"/>
      <c r="AN173" s="2"/>
    </row>
    <row r="174" spans="1:40" ht="15" x14ac:dyDescent="0.25">
      <c r="A174" s="82" t="s">
        <v>831</v>
      </c>
      <c r="B174" s="83">
        <v>1</v>
      </c>
      <c r="C174" s="83">
        <v>0</v>
      </c>
      <c r="D174" s="83">
        <v>1</v>
      </c>
      <c r="E174" s="83">
        <v>1</v>
      </c>
      <c r="F174" s="83">
        <v>0</v>
      </c>
      <c r="G174" s="83">
        <v>0</v>
      </c>
      <c r="H174" s="10">
        <v>0</v>
      </c>
      <c r="I174" s="84">
        <v>61.624657534246573</v>
      </c>
      <c r="J174" s="83" t="s">
        <v>680</v>
      </c>
      <c r="K174" s="84">
        <v>9.5666666666666664</v>
      </c>
      <c r="L174" s="84">
        <v>1</v>
      </c>
      <c r="M174" s="83">
        <v>193.8</v>
      </c>
      <c r="N174" s="83">
        <v>37</v>
      </c>
      <c r="O174" s="85">
        <f>157/220</f>
        <v>0.71363636363636362</v>
      </c>
      <c r="P174" s="85">
        <f>174/130</f>
        <v>1.3384615384615384</v>
      </c>
      <c r="Q174" s="83">
        <v>115</v>
      </c>
      <c r="R174" s="86">
        <v>9.2857142857142865</v>
      </c>
      <c r="S174" s="83">
        <v>0</v>
      </c>
      <c r="T174" s="83">
        <v>0</v>
      </c>
      <c r="U174" s="83">
        <v>1</v>
      </c>
      <c r="V174" s="83">
        <v>0</v>
      </c>
      <c r="W174" s="83">
        <v>0</v>
      </c>
      <c r="X174" s="10"/>
      <c r="Y174" s="87">
        <v>3.1666666666666665</v>
      </c>
      <c r="Z174" s="83">
        <v>0</v>
      </c>
      <c r="AA174" s="88">
        <v>3.1666666666666665</v>
      </c>
      <c r="AB174" s="89">
        <v>0</v>
      </c>
      <c r="AC174" s="90">
        <v>0</v>
      </c>
      <c r="AD174" s="84">
        <v>0.66666666666666663</v>
      </c>
      <c r="AE174" s="83">
        <v>154.4</v>
      </c>
      <c r="AF174" s="85">
        <f t="shared" si="44"/>
        <v>-20.330237358101137</v>
      </c>
      <c r="AG174" s="10" t="str">
        <f t="shared" si="45"/>
        <v>0</v>
      </c>
      <c r="AH174" s="10"/>
      <c r="AI174" s="10"/>
      <c r="AK174" s="2"/>
      <c r="AL174" s="2"/>
      <c r="AM174" s="2"/>
      <c r="AN174" s="2"/>
    </row>
    <row r="175" spans="1:40" ht="15" x14ac:dyDescent="0.25">
      <c r="A175" s="82" t="s">
        <v>832</v>
      </c>
      <c r="B175" s="83">
        <v>1</v>
      </c>
      <c r="C175" s="83">
        <v>0</v>
      </c>
      <c r="D175" s="83">
        <v>0</v>
      </c>
      <c r="E175" s="83">
        <v>1</v>
      </c>
      <c r="F175" s="83">
        <v>0</v>
      </c>
      <c r="G175" s="83">
        <v>0</v>
      </c>
      <c r="H175" s="10">
        <v>0</v>
      </c>
      <c r="I175" s="84">
        <v>90.753424657534254</v>
      </c>
      <c r="J175" s="83" t="s">
        <v>680</v>
      </c>
      <c r="K175" s="84">
        <v>23.533333333333335</v>
      </c>
      <c r="L175" s="84">
        <v>0</v>
      </c>
      <c r="M175" s="83">
        <v>11.57</v>
      </c>
      <c r="N175" s="83" t="s">
        <v>674</v>
      </c>
      <c r="O175" s="85" t="s">
        <v>674</v>
      </c>
      <c r="P175" s="85" t="s">
        <v>674</v>
      </c>
      <c r="Q175" s="83">
        <v>117</v>
      </c>
      <c r="R175" s="86">
        <v>4.7054794520547949</v>
      </c>
      <c r="S175" s="83">
        <v>0</v>
      </c>
      <c r="T175" s="83">
        <v>1</v>
      </c>
      <c r="U175" s="83">
        <v>0</v>
      </c>
      <c r="V175" s="83">
        <v>0</v>
      </c>
      <c r="W175" s="83">
        <v>0</v>
      </c>
      <c r="X175" s="10"/>
      <c r="Y175" s="87">
        <v>1.9</v>
      </c>
      <c r="Z175" s="83">
        <v>0</v>
      </c>
      <c r="AA175" s="88">
        <v>1.9</v>
      </c>
      <c r="AB175" s="89">
        <v>0</v>
      </c>
      <c r="AC175" s="90">
        <v>0</v>
      </c>
      <c r="AD175" s="84">
        <v>0.8666666666666667</v>
      </c>
      <c r="AE175" s="83">
        <v>4.17</v>
      </c>
      <c r="AF175" s="85">
        <f t="shared" si="44"/>
        <v>-63.958513396715645</v>
      </c>
      <c r="AG175" s="10" t="str">
        <f t="shared" si="45"/>
        <v>1</v>
      </c>
      <c r="AH175" s="10"/>
      <c r="AI175" s="10"/>
      <c r="AK175" s="2"/>
      <c r="AL175" s="2"/>
      <c r="AM175" s="2"/>
      <c r="AN175" s="2"/>
    </row>
    <row r="176" spans="1:40" ht="15" x14ac:dyDescent="0.25">
      <c r="A176" s="82" t="s">
        <v>833</v>
      </c>
      <c r="B176" s="83">
        <v>0</v>
      </c>
      <c r="C176" s="83">
        <v>0</v>
      </c>
      <c r="D176" s="83">
        <v>1</v>
      </c>
      <c r="E176" s="83">
        <v>1</v>
      </c>
      <c r="F176" s="83">
        <v>0</v>
      </c>
      <c r="G176" s="83">
        <v>0</v>
      </c>
      <c r="H176" s="10">
        <v>0</v>
      </c>
      <c r="I176" s="84">
        <v>87.290410958904104</v>
      </c>
      <c r="J176" s="83">
        <v>0</v>
      </c>
      <c r="K176" s="84">
        <v>4.5999999999999996</v>
      </c>
      <c r="L176" s="84">
        <v>1</v>
      </c>
      <c r="M176" s="83">
        <v>560</v>
      </c>
      <c r="N176" s="83" t="s">
        <v>674</v>
      </c>
      <c r="O176" s="85" t="s">
        <v>674</v>
      </c>
      <c r="P176" s="85" t="s">
        <v>674</v>
      </c>
      <c r="Q176" s="83" t="s">
        <v>674</v>
      </c>
      <c r="R176" s="86" t="s">
        <v>674</v>
      </c>
      <c r="S176" s="83">
        <v>0</v>
      </c>
      <c r="T176" s="83">
        <v>1</v>
      </c>
      <c r="U176" s="83">
        <v>0</v>
      </c>
      <c r="V176" s="83">
        <v>0</v>
      </c>
      <c r="W176" s="83">
        <v>0</v>
      </c>
      <c r="X176" s="10"/>
      <c r="Y176" s="87">
        <v>9.1666666666666661</v>
      </c>
      <c r="Z176" s="83">
        <v>0</v>
      </c>
      <c r="AA176" s="88">
        <v>9.1666666666666661</v>
      </c>
      <c r="AB176" s="89">
        <v>0</v>
      </c>
      <c r="AC176" s="90">
        <v>1</v>
      </c>
      <c r="AD176" s="84">
        <v>3.7333333333333334</v>
      </c>
      <c r="AE176" s="83">
        <v>104</v>
      </c>
      <c r="AF176" s="85">
        <f t="shared" si="44"/>
        <v>-81.428571428571431</v>
      </c>
      <c r="AG176" s="10" t="str">
        <f t="shared" si="45"/>
        <v>1</v>
      </c>
      <c r="AH176" s="10"/>
      <c r="AI176" s="10"/>
      <c r="AK176" s="2"/>
      <c r="AL176" s="2"/>
      <c r="AM176" s="2"/>
      <c r="AN176" s="2"/>
    </row>
    <row r="177" spans="1:40" ht="15" x14ac:dyDescent="0.25">
      <c r="A177" s="82" t="s">
        <v>834</v>
      </c>
      <c r="B177" s="83">
        <v>0</v>
      </c>
      <c r="C177" s="83">
        <v>0</v>
      </c>
      <c r="D177" s="83">
        <v>0</v>
      </c>
      <c r="E177" s="83">
        <v>1</v>
      </c>
      <c r="F177" s="83">
        <v>0</v>
      </c>
      <c r="G177" s="83">
        <v>0</v>
      </c>
      <c r="H177" s="10">
        <v>0</v>
      </c>
      <c r="I177" s="84">
        <v>79.986301369863014</v>
      </c>
      <c r="J177" s="83" t="s">
        <v>680</v>
      </c>
      <c r="K177" s="84">
        <v>84.9</v>
      </c>
      <c r="L177" s="84">
        <v>0</v>
      </c>
      <c r="M177" s="83">
        <v>5.5</v>
      </c>
      <c r="N177" s="83" t="s">
        <v>674</v>
      </c>
      <c r="O177" s="85">
        <f>159/240</f>
        <v>0.66249999999999998</v>
      </c>
      <c r="P177" s="85">
        <f>138/135</f>
        <v>1.0222222222222221</v>
      </c>
      <c r="Q177" s="83">
        <v>132</v>
      </c>
      <c r="R177" s="86">
        <v>2.7272727272727271</v>
      </c>
      <c r="S177" s="83">
        <v>0</v>
      </c>
      <c r="T177" s="83">
        <v>1</v>
      </c>
      <c r="U177" s="83">
        <v>0</v>
      </c>
      <c r="V177" s="83">
        <v>0</v>
      </c>
      <c r="W177" s="83">
        <v>0</v>
      </c>
      <c r="X177" s="10"/>
      <c r="Y177" s="87">
        <v>3.3333333333333335</v>
      </c>
      <c r="Z177" s="83">
        <v>0</v>
      </c>
      <c r="AA177" s="88">
        <v>3.3333333333333335</v>
      </c>
      <c r="AB177" s="89">
        <v>1</v>
      </c>
      <c r="AC177" s="90">
        <v>0</v>
      </c>
      <c r="AD177" s="84">
        <v>2.8</v>
      </c>
      <c r="AE177" s="83">
        <v>8.8999999999999996E-2</v>
      </c>
      <c r="AF177" s="85">
        <f t="shared" si="44"/>
        <v>-98.381818181818176</v>
      </c>
      <c r="AG177" s="10" t="str">
        <f t="shared" si="45"/>
        <v>1</v>
      </c>
      <c r="AH177" s="10"/>
      <c r="AI177" s="10"/>
      <c r="AK177" s="2"/>
      <c r="AL177" s="2"/>
      <c r="AM177" s="2"/>
      <c r="AN177" s="2"/>
    </row>
    <row r="178" spans="1:40" ht="15" x14ac:dyDescent="0.25">
      <c r="A178" s="82" t="s">
        <v>835</v>
      </c>
      <c r="B178" s="83">
        <v>0</v>
      </c>
      <c r="C178" s="83">
        <v>0</v>
      </c>
      <c r="D178" s="83">
        <v>0</v>
      </c>
      <c r="E178" s="83">
        <v>1</v>
      </c>
      <c r="F178" s="83">
        <v>0</v>
      </c>
      <c r="G178" s="83">
        <v>0</v>
      </c>
      <c r="H178" s="10">
        <v>0</v>
      </c>
      <c r="I178" s="84">
        <v>80.432876712328763</v>
      </c>
      <c r="J178" s="83">
        <v>1</v>
      </c>
      <c r="K178" s="84">
        <v>68.86666666666666</v>
      </c>
      <c r="L178" s="84">
        <v>0</v>
      </c>
      <c r="M178" s="83">
        <v>230</v>
      </c>
      <c r="N178" s="83">
        <v>40</v>
      </c>
      <c r="O178" s="85">
        <f>253/240</f>
        <v>1.0541666666666667</v>
      </c>
      <c r="P178" s="85">
        <f>425/135</f>
        <v>3.1481481481481484</v>
      </c>
      <c r="Q178" s="83">
        <v>142</v>
      </c>
      <c r="R178" s="86">
        <v>3.5263157894736841</v>
      </c>
      <c r="S178" s="83">
        <v>0</v>
      </c>
      <c r="T178" s="83">
        <v>1</v>
      </c>
      <c r="U178" s="83">
        <v>0</v>
      </c>
      <c r="V178" s="83">
        <v>0</v>
      </c>
      <c r="W178" s="83">
        <v>0</v>
      </c>
      <c r="X178" s="10"/>
      <c r="Y178" s="87">
        <v>2.7666666666666666</v>
      </c>
      <c r="Z178" s="83">
        <v>0</v>
      </c>
      <c r="AA178" s="88">
        <v>2.7666666666666666</v>
      </c>
      <c r="AB178" s="89">
        <v>1</v>
      </c>
      <c r="AC178" s="90">
        <v>0</v>
      </c>
      <c r="AD178" s="84">
        <v>2.6333333333333333</v>
      </c>
      <c r="AE178" s="83">
        <v>29.4</v>
      </c>
      <c r="AF178" s="85">
        <f t="shared" si="44"/>
        <v>-87.217391304347828</v>
      </c>
      <c r="AG178" s="10" t="str">
        <f t="shared" si="45"/>
        <v>1</v>
      </c>
      <c r="AH178" s="10"/>
      <c r="AI178" s="10"/>
      <c r="AK178" s="2"/>
      <c r="AL178" s="2"/>
      <c r="AM178" s="2"/>
      <c r="AN178" s="2"/>
    </row>
    <row r="179" spans="1:40" ht="15" x14ac:dyDescent="0.25">
      <c r="A179" s="82" t="s">
        <v>836</v>
      </c>
      <c r="B179" s="83">
        <v>1</v>
      </c>
      <c r="C179" s="83">
        <v>0</v>
      </c>
      <c r="D179" s="83">
        <v>0</v>
      </c>
      <c r="E179" s="83">
        <v>1</v>
      </c>
      <c r="F179" s="83">
        <v>1</v>
      </c>
      <c r="G179" s="83">
        <v>1</v>
      </c>
      <c r="H179" s="10">
        <v>0</v>
      </c>
      <c r="I179" s="84">
        <v>74.30410958904109</v>
      </c>
      <c r="J179" s="83">
        <v>1</v>
      </c>
      <c r="K179" s="84">
        <v>5.9</v>
      </c>
      <c r="L179" s="84">
        <v>1</v>
      </c>
      <c r="M179" s="83">
        <v>29.4</v>
      </c>
      <c r="N179" s="83">
        <v>32</v>
      </c>
      <c r="O179" s="85">
        <f>346/220</f>
        <v>1.5727272727272728</v>
      </c>
      <c r="P179" s="85">
        <f>176/130</f>
        <v>1.3538461538461539</v>
      </c>
      <c r="Q179" s="83">
        <v>122</v>
      </c>
      <c r="R179" s="86">
        <v>4.666666666666667</v>
      </c>
      <c r="S179" s="83">
        <v>0</v>
      </c>
      <c r="T179" s="83">
        <v>1</v>
      </c>
      <c r="U179" s="83">
        <v>0</v>
      </c>
      <c r="V179" s="83">
        <v>0</v>
      </c>
      <c r="W179" s="83">
        <v>0</v>
      </c>
      <c r="X179" s="10"/>
      <c r="Y179" s="87">
        <v>2.2666666666666666</v>
      </c>
      <c r="Z179" s="83">
        <v>0</v>
      </c>
      <c r="AA179" s="88">
        <v>2.2666666666666666</v>
      </c>
      <c r="AB179" s="89">
        <v>0</v>
      </c>
      <c r="AC179" s="90">
        <v>0</v>
      </c>
      <c r="AD179" s="84">
        <v>1.5666666666666667</v>
      </c>
      <c r="AE179" s="83">
        <v>10.1</v>
      </c>
      <c r="AF179" s="85">
        <f t="shared" si="44"/>
        <v>-65.646258503401356</v>
      </c>
      <c r="AG179" s="10" t="str">
        <f t="shared" si="45"/>
        <v>1</v>
      </c>
      <c r="AH179" s="10"/>
      <c r="AI179" s="10"/>
      <c r="AK179" s="2"/>
      <c r="AL179" s="2"/>
      <c r="AM179" s="2"/>
      <c r="AN179" s="2"/>
    </row>
    <row r="180" spans="1:40" ht="15" x14ac:dyDescent="0.25">
      <c r="A180" s="82" t="s">
        <v>837</v>
      </c>
      <c r="B180" s="83">
        <v>1</v>
      </c>
      <c r="C180" s="83">
        <v>2</v>
      </c>
      <c r="D180" s="83">
        <v>0</v>
      </c>
      <c r="E180" s="83">
        <v>1</v>
      </c>
      <c r="F180" s="83">
        <v>0</v>
      </c>
      <c r="G180" s="83">
        <v>0</v>
      </c>
      <c r="H180" s="10">
        <v>0</v>
      </c>
      <c r="I180" s="84">
        <v>76.961643835616442</v>
      </c>
      <c r="J180" s="83" t="s">
        <v>680</v>
      </c>
      <c r="K180" s="84">
        <v>12.466666666666667</v>
      </c>
      <c r="L180" s="84">
        <v>1</v>
      </c>
      <c r="M180" s="83">
        <v>82.5</v>
      </c>
      <c r="N180" s="83" t="s">
        <v>674</v>
      </c>
      <c r="O180" s="85">
        <f>305/225</f>
        <v>1.3555555555555556</v>
      </c>
      <c r="P180" s="85">
        <f>236/145</f>
        <v>1.6275862068965516</v>
      </c>
      <c r="Q180" s="83">
        <v>127</v>
      </c>
      <c r="R180" s="86">
        <v>1.6774193548387097</v>
      </c>
      <c r="S180" s="83">
        <v>0</v>
      </c>
      <c r="T180" s="83">
        <v>0</v>
      </c>
      <c r="U180" s="83">
        <v>0</v>
      </c>
      <c r="V180" s="83">
        <v>0</v>
      </c>
      <c r="W180" s="2">
        <v>1</v>
      </c>
      <c r="X180" s="10"/>
      <c r="Y180" s="87">
        <v>3.7</v>
      </c>
      <c r="Z180" s="83">
        <v>0</v>
      </c>
      <c r="AA180" s="88">
        <v>3.7</v>
      </c>
      <c r="AB180" s="89">
        <v>1</v>
      </c>
      <c r="AC180" s="90">
        <v>1</v>
      </c>
      <c r="AD180" s="84">
        <v>3.4666666666666668</v>
      </c>
      <c r="AE180" s="83">
        <v>100</v>
      </c>
      <c r="AF180" s="85">
        <f t="shared" si="44"/>
        <v>21.212121212121211</v>
      </c>
      <c r="AG180" s="10" t="str">
        <f t="shared" si="45"/>
        <v>0</v>
      </c>
      <c r="AH180" s="10"/>
      <c r="AI180" s="10"/>
      <c r="AK180" s="2"/>
      <c r="AL180" s="2"/>
      <c r="AM180" s="2"/>
      <c r="AN180" s="2"/>
    </row>
    <row r="181" spans="1:40" ht="15" x14ac:dyDescent="0.25">
      <c r="A181" s="82" t="s">
        <v>838</v>
      </c>
      <c r="B181" s="83">
        <v>0</v>
      </c>
      <c r="C181" s="83">
        <v>0</v>
      </c>
      <c r="D181" s="83">
        <v>0</v>
      </c>
      <c r="E181" s="83">
        <v>1</v>
      </c>
      <c r="F181" s="83">
        <v>0</v>
      </c>
      <c r="G181" s="83">
        <v>0</v>
      </c>
      <c r="H181" s="10">
        <v>0</v>
      </c>
      <c r="I181" s="84">
        <v>74.397260273972606</v>
      </c>
      <c r="J181" s="83" t="s">
        <v>680</v>
      </c>
      <c r="K181" s="84">
        <v>0.8</v>
      </c>
      <c r="L181" s="84">
        <v>1</v>
      </c>
      <c r="M181" s="83">
        <v>11.7</v>
      </c>
      <c r="N181" s="83">
        <v>42</v>
      </c>
      <c r="O181" s="85">
        <f>196/220</f>
        <v>0.89090909090909087</v>
      </c>
      <c r="P181" s="85">
        <f>132/130</f>
        <v>1.0153846153846153</v>
      </c>
      <c r="Q181" s="83">
        <v>117</v>
      </c>
      <c r="R181" s="86">
        <v>4.1111111111111107</v>
      </c>
      <c r="S181" s="83">
        <v>0</v>
      </c>
      <c r="T181" s="83">
        <v>1</v>
      </c>
      <c r="U181" s="83">
        <v>0</v>
      </c>
      <c r="V181" s="83">
        <v>0</v>
      </c>
      <c r="W181" s="83">
        <v>0</v>
      </c>
      <c r="X181" s="10"/>
      <c r="Y181" s="87">
        <v>0.96666666666666667</v>
      </c>
      <c r="Z181" s="83">
        <v>0</v>
      </c>
      <c r="AA181" s="88">
        <v>0.96666666666666667</v>
      </c>
      <c r="AB181" s="89">
        <v>1</v>
      </c>
      <c r="AC181" s="90">
        <v>0</v>
      </c>
      <c r="AD181" s="84">
        <v>0.96666666666666667</v>
      </c>
      <c r="AE181" s="83">
        <v>3.3000000000000002E-2</v>
      </c>
      <c r="AF181" s="85">
        <f t="shared" si="44"/>
        <v>-99.71794871794873</v>
      </c>
      <c r="AG181" s="10" t="str">
        <f t="shared" si="45"/>
        <v>1</v>
      </c>
      <c r="AH181" s="10"/>
      <c r="AI181" s="10"/>
      <c r="AK181" s="2"/>
      <c r="AL181" s="2"/>
      <c r="AM181" s="2"/>
      <c r="AN181" s="2"/>
    </row>
    <row r="182" spans="1:40" ht="15" x14ac:dyDescent="0.25">
      <c r="A182" s="82" t="s">
        <v>839</v>
      </c>
      <c r="B182" s="83">
        <v>0</v>
      </c>
      <c r="C182" s="83">
        <v>0</v>
      </c>
      <c r="D182" s="83">
        <v>1</v>
      </c>
      <c r="E182" s="83">
        <v>0</v>
      </c>
      <c r="F182" s="83">
        <v>0</v>
      </c>
      <c r="G182" s="83">
        <v>0</v>
      </c>
      <c r="H182" s="10">
        <v>0</v>
      </c>
      <c r="I182" s="84">
        <v>72.736986301369868</v>
      </c>
      <c r="J182" s="83">
        <v>1</v>
      </c>
      <c r="K182" s="84">
        <v>76.266666666666666</v>
      </c>
      <c r="L182" s="84">
        <v>0</v>
      </c>
      <c r="M182" s="83">
        <v>2.2000000000000002</v>
      </c>
      <c r="N182" s="83" t="s">
        <v>674</v>
      </c>
      <c r="O182" s="85">
        <f>188/225</f>
        <v>0.83555555555555561</v>
      </c>
      <c r="P182" s="85">
        <f>55/145</f>
        <v>0.37931034482758619</v>
      </c>
      <c r="Q182" s="83">
        <v>143</v>
      </c>
      <c r="R182" s="86">
        <v>2.1333333333333333</v>
      </c>
      <c r="S182" s="83">
        <v>1</v>
      </c>
      <c r="T182" s="83">
        <v>0</v>
      </c>
      <c r="U182" s="83">
        <v>0</v>
      </c>
      <c r="V182" s="83">
        <v>0</v>
      </c>
      <c r="W182" s="83">
        <v>0</v>
      </c>
      <c r="X182" s="10"/>
      <c r="Y182" s="87">
        <v>1</v>
      </c>
      <c r="Z182" s="83">
        <v>0</v>
      </c>
      <c r="AA182" s="88">
        <v>1</v>
      </c>
      <c r="AB182" s="89">
        <v>1</v>
      </c>
      <c r="AC182" s="90">
        <v>0</v>
      </c>
      <c r="AD182" s="84">
        <v>1.9333333333333333</v>
      </c>
      <c r="AE182" s="83">
        <v>0.36</v>
      </c>
      <c r="AF182" s="85">
        <f t="shared" si="44"/>
        <v>-83.63636363636364</v>
      </c>
      <c r="AG182" s="10" t="str">
        <f t="shared" si="45"/>
        <v>1</v>
      </c>
      <c r="AH182" s="10"/>
      <c r="AI182" s="10"/>
      <c r="AK182" s="2"/>
      <c r="AL182" s="2"/>
      <c r="AM182" s="2"/>
      <c r="AN182" s="2"/>
    </row>
    <row r="183" spans="1:40" ht="15" x14ac:dyDescent="0.25">
      <c r="A183" s="20" t="s">
        <v>840</v>
      </c>
      <c r="B183" s="83">
        <v>1</v>
      </c>
      <c r="C183" s="83">
        <v>1</v>
      </c>
      <c r="D183" s="83">
        <v>0</v>
      </c>
      <c r="E183" s="83">
        <v>1</v>
      </c>
      <c r="F183" s="83">
        <v>0</v>
      </c>
      <c r="G183" s="83">
        <v>0</v>
      </c>
      <c r="H183" s="10">
        <v>0</v>
      </c>
      <c r="I183" s="84">
        <v>55.536986301369865</v>
      </c>
      <c r="J183" s="83" t="s">
        <v>680</v>
      </c>
      <c r="K183" s="84">
        <v>8.9333333333333336</v>
      </c>
      <c r="L183" s="84">
        <v>1</v>
      </c>
      <c r="M183" s="83">
        <v>70.8</v>
      </c>
      <c r="N183" s="83" t="s">
        <v>674</v>
      </c>
      <c r="O183" s="85">
        <f>183/225</f>
        <v>0.81333333333333335</v>
      </c>
      <c r="P183" s="85">
        <f>340/105</f>
        <v>3.2380952380952381</v>
      </c>
      <c r="Q183" s="83">
        <v>138</v>
      </c>
      <c r="R183" s="86">
        <v>1.5</v>
      </c>
      <c r="S183" s="83">
        <v>0</v>
      </c>
      <c r="T183" s="83">
        <v>1</v>
      </c>
      <c r="U183" s="83">
        <v>0</v>
      </c>
      <c r="V183" s="83">
        <v>0</v>
      </c>
      <c r="W183" s="83">
        <v>0</v>
      </c>
      <c r="X183" s="10"/>
      <c r="Y183" s="87">
        <v>22.133333333333333</v>
      </c>
      <c r="Z183" s="83">
        <v>1</v>
      </c>
      <c r="AA183" s="88">
        <v>22.133333333333333</v>
      </c>
      <c r="AB183" s="89">
        <v>0</v>
      </c>
      <c r="AC183" s="90">
        <v>1</v>
      </c>
      <c r="AD183" s="84">
        <v>6.8666666666666663</v>
      </c>
      <c r="AE183" s="83">
        <v>38.1</v>
      </c>
      <c r="AF183" s="85">
        <f t="shared" si="44"/>
        <v>-46.186440677966097</v>
      </c>
      <c r="AG183" s="10" t="str">
        <f t="shared" si="45"/>
        <v>0</v>
      </c>
      <c r="AH183" s="10"/>
      <c r="AI183" s="10"/>
      <c r="AK183" s="2"/>
      <c r="AL183" s="2"/>
      <c r="AM183" s="2"/>
      <c r="AN183" s="2"/>
    </row>
    <row r="184" spans="1:40" ht="15" x14ac:dyDescent="0.25">
      <c r="A184" s="91" t="s">
        <v>869</v>
      </c>
      <c r="B184" s="83">
        <v>1</v>
      </c>
      <c r="C184" s="83">
        <v>1</v>
      </c>
      <c r="D184" s="83">
        <v>1</v>
      </c>
      <c r="E184" s="83">
        <v>1</v>
      </c>
      <c r="F184" s="83">
        <v>0</v>
      </c>
      <c r="G184" s="83">
        <v>0</v>
      </c>
      <c r="H184" s="10">
        <v>0</v>
      </c>
      <c r="I184" s="84">
        <v>87.06849315068493</v>
      </c>
      <c r="J184" s="83">
        <v>1</v>
      </c>
      <c r="K184" s="84">
        <v>12.333333333333334</v>
      </c>
      <c r="L184" s="84">
        <v>1</v>
      </c>
      <c r="M184" s="83">
        <v>35.380000000000003</v>
      </c>
      <c r="N184" s="83">
        <v>46</v>
      </c>
      <c r="O184" s="85" t="s">
        <v>674</v>
      </c>
      <c r="P184" s="85">
        <f>115/100</f>
        <v>1.1499999999999999</v>
      </c>
      <c r="Q184" s="83">
        <v>149</v>
      </c>
      <c r="R184" s="86">
        <v>1.6545454545454545</v>
      </c>
      <c r="S184" s="83">
        <v>0</v>
      </c>
      <c r="T184" s="83">
        <v>1</v>
      </c>
      <c r="U184" s="83">
        <v>0</v>
      </c>
      <c r="V184" s="83">
        <v>0</v>
      </c>
      <c r="W184" s="83">
        <v>0</v>
      </c>
      <c r="X184" s="10"/>
      <c r="Y184" s="87">
        <v>14.9</v>
      </c>
      <c r="Z184" s="83">
        <v>1</v>
      </c>
      <c r="AA184" s="88">
        <v>14.9</v>
      </c>
      <c r="AB184" s="89">
        <v>0</v>
      </c>
      <c r="AC184" s="90">
        <v>1</v>
      </c>
      <c r="AD184" s="84">
        <v>2.7333333333333334</v>
      </c>
      <c r="AE184" s="83">
        <v>35.200000000000003</v>
      </c>
      <c r="AF184" s="85">
        <f t="shared" si="44"/>
        <v>-0.50876201243640395</v>
      </c>
      <c r="AG184" s="10" t="str">
        <f t="shared" si="45"/>
        <v>0</v>
      </c>
      <c r="AH184" s="10"/>
      <c r="AI184" s="10"/>
      <c r="AK184" s="2"/>
      <c r="AL184" s="2"/>
      <c r="AM184" s="2"/>
      <c r="AN184" s="2"/>
    </row>
    <row r="185" spans="1:40" ht="15" x14ac:dyDescent="0.25">
      <c r="A185" s="91" t="s">
        <v>870</v>
      </c>
      <c r="B185" s="83">
        <v>1</v>
      </c>
      <c r="C185" s="83">
        <v>0</v>
      </c>
      <c r="D185" s="83">
        <v>0</v>
      </c>
      <c r="E185" s="83">
        <v>1</v>
      </c>
      <c r="F185" s="83">
        <v>0</v>
      </c>
      <c r="G185" s="83">
        <v>0</v>
      </c>
      <c r="H185" s="10">
        <v>0</v>
      </c>
      <c r="I185" s="84">
        <v>81.232876712328761</v>
      </c>
      <c r="J185" s="83" t="s">
        <v>680</v>
      </c>
      <c r="K185" s="84">
        <v>16.533333333333335</v>
      </c>
      <c r="L185" s="84">
        <v>0</v>
      </c>
      <c r="M185" s="83">
        <v>95.1</v>
      </c>
      <c r="N185" s="83">
        <v>38</v>
      </c>
      <c r="O185" s="85">
        <f>148/225</f>
        <v>0.65777777777777779</v>
      </c>
      <c r="P185" s="85">
        <f>222/145</f>
        <v>1.5310344827586206</v>
      </c>
      <c r="Q185" s="83">
        <v>131</v>
      </c>
      <c r="R185" s="86">
        <v>6.8181818181818183</v>
      </c>
      <c r="S185" s="83">
        <v>0</v>
      </c>
      <c r="T185" s="83">
        <v>1</v>
      </c>
      <c r="U185" s="83">
        <v>0</v>
      </c>
      <c r="V185" s="83">
        <v>0</v>
      </c>
      <c r="W185" s="83">
        <v>0</v>
      </c>
      <c r="X185" s="10"/>
      <c r="Y185" s="87">
        <v>10.433333333333334</v>
      </c>
      <c r="Z185" s="83">
        <v>1</v>
      </c>
      <c r="AA185" s="88">
        <v>10.433333333333334</v>
      </c>
      <c r="AB185" s="89">
        <v>0</v>
      </c>
      <c r="AC185" s="90">
        <v>1</v>
      </c>
      <c r="AD185" s="84">
        <v>2.6666666666666665</v>
      </c>
      <c r="AE185" s="83">
        <v>12.2</v>
      </c>
      <c r="AF185" s="85">
        <f t="shared" si="44"/>
        <v>-87.171398527865392</v>
      </c>
      <c r="AG185" s="10" t="str">
        <f t="shared" si="45"/>
        <v>1</v>
      </c>
      <c r="AH185" s="10"/>
      <c r="AI185" s="10"/>
      <c r="AK185" s="2"/>
      <c r="AL185" s="2"/>
      <c r="AM185" s="2"/>
      <c r="AN185" s="2"/>
    </row>
    <row r="186" spans="1:40" ht="15" x14ac:dyDescent="0.25">
      <c r="A186" s="91" t="s">
        <v>876</v>
      </c>
      <c r="B186" s="83">
        <v>1</v>
      </c>
      <c r="C186" s="83">
        <v>1</v>
      </c>
      <c r="D186" s="83">
        <v>0</v>
      </c>
      <c r="E186" s="83">
        <v>1</v>
      </c>
      <c r="F186" s="83">
        <v>0</v>
      </c>
      <c r="G186" s="83">
        <v>0</v>
      </c>
      <c r="H186" s="10">
        <v>0</v>
      </c>
      <c r="I186" s="84">
        <v>63.150684931506852</v>
      </c>
      <c r="J186" s="83">
        <v>1</v>
      </c>
      <c r="K186" s="84">
        <v>9.4666666666666668</v>
      </c>
      <c r="L186" s="84">
        <v>1</v>
      </c>
      <c r="M186" s="83">
        <v>1.6</v>
      </c>
      <c r="N186" s="83">
        <v>41</v>
      </c>
      <c r="O186" s="85">
        <f>208/225</f>
        <v>0.9244444444444444</v>
      </c>
      <c r="P186" s="85">
        <f>86/145</f>
        <v>0.59310344827586203</v>
      </c>
      <c r="Q186" s="83">
        <v>130</v>
      </c>
      <c r="R186" s="86">
        <v>3</v>
      </c>
      <c r="S186" s="83">
        <v>0</v>
      </c>
      <c r="T186" s="83">
        <v>1</v>
      </c>
      <c r="U186" s="83">
        <v>0</v>
      </c>
      <c r="V186" s="83">
        <v>0</v>
      </c>
      <c r="W186" s="83">
        <v>0</v>
      </c>
      <c r="X186" s="10"/>
      <c r="Y186" s="87">
        <v>23.466666666666665</v>
      </c>
      <c r="Z186" s="83">
        <v>1</v>
      </c>
      <c r="AA186" s="88">
        <v>23.466666666666665</v>
      </c>
      <c r="AB186" s="89">
        <v>0</v>
      </c>
      <c r="AC186" s="90">
        <v>1</v>
      </c>
      <c r="AD186" s="84">
        <v>5</v>
      </c>
      <c r="AE186" s="83">
        <v>0.12</v>
      </c>
      <c r="AF186" s="85">
        <f t="shared" si="44"/>
        <v>-92.5</v>
      </c>
      <c r="AG186" s="10" t="str">
        <f t="shared" si="45"/>
        <v>1</v>
      </c>
      <c r="AH186" s="10"/>
      <c r="AI186" s="10"/>
      <c r="AK186" s="2"/>
      <c r="AL186" s="2"/>
      <c r="AM186" s="2"/>
      <c r="AN186" s="2"/>
    </row>
    <row r="187" spans="1:40" ht="15" x14ac:dyDescent="0.25">
      <c r="A187" s="91" t="s">
        <v>841</v>
      </c>
      <c r="B187" s="83">
        <v>1</v>
      </c>
      <c r="C187" s="83">
        <v>1</v>
      </c>
      <c r="D187" s="83">
        <v>0</v>
      </c>
      <c r="E187" s="83">
        <v>1</v>
      </c>
      <c r="F187" s="83">
        <v>0</v>
      </c>
      <c r="G187" s="83">
        <v>0</v>
      </c>
      <c r="H187" s="10">
        <v>0</v>
      </c>
      <c r="I187" s="84">
        <v>71.594520547945208</v>
      </c>
      <c r="J187" s="83">
        <v>0</v>
      </c>
      <c r="K187" s="84">
        <v>13.6</v>
      </c>
      <c r="L187" s="84">
        <v>0</v>
      </c>
      <c r="M187" s="83">
        <v>4.8</v>
      </c>
      <c r="N187" s="83">
        <v>38</v>
      </c>
      <c r="O187" s="85">
        <f>217/225</f>
        <v>0.96444444444444444</v>
      </c>
      <c r="P187" s="85">
        <f>116/145</f>
        <v>0.8</v>
      </c>
      <c r="Q187" s="83">
        <v>137</v>
      </c>
      <c r="R187" s="86">
        <v>2.0666666666666669</v>
      </c>
      <c r="S187" s="83">
        <v>0</v>
      </c>
      <c r="T187" s="83">
        <v>1</v>
      </c>
      <c r="U187" s="83">
        <v>0</v>
      </c>
      <c r="V187" s="83">
        <v>0</v>
      </c>
      <c r="W187" s="83">
        <v>0</v>
      </c>
      <c r="X187" s="10"/>
      <c r="Y187" s="87">
        <v>32</v>
      </c>
      <c r="Z187" s="83">
        <v>0</v>
      </c>
      <c r="AA187" s="88">
        <v>32</v>
      </c>
      <c r="AB187" s="89">
        <v>0</v>
      </c>
      <c r="AC187" s="90">
        <v>1</v>
      </c>
      <c r="AD187" s="84">
        <v>20.766666666666666</v>
      </c>
      <c r="AE187" s="83">
        <v>0.49</v>
      </c>
      <c r="AF187" s="85">
        <f t="shared" si="44"/>
        <v>-89.791666666666657</v>
      </c>
      <c r="AG187" s="10" t="str">
        <f t="shared" si="45"/>
        <v>1</v>
      </c>
      <c r="AH187" s="10"/>
      <c r="AI187" s="10"/>
      <c r="AK187" s="2"/>
      <c r="AL187" s="2"/>
      <c r="AM187" s="2"/>
      <c r="AN187" s="2"/>
    </row>
    <row r="188" spans="1:40" ht="15" x14ac:dyDescent="0.25">
      <c r="A188" s="91" t="s">
        <v>842</v>
      </c>
      <c r="B188" s="83">
        <v>1</v>
      </c>
      <c r="C188" s="83">
        <v>1</v>
      </c>
      <c r="D188" s="83">
        <v>1</v>
      </c>
      <c r="E188" s="83">
        <v>1</v>
      </c>
      <c r="F188" s="83">
        <v>0</v>
      </c>
      <c r="G188" s="83">
        <v>0</v>
      </c>
      <c r="H188" s="10">
        <v>0</v>
      </c>
      <c r="I188" s="84">
        <v>58.545205479452058</v>
      </c>
      <c r="J188" s="83">
        <v>0</v>
      </c>
      <c r="K188" s="84">
        <v>7.666666666666667</v>
      </c>
      <c r="L188" s="84">
        <v>1</v>
      </c>
      <c r="M188" s="83">
        <v>14.88</v>
      </c>
      <c r="N188" s="83">
        <v>46</v>
      </c>
      <c r="O188" s="85">
        <f>168/271</f>
        <v>0.61992619926199266</v>
      </c>
      <c r="P188" s="85">
        <f>308/100</f>
        <v>3.08</v>
      </c>
      <c r="Q188" s="83">
        <v>145</v>
      </c>
      <c r="R188" s="86">
        <v>3.5</v>
      </c>
      <c r="S188" s="83">
        <v>0</v>
      </c>
      <c r="T188" s="83">
        <v>1</v>
      </c>
      <c r="U188" s="83">
        <v>0</v>
      </c>
      <c r="V188" s="83">
        <v>0</v>
      </c>
      <c r="W188" s="83">
        <v>0</v>
      </c>
      <c r="X188" s="10"/>
      <c r="Y188" s="87">
        <v>12.333333333333334</v>
      </c>
      <c r="Z188" s="83">
        <v>1</v>
      </c>
      <c r="AA188" s="88">
        <v>12.333333333333334</v>
      </c>
      <c r="AB188" s="89">
        <v>0</v>
      </c>
      <c r="AC188" s="90">
        <v>1</v>
      </c>
      <c r="AD188" s="84">
        <v>0.83333333333333337</v>
      </c>
      <c r="AE188" s="83" t="s">
        <v>674</v>
      </c>
      <c r="AF188" s="85" t="s">
        <v>674</v>
      </c>
      <c r="AG188" s="10">
        <v>0</v>
      </c>
      <c r="AH188" s="10"/>
      <c r="AI188" s="10"/>
      <c r="AK188" s="2"/>
      <c r="AL188" s="2"/>
      <c r="AM188" s="2"/>
      <c r="AN188" s="2"/>
    </row>
    <row r="189" spans="1:40" ht="15" x14ac:dyDescent="0.25">
      <c r="A189" s="91" t="s">
        <v>843</v>
      </c>
      <c r="B189" s="83">
        <v>1</v>
      </c>
      <c r="C189" s="83">
        <v>1</v>
      </c>
      <c r="D189" s="83">
        <v>0</v>
      </c>
      <c r="E189" s="83">
        <v>1</v>
      </c>
      <c r="F189" s="83">
        <v>0</v>
      </c>
      <c r="G189" s="83">
        <v>0</v>
      </c>
      <c r="H189" s="10">
        <v>1</v>
      </c>
      <c r="I189" s="84">
        <v>58.745205479452054</v>
      </c>
      <c r="J189" s="83">
        <v>0</v>
      </c>
      <c r="K189" s="84">
        <v>28.5</v>
      </c>
      <c r="L189" s="84">
        <v>0</v>
      </c>
      <c r="M189" s="83">
        <v>2.4</v>
      </c>
      <c r="N189" s="83">
        <v>43</v>
      </c>
      <c r="O189" s="85">
        <f>205/225</f>
        <v>0.91111111111111109</v>
      </c>
      <c r="P189" s="85">
        <f>110/145</f>
        <v>0.75862068965517238</v>
      </c>
      <c r="Q189" s="83">
        <v>119</v>
      </c>
      <c r="R189" s="86">
        <v>2.5</v>
      </c>
      <c r="S189" s="83">
        <v>0</v>
      </c>
      <c r="T189" s="83">
        <v>1</v>
      </c>
      <c r="U189" s="83">
        <v>0</v>
      </c>
      <c r="V189" s="83">
        <v>0</v>
      </c>
      <c r="W189" s="83">
        <v>0</v>
      </c>
      <c r="X189" s="10"/>
      <c r="Y189" s="87">
        <v>9.8333333333333339</v>
      </c>
      <c r="Z189" s="83">
        <v>1</v>
      </c>
      <c r="AA189" s="88">
        <v>9.8333333333333339</v>
      </c>
      <c r="AB189" s="89">
        <v>0</v>
      </c>
      <c r="AC189" s="90">
        <v>1</v>
      </c>
      <c r="AD189" s="84">
        <v>0.66666666666666663</v>
      </c>
      <c r="AE189" s="83" t="s">
        <v>674</v>
      </c>
      <c r="AF189" s="85" t="s">
        <v>674</v>
      </c>
      <c r="AG189" s="10">
        <v>0</v>
      </c>
      <c r="AH189" s="10"/>
      <c r="AI189" s="10"/>
      <c r="AK189" s="2"/>
      <c r="AL189" s="2"/>
      <c r="AM189" s="2"/>
      <c r="AN189" s="2"/>
    </row>
    <row r="190" spans="1:40" ht="15" x14ac:dyDescent="0.25">
      <c r="A190" s="91" t="s">
        <v>844</v>
      </c>
      <c r="B190" s="83">
        <v>1</v>
      </c>
      <c r="C190" s="83">
        <v>0</v>
      </c>
      <c r="D190" s="83">
        <v>1</v>
      </c>
      <c r="E190" s="83">
        <v>1</v>
      </c>
      <c r="F190" s="83">
        <v>0</v>
      </c>
      <c r="G190" s="83">
        <v>0</v>
      </c>
      <c r="H190" s="10">
        <v>0</v>
      </c>
      <c r="I190" s="84">
        <v>77.202739726027403</v>
      </c>
      <c r="J190" s="83">
        <v>1</v>
      </c>
      <c r="K190" s="84">
        <v>10.3</v>
      </c>
      <c r="L190" s="84">
        <v>1</v>
      </c>
      <c r="M190" s="83">
        <v>42.5</v>
      </c>
      <c r="N190" s="83" t="s">
        <v>674</v>
      </c>
      <c r="O190" s="85">
        <f>184/225</f>
        <v>0.81777777777777783</v>
      </c>
      <c r="P190" s="85">
        <f>341/145</f>
        <v>2.3517241379310345</v>
      </c>
      <c r="Q190" s="83">
        <v>114</v>
      </c>
      <c r="R190" s="86">
        <v>1.3333333333333333</v>
      </c>
      <c r="S190" s="83">
        <v>0</v>
      </c>
      <c r="T190" s="83">
        <v>1</v>
      </c>
      <c r="U190" s="83">
        <v>0</v>
      </c>
      <c r="V190" s="83">
        <v>0</v>
      </c>
      <c r="W190" s="83">
        <v>0</v>
      </c>
      <c r="X190" s="10"/>
      <c r="Y190" s="87">
        <v>25.066666666666666</v>
      </c>
      <c r="Z190" s="83">
        <v>1</v>
      </c>
      <c r="AA190" s="88">
        <v>25.066666666666666</v>
      </c>
      <c r="AB190" s="89">
        <v>0</v>
      </c>
      <c r="AC190" s="90">
        <v>1</v>
      </c>
      <c r="AD190" s="84">
        <v>22.233333333333334</v>
      </c>
      <c r="AE190" s="83">
        <v>0.27</v>
      </c>
      <c r="AF190" s="85">
        <f t="shared" ref="AF190:AF192" si="46">((M190-AE190)/M190)*(-100)</f>
        <v>-99.364705882352936</v>
      </c>
      <c r="AG190" s="10" t="str">
        <f t="shared" ref="AG190:AG192" si="47">IF((AE190/M190)&lt;0.5,"1","0")</f>
        <v>1</v>
      </c>
      <c r="AH190" s="10"/>
      <c r="AI190" s="10"/>
      <c r="AK190" s="2"/>
      <c r="AL190" s="2"/>
      <c r="AM190" s="2"/>
      <c r="AN190" s="2"/>
    </row>
    <row r="191" spans="1:40" ht="15" x14ac:dyDescent="0.25">
      <c r="A191" s="91" t="s">
        <v>845</v>
      </c>
      <c r="B191" s="83">
        <v>0</v>
      </c>
      <c r="C191" s="83">
        <v>1</v>
      </c>
      <c r="D191" s="83">
        <v>1</v>
      </c>
      <c r="E191" s="83">
        <v>0</v>
      </c>
      <c r="F191" s="83">
        <v>0</v>
      </c>
      <c r="G191" s="83">
        <v>0</v>
      </c>
      <c r="H191" s="10">
        <v>0</v>
      </c>
      <c r="I191" s="84">
        <v>63.857534246575341</v>
      </c>
      <c r="J191" s="83" t="s">
        <v>680</v>
      </c>
      <c r="K191" s="84">
        <v>28.266666666666666</v>
      </c>
      <c r="L191" s="84">
        <v>0</v>
      </c>
      <c r="M191" s="83">
        <v>10.8</v>
      </c>
      <c r="N191" s="83">
        <v>44</v>
      </c>
      <c r="O191" s="85">
        <f>544/618</f>
        <v>0.88025889967637538</v>
      </c>
      <c r="P191" s="85">
        <f>80/126</f>
        <v>0.63492063492063489</v>
      </c>
      <c r="Q191" s="83">
        <v>134</v>
      </c>
      <c r="R191" s="86">
        <v>7.833333333333333</v>
      </c>
      <c r="S191" s="83">
        <v>0</v>
      </c>
      <c r="T191" s="83">
        <v>1</v>
      </c>
      <c r="U191" s="83">
        <v>0</v>
      </c>
      <c r="V191" s="83">
        <v>0</v>
      </c>
      <c r="W191" s="83">
        <v>0</v>
      </c>
      <c r="X191" s="10"/>
      <c r="Y191" s="87">
        <v>34.6</v>
      </c>
      <c r="Z191" s="83">
        <v>0</v>
      </c>
      <c r="AA191" s="88">
        <v>34.6</v>
      </c>
      <c r="AB191" s="89">
        <v>0</v>
      </c>
      <c r="AC191" s="90">
        <v>1</v>
      </c>
      <c r="AD191" s="84">
        <v>21.066666666666666</v>
      </c>
      <c r="AE191" s="83">
        <v>0.22</v>
      </c>
      <c r="AF191" s="85">
        <f t="shared" si="46"/>
        <v>-97.962962962962948</v>
      </c>
      <c r="AG191" s="10" t="str">
        <f t="shared" si="47"/>
        <v>1</v>
      </c>
      <c r="AH191" s="10"/>
      <c r="AI191" s="10"/>
      <c r="AK191" s="2"/>
      <c r="AL191" s="2"/>
      <c r="AM191" s="2"/>
      <c r="AN191" s="2"/>
    </row>
    <row r="192" spans="1:40" ht="15" x14ac:dyDescent="0.25">
      <c r="A192" s="91" t="s">
        <v>878</v>
      </c>
      <c r="B192" s="83">
        <v>1</v>
      </c>
      <c r="C192" s="83">
        <v>1</v>
      </c>
      <c r="D192" s="83">
        <v>1</v>
      </c>
      <c r="E192" s="83">
        <v>1</v>
      </c>
      <c r="F192" s="83">
        <v>1</v>
      </c>
      <c r="G192" s="83">
        <v>0</v>
      </c>
      <c r="H192" s="10">
        <v>0</v>
      </c>
      <c r="I192" s="84">
        <v>69.063013698630144</v>
      </c>
      <c r="J192" s="83">
        <v>0</v>
      </c>
      <c r="K192" s="84">
        <v>19.433333333333334</v>
      </c>
      <c r="L192" s="84">
        <v>0</v>
      </c>
      <c r="M192" s="83">
        <v>3.4</v>
      </c>
      <c r="N192" s="83" t="s">
        <v>674</v>
      </c>
      <c r="O192" s="85">
        <f>150/225</f>
        <v>0.66666666666666663</v>
      </c>
      <c r="P192" s="85">
        <f>54/145</f>
        <v>0.3724137931034483</v>
      </c>
      <c r="Q192" s="83">
        <v>117</v>
      </c>
      <c r="R192" s="86">
        <v>5.75</v>
      </c>
      <c r="S192" s="83">
        <v>0</v>
      </c>
      <c r="T192" s="83">
        <v>1</v>
      </c>
      <c r="U192" s="83">
        <v>0</v>
      </c>
      <c r="V192" s="83">
        <v>0</v>
      </c>
      <c r="W192" s="83">
        <v>0</v>
      </c>
      <c r="X192" s="10"/>
      <c r="Y192" s="87">
        <v>26.6</v>
      </c>
      <c r="Z192" s="83">
        <v>0</v>
      </c>
      <c r="AA192" s="88">
        <v>26.6</v>
      </c>
      <c r="AB192" s="89">
        <v>0</v>
      </c>
      <c r="AC192" s="90">
        <v>1</v>
      </c>
      <c r="AD192" s="84">
        <v>9</v>
      </c>
      <c r="AE192" s="83">
        <v>1.2</v>
      </c>
      <c r="AF192" s="85">
        <f t="shared" si="46"/>
        <v>-64.705882352941174</v>
      </c>
      <c r="AG192" s="10" t="str">
        <f t="shared" si="47"/>
        <v>1</v>
      </c>
      <c r="AH192" s="10"/>
      <c r="AI192" s="10"/>
      <c r="AK192" s="2"/>
      <c r="AL192" s="2"/>
      <c r="AM192" s="2"/>
      <c r="AN192" s="2"/>
    </row>
    <row r="193" spans="1:40" ht="15" x14ac:dyDescent="0.25">
      <c r="A193" s="91" t="s">
        <v>846</v>
      </c>
      <c r="B193" s="83">
        <v>1</v>
      </c>
      <c r="C193" s="83">
        <v>1</v>
      </c>
      <c r="D193" s="83">
        <v>0</v>
      </c>
      <c r="E193" s="83">
        <v>1</v>
      </c>
      <c r="F193" s="83">
        <v>0</v>
      </c>
      <c r="G193" s="83">
        <v>0</v>
      </c>
      <c r="H193" s="10">
        <v>0</v>
      </c>
      <c r="I193" s="84">
        <v>72.564383561643837</v>
      </c>
      <c r="J193" s="83" t="s">
        <v>680</v>
      </c>
      <c r="K193" s="84">
        <v>13.733333333333333</v>
      </c>
      <c r="L193" s="84">
        <v>0</v>
      </c>
      <c r="M193" s="83">
        <v>9.5500000000000007</v>
      </c>
      <c r="N193" s="83">
        <v>45</v>
      </c>
      <c r="O193" s="85">
        <f>206/271</f>
        <v>0.76014760147601479</v>
      </c>
      <c r="P193" s="85">
        <f>328/100</f>
        <v>3.28</v>
      </c>
      <c r="Q193" s="83">
        <v>135</v>
      </c>
      <c r="R193" s="86">
        <v>4.8648648648648649</v>
      </c>
      <c r="S193" s="83">
        <v>0</v>
      </c>
      <c r="T193" s="83">
        <v>1</v>
      </c>
      <c r="U193" s="83">
        <v>0</v>
      </c>
      <c r="V193" s="83">
        <v>0</v>
      </c>
      <c r="W193" s="83">
        <v>0</v>
      </c>
      <c r="X193" s="10"/>
      <c r="Y193" s="87">
        <v>16.966666666666665</v>
      </c>
      <c r="Z193" s="83">
        <v>1</v>
      </c>
      <c r="AA193" s="88">
        <v>16.966666666666665</v>
      </c>
      <c r="AB193" s="89">
        <v>0</v>
      </c>
      <c r="AC193" s="90">
        <v>1</v>
      </c>
      <c r="AD193" s="84">
        <v>2.9333333333333331</v>
      </c>
      <c r="AE193" s="83" t="s">
        <v>674</v>
      </c>
      <c r="AF193" s="85" t="s">
        <v>674</v>
      </c>
      <c r="AG193" s="10">
        <v>0</v>
      </c>
      <c r="AH193" s="10"/>
      <c r="AI193" s="10"/>
      <c r="AK193" s="2"/>
      <c r="AL193" s="2"/>
      <c r="AM193" s="2"/>
      <c r="AN193" s="2"/>
    </row>
    <row r="194" spans="1:40" ht="15" x14ac:dyDescent="0.25">
      <c r="A194" s="91" t="s">
        <v>847</v>
      </c>
      <c r="B194" s="83">
        <v>1</v>
      </c>
      <c r="C194" s="83">
        <v>1</v>
      </c>
      <c r="D194" s="83">
        <v>1</v>
      </c>
      <c r="E194" s="83">
        <v>1</v>
      </c>
      <c r="F194" s="83">
        <v>0</v>
      </c>
      <c r="G194" s="83">
        <v>0</v>
      </c>
      <c r="H194" s="10">
        <v>0</v>
      </c>
      <c r="I194" s="84">
        <v>74.706849315068496</v>
      </c>
      <c r="J194" s="83">
        <v>1</v>
      </c>
      <c r="K194" s="84">
        <v>12.966666666666667</v>
      </c>
      <c r="L194" s="84">
        <v>0</v>
      </c>
      <c r="M194" s="83">
        <v>2.0499999999999998</v>
      </c>
      <c r="N194" s="83">
        <v>41</v>
      </c>
      <c r="O194" s="85">
        <f>123/274</f>
        <v>0.4489051094890511</v>
      </c>
      <c r="P194" s="85">
        <f>74/100</f>
        <v>0.74</v>
      </c>
      <c r="Q194" s="83">
        <v>130</v>
      </c>
      <c r="R194" s="86">
        <v>1.0675675675675675</v>
      </c>
      <c r="S194" s="83">
        <v>0</v>
      </c>
      <c r="T194" s="83">
        <v>1</v>
      </c>
      <c r="U194" s="83">
        <v>0</v>
      </c>
      <c r="V194" s="83">
        <v>0</v>
      </c>
      <c r="W194" s="83">
        <v>0</v>
      </c>
      <c r="X194" s="10"/>
      <c r="Y194" s="87">
        <v>29.933333333333334</v>
      </c>
      <c r="Z194" s="83">
        <v>0</v>
      </c>
      <c r="AA194" s="88">
        <v>29.933333333333334</v>
      </c>
      <c r="AB194" s="89">
        <v>1</v>
      </c>
      <c r="AC194" s="90">
        <v>1</v>
      </c>
      <c r="AD194" s="84">
        <v>18.399999999999999</v>
      </c>
      <c r="AE194" s="83">
        <v>0.02</v>
      </c>
      <c r="AF194" s="85">
        <f t="shared" ref="AF194:AF196" si="48">((M194-AE194)/M194)*(-100)</f>
        <v>-99.024390243902445</v>
      </c>
      <c r="AG194" s="10" t="str">
        <f t="shared" ref="AG194:AG196" si="49">IF((AE194/M194)&lt;0.5,"1","0")</f>
        <v>1</v>
      </c>
      <c r="AH194" s="10"/>
      <c r="AI194" s="10"/>
      <c r="AK194" s="2"/>
      <c r="AL194" s="2"/>
      <c r="AM194" s="2"/>
      <c r="AN194" s="2"/>
    </row>
    <row r="195" spans="1:40" ht="15" x14ac:dyDescent="0.25">
      <c r="A195" s="91" t="s">
        <v>871</v>
      </c>
      <c r="B195" s="83">
        <v>1</v>
      </c>
      <c r="C195" s="83">
        <v>1</v>
      </c>
      <c r="D195" s="83">
        <v>0</v>
      </c>
      <c r="E195" s="83">
        <v>1</v>
      </c>
      <c r="F195" s="83">
        <v>0</v>
      </c>
      <c r="G195" s="83">
        <v>0</v>
      </c>
      <c r="H195" s="10">
        <v>0</v>
      </c>
      <c r="I195" s="84">
        <v>65.509589041095893</v>
      </c>
      <c r="J195" s="83" t="s">
        <v>680</v>
      </c>
      <c r="K195" s="84">
        <v>5.2</v>
      </c>
      <c r="L195" s="84">
        <v>1</v>
      </c>
      <c r="M195" s="83">
        <v>70</v>
      </c>
      <c r="N195" s="83" t="s">
        <v>674</v>
      </c>
      <c r="O195" s="85">
        <f>338/240</f>
        <v>1.4083333333333334</v>
      </c>
      <c r="P195" s="85">
        <f>134/135</f>
        <v>0.99259259259259258</v>
      </c>
      <c r="Q195" s="83">
        <v>103</v>
      </c>
      <c r="R195" s="86">
        <v>1.95</v>
      </c>
      <c r="S195" s="83">
        <v>0</v>
      </c>
      <c r="T195" s="83">
        <v>1</v>
      </c>
      <c r="U195" s="83">
        <v>0</v>
      </c>
      <c r="V195" s="83">
        <v>0</v>
      </c>
      <c r="W195" s="83">
        <v>0</v>
      </c>
      <c r="X195" s="10"/>
      <c r="Y195" s="87">
        <v>9.4666666666666668</v>
      </c>
      <c r="Z195" s="83">
        <v>1</v>
      </c>
      <c r="AA195" s="88">
        <v>9.4666666666666668</v>
      </c>
      <c r="AB195" s="89">
        <v>0</v>
      </c>
      <c r="AC195" s="90">
        <v>1</v>
      </c>
      <c r="AD195" s="84">
        <v>1.8333333333333333</v>
      </c>
      <c r="AE195" s="83">
        <v>31</v>
      </c>
      <c r="AF195" s="85">
        <f t="shared" si="48"/>
        <v>-55.714285714285715</v>
      </c>
      <c r="AG195" s="10" t="str">
        <f t="shared" si="49"/>
        <v>1</v>
      </c>
      <c r="AH195" s="10"/>
      <c r="AI195" s="10"/>
      <c r="AK195" s="2"/>
      <c r="AL195" s="2"/>
      <c r="AM195" s="2"/>
      <c r="AN195" s="2"/>
    </row>
    <row r="196" spans="1:40" ht="15" x14ac:dyDescent="0.25">
      <c r="A196" s="91" t="s">
        <v>848</v>
      </c>
      <c r="B196" s="83">
        <v>1</v>
      </c>
      <c r="C196" s="83">
        <v>1</v>
      </c>
      <c r="D196" s="83">
        <v>0</v>
      </c>
      <c r="E196" s="83">
        <v>1</v>
      </c>
      <c r="F196" s="83">
        <v>0</v>
      </c>
      <c r="G196" s="83">
        <v>0</v>
      </c>
      <c r="H196" s="10">
        <v>0</v>
      </c>
      <c r="I196" s="84">
        <v>81.446575342465749</v>
      </c>
      <c r="J196" s="83" t="s">
        <v>680</v>
      </c>
      <c r="K196" s="84">
        <v>21.233333333333334</v>
      </c>
      <c r="L196" s="84">
        <v>0</v>
      </c>
      <c r="M196" s="83">
        <v>2.57</v>
      </c>
      <c r="N196" s="83">
        <v>43</v>
      </c>
      <c r="O196" s="85" t="s">
        <v>674</v>
      </c>
      <c r="P196" s="85">
        <f>65/145</f>
        <v>0.44827586206896552</v>
      </c>
      <c r="Q196" s="83">
        <v>139</v>
      </c>
      <c r="R196" s="86">
        <v>2.5833333333333335</v>
      </c>
      <c r="S196" s="83">
        <v>0</v>
      </c>
      <c r="T196" s="83">
        <v>1</v>
      </c>
      <c r="U196" s="83">
        <v>0</v>
      </c>
      <c r="V196" s="83">
        <v>0</v>
      </c>
      <c r="W196" s="83">
        <v>0</v>
      </c>
      <c r="X196" s="10"/>
      <c r="Y196" s="87">
        <v>18.566666666666666</v>
      </c>
      <c r="Z196" s="83">
        <v>0</v>
      </c>
      <c r="AA196" s="88">
        <v>18.566666666666666</v>
      </c>
      <c r="AB196" s="89">
        <v>1</v>
      </c>
      <c r="AC196" s="90">
        <v>0</v>
      </c>
      <c r="AD196" s="84">
        <v>20.9</v>
      </c>
      <c r="AE196" s="83">
        <v>0.02</v>
      </c>
      <c r="AF196" s="85">
        <f t="shared" si="48"/>
        <v>-99.221789883268485</v>
      </c>
      <c r="AG196" s="10" t="str">
        <f t="shared" si="49"/>
        <v>1</v>
      </c>
      <c r="AH196" s="10"/>
      <c r="AI196" s="10"/>
      <c r="AK196" s="2"/>
      <c r="AL196" s="2"/>
      <c r="AM196" s="2"/>
      <c r="AN196" s="2"/>
    </row>
    <row r="197" spans="1:40" ht="15" x14ac:dyDescent="0.25">
      <c r="A197" s="91" t="s">
        <v>872</v>
      </c>
      <c r="B197" s="83">
        <v>1</v>
      </c>
      <c r="C197" s="83">
        <v>1</v>
      </c>
      <c r="D197" s="83">
        <v>1</v>
      </c>
      <c r="E197" s="83">
        <v>1</v>
      </c>
      <c r="F197" s="83">
        <v>0</v>
      </c>
      <c r="G197" s="83">
        <v>0</v>
      </c>
      <c r="H197" s="10">
        <v>0</v>
      </c>
      <c r="I197" s="84">
        <v>63.789041095890411</v>
      </c>
      <c r="J197" s="83">
        <v>1</v>
      </c>
      <c r="K197" s="84">
        <v>4.7</v>
      </c>
      <c r="L197" s="84">
        <v>1</v>
      </c>
      <c r="M197" s="83">
        <v>35</v>
      </c>
      <c r="N197" s="83" t="s">
        <v>674</v>
      </c>
      <c r="O197" s="85" t="s">
        <v>674</v>
      </c>
      <c r="P197" s="85" t="s">
        <v>674</v>
      </c>
      <c r="Q197" s="83">
        <v>111</v>
      </c>
      <c r="R197" s="86">
        <v>5.2</v>
      </c>
      <c r="S197" s="83">
        <v>0</v>
      </c>
      <c r="T197" s="83">
        <v>1</v>
      </c>
      <c r="U197" s="83">
        <v>0</v>
      </c>
      <c r="V197" s="83">
        <v>0</v>
      </c>
      <c r="W197" s="83">
        <v>0</v>
      </c>
      <c r="X197" s="10"/>
      <c r="Y197" s="87">
        <v>10</v>
      </c>
      <c r="Z197" s="83">
        <v>1</v>
      </c>
      <c r="AA197" s="88">
        <v>10</v>
      </c>
      <c r="AB197" s="89">
        <v>0</v>
      </c>
      <c r="AC197" s="90">
        <v>1</v>
      </c>
      <c r="AD197" s="84">
        <v>2.1333333333333333</v>
      </c>
      <c r="AE197" s="83" t="s">
        <v>674</v>
      </c>
      <c r="AF197" s="85" t="s">
        <v>674</v>
      </c>
      <c r="AG197" s="10">
        <v>0</v>
      </c>
      <c r="AH197" s="10"/>
      <c r="AI197" s="10"/>
      <c r="AK197" s="2"/>
      <c r="AL197" s="2"/>
      <c r="AM197" s="2"/>
      <c r="AN197" s="2"/>
    </row>
    <row r="198" spans="1:40" ht="15" x14ac:dyDescent="0.25">
      <c r="A198" s="91" t="s">
        <v>879</v>
      </c>
      <c r="B198" s="83">
        <v>1</v>
      </c>
      <c r="C198" s="83">
        <v>1</v>
      </c>
      <c r="D198" s="83">
        <v>0</v>
      </c>
      <c r="E198" s="83">
        <v>1</v>
      </c>
      <c r="F198" s="83">
        <v>0</v>
      </c>
      <c r="G198" s="83">
        <v>1</v>
      </c>
      <c r="H198" s="10">
        <v>0</v>
      </c>
      <c r="I198" s="84">
        <v>60.816438356164383</v>
      </c>
      <c r="J198" s="83">
        <v>2</v>
      </c>
      <c r="K198" s="84">
        <v>4.666666666666667</v>
      </c>
      <c r="L198" s="84">
        <v>1</v>
      </c>
      <c r="M198" s="83">
        <v>47.3</v>
      </c>
      <c r="N198" s="83">
        <v>39</v>
      </c>
      <c r="O198" s="85">
        <f>197/225</f>
        <v>0.87555555555555553</v>
      </c>
      <c r="P198" s="85">
        <f>85/145</f>
        <v>0.58620689655172409</v>
      </c>
      <c r="Q198" s="83">
        <v>101</v>
      </c>
      <c r="R198" s="86">
        <v>3.5384615384615383</v>
      </c>
      <c r="S198" s="83">
        <v>0</v>
      </c>
      <c r="T198" s="83">
        <v>1</v>
      </c>
      <c r="U198" s="83">
        <v>0</v>
      </c>
      <c r="V198" s="83">
        <v>0</v>
      </c>
      <c r="W198" s="83">
        <v>0</v>
      </c>
      <c r="X198" s="10"/>
      <c r="Y198" s="87">
        <v>16.100000000000001</v>
      </c>
      <c r="Z198" s="83">
        <v>1</v>
      </c>
      <c r="AA198" s="88">
        <v>16.100000000000001</v>
      </c>
      <c r="AB198" s="89">
        <v>0</v>
      </c>
      <c r="AC198" s="90">
        <v>0</v>
      </c>
      <c r="AD198" s="84">
        <v>3.7333333333333334</v>
      </c>
      <c r="AE198" s="83">
        <v>3.3</v>
      </c>
      <c r="AF198" s="85">
        <f t="shared" ref="AF198:AF200" si="50">((M198-AE198)/M198)*(-100)</f>
        <v>-93.023255813953497</v>
      </c>
      <c r="AG198" s="10" t="str">
        <f t="shared" ref="AG198:AG200" si="51">IF((AE198/M198)&lt;0.5,"1","0")</f>
        <v>1</v>
      </c>
      <c r="AH198" s="10"/>
      <c r="AI198" s="10"/>
      <c r="AK198" s="2"/>
      <c r="AL198" s="2"/>
      <c r="AM198" s="2"/>
      <c r="AN198" s="2"/>
    </row>
    <row r="199" spans="1:40" ht="15" x14ac:dyDescent="0.25">
      <c r="A199" s="91" t="s">
        <v>849</v>
      </c>
      <c r="B199" s="83">
        <v>1</v>
      </c>
      <c r="C199" s="83">
        <v>1</v>
      </c>
      <c r="D199" s="83">
        <v>1</v>
      </c>
      <c r="E199" s="83">
        <v>1</v>
      </c>
      <c r="F199" s="83">
        <v>0</v>
      </c>
      <c r="G199" s="83">
        <v>0</v>
      </c>
      <c r="H199" s="10">
        <v>0</v>
      </c>
      <c r="I199" s="84">
        <v>60.142465753424659</v>
      </c>
      <c r="J199" s="83">
        <v>1</v>
      </c>
      <c r="K199" s="84">
        <v>6.0333333333333332</v>
      </c>
      <c r="L199" s="84">
        <v>1</v>
      </c>
      <c r="M199" s="83">
        <v>234</v>
      </c>
      <c r="N199" s="83">
        <v>42</v>
      </c>
      <c r="O199" s="85">
        <f>294/225</f>
        <v>1.3066666666666666</v>
      </c>
      <c r="P199" s="85">
        <f>49/145</f>
        <v>0.33793103448275863</v>
      </c>
      <c r="Q199" s="83">
        <v>130</v>
      </c>
      <c r="R199" s="86">
        <v>1.2</v>
      </c>
      <c r="S199" s="83">
        <v>1</v>
      </c>
      <c r="T199" s="83">
        <v>0</v>
      </c>
      <c r="U199" s="83">
        <v>0</v>
      </c>
      <c r="V199" s="83">
        <v>0</v>
      </c>
      <c r="W199" s="83">
        <v>0</v>
      </c>
      <c r="X199" s="10"/>
      <c r="Y199" s="87">
        <v>12.033333333333333</v>
      </c>
      <c r="Z199" s="83">
        <v>1</v>
      </c>
      <c r="AA199" s="88">
        <v>12.033333333333333</v>
      </c>
      <c r="AB199" s="89">
        <v>0</v>
      </c>
      <c r="AC199" s="90">
        <v>1</v>
      </c>
      <c r="AD199" s="84">
        <v>6.666666666666667</v>
      </c>
      <c r="AE199" s="83">
        <v>35.700000000000003</v>
      </c>
      <c r="AF199" s="85">
        <f t="shared" si="50"/>
        <v>-84.743589743589752</v>
      </c>
      <c r="AG199" s="10" t="str">
        <f t="shared" si="51"/>
        <v>1</v>
      </c>
      <c r="AH199" s="10"/>
      <c r="AI199" s="10"/>
      <c r="AK199" s="2"/>
      <c r="AL199" s="2"/>
      <c r="AM199" s="2"/>
      <c r="AN199" s="2"/>
    </row>
    <row r="200" spans="1:40" ht="15" x14ac:dyDescent="0.25">
      <c r="A200" s="91" t="s">
        <v>850</v>
      </c>
      <c r="B200" s="83">
        <v>1</v>
      </c>
      <c r="C200" s="83">
        <v>1</v>
      </c>
      <c r="D200" s="83">
        <v>1</v>
      </c>
      <c r="E200" s="83">
        <v>1</v>
      </c>
      <c r="F200" s="83">
        <v>1</v>
      </c>
      <c r="G200" s="83">
        <v>1</v>
      </c>
      <c r="H200" s="10">
        <v>0</v>
      </c>
      <c r="I200" s="84">
        <v>59.556164383561644</v>
      </c>
      <c r="J200" s="83" t="s">
        <v>680</v>
      </c>
      <c r="K200" s="84">
        <v>16.766666666666666</v>
      </c>
      <c r="L200" s="84">
        <v>0</v>
      </c>
      <c r="M200" s="83">
        <v>11.25</v>
      </c>
      <c r="N200" s="83">
        <v>42</v>
      </c>
      <c r="O200" s="85">
        <f>119/271</f>
        <v>0.43911439114391143</v>
      </c>
      <c r="P200" s="85">
        <f>76/100</f>
        <v>0.76</v>
      </c>
      <c r="Q200" s="83">
        <v>137</v>
      </c>
      <c r="R200" s="86">
        <v>3.1851851851851851</v>
      </c>
      <c r="S200" s="83">
        <v>1</v>
      </c>
      <c r="T200" s="83">
        <v>0</v>
      </c>
      <c r="U200" s="83">
        <v>0</v>
      </c>
      <c r="V200" s="83">
        <v>0</v>
      </c>
      <c r="W200" s="83">
        <v>0</v>
      </c>
      <c r="X200" s="10"/>
      <c r="Y200" s="87">
        <v>11.866666666666667</v>
      </c>
      <c r="Z200" s="83">
        <v>1</v>
      </c>
      <c r="AA200" s="88">
        <v>11.866666666666667</v>
      </c>
      <c r="AB200" s="89">
        <v>1</v>
      </c>
      <c r="AC200" s="90">
        <v>0</v>
      </c>
      <c r="AD200" s="84">
        <v>11.866666666666667</v>
      </c>
      <c r="AE200" s="83">
        <v>1.1100000000000001</v>
      </c>
      <c r="AF200" s="85">
        <f t="shared" si="50"/>
        <v>-90.13333333333334</v>
      </c>
      <c r="AG200" s="10" t="str">
        <f t="shared" si="51"/>
        <v>1</v>
      </c>
      <c r="AH200" s="10"/>
      <c r="AI200" s="10"/>
      <c r="AK200" s="2"/>
      <c r="AL200" s="2"/>
      <c r="AM200" s="2"/>
      <c r="AN200" s="2"/>
    </row>
    <row r="201" spans="1:40" ht="15" x14ac:dyDescent="0.25">
      <c r="A201" s="91" t="s">
        <v>851</v>
      </c>
      <c r="B201" s="83">
        <v>1</v>
      </c>
      <c r="C201" s="83">
        <v>2</v>
      </c>
      <c r="D201" s="83">
        <v>1</v>
      </c>
      <c r="E201" s="83">
        <v>1</v>
      </c>
      <c r="F201" s="83">
        <v>0</v>
      </c>
      <c r="G201" s="83">
        <v>0</v>
      </c>
      <c r="H201" s="10">
        <v>0</v>
      </c>
      <c r="I201" s="84">
        <v>65.049315068493144</v>
      </c>
      <c r="J201" s="83" t="s">
        <v>680</v>
      </c>
      <c r="K201" s="84">
        <v>6.4</v>
      </c>
      <c r="L201" s="84">
        <v>1</v>
      </c>
      <c r="M201" s="83">
        <v>412.32</v>
      </c>
      <c r="N201" s="83">
        <v>38</v>
      </c>
      <c r="O201" s="85">
        <f>3171/250</f>
        <v>12.683999999999999</v>
      </c>
      <c r="P201" s="85">
        <f>368/130</f>
        <v>2.8307692307692309</v>
      </c>
      <c r="Q201" s="83">
        <v>97</v>
      </c>
      <c r="R201" s="86">
        <v>1.4545454545454546</v>
      </c>
      <c r="S201" s="83">
        <v>0</v>
      </c>
      <c r="T201" s="83">
        <v>0</v>
      </c>
      <c r="U201" s="83">
        <v>0</v>
      </c>
      <c r="V201" s="83">
        <v>0</v>
      </c>
      <c r="W201" s="2">
        <v>1</v>
      </c>
      <c r="X201" s="10"/>
      <c r="Y201" s="87">
        <v>2.1666666666666665</v>
      </c>
      <c r="Z201" s="83">
        <v>1</v>
      </c>
      <c r="AA201" s="88">
        <v>2.1666666666666665</v>
      </c>
      <c r="AB201" s="89">
        <v>0</v>
      </c>
      <c r="AC201" s="90">
        <v>1</v>
      </c>
      <c r="AD201" s="84">
        <v>1.8333333333333333</v>
      </c>
      <c r="AE201" s="83" t="s">
        <v>674</v>
      </c>
      <c r="AF201" s="85" t="s">
        <v>674</v>
      </c>
      <c r="AG201" s="10">
        <v>0</v>
      </c>
      <c r="AH201" s="10"/>
      <c r="AI201" s="10"/>
      <c r="AK201" s="2"/>
      <c r="AL201" s="2"/>
      <c r="AM201" s="2"/>
      <c r="AN201" s="2"/>
    </row>
    <row r="202" spans="1:40" ht="15" x14ac:dyDescent="0.25">
      <c r="A202" s="91" t="s">
        <v>873</v>
      </c>
      <c r="B202" s="83">
        <v>1</v>
      </c>
      <c r="C202" s="83">
        <v>1</v>
      </c>
      <c r="D202" s="83">
        <v>0</v>
      </c>
      <c r="E202" s="83">
        <v>1</v>
      </c>
      <c r="F202" s="83">
        <v>0</v>
      </c>
      <c r="G202" s="83">
        <v>0</v>
      </c>
      <c r="H202" s="10">
        <v>0</v>
      </c>
      <c r="I202" s="84">
        <v>73.835616438356169</v>
      </c>
      <c r="J202" s="83" t="s">
        <v>680</v>
      </c>
      <c r="K202" s="84">
        <v>11.366666666666667</v>
      </c>
      <c r="L202" s="84">
        <v>1</v>
      </c>
      <c r="M202" s="83">
        <v>12.11</v>
      </c>
      <c r="N202" s="83">
        <v>43</v>
      </c>
      <c r="O202" s="85" t="s">
        <v>674</v>
      </c>
      <c r="P202" s="85">
        <f>274/126</f>
        <v>2.1746031746031744</v>
      </c>
      <c r="Q202" s="83">
        <v>136</v>
      </c>
      <c r="R202" s="86">
        <v>3.5294117647058822</v>
      </c>
      <c r="S202" s="83">
        <v>1</v>
      </c>
      <c r="T202" s="83">
        <v>0</v>
      </c>
      <c r="U202" s="83">
        <v>0</v>
      </c>
      <c r="V202" s="83">
        <v>0</v>
      </c>
      <c r="W202" s="83">
        <v>0</v>
      </c>
      <c r="X202" s="10"/>
      <c r="Y202" s="87">
        <v>10.8</v>
      </c>
      <c r="Z202" s="83">
        <v>1</v>
      </c>
      <c r="AA202" s="88">
        <v>10.8</v>
      </c>
      <c r="AB202" s="89">
        <v>0</v>
      </c>
      <c r="AC202" s="90">
        <v>1</v>
      </c>
      <c r="AD202" s="84">
        <v>0.96666666666666667</v>
      </c>
      <c r="AE202" s="83" t="s">
        <v>674</v>
      </c>
      <c r="AF202" s="85" t="s">
        <v>674</v>
      </c>
      <c r="AG202" s="10">
        <v>0</v>
      </c>
      <c r="AH202" s="10"/>
      <c r="AI202" s="10"/>
      <c r="AK202" s="2"/>
      <c r="AL202" s="2"/>
      <c r="AM202" s="2"/>
      <c r="AN202" s="2"/>
    </row>
    <row r="203" spans="1:40" ht="15" x14ac:dyDescent="0.25">
      <c r="A203" s="91" t="s">
        <v>852</v>
      </c>
      <c r="B203" s="83">
        <v>1</v>
      </c>
      <c r="C203" s="83">
        <v>1</v>
      </c>
      <c r="D203" s="83">
        <v>1</v>
      </c>
      <c r="E203" s="83">
        <v>1</v>
      </c>
      <c r="F203" s="83">
        <v>1</v>
      </c>
      <c r="G203" s="83">
        <v>0</v>
      </c>
      <c r="H203" s="10">
        <v>0</v>
      </c>
      <c r="I203" s="84">
        <v>66.016438356164386</v>
      </c>
      <c r="J203" s="83">
        <v>1</v>
      </c>
      <c r="K203" s="84">
        <v>10.033333333333333</v>
      </c>
      <c r="L203" s="84">
        <v>1</v>
      </c>
      <c r="M203" s="83">
        <v>27.3</v>
      </c>
      <c r="N203" s="83">
        <v>39</v>
      </c>
      <c r="O203" s="85" t="s">
        <v>674</v>
      </c>
      <c r="P203" s="85">
        <f>97/130</f>
        <v>0.74615384615384617</v>
      </c>
      <c r="Q203" s="83">
        <v>132</v>
      </c>
      <c r="R203" s="86">
        <v>3.1875</v>
      </c>
      <c r="S203" s="83">
        <v>1</v>
      </c>
      <c r="T203" s="83">
        <v>0</v>
      </c>
      <c r="U203" s="83">
        <v>0</v>
      </c>
      <c r="V203" s="83">
        <v>0</v>
      </c>
      <c r="W203" s="83">
        <v>0</v>
      </c>
      <c r="X203" s="10"/>
      <c r="Y203" s="87">
        <v>1.7</v>
      </c>
      <c r="Z203" s="83">
        <v>1</v>
      </c>
      <c r="AA203" s="88">
        <v>1.7</v>
      </c>
      <c r="AB203" s="89">
        <v>0</v>
      </c>
      <c r="AC203" s="90">
        <v>0</v>
      </c>
      <c r="AD203" s="84">
        <v>1.4666666666666666</v>
      </c>
      <c r="AE203" s="83" t="s">
        <v>674</v>
      </c>
      <c r="AF203" s="85" t="s">
        <v>674</v>
      </c>
      <c r="AG203" s="10">
        <v>0</v>
      </c>
      <c r="AH203" s="10"/>
      <c r="AI203" s="10"/>
      <c r="AK203" s="2"/>
      <c r="AL203" s="2"/>
      <c r="AM203" s="2"/>
      <c r="AN203" s="2"/>
    </row>
    <row r="204" spans="1:40" ht="15" x14ac:dyDescent="0.25">
      <c r="A204" s="91" t="s">
        <v>853</v>
      </c>
      <c r="B204" s="83">
        <v>1</v>
      </c>
      <c r="C204" s="83">
        <v>0</v>
      </c>
      <c r="D204" s="83">
        <v>1</v>
      </c>
      <c r="E204" s="83">
        <v>1</v>
      </c>
      <c r="F204" s="83">
        <v>0</v>
      </c>
      <c r="G204" s="83">
        <v>0</v>
      </c>
      <c r="H204" s="10">
        <v>0</v>
      </c>
      <c r="I204" s="84">
        <v>80.871232876712327</v>
      </c>
      <c r="J204" s="83" t="s">
        <v>680</v>
      </c>
      <c r="K204" s="84">
        <v>16</v>
      </c>
      <c r="L204" s="84">
        <v>0</v>
      </c>
      <c r="M204" s="83">
        <v>69</v>
      </c>
      <c r="N204" s="83">
        <v>37</v>
      </c>
      <c r="O204" s="85">
        <f>216/225</f>
        <v>0.96</v>
      </c>
      <c r="P204" s="85">
        <f>114/145</f>
        <v>0.78620689655172415</v>
      </c>
      <c r="Q204" s="83">
        <v>95</v>
      </c>
      <c r="R204" s="86" t="s">
        <v>674</v>
      </c>
      <c r="S204" s="83">
        <v>0</v>
      </c>
      <c r="T204" s="83">
        <v>1</v>
      </c>
      <c r="U204" s="83">
        <v>0</v>
      </c>
      <c r="V204" s="83">
        <v>0</v>
      </c>
      <c r="W204" s="83">
        <v>0</v>
      </c>
      <c r="X204" s="10"/>
      <c r="Y204" s="87">
        <v>6.166666666666667</v>
      </c>
      <c r="Z204" s="83">
        <v>1</v>
      </c>
      <c r="AA204" s="88">
        <v>6.166666666666667</v>
      </c>
      <c r="AB204" s="89">
        <v>0</v>
      </c>
      <c r="AC204" s="90">
        <v>1</v>
      </c>
      <c r="AD204" s="84">
        <v>1.2666666666666666</v>
      </c>
      <c r="AE204" s="83" t="s">
        <v>674</v>
      </c>
      <c r="AF204" s="85" t="s">
        <v>674</v>
      </c>
      <c r="AG204" s="10">
        <v>0</v>
      </c>
      <c r="AH204" s="10"/>
      <c r="AI204" s="10"/>
      <c r="AK204" s="2"/>
      <c r="AL204" s="2"/>
      <c r="AM204" s="2"/>
      <c r="AN204" s="2"/>
    </row>
    <row r="205" spans="1:40" ht="15" x14ac:dyDescent="0.25">
      <c r="A205" s="91" t="s">
        <v>854</v>
      </c>
      <c r="B205" s="83">
        <v>1</v>
      </c>
      <c r="C205" s="83">
        <v>1</v>
      </c>
      <c r="D205" s="83">
        <v>0</v>
      </c>
      <c r="E205" s="83">
        <v>1</v>
      </c>
      <c r="F205" s="83">
        <v>0</v>
      </c>
      <c r="G205" s="83">
        <v>0</v>
      </c>
      <c r="H205" s="10">
        <v>0</v>
      </c>
      <c r="I205" s="84">
        <v>71.460273972602735</v>
      </c>
      <c r="J205" s="83" t="s">
        <v>680</v>
      </c>
      <c r="K205" s="84">
        <v>10.933333333333334</v>
      </c>
      <c r="L205" s="84">
        <v>1</v>
      </c>
      <c r="M205" s="83">
        <v>19.63</v>
      </c>
      <c r="N205" s="83">
        <v>44</v>
      </c>
      <c r="O205" s="85">
        <f>200/250</f>
        <v>0.8</v>
      </c>
      <c r="P205" s="85">
        <f>126/129</f>
        <v>0.97674418604651159</v>
      </c>
      <c r="Q205" s="83">
        <v>135</v>
      </c>
      <c r="R205" s="86">
        <v>1.8571428571428572</v>
      </c>
      <c r="S205" s="83">
        <v>1</v>
      </c>
      <c r="T205" s="83">
        <v>0</v>
      </c>
      <c r="U205" s="83">
        <v>0</v>
      </c>
      <c r="V205" s="83">
        <v>0</v>
      </c>
      <c r="W205" s="83">
        <v>0</v>
      </c>
      <c r="X205" s="10"/>
      <c r="Y205" s="87">
        <v>17.033333333333335</v>
      </c>
      <c r="Z205" s="83">
        <v>0</v>
      </c>
      <c r="AA205" s="88">
        <v>17.033333333333335</v>
      </c>
      <c r="AB205" s="89">
        <v>0</v>
      </c>
      <c r="AC205" s="90">
        <v>1</v>
      </c>
      <c r="AD205" s="84">
        <v>1.1000000000000001</v>
      </c>
      <c r="AE205" s="83" t="s">
        <v>674</v>
      </c>
      <c r="AF205" s="85" t="s">
        <v>674</v>
      </c>
      <c r="AG205" s="10">
        <v>0</v>
      </c>
      <c r="AH205" s="10"/>
      <c r="AI205" s="10"/>
      <c r="AK205" s="2"/>
      <c r="AL205" s="2"/>
      <c r="AM205" s="2"/>
      <c r="AN205" s="2"/>
    </row>
    <row r="206" spans="1:40" ht="15" x14ac:dyDescent="0.25">
      <c r="A206" s="91" t="s">
        <v>855</v>
      </c>
      <c r="B206" s="83">
        <v>1</v>
      </c>
      <c r="C206" s="83">
        <v>1</v>
      </c>
      <c r="D206" s="83">
        <v>1</v>
      </c>
      <c r="E206" s="83">
        <v>1</v>
      </c>
      <c r="F206" s="83">
        <v>0</v>
      </c>
      <c r="G206" s="83">
        <v>0</v>
      </c>
      <c r="H206" s="10">
        <v>0</v>
      </c>
      <c r="I206" s="84">
        <v>53.279452054794518</v>
      </c>
      <c r="J206" s="83">
        <v>0</v>
      </c>
      <c r="K206" s="84">
        <v>7.1333333333333337</v>
      </c>
      <c r="L206" s="84">
        <v>1</v>
      </c>
      <c r="M206" s="83">
        <v>7.6</v>
      </c>
      <c r="N206" s="83">
        <v>50</v>
      </c>
      <c r="O206" s="85">
        <f>223/225</f>
        <v>0.99111111111111116</v>
      </c>
      <c r="P206" s="85">
        <f>135/145</f>
        <v>0.93103448275862066</v>
      </c>
      <c r="Q206" s="83">
        <v>132</v>
      </c>
      <c r="R206" s="86">
        <v>1.3913043478260869</v>
      </c>
      <c r="S206" s="83">
        <v>0</v>
      </c>
      <c r="T206" s="83">
        <v>1</v>
      </c>
      <c r="U206" s="83">
        <v>0</v>
      </c>
      <c r="V206" s="83">
        <v>0</v>
      </c>
      <c r="W206" s="83">
        <v>0</v>
      </c>
      <c r="X206" s="10"/>
      <c r="Y206" s="87">
        <v>14.8</v>
      </c>
      <c r="Z206" s="83">
        <v>0</v>
      </c>
      <c r="AA206" s="88">
        <v>14.8</v>
      </c>
      <c r="AB206" s="89">
        <v>0</v>
      </c>
      <c r="AC206" s="90">
        <v>1</v>
      </c>
      <c r="AD206" s="84">
        <v>2.7666666666666666</v>
      </c>
      <c r="AE206" s="83">
        <v>7.6</v>
      </c>
      <c r="AF206" s="85">
        <f t="shared" ref="AF206:AF209" si="52">((M206-AE206)/M206)*(-100)</f>
        <v>0</v>
      </c>
      <c r="AG206" s="10" t="str">
        <f t="shared" ref="AG206:AG209" si="53">IF((AE206/M206)&lt;0.5,"1","0")</f>
        <v>0</v>
      </c>
      <c r="AH206" s="10"/>
      <c r="AI206" s="10"/>
      <c r="AK206" s="2"/>
      <c r="AL206" s="2"/>
      <c r="AM206" s="2"/>
      <c r="AN206" s="2"/>
    </row>
    <row r="207" spans="1:40" ht="15" x14ac:dyDescent="0.25">
      <c r="A207" s="91" t="s">
        <v>856</v>
      </c>
      <c r="B207" s="83">
        <v>0</v>
      </c>
      <c r="C207" s="83">
        <v>0</v>
      </c>
      <c r="D207" s="83">
        <v>1</v>
      </c>
      <c r="E207" s="83">
        <v>0</v>
      </c>
      <c r="F207" s="83">
        <v>0</v>
      </c>
      <c r="G207" s="83">
        <v>0</v>
      </c>
      <c r="H207" s="10">
        <v>0</v>
      </c>
      <c r="I207" s="84">
        <v>67.476712328767121</v>
      </c>
      <c r="J207" s="83" t="s">
        <v>680</v>
      </c>
      <c r="K207" s="84">
        <v>82.833333333333329</v>
      </c>
      <c r="L207" s="84">
        <v>0</v>
      </c>
      <c r="M207" s="83">
        <v>9.5</v>
      </c>
      <c r="N207" s="83">
        <v>46</v>
      </c>
      <c r="O207" s="85">
        <f>164/225</f>
        <v>0.72888888888888892</v>
      </c>
      <c r="P207" s="85">
        <f>52/145</f>
        <v>0.35862068965517241</v>
      </c>
      <c r="Q207" s="83">
        <v>131</v>
      </c>
      <c r="R207" s="86">
        <v>2.1111111111111112</v>
      </c>
      <c r="S207" s="83">
        <v>1</v>
      </c>
      <c r="T207" s="83">
        <v>0</v>
      </c>
      <c r="U207" s="83">
        <v>0</v>
      </c>
      <c r="V207" s="83">
        <v>0</v>
      </c>
      <c r="W207" s="83">
        <v>0</v>
      </c>
      <c r="X207" s="10"/>
      <c r="Y207" s="87">
        <v>12.566666666666666</v>
      </c>
      <c r="Z207" s="83">
        <v>0</v>
      </c>
      <c r="AA207" s="88">
        <v>12.566666666666666</v>
      </c>
      <c r="AB207" s="89">
        <v>0</v>
      </c>
      <c r="AC207" s="90">
        <v>1</v>
      </c>
      <c r="AD207" s="84">
        <v>11.1</v>
      </c>
      <c r="AE207" s="83">
        <v>3.9</v>
      </c>
      <c r="AF207" s="85">
        <f t="shared" si="52"/>
        <v>-58.947368421052623</v>
      </c>
      <c r="AG207" s="10" t="str">
        <f t="shared" si="53"/>
        <v>1</v>
      </c>
      <c r="AH207" s="10"/>
      <c r="AI207" s="10"/>
      <c r="AK207" s="2"/>
      <c r="AL207" s="2"/>
      <c r="AM207" s="2"/>
      <c r="AN207" s="2"/>
    </row>
    <row r="208" spans="1:40" ht="15" x14ac:dyDescent="0.25">
      <c r="A208" s="91" t="s">
        <v>857</v>
      </c>
      <c r="B208" s="83">
        <v>1</v>
      </c>
      <c r="C208" s="83">
        <v>3</v>
      </c>
      <c r="D208" s="83">
        <v>0</v>
      </c>
      <c r="E208" s="83">
        <v>1</v>
      </c>
      <c r="F208" s="83">
        <v>0</v>
      </c>
      <c r="G208" s="83">
        <v>0</v>
      </c>
      <c r="H208" s="10">
        <v>0</v>
      </c>
      <c r="I208" s="84">
        <v>78.936986301369856</v>
      </c>
      <c r="J208" s="83" t="s">
        <v>680</v>
      </c>
      <c r="K208" s="84">
        <v>15.4</v>
      </c>
      <c r="L208" s="84">
        <v>0</v>
      </c>
      <c r="M208" s="83">
        <v>490</v>
      </c>
      <c r="N208" s="83">
        <v>45</v>
      </c>
      <c r="O208" s="85">
        <f>223/225</f>
        <v>0.99111111111111116</v>
      </c>
      <c r="P208" s="85">
        <f>135/145</f>
        <v>0.93103448275862066</v>
      </c>
      <c r="Q208" s="83">
        <v>139</v>
      </c>
      <c r="R208" s="86">
        <v>1.35</v>
      </c>
      <c r="S208" s="83">
        <v>0</v>
      </c>
      <c r="T208" s="83">
        <v>0</v>
      </c>
      <c r="U208" s="83">
        <v>1</v>
      </c>
      <c r="V208" s="83">
        <v>0</v>
      </c>
      <c r="W208" s="83">
        <v>0</v>
      </c>
      <c r="X208" s="10"/>
      <c r="Y208" s="87">
        <v>1.4</v>
      </c>
      <c r="Z208" s="83">
        <v>0</v>
      </c>
      <c r="AA208" s="88">
        <v>1.4</v>
      </c>
      <c r="AB208" s="89">
        <v>1</v>
      </c>
      <c r="AC208" s="90">
        <v>0</v>
      </c>
      <c r="AD208" s="84">
        <v>1.4</v>
      </c>
      <c r="AE208" s="83">
        <v>360</v>
      </c>
      <c r="AF208" s="85">
        <f t="shared" si="52"/>
        <v>-26.530612244897959</v>
      </c>
      <c r="AG208" s="10" t="str">
        <f t="shared" si="53"/>
        <v>0</v>
      </c>
      <c r="AH208" s="10"/>
      <c r="AI208" s="10"/>
      <c r="AK208" s="2"/>
      <c r="AL208" s="2"/>
      <c r="AM208" s="2"/>
      <c r="AN208" s="2"/>
    </row>
    <row r="209" spans="1:40" ht="15" x14ac:dyDescent="0.25">
      <c r="A209" s="92" t="s">
        <v>858</v>
      </c>
      <c r="B209" s="93">
        <v>1</v>
      </c>
      <c r="C209" s="83">
        <v>1</v>
      </c>
      <c r="D209" s="93">
        <v>0</v>
      </c>
      <c r="E209" s="93">
        <v>1</v>
      </c>
      <c r="F209" s="93">
        <v>0</v>
      </c>
      <c r="G209" s="93">
        <v>0</v>
      </c>
      <c r="H209" s="94">
        <v>0</v>
      </c>
      <c r="I209" s="95">
        <v>74.610958904109594</v>
      </c>
      <c r="J209" s="93">
        <v>1</v>
      </c>
      <c r="K209" s="95">
        <v>35.233333333333334</v>
      </c>
      <c r="L209" s="95">
        <v>0</v>
      </c>
      <c r="M209" s="93">
        <v>17</v>
      </c>
      <c r="N209" s="93" t="s">
        <v>674</v>
      </c>
      <c r="O209" s="96">
        <f>159/240</f>
        <v>0.66249999999999998</v>
      </c>
      <c r="P209" s="96">
        <f>130/135</f>
        <v>0.96296296296296291</v>
      </c>
      <c r="Q209" s="93">
        <v>121</v>
      </c>
      <c r="R209" s="97">
        <v>3.75</v>
      </c>
      <c r="S209" s="93">
        <v>0</v>
      </c>
      <c r="T209" s="93">
        <v>1</v>
      </c>
      <c r="U209" s="93">
        <v>0</v>
      </c>
      <c r="V209" s="93">
        <v>0</v>
      </c>
      <c r="W209" s="93">
        <v>0</v>
      </c>
      <c r="X209" s="94"/>
      <c r="Y209" s="98">
        <v>3.6666666666666665</v>
      </c>
      <c r="Z209" s="93">
        <v>0</v>
      </c>
      <c r="AA209" s="99">
        <v>3.6666666666666665</v>
      </c>
      <c r="AB209" s="100">
        <v>1</v>
      </c>
      <c r="AC209" s="101">
        <v>0</v>
      </c>
      <c r="AD209" s="102">
        <v>3.5333333333333332</v>
      </c>
      <c r="AE209" s="81">
        <v>2.9000000000000001E-2</v>
      </c>
      <c r="AF209" s="96">
        <f t="shared" si="52"/>
        <v>-99.829411764705881</v>
      </c>
      <c r="AG209" s="94" t="str">
        <f t="shared" si="53"/>
        <v>1</v>
      </c>
      <c r="AH209" s="94"/>
      <c r="AI209" s="94"/>
      <c r="AK209" s="103"/>
      <c r="AL209" s="103"/>
      <c r="AM209" s="103"/>
      <c r="AN209" s="103"/>
    </row>
    <row r="210" spans="1:40" ht="12.75" x14ac:dyDescent="0.2">
      <c r="A210" s="104" t="s">
        <v>1183</v>
      </c>
      <c r="B210" s="104" t="s">
        <v>677</v>
      </c>
      <c r="C210" s="104" t="s">
        <v>677</v>
      </c>
      <c r="D210" s="104" t="s">
        <v>677</v>
      </c>
      <c r="E210" s="104" t="s">
        <v>678</v>
      </c>
      <c r="F210" s="104" t="s">
        <v>677</v>
      </c>
      <c r="G210" s="104" t="s">
        <v>677</v>
      </c>
      <c r="H210" s="104" t="s">
        <v>677</v>
      </c>
      <c r="I210" s="104" t="s">
        <v>909</v>
      </c>
      <c r="J210" s="104" t="s">
        <v>677</v>
      </c>
      <c r="K210" s="105">
        <f>4197/30</f>
        <v>139.9</v>
      </c>
      <c r="L210" s="105">
        <v>0</v>
      </c>
      <c r="M210" s="104" t="s">
        <v>1185</v>
      </c>
      <c r="N210" s="106"/>
      <c r="O210" s="104" t="s">
        <v>1047</v>
      </c>
      <c r="P210" s="104" t="s">
        <v>1184</v>
      </c>
      <c r="Q210" s="104" t="s">
        <v>1074</v>
      </c>
      <c r="R210" s="107"/>
      <c r="S210" s="106">
        <v>1</v>
      </c>
      <c r="T210" s="106">
        <v>0</v>
      </c>
      <c r="U210" s="106">
        <v>0</v>
      </c>
      <c r="V210" s="106">
        <v>0</v>
      </c>
      <c r="W210" s="106">
        <v>0</v>
      </c>
      <c r="X210" s="106"/>
      <c r="Y210" s="108">
        <v>74.400000000000006</v>
      </c>
      <c r="Z210" s="104" t="s">
        <v>677</v>
      </c>
      <c r="AA210" s="109">
        <v>74.400000000000006</v>
      </c>
      <c r="AB210" s="110"/>
      <c r="AC210" s="111">
        <v>1</v>
      </c>
      <c r="AD210" s="112">
        <v>11.2</v>
      </c>
      <c r="AE210" s="113"/>
      <c r="AF210" s="74" t="s">
        <v>1186</v>
      </c>
      <c r="AG210" s="114" t="s">
        <v>678</v>
      </c>
      <c r="AH210" s="115">
        <v>0</v>
      </c>
      <c r="AI210" s="104" t="s">
        <v>1950</v>
      </c>
      <c r="AK210" s="2"/>
      <c r="AL210" s="2"/>
      <c r="AM210" s="2"/>
      <c r="AN210" s="2"/>
    </row>
    <row r="211" spans="1:40" ht="12.75" x14ac:dyDescent="0.2">
      <c r="A211" s="116" t="s">
        <v>885</v>
      </c>
      <c r="B211" s="117" t="s">
        <v>678</v>
      </c>
      <c r="C211" s="117" t="s">
        <v>677</v>
      </c>
      <c r="D211" s="117" t="s">
        <v>677</v>
      </c>
      <c r="E211" s="117" t="s">
        <v>678</v>
      </c>
      <c r="F211" s="117" t="s">
        <v>677</v>
      </c>
      <c r="G211" s="117" t="s">
        <v>677</v>
      </c>
      <c r="H211" s="117" t="s">
        <v>677</v>
      </c>
      <c r="I211" s="117" t="s">
        <v>886</v>
      </c>
      <c r="J211" s="117" t="s">
        <v>677</v>
      </c>
      <c r="K211" s="118">
        <f>1774/30</f>
        <v>59.133333333333333</v>
      </c>
      <c r="L211" s="118">
        <v>0</v>
      </c>
      <c r="M211" s="117" t="s">
        <v>890</v>
      </c>
      <c r="N211" s="10"/>
      <c r="O211" s="117" t="s">
        <v>888</v>
      </c>
      <c r="P211" s="117" t="s">
        <v>887</v>
      </c>
      <c r="Q211" s="117" t="s">
        <v>889</v>
      </c>
      <c r="R211" s="119"/>
      <c r="S211" s="10">
        <v>1</v>
      </c>
      <c r="T211" s="10">
        <v>0</v>
      </c>
      <c r="U211" s="10">
        <v>0</v>
      </c>
      <c r="V211" s="10">
        <v>0</v>
      </c>
      <c r="W211" s="10">
        <v>0</v>
      </c>
      <c r="X211" s="10"/>
      <c r="Y211" s="120">
        <v>74.933333333333337</v>
      </c>
      <c r="Z211" s="117" t="s">
        <v>677</v>
      </c>
      <c r="AA211" s="121">
        <v>74.933333333333337</v>
      </c>
      <c r="AB211" s="122"/>
      <c r="AC211" s="123">
        <v>1</v>
      </c>
      <c r="AD211" s="124">
        <v>58.8</v>
      </c>
      <c r="AE211" s="10"/>
      <c r="AF211" s="125" t="s">
        <v>891</v>
      </c>
      <c r="AG211" s="125" t="s">
        <v>678</v>
      </c>
      <c r="AH211" s="126">
        <v>0</v>
      </c>
      <c r="AI211" s="117" t="s">
        <v>950</v>
      </c>
      <c r="AK211" s="2"/>
      <c r="AL211" s="2"/>
      <c r="AM211" s="2"/>
      <c r="AN211" s="2"/>
    </row>
    <row r="212" spans="1:40" ht="12.75" x14ac:dyDescent="0.2">
      <c r="A212" s="117" t="s">
        <v>1191</v>
      </c>
      <c r="B212" s="117" t="s">
        <v>678</v>
      </c>
      <c r="C212" s="117" t="s">
        <v>677</v>
      </c>
      <c r="D212" s="117" t="s">
        <v>677</v>
      </c>
      <c r="E212" s="117" t="s">
        <v>678</v>
      </c>
      <c r="F212" s="117" t="s">
        <v>677</v>
      </c>
      <c r="G212" s="117" t="s">
        <v>677</v>
      </c>
      <c r="H212" s="117" t="s">
        <v>678</v>
      </c>
      <c r="I212" s="117" t="s">
        <v>1016</v>
      </c>
      <c r="J212" s="117" t="s">
        <v>677</v>
      </c>
      <c r="K212" s="118">
        <f>350/30</f>
        <v>11.666666666666666</v>
      </c>
      <c r="L212" s="118">
        <v>1</v>
      </c>
      <c r="M212" s="117" t="s">
        <v>1193</v>
      </c>
      <c r="N212" s="10"/>
      <c r="O212" s="117" t="s">
        <v>1135</v>
      </c>
      <c r="P212" s="117" t="s">
        <v>1192</v>
      </c>
      <c r="Q212" s="117" t="s">
        <v>985</v>
      </c>
      <c r="R212" s="119"/>
      <c r="S212" s="10">
        <v>0</v>
      </c>
      <c r="T212" s="10">
        <v>1</v>
      </c>
      <c r="U212" s="10">
        <v>0</v>
      </c>
      <c r="V212" s="10">
        <v>0</v>
      </c>
      <c r="W212" s="10">
        <v>0</v>
      </c>
      <c r="X212" s="10"/>
      <c r="Y212" s="120">
        <v>19.7</v>
      </c>
      <c r="Z212" s="127">
        <v>1</v>
      </c>
      <c r="AA212" s="121">
        <v>19.7</v>
      </c>
      <c r="AB212" s="122"/>
      <c r="AC212" s="123">
        <v>0</v>
      </c>
      <c r="AD212" s="124">
        <v>4.333333333333333</v>
      </c>
      <c r="AE212" s="10"/>
      <c r="AF212" s="125" t="s">
        <v>1194</v>
      </c>
      <c r="AG212" s="125" t="s">
        <v>677</v>
      </c>
      <c r="AH212" s="126">
        <v>9.5</v>
      </c>
      <c r="AI212" s="117" t="s">
        <v>1950</v>
      </c>
      <c r="AK212" s="2"/>
      <c r="AL212" s="2"/>
      <c r="AM212" s="2"/>
      <c r="AN212" s="2"/>
    </row>
    <row r="213" spans="1:40" ht="12.75" x14ac:dyDescent="0.2">
      <c r="A213" s="117" t="s">
        <v>1195</v>
      </c>
      <c r="B213" s="117" t="s">
        <v>679</v>
      </c>
      <c r="C213" s="117" t="s">
        <v>677</v>
      </c>
      <c r="D213" s="117" t="s">
        <v>678</v>
      </c>
      <c r="E213" s="117" t="s">
        <v>678</v>
      </c>
      <c r="F213" s="117" t="s">
        <v>677</v>
      </c>
      <c r="G213" s="117" t="s">
        <v>677</v>
      </c>
      <c r="H213" s="117" t="s">
        <v>678</v>
      </c>
      <c r="I213" s="117" t="s">
        <v>1026</v>
      </c>
      <c r="J213" s="117" t="s">
        <v>678</v>
      </c>
      <c r="K213" s="118">
        <f>1458/30</f>
        <v>48.6</v>
      </c>
      <c r="L213" s="118">
        <v>0</v>
      </c>
      <c r="M213" s="117" t="s">
        <v>1196</v>
      </c>
      <c r="N213" s="10"/>
      <c r="O213" s="117" t="s">
        <v>1092</v>
      </c>
      <c r="P213" s="117" t="s">
        <v>991</v>
      </c>
      <c r="Q213" s="117" t="s">
        <v>995</v>
      </c>
      <c r="R213" s="119"/>
      <c r="S213" s="10">
        <v>1</v>
      </c>
      <c r="T213" s="10">
        <v>0</v>
      </c>
      <c r="U213" s="10">
        <v>0</v>
      </c>
      <c r="V213" s="10">
        <v>0</v>
      </c>
      <c r="W213" s="10">
        <v>0</v>
      </c>
      <c r="X213" s="10"/>
      <c r="Y213" s="120">
        <v>8.3666666666666671</v>
      </c>
      <c r="Z213" s="127">
        <v>1</v>
      </c>
      <c r="AA213" s="121">
        <v>8.3666666666666671</v>
      </c>
      <c r="AB213" s="122"/>
      <c r="AC213" s="123">
        <v>0</v>
      </c>
      <c r="AD213" s="124">
        <v>5.6</v>
      </c>
      <c r="AE213" s="10"/>
      <c r="AF213" s="125" t="s">
        <v>1197</v>
      </c>
      <c r="AG213" s="125" t="s">
        <v>677</v>
      </c>
      <c r="AH213" s="126">
        <v>7.7</v>
      </c>
      <c r="AI213" s="117" t="s">
        <v>1506</v>
      </c>
      <c r="AK213" s="2"/>
      <c r="AL213" s="2"/>
      <c r="AM213" s="2"/>
      <c r="AN213" s="2"/>
    </row>
    <row r="214" spans="1:40" ht="12.75" x14ac:dyDescent="0.2">
      <c r="A214" s="117" t="s">
        <v>1200</v>
      </c>
      <c r="B214" s="117" t="s">
        <v>677</v>
      </c>
      <c r="C214" s="117" t="s">
        <v>677</v>
      </c>
      <c r="D214" s="117" t="s">
        <v>677</v>
      </c>
      <c r="E214" s="117" t="s">
        <v>678</v>
      </c>
      <c r="F214" s="117" t="s">
        <v>677</v>
      </c>
      <c r="G214" s="117" t="s">
        <v>677</v>
      </c>
      <c r="H214" s="117" t="s">
        <v>677</v>
      </c>
      <c r="I214" s="117" t="s">
        <v>936</v>
      </c>
      <c r="J214" s="117" t="s">
        <v>678</v>
      </c>
      <c r="K214" s="118">
        <f>440/30</f>
        <v>14.666666666666666</v>
      </c>
      <c r="L214" s="118">
        <v>0</v>
      </c>
      <c r="M214" s="117" t="s">
        <v>1202</v>
      </c>
      <c r="N214" s="10"/>
      <c r="O214" s="117" t="s">
        <v>1188</v>
      </c>
      <c r="P214" s="117" t="s">
        <v>1201</v>
      </c>
      <c r="Q214" s="117" t="s">
        <v>1048</v>
      </c>
      <c r="R214" s="119"/>
      <c r="S214" s="10">
        <v>0</v>
      </c>
      <c r="T214" s="10">
        <v>1</v>
      </c>
      <c r="U214" s="10">
        <v>0</v>
      </c>
      <c r="V214" s="10">
        <v>0</v>
      </c>
      <c r="W214" s="10">
        <v>0</v>
      </c>
      <c r="X214" s="10"/>
      <c r="Y214" s="120">
        <v>13.933333333333334</v>
      </c>
      <c r="Z214" s="117" t="s">
        <v>678</v>
      </c>
      <c r="AA214" s="121">
        <v>13.933333333333334</v>
      </c>
      <c r="AB214" s="123"/>
      <c r="AC214" s="123">
        <v>0</v>
      </c>
      <c r="AD214" s="124">
        <v>7</v>
      </c>
      <c r="AE214" s="10"/>
      <c r="AF214" s="125" t="s">
        <v>1203</v>
      </c>
      <c r="AG214" s="125" t="s">
        <v>677</v>
      </c>
      <c r="AH214" s="126">
        <v>0</v>
      </c>
      <c r="AI214" s="117" t="s">
        <v>1137</v>
      </c>
      <c r="AK214" s="2"/>
      <c r="AL214" s="2"/>
      <c r="AM214" s="2"/>
      <c r="AN214" s="2"/>
    </row>
    <row r="215" spans="1:40" ht="12.75" x14ac:dyDescent="0.2">
      <c r="A215" s="117" t="s">
        <v>895</v>
      </c>
      <c r="B215" s="117" t="s">
        <v>677</v>
      </c>
      <c r="C215" s="117" t="s">
        <v>677</v>
      </c>
      <c r="D215" s="117" t="s">
        <v>677</v>
      </c>
      <c r="E215" s="117" t="s">
        <v>678</v>
      </c>
      <c r="F215" s="117" t="s">
        <v>677</v>
      </c>
      <c r="G215" s="117" t="s">
        <v>677</v>
      </c>
      <c r="H215" s="117" t="s">
        <v>677</v>
      </c>
      <c r="I215" s="117" t="s">
        <v>896</v>
      </c>
      <c r="J215" s="117" t="s">
        <v>678</v>
      </c>
      <c r="K215" s="118">
        <f>556/30</f>
        <v>18.533333333333335</v>
      </c>
      <c r="L215" s="118">
        <v>0</v>
      </c>
      <c r="M215" s="117" t="s">
        <v>900</v>
      </c>
      <c r="N215" s="10"/>
      <c r="O215" s="117" t="s">
        <v>898</v>
      </c>
      <c r="P215" s="117" t="s">
        <v>897</v>
      </c>
      <c r="Q215" s="117" t="s">
        <v>899</v>
      </c>
      <c r="R215" s="119"/>
      <c r="S215" s="10">
        <v>0</v>
      </c>
      <c r="T215" s="10">
        <v>1</v>
      </c>
      <c r="U215" s="10">
        <v>0</v>
      </c>
      <c r="V215" s="10">
        <v>0</v>
      </c>
      <c r="W215" s="10">
        <v>0</v>
      </c>
      <c r="X215" s="10"/>
      <c r="Y215" s="120">
        <v>53.766666666666666</v>
      </c>
      <c r="Z215" s="117" t="s">
        <v>678</v>
      </c>
      <c r="AA215" s="121">
        <v>53.766666666666666</v>
      </c>
      <c r="AB215" s="123"/>
      <c r="AC215" s="123">
        <v>1</v>
      </c>
      <c r="AD215" s="124">
        <v>32.666666666666664</v>
      </c>
      <c r="AE215" s="10"/>
      <c r="AF215" s="125" t="s">
        <v>901</v>
      </c>
      <c r="AG215" s="125" t="s">
        <v>678</v>
      </c>
      <c r="AH215" s="126">
        <v>4.9000000000000004</v>
      </c>
      <c r="AI215" s="117" t="s">
        <v>1954</v>
      </c>
      <c r="AK215" s="2"/>
      <c r="AL215" s="2"/>
      <c r="AM215" s="2"/>
      <c r="AN215" s="2"/>
    </row>
    <row r="216" spans="1:40" ht="12.75" x14ac:dyDescent="0.2">
      <c r="A216" s="117" t="s">
        <v>1205</v>
      </c>
      <c r="B216" s="117" t="s">
        <v>678</v>
      </c>
      <c r="C216" s="117" t="s">
        <v>677</v>
      </c>
      <c r="D216" s="117" t="s">
        <v>677</v>
      </c>
      <c r="E216" s="117" t="s">
        <v>678</v>
      </c>
      <c r="F216" s="117" t="s">
        <v>677</v>
      </c>
      <c r="G216" s="117" t="s">
        <v>677</v>
      </c>
      <c r="H216" s="117" t="s">
        <v>677</v>
      </c>
      <c r="I216" s="117" t="s">
        <v>1109</v>
      </c>
      <c r="J216" s="117" t="s">
        <v>677</v>
      </c>
      <c r="K216" s="118">
        <f>500/30</f>
        <v>16.666666666666668</v>
      </c>
      <c r="L216" s="118">
        <v>0</v>
      </c>
      <c r="M216" s="117" t="s">
        <v>1206</v>
      </c>
      <c r="N216" s="10"/>
      <c r="O216" s="117" t="s">
        <v>930</v>
      </c>
      <c r="P216" s="117" t="s">
        <v>1198</v>
      </c>
      <c r="Q216" s="117" t="s">
        <v>1162</v>
      </c>
      <c r="R216" s="119"/>
      <c r="S216" s="10">
        <v>1</v>
      </c>
      <c r="T216" s="10">
        <v>0</v>
      </c>
      <c r="U216" s="10">
        <v>0</v>
      </c>
      <c r="V216" s="10">
        <v>0</v>
      </c>
      <c r="W216" s="10">
        <v>0</v>
      </c>
      <c r="X216" s="10"/>
      <c r="Y216" s="120">
        <v>49.166666666666664</v>
      </c>
      <c r="Z216" s="127">
        <v>1</v>
      </c>
      <c r="AA216" s="121">
        <v>49.166666666666664</v>
      </c>
      <c r="AB216" s="122"/>
      <c r="AC216" s="122">
        <v>1</v>
      </c>
      <c r="AD216" s="128">
        <v>8.0333333333333332</v>
      </c>
      <c r="AE216" s="10"/>
      <c r="AF216" s="125" t="s">
        <v>1207</v>
      </c>
      <c r="AG216" s="125" t="s">
        <v>677</v>
      </c>
      <c r="AH216" s="126">
        <v>0</v>
      </c>
      <c r="AI216" s="117" t="s">
        <v>920</v>
      </c>
      <c r="AK216" s="2"/>
      <c r="AL216" s="2"/>
      <c r="AM216" s="2"/>
      <c r="AN216" s="2"/>
    </row>
    <row r="217" spans="1:40" ht="12.75" x14ac:dyDescent="0.2">
      <c r="A217" s="117" t="s">
        <v>902</v>
      </c>
      <c r="B217" s="117" t="s">
        <v>678</v>
      </c>
      <c r="C217" s="117" t="s">
        <v>677</v>
      </c>
      <c r="D217" s="117" t="s">
        <v>677</v>
      </c>
      <c r="E217" s="117" t="s">
        <v>678</v>
      </c>
      <c r="F217" s="117" t="s">
        <v>677</v>
      </c>
      <c r="G217" s="117" t="s">
        <v>677</v>
      </c>
      <c r="H217" s="117" t="s">
        <v>677</v>
      </c>
      <c r="I217" s="117" t="s">
        <v>903</v>
      </c>
      <c r="J217" s="117" t="s">
        <v>679</v>
      </c>
      <c r="K217" s="118">
        <f>502/30</f>
        <v>16.733333333333334</v>
      </c>
      <c r="L217" s="118">
        <v>0</v>
      </c>
      <c r="M217" s="117" t="s">
        <v>906</v>
      </c>
      <c r="N217" s="10"/>
      <c r="O217" s="117" t="s">
        <v>674</v>
      </c>
      <c r="P217" s="117" t="s">
        <v>904</v>
      </c>
      <c r="Q217" s="117" t="s">
        <v>905</v>
      </c>
      <c r="R217" s="119"/>
      <c r="S217" s="10">
        <v>0</v>
      </c>
      <c r="T217" s="10">
        <v>1</v>
      </c>
      <c r="U217" s="10">
        <v>0</v>
      </c>
      <c r="V217" s="10">
        <v>0</v>
      </c>
      <c r="W217" s="10">
        <v>0</v>
      </c>
      <c r="X217" s="10"/>
      <c r="Y217" s="120">
        <v>8.1999999999999993</v>
      </c>
      <c r="Z217" s="117" t="s">
        <v>677</v>
      </c>
      <c r="AA217" s="121">
        <v>8.1999999999999993</v>
      </c>
      <c r="AB217" s="122"/>
      <c r="AC217" s="123">
        <v>1</v>
      </c>
      <c r="AD217" s="124">
        <v>11.066666666666666</v>
      </c>
      <c r="AE217" s="10"/>
      <c r="AF217" s="125" t="s">
        <v>907</v>
      </c>
      <c r="AG217" s="125" t="s">
        <v>678</v>
      </c>
      <c r="AH217" s="126">
        <v>3.9</v>
      </c>
      <c r="AI217" s="117" t="s">
        <v>1494</v>
      </c>
      <c r="AK217" s="2"/>
      <c r="AL217" s="2"/>
      <c r="AM217" s="2"/>
      <c r="AN217" s="2"/>
    </row>
    <row r="218" spans="1:40" ht="12.75" x14ac:dyDescent="0.2">
      <c r="A218" s="117" t="s">
        <v>1209</v>
      </c>
      <c r="B218" s="117" t="s">
        <v>677</v>
      </c>
      <c r="C218" s="117" t="s">
        <v>677</v>
      </c>
      <c r="D218" s="117" t="s">
        <v>678</v>
      </c>
      <c r="E218" s="117" t="s">
        <v>678</v>
      </c>
      <c r="F218" s="117" t="s">
        <v>677</v>
      </c>
      <c r="G218" s="117" t="s">
        <v>677</v>
      </c>
      <c r="H218" s="117" t="s">
        <v>677</v>
      </c>
      <c r="I218" s="117" t="s">
        <v>923</v>
      </c>
      <c r="J218" s="117" t="s">
        <v>677</v>
      </c>
      <c r="K218" s="118">
        <f>365/30</f>
        <v>12.166666666666666</v>
      </c>
      <c r="L218" s="118">
        <v>1</v>
      </c>
      <c r="M218" s="117" t="s">
        <v>1210</v>
      </c>
      <c r="N218" s="10"/>
      <c r="O218" s="117" t="s">
        <v>1070</v>
      </c>
      <c r="P218" s="117" t="s">
        <v>1034</v>
      </c>
      <c r="Q218" s="117" t="s">
        <v>899</v>
      </c>
      <c r="R218" s="119"/>
      <c r="S218" s="10">
        <v>0</v>
      </c>
      <c r="T218" s="10">
        <v>1</v>
      </c>
      <c r="U218" s="10">
        <v>0</v>
      </c>
      <c r="V218" s="10">
        <v>0</v>
      </c>
      <c r="W218" s="10">
        <v>0</v>
      </c>
      <c r="X218" s="10"/>
      <c r="Y218" s="120">
        <v>18.733333333333334</v>
      </c>
      <c r="Z218" s="127">
        <v>1</v>
      </c>
      <c r="AA218" s="121">
        <v>18.733333333333334</v>
      </c>
      <c r="AB218" s="122"/>
      <c r="AC218" s="122">
        <v>1</v>
      </c>
      <c r="AD218" s="128">
        <v>7.3666666666666663</v>
      </c>
      <c r="AE218" s="10"/>
      <c r="AF218" s="125" t="s">
        <v>1211</v>
      </c>
      <c r="AG218" s="125" t="s">
        <v>678</v>
      </c>
      <c r="AH218" s="126">
        <v>2</v>
      </c>
      <c r="AI218" s="117" t="s">
        <v>1955</v>
      </c>
      <c r="AK218" s="2"/>
      <c r="AL218" s="2"/>
      <c r="AM218" s="2"/>
      <c r="AN218" s="2"/>
    </row>
    <row r="219" spans="1:40" ht="12.75" x14ac:dyDescent="0.2">
      <c r="A219" s="117" t="s">
        <v>1537</v>
      </c>
      <c r="B219" s="117" t="s">
        <v>677</v>
      </c>
      <c r="C219" s="117" t="s">
        <v>677</v>
      </c>
      <c r="D219" s="117" t="s">
        <v>678</v>
      </c>
      <c r="E219" s="117" t="s">
        <v>677</v>
      </c>
      <c r="F219" s="117" t="s">
        <v>677</v>
      </c>
      <c r="G219" s="117" t="s">
        <v>677</v>
      </c>
      <c r="H219" s="117" t="s">
        <v>678</v>
      </c>
      <c r="I219" s="117" t="s">
        <v>1505</v>
      </c>
      <c r="J219" s="117" t="s">
        <v>677</v>
      </c>
      <c r="K219" s="118" t="s">
        <v>674</v>
      </c>
      <c r="L219" s="118">
        <v>2</v>
      </c>
      <c r="M219" s="117" t="s">
        <v>1538</v>
      </c>
      <c r="N219" s="10"/>
      <c r="O219" s="117" t="s">
        <v>1188</v>
      </c>
      <c r="P219" s="117" t="s">
        <v>1217</v>
      </c>
      <c r="Q219" s="117" t="s">
        <v>966</v>
      </c>
      <c r="R219" s="119"/>
      <c r="S219" s="10">
        <v>0</v>
      </c>
      <c r="T219" s="10">
        <v>1</v>
      </c>
      <c r="U219" s="10">
        <v>0</v>
      </c>
      <c r="V219" s="10">
        <v>0</v>
      </c>
      <c r="W219" s="10">
        <v>0</v>
      </c>
      <c r="X219" s="10"/>
      <c r="Y219" s="120">
        <v>56.7</v>
      </c>
      <c r="Z219" s="117" t="s">
        <v>678</v>
      </c>
      <c r="AA219" s="121">
        <v>56.7</v>
      </c>
      <c r="AB219" s="122"/>
      <c r="AC219" s="122">
        <v>1</v>
      </c>
      <c r="AD219" s="128">
        <v>9.2666666666666675</v>
      </c>
      <c r="AE219" s="10"/>
      <c r="AF219" s="125" t="s">
        <v>1345</v>
      </c>
      <c r="AG219" s="125" t="s">
        <v>678</v>
      </c>
      <c r="AH219" s="126">
        <v>0</v>
      </c>
      <c r="AI219" s="117" t="s">
        <v>1956</v>
      </c>
      <c r="AJ219" s="2"/>
      <c r="AK219" s="2"/>
      <c r="AL219" s="2"/>
      <c r="AM219" s="2"/>
      <c r="AN219" s="2"/>
    </row>
    <row r="220" spans="1:40" ht="12.75" x14ac:dyDescent="0.2">
      <c r="A220" s="117" t="s">
        <v>908</v>
      </c>
      <c r="B220" s="117" t="s">
        <v>678</v>
      </c>
      <c r="C220" s="117" t="s">
        <v>677</v>
      </c>
      <c r="D220" s="117" t="s">
        <v>678</v>
      </c>
      <c r="E220" s="117" t="s">
        <v>677</v>
      </c>
      <c r="F220" s="117" t="s">
        <v>677</v>
      </c>
      <c r="G220" s="117" t="s">
        <v>677</v>
      </c>
      <c r="H220" s="117" t="s">
        <v>677</v>
      </c>
      <c r="I220" s="117" t="s">
        <v>909</v>
      </c>
      <c r="J220" s="117" t="s">
        <v>677</v>
      </c>
      <c r="K220" s="118">
        <f>755/30</f>
        <v>25.166666666666668</v>
      </c>
      <c r="L220" s="118">
        <v>0</v>
      </c>
      <c r="M220" s="117" t="s">
        <v>913</v>
      </c>
      <c r="N220" s="10"/>
      <c r="O220" s="117" t="s">
        <v>911</v>
      </c>
      <c r="P220" s="117" t="s">
        <v>910</v>
      </c>
      <c r="Q220" s="117" t="s">
        <v>912</v>
      </c>
      <c r="R220" s="119"/>
      <c r="S220" s="10">
        <v>1</v>
      </c>
      <c r="T220" s="10">
        <v>0</v>
      </c>
      <c r="U220" s="10">
        <v>0</v>
      </c>
      <c r="V220" s="10">
        <v>0</v>
      </c>
      <c r="W220" s="10">
        <v>0</v>
      </c>
      <c r="X220" s="10"/>
      <c r="Y220" s="120">
        <v>11.566666666666666</v>
      </c>
      <c r="Z220" s="117" t="s">
        <v>678</v>
      </c>
      <c r="AA220" s="121">
        <v>11.566666666666666</v>
      </c>
      <c r="AB220" s="123"/>
      <c r="AC220" s="123">
        <v>1</v>
      </c>
      <c r="AD220" s="124">
        <v>10.833333333333334</v>
      </c>
      <c r="AE220" s="10"/>
      <c r="AF220" s="125" t="s">
        <v>914</v>
      </c>
      <c r="AG220" s="125" t="s">
        <v>678</v>
      </c>
      <c r="AH220" s="126">
        <v>0</v>
      </c>
      <c r="AI220" s="117" t="s">
        <v>1957</v>
      </c>
      <c r="AJ220" s="2"/>
      <c r="AK220" s="2"/>
      <c r="AL220" s="2"/>
      <c r="AM220" s="2"/>
      <c r="AN220" s="2"/>
    </row>
    <row r="221" spans="1:40" ht="12.75" x14ac:dyDescent="0.2">
      <c r="A221" s="117" t="s">
        <v>915</v>
      </c>
      <c r="B221" s="117" t="s">
        <v>677</v>
      </c>
      <c r="C221" s="117" t="s">
        <v>677</v>
      </c>
      <c r="D221" s="117" t="s">
        <v>677</v>
      </c>
      <c r="E221" s="117" t="s">
        <v>678</v>
      </c>
      <c r="F221" s="117" t="s">
        <v>677</v>
      </c>
      <c r="G221" s="117" t="s">
        <v>677</v>
      </c>
      <c r="H221" s="117" t="s">
        <v>678</v>
      </c>
      <c r="I221" s="117" t="s">
        <v>916</v>
      </c>
      <c r="J221" s="117" t="s">
        <v>679</v>
      </c>
      <c r="K221" s="118">
        <f>940/30</f>
        <v>31.333333333333332</v>
      </c>
      <c r="L221" s="118">
        <v>0</v>
      </c>
      <c r="M221" s="117" t="s">
        <v>920</v>
      </c>
      <c r="N221" s="10"/>
      <c r="O221" s="117" t="s">
        <v>918</v>
      </c>
      <c r="P221" s="117" t="s">
        <v>917</v>
      </c>
      <c r="Q221" s="117" t="s">
        <v>919</v>
      </c>
      <c r="R221" s="119"/>
      <c r="S221" s="10">
        <v>0</v>
      </c>
      <c r="T221" s="10">
        <v>1</v>
      </c>
      <c r="U221" s="10">
        <v>0</v>
      </c>
      <c r="V221" s="10">
        <v>0</v>
      </c>
      <c r="W221" s="10">
        <v>0</v>
      </c>
      <c r="X221" s="10"/>
      <c r="Y221" s="120">
        <v>18.466666666666665</v>
      </c>
      <c r="Z221" s="117" t="s">
        <v>678</v>
      </c>
      <c r="AA221" s="121">
        <v>18.466666666666665</v>
      </c>
      <c r="AB221" s="122"/>
      <c r="AC221" s="123">
        <v>1</v>
      </c>
      <c r="AD221" s="124">
        <v>4.6333333333333337</v>
      </c>
      <c r="AE221" s="10"/>
      <c r="AF221" s="125" t="s">
        <v>921</v>
      </c>
      <c r="AG221" s="125" t="s">
        <v>678</v>
      </c>
      <c r="AH221" s="126">
        <v>5.8</v>
      </c>
      <c r="AI221" s="117" t="s">
        <v>1137</v>
      </c>
      <c r="AJ221" s="2"/>
      <c r="AK221" s="2"/>
      <c r="AL221" s="2"/>
      <c r="AM221" s="2"/>
      <c r="AN221" s="2"/>
    </row>
    <row r="222" spans="1:40" ht="12.75" x14ac:dyDescent="0.2">
      <c r="A222" s="117" t="s">
        <v>1214</v>
      </c>
      <c r="B222" s="117" t="s">
        <v>677</v>
      </c>
      <c r="C222" s="117" t="s">
        <v>677</v>
      </c>
      <c r="D222" s="117" t="s">
        <v>677</v>
      </c>
      <c r="E222" s="117" t="s">
        <v>678</v>
      </c>
      <c r="F222" s="117" t="s">
        <v>677</v>
      </c>
      <c r="G222" s="117" t="s">
        <v>677</v>
      </c>
      <c r="H222" s="117" t="s">
        <v>677</v>
      </c>
      <c r="I222" s="117" t="s">
        <v>976</v>
      </c>
      <c r="J222" s="117" t="s">
        <v>678</v>
      </c>
      <c r="K222" s="118">
        <f>4155/30</f>
        <v>138.5</v>
      </c>
      <c r="L222" s="118">
        <v>0</v>
      </c>
      <c r="M222" s="117" t="s">
        <v>1215</v>
      </c>
      <c r="N222" s="10"/>
      <c r="O222" s="117" t="s">
        <v>948</v>
      </c>
      <c r="P222" s="117" t="s">
        <v>1103</v>
      </c>
      <c r="Q222" s="117" t="s">
        <v>1074</v>
      </c>
      <c r="R222" s="119"/>
      <c r="S222" s="10">
        <v>1</v>
      </c>
      <c r="T222" s="10">
        <v>0</v>
      </c>
      <c r="U222" s="10">
        <v>0</v>
      </c>
      <c r="V222" s="10">
        <v>0</v>
      </c>
      <c r="W222" s="10">
        <v>0</v>
      </c>
      <c r="X222" s="10"/>
      <c r="Y222" s="120">
        <v>61.133333333333333</v>
      </c>
      <c r="Z222" s="127">
        <v>1</v>
      </c>
      <c r="AA222" s="121">
        <v>61.133333333333333</v>
      </c>
      <c r="AB222" s="123"/>
      <c r="AC222" s="122">
        <v>1</v>
      </c>
      <c r="AD222" s="128">
        <v>2.7333333333333334</v>
      </c>
      <c r="AE222" s="10"/>
      <c r="AF222" s="125" t="s">
        <v>1216</v>
      </c>
      <c r="AG222" s="125" t="s">
        <v>677</v>
      </c>
      <c r="AH222" s="126">
        <v>0</v>
      </c>
      <c r="AI222" s="117" t="s">
        <v>1588</v>
      </c>
      <c r="AJ222" s="2"/>
      <c r="AK222" s="2"/>
      <c r="AL222" s="2"/>
      <c r="AM222" s="2"/>
      <c r="AN222" s="2"/>
    </row>
    <row r="223" spans="1:40" ht="12.75" x14ac:dyDescent="0.2">
      <c r="A223" s="117" t="s">
        <v>1539</v>
      </c>
      <c r="B223" s="117" t="s">
        <v>677</v>
      </c>
      <c r="C223" s="117" t="s">
        <v>677</v>
      </c>
      <c r="D223" s="117" t="s">
        <v>677</v>
      </c>
      <c r="E223" s="117" t="s">
        <v>678</v>
      </c>
      <c r="F223" s="117" t="s">
        <v>677</v>
      </c>
      <c r="G223" s="117" t="s">
        <v>677</v>
      </c>
      <c r="H223" s="117" t="s">
        <v>677</v>
      </c>
      <c r="I223" s="117" t="s">
        <v>1096</v>
      </c>
      <c r="J223" s="117" t="s">
        <v>678</v>
      </c>
      <c r="K223" s="118">
        <f>373/30</f>
        <v>12.433333333333334</v>
      </c>
      <c r="L223" s="118">
        <v>1</v>
      </c>
      <c r="M223" s="117" t="s">
        <v>1540</v>
      </c>
      <c r="N223" s="10"/>
      <c r="O223" s="117" t="s">
        <v>1146</v>
      </c>
      <c r="P223" s="117" t="s">
        <v>1257</v>
      </c>
      <c r="Q223" s="117" t="s">
        <v>1091</v>
      </c>
      <c r="R223" s="119"/>
      <c r="S223" s="10">
        <v>0</v>
      </c>
      <c r="T223" s="10">
        <v>1</v>
      </c>
      <c r="U223" s="10">
        <v>0</v>
      </c>
      <c r="V223" s="10">
        <v>0</v>
      </c>
      <c r="W223" s="10">
        <v>0</v>
      </c>
      <c r="X223" s="10"/>
      <c r="Y223" s="120">
        <v>36.4</v>
      </c>
      <c r="Z223" s="127">
        <v>1</v>
      </c>
      <c r="AA223" s="121">
        <v>36.4</v>
      </c>
      <c r="AB223" s="123"/>
      <c r="AC223" s="122">
        <v>1</v>
      </c>
      <c r="AD223" s="128">
        <v>17.766666666666666</v>
      </c>
      <c r="AE223" s="10"/>
      <c r="AF223" s="125" t="s">
        <v>1541</v>
      </c>
      <c r="AG223" s="125" t="s">
        <v>678</v>
      </c>
      <c r="AH223" s="126">
        <v>0</v>
      </c>
      <c r="AI223" s="117" t="s">
        <v>894</v>
      </c>
      <c r="AJ223" s="2"/>
      <c r="AK223" s="2"/>
      <c r="AL223" s="2"/>
      <c r="AM223" s="2"/>
      <c r="AN223" s="2"/>
    </row>
    <row r="224" spans="1:40" ht="12.75" x14ac:dyDescent="0.2">
      <c r="A224" s="117" t="s">
        <v>1543</v>
      </c>
      <c r="B224" s="117" t="s">
        <v>678</v>
      </c>
      <c r="C224" s="117" t="s">
        <v>677</v>
      </c>
      <c r="D224" s="117" t="s">
        <v>678</v>
      </c>
      <c r="E224" s="117" t="s">
        <v>678</v>
      </c>
      <c r="F224" s="117" t="s">
        <v>677</v>
      </c>
      <c r="G224" s="117" t="s">
        <v>677</v>
      </c>
      <c r="H224" s="117" t="s">
        <v>677</v>
      </c>
      <c r="I224" s="117" t="s">
        <v>1234</v>
      </c>
      <c r="J224" s="117" t="s">
        <v>678</v>
      </c>
      <c r="K224" s="118">
        <f>606/30</f>
        <v>20.2</v>
      </c>
      <c r="L224" s="118">
        <v>0</v>
      </c>
      <c r="M224" s="117" t="s">
        <v>1544</v>
      </c>
      <c r="N224" s="10"/>
      <c r="O224" s="117" t="s">
        <v>1047</v>
      </c>
      <c r="P224" s="117" t="s">
        <v>1160</v>
      </c>
      <c r="Q224" s="117" t="s">
        <v>985</v>
      </c>
      <c r="R224" s="119"/>
      <c r="S224" s="10">
        <v>0</v>
      </c>
      <c r="T224" s="10">
        <v>1</v>
      </c>
      <c r="U224" s="10">
        <v>0</v>
      </c>
      <c r="V224" s="10">
        <v>0</v>
      </c>
      <c r="W224" s="10">
        <v>0</v>
      </c>
      <c r="X224" s="10"/>
      <c r="Y224" s="120">
        <v>16.666666666666668</v>
      </c>
      <c r="Z224" s="127">
        <v>1</v>
      </c>
      <c r="AA224" s="121">
        <v>16.666666666666668</v>
      </c>
      <c r="AB224" s="122"/>
      <c r="AC224" s="122">
        <v>1</v>
      </c>
      <c r="AD224" s="128">
        <v>5.666666666666667</v>
      </c>
      <c r="AE224" s="10"/>
      <c r="AF224" s="125" t="s">
        <v>1085</v>
      </c>
      <c r="AG224" s="125" t="s">
        <v>678</v>
      </c>
      <c r="AH224" s="126">
        <v>34.700000000000003</v>
      </c>
      <c r="AI224" s="117" t="s">
        <v>1540</v>
      </c>
      <c r="AJ224" s="2"/>
      <c r="AK224" s="2"/>
      <c r="AL224" s="2"/>
      <c r="AM224" s="2"/>
      <c r="AN224" s="2"/>
    </row>
    <row r="225" spans="1:40" ht="12.75" x14ac:dyDescent="0.2">
      <c r="A225" s="116" t="s">
        <v>922</v>
      </c>
      <c r="B225" s="117" t="s">
        <v>677</v>
      </c>
      <c r="C225" s="117" t="s">
        <v>677</v>
      </c>
      <c r="D225" s="117" t="s">
        <v>677</v>
      </c>
      <c r="E225" s="117" t="s">
        <v>678</v>
      </c>
      <c r="F225" s="117" t="s">
        <v>677</v>
      </c>
      <c r="G225" s="117" t="s">
        <v>677</v>
      </c>
      <c r="H225" s="117" t="s">
        <v>678</v>
      </c>
      <c r="I225" s="117" t="s">
        <v>923</v>
      </c>
      <c r="J225" s="117" t="s">
        <v>678</v>
      </c>
      <c r="K225" s="118">
        <f>3719/30</f>
        <v>123.96666666666667</v>
      </c>
      <c r="L225" s="118">
        <v>0</v>
      </c>
      <c r="M225" s="117" t="s">
        <v>927</v>
      </c>
      <c r="N225" s="10"/>
      <c r="O225" s="117" t="s">
        <v>925</v>
      </c>
      <c r="P225" s="117" t="s">
        <v>924</v>
      </c>
      <c r="Q225" s="117" t="s">
        <v>926</v>
      </c>
      <c r="R225" s="119"/>
      <c r="S225" s="10">
        <v>0</v>
      </c>
      <c r="T225" s="10">
        <v>1</v>
      </c>
      <c r="U225" s="10">
        <v>0</v>
      </c>
      <c r="V225" s="10">
        <v>0</v>
      </c>
      <c r="W225" s="10">
        <v>0</v>
      </c>
      <c r="X225" s="10"/>
      <c r="Y225" s="120">
        <v>41.966666666666669</v>
      </c>
      <c r="Z225" s="117" t="s">
        <v>677</v>
      </c>
      <c r="AA225" s="121">
        <v>41.966666666666669</v>
      </c>
      <c r="AB225" s="122"/>
      <c r="AC225" s="123">
        <v>0</v>
      </c>
      <c r="AD225" s="124">
        <v>71.966666666666669</v>
      </c>
      <c r="AE225" s="10"/>
      <c r="AF225" s="125" t="s">
        <v>901</v>
      </c>
      <c r="AG225" s="125" t="s">
        <v>678</v>
      </c>
      <c r="AH225" s="126">
        <v>0</v>
      </c>
      <c r="AI225" s="117" t="s">
        <v>1240</v>
      </c>
      <c r="AJ225" s="2"/>
      <c r="AK225" s="2"/>
      <c r="AL225" s="2"/>
      <c r="AM225" s="2"/>
      <c r="AN225" s="2"/>
    </row>
    <row r="226" spans="1:40" ht="12.75" x14ac:dyDescent="0.2">
      <c r="A226" s="117" t="s">
        <v>1218</v>
      </c>
      <c r="B226" s="117" t="s">
        <v>679</v>
      </c>
      <c r="C226" s="117" t="s">
        <v>677</v>
      </c>
      <c r="D226" s="117" t="s">
        <v>678</v>
      </c>
      <c r="E226" s="117" t="s">
        <v>677</v>
      </c>
      <c r="F226" s="117" t="s">
        <v>677</v>
      </c>
      <c r="G226" s="117" t="s">
        <v>677</v>
      </c>
      <c r="H226" s="117" t="s">
        <v>677</v>
      </c>
      <c r="I226" s="117" t="s">
        <v>1219</v>
      </c>
      <c r="J226" s="117" t="s">
        <v>678</v>
      </c>
      <c r="K226" s="118" t="s">
        <v>674</v>
      </c>
      <c r="L226" s="118">
        <v>2</v>
      </c>
      <c r="M226" s="117" t="s">
        <v>1220</v>
      </c>
      <c r="N226" s="10"/>
      <c r="O226" s="117" t="s">
        <v>991</v>
      </c>
      <c r="P226" s="117" t="s">
        <v>964</v>
      </c>
      <c r="Q226" s="117" t="s">
        <v>893</v>
      </c>
      <c r="R226" s="119"/>
      <c r="S226" s="10">
        <v>0</v>
      </c>
      <c r="T226" s="10">
        <v>1</v>
      </c>
      <c r="U226" s="10">
        <v>0</v>
      </c>
      <c r="V226" s="10">
        <v>0</v>
      </c>
      <c r="W226" s="10">
        <v>0</v>
      </c>
      <c r="X226" s="10"/>
      <c r="Y226" s="120">
        <v>44.333333333333336</v>
      </c>
      <c r="Z226" s="117" t="s">
        <v>678</v>
      </c>
      <c r="AA226" s="121">
        <v>44.333333333333336</v>
      </c>
      <c r="AB226" s="122"/>
      <c r="AC226" s="123">
        <v>0</v>
      </c>
      <c r="AD226" s="124">
        <v>14.533333333333333</v>
      </c>
      <c r="AE226" s="10"/>
      <c r="AF226" s="125" t="s">
        <v>1025</v>
      </c>
      <c r="AG226" s="125" t="s">
        <v>678</v>
      </c>
      <c r="AH226" s="126">
        <v>0</v>
      </c>
      <c r="AI226" s="117" t="s">
        <v>1960</v>
      </c>
      <c r="AJ226" s="2"/>
      <c r="AK226" s="2"/>
      <c r="AL226" s="2"/>
      <c r="AM226" s="2"/>
      <c r="AN226" s="2"/>
    </row>
    <row r="227" spans="1:40" ht="12.75" x14ac:dyDescent="0.2">
      <c r="A227" s="117" t="s">
        <v>1222</v>
      </c>
      <c r="B227" s="117" t="s">
        <v>679</v>
      </c>
      <c r="C227" s="117" t="s">
        <v>677</v>
      </c>
      <c r="D227" s="117" t="s">
        <v>678</v>
      </c>
      <c r="E227" s="117" t="s">
        <v>678</v>
      </c>
      <c r="F227" s="117" t="s">
        <v>678</v>
      </c>
      <c r="G227" s="117" t="s">
        <v>678</v>
      </c>
      <c r="H227" s="117" t="s">
        <v>678</v>
      </c>
      <c r="I227" s="117" t="s">
        <v>1134</v>
      </c>
      <c r="J227" s="117" t="s">
        <v>678</v>
      </c>
      <c r="K227" s="118" t="s">
        <v>674</v>
      </c>
      <c r="L227" s="118">
        <v>2</v>
      </c>
      <c r="M227" s="117" t="s">
        <v>1129</v>
      </c>
      <c r="N227" s="10"/>
      <c r="O227" s="117" t="s">
        <v>1224</v>
      </c>
      <c r="P227" s="117" t="s">
        <v>1223</v>
      </c>
      <c r="Q227" s="117" t="s">
        <v>957</v>
      </c>
      <c r="R227" s="119"/>
      <c r="S227" s="10">
        <v>1</v>
      </c>
      <c r="T227" s="10">
        <v>0</v>
      </c>
      <c r="U227" s="10">
        <v>0</v>
      </c>
      <c r="V227" s="10">
        <v>0</v>
      </c>
      <c r="W227" s="10">
        <v>0</v>
      </c>
      <c r="X227" s="10"/>
      <c r="Y227" s="120">
        <v>4.7666666666666666</v>
      </c>
      <c r="Z227" s="127">
        <v>1</v>
      </c>
      <c r="AA227" s="121">
        <v>4.7666666666666666</v>
      </c>
      <c r="AB227" s="122"/>
      <c r="AC227" s="122">
        <v>1</v>
      </c>
      <c r="AD227" s="128">
        <v>1.9</v>
      </c>
      <c r="AE227" s="10"/>
      <c r="AF227" s="125" t="s">
        <v>1225</v>
      </c>
      <c r="AG227" s="125" t="s">
        <v>678</v>
      </c>
      <c r="AH227" s="126">
        <v>52.4</v>
      </c>
      <c r="AI227" s="117" t="s">
        <v>1371</v>
      </c>
      <c r="AJ227" s="2"/>
      <c r="AK227" s="2"/>
      <c r="AL227" s="2"/>
      <c r="AM227" s="2"/>
      <c r="AN227" s="2"/>
    </row>
    <row r="228" spans="1:40" ht="12.75" x14ac:dyDescent="0.2">
      <c r="A228" s="117" t="s">
        <v>1228</v>
      </c>
      <c r="B228" s="117" t="s">
        <v>678</v>
      </c>
      <c r="C228" s="117" t="s">
        <v>677</v>
      </c>
      <c r="D228" s="117" t="s">
        <v>677</v>
      </c>
      <c r="E228" s="117" t="s">
        <v>678</v>
      </c>
      <c r="F228" s="117" t="s">
        <v>677</v>
      </c>
      <c r="G228" s="117" t="s">
        <v>677</v>
      </c>
      <c r="H228" s="117" t="s">
        <v>677</v>
      </c>
      <c r="I228" s="117" t="s">
        <v>903</v>
      </c>
      <c r="J228" s="117" t="s">
        <v>678</v>
      </c>
      <c r="K228" s="118">
        <f>1698/30</f>
        <v>56.6</v>
      </c>
      <c r="L228" s="118">
        <v>0</v>
      </c>
      <c r="M228" s="117" t="s">
        <v>1229</v>
      </c>
      <c r="N228" s="10"/>
      <c r="O228" s="117" t="s">
        <v>1141</v>
      </c>
      <c r="P228" s="117" t="s">
        <v>991</v>
      </c>
      <c r="Q228" s="117" t="s">
        <v>1012</v>
      </c>
      <c r="R228" s="119"/>
      <c r="S228" s="10">
        <v>0</v>
      </c>
      <c r="T228" s="10">
        <v>1</v>
      </c>
      <c r="U228" s="10">
        <v>0</v>
      </c>
      <c r="V228" s="10">
        <v>0</v>
      </c>
      <c r="W228" s="10">
        <v>0</v>
      </c>
      <c r="X228" s="10"/>
      <c r="Y228" s="120">
        <v>44.5</v>
      </c>
      <c r="Z228" s="127">
        <v>1</v>
      </c>
      <c r="AA228" s="121">
        <v>44.5</v>
      </c>
      <c r="AB228" s="123"/>
      <c r="AC228" s="122">
        <v>1</v>
      </c>
      <c r="AD228" s="128">
        <v>18.766666666666666</v>
      </c>
      <c r="AE228" s="10"/>
      <c r="AF228" s="125" t="s">
        <v>934</v>
      </c>
      <c r="AG228" s="125" t="s">
        <v>678</v>
      </c>
      <c r="AH228" s="126">
        <v>0</v>
      </c>
      <c r="AI228" s="117" t="s">
        <v>1961</v>
      </c>
      <c r="AJ228" s="2"/>
      <c r="AK228" s="2"/>
      <c r="AL228" s="2"/>
      <c r="AM228" s="2"/>
      <c r="AN228" s="2"/>
    </row>
    <row r="229" spans="1:40" ht="12.75" x14ac:dyDescent="0.2">
      <c r="A229" s="117" t="s">
        <v>1545</v>
      </c>
      <c r="B229" s="117" t="s">
        <v>678</v>
      </c>
      <c r="C229" s="117" t="s">
        <v>677</v>
      </c>
      <c r="D229" s="117" t="s">
        <v>678</v>
      </c>
      <c r="E229" s="117" t="s">
        <v>678</v>
      </c>
      <c r="F229" s="117" t="s">
        <v>677</v>
      </c>
      <c r="G229" s="117" t="s">
        <v>677</v>
      </c>
      <c r="H229" s="117" t="s">
        <v>678</v>
      </c>
      <c r="I229" s="117" t="s">
        <v>983</v>
      </c>
      <c r="J229" s="117" t="s">
        <v>677</v>
      </c>
      <c r="K229" s="118">
        <f>699/30</f>
        <v>23.3</v>
      </c>
      <c r="L229" s="118">
        <v>0</v>
      </c>
      <c r="M229" s="117" t="s">
        <v>1547</v>
      </c>
      <c r="N229" s="10"/>
      <c r="O229" s="117" t="s">
        <v>1064</v>
      </c>
      <c r="P229" s="117" t="s">
        <v>1546</v>
      </c>
      <c r="Q229" s="117" t="s">
        <v>1038</v>
      </c>
      <c r="R229" s="119"/>
      <c r="S229" s="10">
        <v>0</v>
      </c>
      <c r="T229" s="10">
        <v>1</v>
      </c>
      <c r="U229" s="10">
        <v>0</v>
      </c>
      <c r="V229" s="10">
        <v>0</v>
      </c>
      <c r="W229" s="10">
        <v>0</v>
      </c>
      <c r="X229" s="10"/>
      <c r="Y229" s="120">
        <v>25.033333333333335</v>
      </c>
      <c r="Z229" s="127">
        <v>1</v>
      </c>
      <c r="AA229" s="121">
        <v>25.033333333333335</v>
      </c>
      <c r="AB229" s="122"/>
      <c r="AC229" s="122">
        <v>1</v>
      </c>
      <c r="AD229" s="128">
        <v>5.0666666666666664</v>
      </c>
      <c r="AE229" s="10"/>
      <c r="AF229" s="125" t="s">
        <v>1548</v>
      </c>
      <c r="AG229" s="125" t="s">
        <v>678</v>
      </c>
      <c r="AH229" s="126">
        <v>50.2</v>
      </c>
      <c r="AI229" s="117" t="s">
        <v>1494</v>
      </c>
      <c r="AJ229" s="2"/>
      <c r="AK229" s="2"/>
      <c r="AL229" s="2"/>
      <c r="AM229" s="2"/>
      <c r="AN229" s="2"/>
    </row>
    <row r="230" spans="1:40" ht="12.75" x14ac:dyDescent="0.2">
      <c r="A230" s="117" t="s">
        <v>1231</v>
      </c>
      <c r="B230" s="117" t="s">
        <v>677</v>
      </c>
      <c r="C230" s="117" t="s">
        <v>677</v>
      </c>
      <c r="D230" s="117" t="s">
        <v>678</v>
      </c>
      <c r="E230" s="117" t="s">
        <v>677</v>
      </c>
      <c r="F230" s="117" t="s">
        <v>677</v>
      </c>
      <c r="G230" s="117" t="s">
        <v>677</v>
      </c>
      <c r="H230" s="117" t="s">
        <v>677</v>
      </c>
      <c r="I230" s="117" t="s">
        <v>1051</v>
      </c>
      <c r="J230" s="117" t="s">
        <v>677</v>
      </c>
      <c r="K230" s="118">
        <f>368/30</f>
        <v>12.266666666666667</v>
      </c>
      <c r="L230" s="118">
        <v>1</v>
      </c>
      <c r="M230" s="117" t="s">
        <v>1232</v>
      </c>
      <c r="N230" s="10"/>
      <c r="O230" s="117" t="s">
        <v>1047</v>
      </c>
      <c r="P230" s="117" t="s">
        <v>917</v>
      </c>
      <c r="Q230" s="117" t="s">
        <v>952</v>
      </c>
      <c r="R230" s="119"/>
      <c r="S230" s="10">
        <v>0</v>
      </c>
      <c r="T230" s="10">
        <v>1</v>
      </c>
      <c r="U230" s="10">
        <v>0</v>
      </c>
      <c r="V230" s="10">
        <v>0</v>
      </c>
      <c r="W230" s="10">
        <v>0</v>
      </c>
      <c r="X230" s="10"/>
      <c r="Y230" s="120">
        <v>29.133333333333333</v>
      </c>
      <c r="Z230" s="127">
        <v>1</v>
      </c>
      <c r="AA230" s="121">
        <v>29.133333333333333</v>
      </c>
      <c r="AB230" s="122"/>
      <c r="AC230" s="122">
        <v>1</v>
      </c>
      <c r="AD230" s="128">
        <v>2.7666666666666666</v>
      </c>
      <c r="AE230" s="10"/>
      <c r="AF230" s="125" t="s">
        <v>1233</v>
      </c>
      <c r="AG230" s="125" t="s">
        <v>678</v>
      </c>
      <c r="AH230" s="126">
        <v>0</v>
      </c>
      <c r="AI230" s="117" t="s">
        <v>1391</v>
      </c>
      <c r="AJ230" s="2"/>
      <c r="AK230" s="2"/>
      <c r="AL230" s="2"/>
      <c r="AM230" s="2"/>
      <c r="AN230" s="2"/>
    </row>
    <row r="231" spans="1:40" ht="12.75" x14ac:dyDescent="0.2">
      <c r="A231" s="116" t="s">
        <v>928</v>
      </c>
      <c r="B231" s="117" t="s">
        <v>678</v>
      </c>
      <c r="C231" s="117" t="s">
        <v>677</v>
      </c>
      <c r="D231" s="117" t="s">
        <v>678</v>
      </c>
      <c r="E231" s="117" t="s">
        <v>677</v>
      </c>
      <c r="F231" s="117" t="s">
        <v>677</v>
      </c>
      <c r="G231" s="117" t="s">
        <v>677</v>
      </c>
      <c r="H231" s="117" t="s">
        <v>677</v>
      </c>
      <c r="I231" s="117" t="s">
        <v>929</v>
      </c>
      <c r="J231" s="117" t="s">
        <v>677</v>
      </c>
      <c r="K231" s="118">
        <f>1112/30</f>
        <v>37.06666666666667</v>
      </c>
      <c r="L231" s="118">
        <v>0</v>
      </c>
      <c r="M231" s="117" t="s">
        <v>933</v>
      </c>
      <c r="N231" s="10"/>
      <c r="O231" s="117" t="s">
        <v>931</v>
      </c>
      <c r="P231" s="117" t="s">
        <v>930</v>
      </c>
      <c r="Q231" s="117" t="s">
        <v>932</v>
      </c>
      <c r="R231" s="119"/>
      <c r="S231" s="10">
        <v>0</v>
      </c>
      <c r="T231" s="10">
        <v>1</v>
      </c>
      <c r="U231" s="10">
        <v>0</v>
      </c>
      <c r="V231" s="10">
        <v>0</v>
      </c>
      <c r="W231" s="10">
        <v>0</v>
      </c>
      <c r="X231" s="10"/>
      <c r="Y231" s="120">
        <v>70.7</v>
      </c>
      <c r="Z231" s="117" t="s">
        <v>677</v>
      </c>
      <c r="AA231" s="121">
        <v>70.7</v>
      </c>
      <c r="AB231" s="122"/>
      <c r="AC231" s="123">
        <v>0</v>
      </c>
      <c r="AD231" s="124">
        <v>72.333333333333329</v>
      </c>
      <c r="AE231" s="10"/>
      <c r="AF231" s="125" t="s">
        <v>934</v>
      </c>
      <c r="AG231" s="125" t="s">
        <v>678</v>
      </c>
      <c r="AH231" s="126">
        <v>2.5</v>
      </c>
      <c r="AI231" s="117" t="s">
        <v>1606</v>
      </c>
      <c r="AJ231" s="2"/>
      <c r="AK231" s="2"/>
      <c r="AL231" s="2"/>
      <c r="AM231" s="2"/>
      <c r="AN231" s="2"/>
    </row>
    <row r="232" spans="1:40" ht="12.75" x14ac:dyDescent="0.2">
      <c r="A232" s="117" t="s">
        <v>1235</v>
      </c>
      <c r="B232" s="117" t="s">
        <v>677</v>
      </c>
      <c r="C232" s="117" t="s">
        <v>677</v>
      </c>
      <c r="D232" s="117" t="s">
        <v>678</v>
      </c>
      <c r="E232" s="117" t="s">
        <v>678</v>
      </c>
      <c r="F232" s="117" t="s">
        <v>677</v>
      </c>
      <c r="G232" s="117" t="s">
        <v>677</v>
      </c>
      <c r="H232" s="117" t="s">
        <v>677</v>
      </c>
      <c r="I232" s="117" t="s">
        <v>1041</v>
      </c>
      <c r="J232" s="117" t="s">
        <v>677</v>
      </c>
      <c r="K232" s="118">
        <f>4794/30</f>
        <v>159.80000000000001</v>
      </c>
      <c r="L232" s="118">
        <v>0</v>
      </c>
      <c r="M232" s="117" t="s">
        <v>1237</v>
      </c>
      <c r="N232" s="10"/>
      <c r="O232" s="117" t="s">
        <v>925</v>
      </c>
      <c r="P232" s="117" t="s">
        <v>1236</v>
      </c>
      <c r="Q232" s="117" t="s">
        <v>1067</v>
      </c>
      <c r="R232" s="119"/>
      <c r="S232" s="10">
        <v>0</v>
      </c>
      <c r="T232" s="10">
        <v>1</v>
      </c>
      <c r="U232" s="10">
        <v>0</v>
      </c>
      <c r="V232" s="10">
        <v>0</v>
      </c>
      <c r="W232" s="10">
        <v>0</v>
      </c>
      <c r="X232" s="10"/>
      <c r="Y232" s="120">
        <v>41.533333333333331</v>
      </c>
      <c r="Z232" s="127">
        <v>1</v>
      </c>
      <c r="AA232" s="121">
        <v>41.533333333333331</v>
      </c>
      <c r="AB232" s="122"/>
      <c r="AC232" s="122">
        <v>1</v>
      </c>
      <c r="AD232" s="128">
        <v>19.433333333333334</v>
      </c>
      <c r="AE232" s="10"/>
      <c r="AF232" s="125" t="s">
        <v>1085</v>
      </c>
      <c r="AG232" s="125" t="s">
        <v>678</v>
      </c>
      <c r="AH232" s="126">
        <v>0</v>
      </c>
      <c r="AI232" s="117" t="s">
        <v>1628</v>
      </c>
      <c r="AJ232" s="2"/>
      <c r="AK232" s="2"/>
      <c r="AL232" s="2"/>
      <c r="AM232" s="2"/>
      <c r="AN232" s="2"/>
    </row>
    <row r="233" spans="1:40" ht="12.75" x14ac:dyDescent="0.2">
      <c r="A233" s="117" t="s">
        <v>935</v>
      </c>
      <c r="B233" s="117" t="s">
        <v>677</v>
      </c>
      <c r="C233" s="117" t="s">
        <v>677</v>
      </c>
      <c r="D233" s="117" t="s">
        <v>677</v>
      </c>
      <c r="E233" s="117" t="s">
        <v>678</v>
      </c>
      <c r="F233" s="117" t="s">
        <v>677</v>
      </c>
      <c r="G233" s="117" t="s">
        <v>677</v>
      </c>
      <c r="H233" s="117" t="s">
        <v>678</v>
      </c>
      <c r="I233" s="117" t="s">
        <v>936</v>
      </c>
      <c r="J233" s="117" t="s">
        <v>679</v>
      </c>
      <c r="K233" s="118">
        <f>2780/30</f>
        <v>92.666666666666671</v>
      </c>
      <c r="L233" s="118">
        <v>0</v>
      </c>
      <c r="M233" s="117" t="s">
        <v>939</v>
      </c>
      <c r="N233" s="10"/>
      <c r="O233" s="117" t="s">
        <v>674</v>
      </c>
      <c r="P233" s="117" t="s">
        <v>937</v>
      </c>
      <c r="Q233" s="117" t="s">
        <v>938</v>
      </c>
      <c r="R233" s="119"/>
      <c r="S233" s="10">
        <v>1</v>
      </c>
      <c r="T233" s="10">
        <v>0</v>
      </c>
      <c r="U233" s="10">
        <v>0</v>
      </c>
      <c r="V233" s="10">
        <v>0</v>
      </c>
      <c r="W233" s="10">
        <v>0</v>
      </c>
      <c r="X233" s="10"/>
      <c r="Y233" s="120">
        <v>10.266666666666667</v>
      </c>
      <c r="Z233" s="117" t="s">
        <v>678</v>
      </c>
      <c r="AA233" s="121">
        <v>10.266666666666667</v>
      </c>
      <c r="AB233" s="122"/>
      <c r="AC233" s="123">
        <v>0</v>
      </c>
      <c r="AD233" s="124">
        <v>8.1666666666666661</v>
      </c>
      <c r="AE233" s="10"/>
      <c r="AF233" s="125" t="s">
        <v>940</v>
      </c>
      <c r="AG233" s="125" t="s">
        <v>678</v>
      </c>
      <c r="AH233" s="126">
        <v>0</v>
      </c>
      <c r="AI233" s="117" t="s">
        <v>1963</v>
      </c>
      <c r="AJ233" s="2"/>
      <c r="AK233" s="2"/>
      <c r="AL233" s="2"/>
      <c r="AM233" s="2"/>
      <c r="AN233" s="2"/>
    </row>
    <row r="234" spans="1:40" ht="12.75" x14ac:dyDescent="0.2">
      <c r="A234" s="117" t="s">
        <v>941</v>
      </c>
      <c r="B234" s="117" t="s">
        <v>679</v>
      </c>
      <c r="C234" s="117" t="s">
        <v>677</v>
      </c>
      <c r="D234" s="117" t="s">
        <v>678</v>
      </c>
      <c r="E234" s="117" t="s">
        <v>677</v>
      </c>
      <c r="F234" s="117" t="s">
        <v>677</v>
      </c>
      <c r="G234" s="117" t="s">
        <v>677</v>
      </c>
      <c r="H234" s="117" t="s">
        <v>678</v>
      </c>
      <c r="I234" s="117" t="s">
        <v>896</v>
      </c>
      <c r="J234" s="117" t="s">
        <v>678</v>
      </c>
      <c r="K234" s="118" t="s">
        <v>674</v>
      </c>
      <c r="L234" s="118">
        <v>2</v>
      </c>
      <c r="M234" s="117" t="s">
        <v>945</v>
      </c>
      <c r="N234" s="10"/>
      <c r="O234" s="117" t="s">
        <v>943</v>
      </c>
      <c r="P234" s="117" t="s">
        <v>942</v>
      </c>
      <c r="Q234" s="117" t="s">
        <v>944</v>
      </c>
      <c r="R234" s="119"/>
      <c r="S234" s="10">
        <v>0</v>
      </c>
      <c r="T234" s="10">
        <v>1</v>
      </c>
      <c r="U234" s="10">
        <v>0</v>
      </c>
      <c r="V234" s="10">
        <v>0</v>
      </c>
      <c r="W234" s="10">
        <v>0</v>
      </c>
      <c r="X234" s="10"/>
      <c r="Y234" s="120">
        <v>32.866666666666667</v>
      </c>
      <c r="Z234" s="117" t="s">
        <v>678</v>
      </c>
      <c r="AA234" s="121">
        <v>32.866666666666667</v>
      </c>
      <c r="AB234" s="122"/>
      <c r="AC234" s="123">
        <v>1</v>
      </c>
      <c r="AD234" s="124">
        <v>9.5666666666666664</v>
      </c>
      <c r="AE234" s="10"/>
      <c r="AF234" s="125" t="s">
        <v>946</v>
      </c>
      <c r="AG234" s="125" t="s">
        <v>678</v>
      </c>
      <c r="AH234" s="126">
        <v>0</v>
      </c>
      <c r="AI234" s="117" t="s">
        <v>1542</v>
      </c>
      <c r="AJ234" s="2"/>
      <c r="AK234" s="2"/>
      <c r="AL234" s="2"/>
      <c r="AM234" s="2"/>
      <c r="AN234" s="2"/>
    </row>
    <row r="235" spans="1:40" ht="12.75" x14ac:dyDescent="0.2">
      <c r="A235" s="117" t="s">
        <v>1241</v>
      </c>
      <c r="B235" s="117" t="s">
        <v>678</v>
      </c>
      <c r="C235" s="117" t="s">
        <v>677</v>
      </c>
      <c r="D235" s="117" t="s">
        <v>678</v>
      </c>
      <c r="E235" s="117" t="s">
        <v>678</v>
      </c>
      <c r="F235" s="117" t="s">
        <v>677</v>
      </c>
      <c r="G235" s="117" t="s">
        <v>677</v>
      </c>
      <c r="H235" s="117" t="s">
        <v>677</v>
      </c>
      <c r="I235" s="117" t="s">
        <v>936</v>
      </c>
      <c r="J235" s="117" t="s">
        <v>678</v>
      </c>
      <c r="K235" s="118">
        <f>611/30</f>
        <v>20.366666666666667</v>
      </c>
      <c r="L235" s="118">
        <v>0</v>
      </c>
      <c r="M235" s="117" t="s">
        <v>927</v>
      </c>
      <c r="N235" s="10"/>
      <c r="O235" s="117" t="s">
        <v>1070</v>
      </c>
      <c r="P235" s="117" t="s">
        <v>930</v>
      </c>
      <c r="Q235" s="117" t="s">
        <v>1074</v>
      </c>
      <c r="R235" s="119"/>
      <c r="S235" s="10">
        <v>1</v>
      </c>
      <c r="T235" s="10">
        <v>0</v>
      </c>
      <c r="U235" s="10">
        <v>0</v>
      </c>
      <c r="V235" s="10">
        <v>0</v>
      </c>
      <c r="W235" s="10">
        <v>0</v>
      </c>
      <c r="X235" s="10"/>
      <c r="Y235" s="120">
        <v>24.233333333333334</v>
      </c>
      <c r="Z235" s="127">
        <v>1</v>
      </c>
      <c r="AA235" s="121">
        <v>24.233333333333334</v>
      </c>
      <c r="AB235" s="123"/>
      <c r="AC235" s="122">
        <v>1</v>
      </c>
      <c r="AD235" s="128">
        <v>14.666666666666666</v>
      </c>
      <c r="AE235" s="10"/>
      <c r="AF235" s="125" t="s">
        <v>1242</v>
      </c>
      <c r="AG235" s="125" t="s">
        <v>678</v>
      </c>
      <c r="AH235" s="126">
        <v>52.9</v>
      </c>
      <c r="AI235" s="117" t="s">
        <v>1240</v>
      </c>
      <c r="AJ235" s="2"/>
      <c r="AK235" s="2"/>
      <c r="AL235" s="2"/>
      <c r="AM235" s="2"/>
      <c r="AN235" s="2"/>
    </row>
    <row r="236" spans="1:40" ht="12.75" x14ac:dyDescent="0.2">
      <c r="A236" s="117" t="s">
        <v>1244</v>
      </c>
      <c r="B236" s="117" t="s">
        <v>677</v>
      </c>
      <c r="C236" s="117" t="s">
        <v>677</v>
      </c>
      <c r="D236" s="117" t="s">
        <v>678</v>
      </c>
      <c r="E236" s="117" t="s">
        <v>678</v>
      </c>
      <c r="F236" s="117" t="s">
        <v>677</v>
      </c>
      <c r="G236" s="117" t="s">
        <v>677</v>
      </c>
      <c r="H236" s="117" t="s">
        <v>677</v>
      </c>
      <c r="I236" s="117" t="s">
        <v>963</v>
      </c>
      <c r="J236" s="117" t="s">
        <v>678</v>
      </c>
      <c r="K236" s="118">
        <f>1799/30</f>
        <v>59.966666666666669</v>
      </c>
      <c r="L236" s="118">
        <v>0</v>
      </c>
      <c r="M236" s="117" t="s">
        <v>1246</v>
      </c>
      <c r="N236" s="10"/>
      <c r="O236" s="117" t="s">
        <v>1245</v>
      </c>
      <c r="P236" s="117" t="s">
        <v>917</v>
      </c>
      <c r="Q236" s="117" t="s">
        <v>1012</v>
      </c>
      <c r="R236" s="119"/>
      <c r="S236" s="10">
        <v>0</v>
      </c>
      <c r="T236" s="10">
        <v>1</v>
      </c>
      <c r="U236" s="10">
        <v>0</v>
      </c>
      <c r="V236" s="10">
        <v>0</v>
      </c>
      <c r="W236" s="10">
        <v>0</v>
      </c>
      <c r="X236" s="10"/>
      <c r="Y236" s="120">
        <v>20.133333333333333</v>
      </c>
      <c r="Z236" s="127">
        <v>1</v>
      </c>
      <c r="AA236" s="121">
        <v>20.133333333333333</v>
      </c>
      <c r="AB236" s="123"/>
      <c r="AC236" s="122">
        <v>1</v>
      </c>
      <c r="AD236" s="128">
        <v>7.5</v>
      </c>
      <c r="AE236" s="10"/>
      <c r="AF236" s="125" t="s">
        <v>1247</v>
      </c>
      <c r="AG236" s="125" t="s">
        <v>678</v>
      </c>
      <c r="AH236" s="126">
        <v>17.399999999999999</v>
      </c>
      <c r="AI236" s="117" t="s">
        <v>1598</v>
      </c>
      <c r="AJ236" s="2"/>
      <c r="AK236" s="2"/>
      <c r="AL236" s="2"/>
      <c r="AM236" s="2"/>
      <c r="AN236" s="2"/>
    </row>
    <row r="237" spans="1:40" ht="12.75" x14ac:dyDescent="0.2">
      <c r="A237" s="117" t="s">
        <v>1248</v>
      </c>
      <c r="B237" s="117" t="s">
        <v>677</v>
      </c>
      <c r="C237" s="117" t="s">
        <v>677</v>
      </c>
      <c r="D237" s="117" t="s">
        <v>677</v>
      </c>
      <c r="E237" s="117" t="s">
        <v>678</v>
      </c>
      <c r="F237" s="117" t="s">
        <v>678</v>
      </c>
      <c r="G237" s="117" t="s">
        <v>677</v>
      </c>
      <c r="H237" s="117" t="s">
        <v>677</v>
      </c>
      <c r="I237" s="117" t="s">
        <v>970</v>
      </c>
      <c r="J237" s="117" t="s">
        <v>679</v>
      </c>
      <c r="K237" s="118">
        <f>308/30</f>
        <v>10.266666666666667</v>
      </c>
      <c r="L237" s="118">
        <v>1</v>
      </c>
      <c r="M237" s="117" t="s">
        <v>1250</v>
      </c>
      <c r="N237" s="10"/>
      <c r="O237" s="117" t="s">
        <v>1092</v>
      </c>
      <c r="P237" s="117" t="s">
        <v>1249</v>
      </c>
      <c r="Q237" s="117" t="s">
        <v>1071</v>
      </c>
      <c r="R237" s="119"/>
      <c r="S237" s="10">
        <v>0</v>
      </c>
      <c r="T237" s="10">
        <v>1</v>
      </c>
      <c r="U237" s="10">
        <v>0</v>
      </c>
      <c r="V237" s="10">
        <v>0</v>
      </c>
      <c r="W237" s="10">
        <v>0</v>
      </c>
      <c r="X237" s="10"/>
      <c r="Y237" s="120">
        <v>20.233333333333334</v>
      </c>
      <c r="Z237" s="117" t="s">
        <v>678</v>
      </c>
      <c r="AA237" s="121">
        <v>20.233333333333334</v>
      </c>
      <c r="AB237" s="122"/>
      <c r="AC237" s="122">
        <v>1</v>
      </c>
      <c r="AD237" s="128">
        <v>15.066666666666666</v>
      </c>
      <c r="AE237" s="10"/>
      <c r="AF237" s="125" t="s">
        <v>1251</v>
      </c>
      <c r="AG237" s="125" t="s">
        <v>678</v>
      </c>
      <c r="AH237" s="126">
        <v>24.6</v>
      </c>
      <c r="AI237" s="117" t="s">
        <v>1964</v>
      </c>
      <c r="AJ237" s="2"/>
      <c r="AK237" s="2"/>
      <c r="AL237" s="2"/>
      <c r="AM237" s="2"/>
      <c r="AN237" s="2"/>
    </row>
    <row r="238" spans="1:40" ht="12.75" x14ac:dyDescent="0.2">
      <c r="A238" s="117" t="s">
        <v>1549</v>
      </c>
      <c r="B238" s="117" t="s">
        <v>679</v>
      </c>
      <c r="C238" s="117" t="s">
        <v>677</v>
      </c>
      <c r="D238" s="117" t="s">
        <v>678</v>
      </c>
      <c r="E238" s="117" t="s">
        <v>677</v>
      </c>
      <c r="F238" s="117" t="s">
        <v>677</v>
      </c>
      <c r="G238" s="117" t="s">
        <v>677</v>
      </c>
      <c r="H238" s="117" t="s">
        <v>677</v>
      </c>
      <c r="I238" s="117" t="s">
        <v>1026</v>
      </c>
      <c r="J238" s="117" t="s">
        <v>677</v>
      </c>
      <c r="K238" s="118">
        <f>1621/30</f>
        <v>54.033333333333331</v>
      </c>
      <c r="L238" s="118">
        <v>0</v>
      </c>
      <c r="M238" s="117" t="s">
        <v>1550</v>
      </c>
      <c r="N238" s="10"/>
      <c r="O238" s="117" t="s">
        <v>904</v>
      </c>
      <c r="P238" s="117" t="s">
        <v>917</v>
      </c>
      <c r="Q238" s="117" t="s">
        <v>1239</v>
      </c>
      <c r="R238" s="119"/>
      <c r="S238" s="10">
        <v>1</v>
      </c>
      <c r="T238" s="10">
        <v>0</v>
      </c>
      <c r="U238" s="10">
        <v>0</v>
      </c>
      <c r="V238" s="10">
        <v>0</v>
      </c>
      <c r="W238" s="10">
        <v>0</v>
      </c>
      <c r="X238" s="10"/>
      <c r="Y238" s="120">
        <v>43.6</v>
      </c>
      <c r="Z238" s="117" t="s">
        <v>678</v>
      </c>
      <c r="AA238" s="121">
        <v>43.6</v>
      </c>
      <c r="AB238" s="123"/>
      <c r="AC238" s="122">
        <v>1</v>
      </c>
      <c r="AD238" s="128">
        <v>3.6</v>
      </c>
      <c r="AE238" s="10"/>
      <c r="AF238" s="125" t="s">
        <v>1366</v>
      </c>
      <c r="AG238" s="125" t="s">
        <v>678</v>
      </c>
      <c r="AH238" s="126">
        <v>0</v>
      </c>
      <c r="AI238" s="117" t="s">
        <v>1094</v>
      </c>
      <c r="AJ238" s="2"/>
      <c r="AK238" s="2"/>
      <c r="AL238" s="2"/>
      <c r="AM238" s="2"/>
      <c r="AN238" s="2"/>
    </row>
    <row r="239" spans="1:40" ht="12.75" x14ac:dyDescent="0.2">
      <c r="A239" s="117" t="s">
        <v>1551</v>
      </c>
      <c r="B239" s="117" t="s">
        <v>678</v>
      </c>
      <c r="C239" s="117" t="s">
        <v>677</v>
      </c>
      <c r="D239" s="117" t="s">
        <v>678</v>
      </c>
      <c r="E239" s="117" t="s">
        <v>678</v>
      </c>
      <c r="F239" s="117" t="s">
        <v>677</v>
      </c>
      <c r="G239" s="117" t="s">
        <v>677</v>
      </c>
      <c r="H239" s="117" t="s">
        <v>678</v>
      </c>
      <c r="I239" s="117" t="s">
        <v>936</v>
      </c>
      <c r="J239" s="117" t="s">
        <v>678</v>
      </c>
      <c r="K239" s="118">
        <f>214/30</f>
        <v>7.1333333333333337</v>
      </c>
      <c r="L239" s="118">
        <v>1</v>
      </c>
      <c r="M239" s="117" t="s">
        <v>1455</v>
      </c>
      <c r="N239" s="10"/>
      <c r="O239" s="117" t="s">
        <v>1376</v>
      </c>
      <c r="P239" s="117" t="s">
        <v>943</v>
      </c>
      <c r="Q239" s="117" t="s">
        <v>1053</v>
      </c>
      <c r="R239" s="119"/>
      <c r="S239" s="10">
        <v>1</v>
      </c>
      <c r="T239" s="10">
        <v>0</v>
      </c>
      <c r="U239" s="10">
        <v>0</v>
      </c>
      <c r="V239" s="10">
        <v>0</v>
      </c>
      <c r="W239" s="10">
        <v>0</v>
      </c>
      <c r="X239" s="10"/>
      <c r="Y239" s="120">
        <v>16.833333333333332</v>
      </c>
      <c r="Z239" s="127">
        <v>1</v>
      </c>
      <c r="AA239" s="121">
        <v>16.833333333333332</v>
      </c>
      <c r="AB239" s="122"/>
      <c r="AC239" s="123">
        <v>0</v>
      </c>
      <c r="AD239" s="124">
        <v>3.3</v>
      </c>
      <c r="AE239" s="10"/>
      <c r="AF239" s="125" t="s">
        <v>1552</v>
      </c>
      <c r="AG239" s="125" t="s">
        <v>678</v>
      </c>
      <c r="AH239" s="126">
        <v>89.2</v>
      </c>
      <c r="AI239" s="117" t="s">
        <v>1507</v>
      </c>
      <c r="AJ239" s="2"/>
      <c r="AK239" s="2"/>
      <c r="AL239" s="2"/>
      <c r="AM239" s="2"/>
      <c r="AN239" s="2"/>
    </row>
    <row r="240" spans="1:40" ht="12.75" x14ac:dyDescent="0.2">
      <c r="A240" s="117" t="s">
        <v>1253</v>
      </c>
      <c r="B240" s="117" t="s">
        <v>677</v>
      </c>
      <c r="C240" s="117" t="s">
        <v>677</v>
      </c>
      <c r="D240" s="117" t="s">
        <v>678</v>
      </c>
      <c r="E240" s="117" t="s">
        <v>677</v>
      </c>
      <c r="F240" s="117" t="s">
        <v>677</v>
      </c>
      <c r="G240" s="117" t="s">
        <v>677</v>
      </c>
      <c r="H240" s="117" t="s">
        <v>677</v>
      </c>
      <c r="I240" s="117" t="s">
        <v>970</v>
      </c>
      <c r="J240" s="117" t="s">
        <v>678</v>
      </c>
      <c r="K240" s="118">
        <f>2571/30</f>
        <v>85.7</v>
      </c>
      <c r="L240" s="118">
        <v>0</v>
      </c>
      <c r="M240" s="117" t="s">
        <v>1255</v>
      </c>
      <c r="N240" s="10"/>
      <c r="O240" s="117" t="s">
        <v>1146</v>
      </c>
      <c r="P240" s="117" t="s">
        <v>917</v>
      </c>
      <c r="Q240" s="117" t="s">
        <v>1254</v>
      </c>
      <c r="R240" s="119"/>
      <c r="S240" s="10">
        <v>1</v>
      </c>
      <c r="T240" s="10">
        <v>0</v>
      </c>
      <c r="U240" s="10">
        <v>0</v>
      </c>
      <c r="V240" s="10">
        <v>0</v>
      </c>
      <c r="W240" s="10">
        <v>0</v>
      </c>
      <c r="X240" s="10"/>
      <c r="Y240" s="120">
        <v>33.533333333333331</v>
      </c>
      <c r="Z240" s="127">
        <v>1</v>
      </c>
      <c r="AA240" s="121">
        <v>33.533333333333331</v>
      </c>
      <c r="AB240" s="122"/>
      <c r="AC240" s="122">
        <v>1</v>
      </c>
      <c r="AD240" s="128">
        <v>7.4666666666666668</v>
      </c>
      <c r="AE240" s="10"/>
      <c r="AF240" s="125" t="s">
        <v>1256</v>
      </c>
      <c r="AG240" s="125" t="s">
        <v>678</v>
      </c>
      <c r="AH240" s="126">
        <v>6.8</v>
      </c>
      <c r="AI240" s="117" t="s">
        <v>1608</v>
      </c>
      <c r="AJ240" s="2"/>
      <c r="AK240" s="2"/>
      <c r="AL240" s="2"/>
      <c r="AM240" s="2"/>
      <c r="AN240" s="2"/>
    </row>
    <row r="241" spans="1:40" ht="12.75" x14ac:dyDescent="0.2">
      <c r="A241" s="117" t="s">
        <v>1259</v>
      </c>
      <c r="B241" s="117" t="s">
        <v>677</v>
      </c>
      <c r="C241" s="117" t="s">
        <v>677</v>
      </c>
      <c r="D241" s="117" t="s">
        <v>677</v>
      </c>
      <c r="E241" s="117" t="s">
        <v>678</v>
      </c>
      <c r="F241" s="117" t="s">
        <v>678</v>
      </c>
      <c r="G241" s="117" t="s">
        <v>677</v>
      </c>
      <c r="H241" s="117" t="s">
        <v>677</v>
      </c>
      <c r="I241" s="117" t="s">
        <v>976</v>
      </c>
      <c r="J241" s="117" t="s">
        <v>678</v>
      </c>
      <c r="K241" s="118">
        <f>1002/30</f>
        <v>33.4</v>
      </c>
      <c r="L241" s="118">
        <v>0</v>
      </c>
      <c r="M241" s="117" t="s">
        <v>1260</v>
      </c>
      <c r="N241" s="10"/>
      <c r="O241" s="117" t="s">
        <v>674</v>
      </c>
      <c r="P241" s="117" t="s">
        <v>1033</v>
      </c>
      <c r="Q241" s="117" t="s">
        <v>1043</v>
      </c>
      <c r="R241" s="119"/>
      <c r="S241" s="10">
        <v>1</v>
      </c>
      <c r="T241" s="10">
        <v>0</v>
      </c>
      <c r="U241" s="10">
        <v>0</v>
      </c>
      <c r="V241" s="10">
        <v>0</v>
      </c>
      <c r="W241" s="10">
        <v>0</v>
      </c>
      <c r="X241" s="10"/>
      <c r="Y241" s="120">
        <v>27.4</v>
      </c>
      <c r="Z241" s="127">
        <v>1</v>
      </c>
      <c r="AA241" s="121">
        <v>27.4</v>
      </c>
      <c r="AB241" s="122"/>
      <c r="AC241" s="122">
        <v>1</v>
      </c>
      <c r="AD241" s="128">
        <v>6.3666666666666663</v>
      </c>
      <c r="AE241" s="10"/>
      <c r="AF241" s="125" t="s">
        <v>1261</v>
      </c>
      <c r="AG241" s="125" t="s">
        <v>677</v>
      </c>
      <c r="AH241" s="126">
        <v>0</v>
      </c>
      <c r="AI241" s="117" t="s">
        <v>1464</v>
      </c>
      <c r="AJ241" s="2"/>
      <c r="AK241" s="2"/>
      <c r="AL241" s="2"/>
      <c r="AM241" s="2"/>
      <c r="AN241" s="2"/>
    </row>
    <row r="242" spans="1:40" ht="12.75" x14ac:dyDescent="0.2">
      <c r="A242" s="117" t="s">
        <v>1264</v>
      </c>
      <c r="B242" s="117" t="s">
        <v>678</v>
      </c>
      <c r="C242" s="117" t="s">
        <v>677</v>
      </c>
      <c r="D242" s="117" t="s">
        <v>678</v>
      </c>
      <c r="E242" s="117" t="s">
        <v>678</v>
      </c>
      <c r="F242" s="117" t="s">
        <v>677</v>
      </c>
      <c r="G242" s="117" t="s">
        <v>677</v>
      </c>
      <c r="H242" s="117" t="s">
        <v>677</v>
      </c>
      <c r="I242" s="117" t="s">
        <v>916</v>
      </c>
      <c r="J242" s="117" t="s">
        <v>678</v>
      </c>
      <c r="K242" s="118">
        <f>266/30</f>
        <v>8.8666666666666671</v>
      </c>
      <c r="L242" s="118">
        <v>1</v>
      </c>
      <c r="M242" s="117" t="s">
        <v>1267</v>
      </c>
      <c r="N242" s="10"/>
      <c r="O242" s="117" t="s">
        <v>1266</v>
      </c>
      <c r="P242" s="117" t="s">
        <v>1265</v>
      </c>
      <c r="Q242" s="117" t="s">
        <v>1067</v>
      </c>
      <c r="R242" s="119"/>
      <c r="S242" s="10">
        <v>0</v>
      </c>
      <c r="T242" s="10">
        <v>1</v>
      </c>
      <c r="U242" s="10">
        <v>0</v>
      </c>
      <c r="V242" s="10">
        <v>0</v>
      </c>
      <c r="W242" s="10">
        <v>0</v>
      </c>
      <c r="X242" s="10"/>
      <c r="Y242" s="120">
        <v>20.6</v>
      </c>
      <c r="Z242" s="117" t="s">
        <v>678</v>
      </c>
      <c r="AA242" s="121">
        <v>20.6</v>
      </c>
      <c r="AB242" s="122"/>
      <c r="AC242" s="122">
        <v>1</v>
      </c>
      <c r="AD242" s="128">
        <v>3.7</v>
      </c>
      <c r="AE242" s="10"/>
      <c r="AF242" s="125" t="s">
        <v>1268</v>
      </c>
      <c r="AG242" s="125" t="s">
        <v>678</v>
      </c>
      <c r="AH242" s="126">
        <v>29.8</v>
      </c>
      <c r="AI242" s="117" t="s">
        <v>1951</v>
      </c>
      <c r="AJ242" s="2"/>
      <c r="AK242" s="2"/>
      <c r="AL242" s="2"/>
      <c r="AM242" s="2"/>
      <c r="AN242" s="2"/>
    </row>
    <row r="243" spans="1:40" ht="12.75" x14ac:dyDescent="0.2">
      <c r="A243" s="117" t="s">
        <v>1553</v>
      </c>
      <c r="B243" s="117" t="s">
        <v>677</v>
      </c>
      <c r="C243" s="117" t="s">
        <v>677</v>
      </c>
      <c r="D243" s="117" t="s">
        <v>677</v>
      </c>
      <c r="E243" s="117" t="s">
        <v>678</v>
      </c>
      <c r="F243" s="117" t="s">
        <v>677</v>
      </c>
      <c r="G243" s="117" t="s">
        <v>677</v>
      </c>
      <c r="H243" s="117" t="s">
        <v>677</v>
      </c>
      <c r="I243" s="117" t="s">
        <v>954</v>
      </c>
      <c r="J243" s="117" t="s">
        <v>678</v>
      </c>
      <c r="K243" s="118">
        <f>292/30</f>
        <v>9.7333333333333325</v>
      </c>
      <c r="L243" s="118">
        <v>1</v>
      </c>
      <c r="M243" s="117" t="s">
        <v>1450</v>
      </c>
      <c r="N243" s="10"/>
      <c r="O243" s="117" t="s">
        <v>1165</v>
      </c>
      <c r="P243" s="117" t="s">
        <v>1156</v>
      </c>
      <c r="Q243" s="117" t="s">
        <v>1048</v>
      </c>
      <c r="R243" s="119"/>
      <c r="S243" s="10">
        <v>1</v>
      </c>
      <c r="T243" s="10">
        <v>0</v>
      </c>
      <c r="U243" s="10">
        <v>0</v>
      </c>
      <c r="V243" s="10">
        <v>0</v>
      </c>
      <c r="W243" s="10">
        <v>0</v>
      </c>
      <c r="X243" s="10"/>
      <c r="Y243" s="120">
        <v>36.9</v>
      </c>
      <c r="Z243" s="127">
        <v>1</v>
      </c>
      <c r="AA243" s="121">
        <v>36.9</v>
      </c>
      <c r="AB243" s="122"/>
      <c r="AC243" s="122">
        <v>1</v>
      </c>
      <c r="AD243" s="128">
        <v>0.96666666666666667</v>
      </c>
      <c r="AE243" s="10"/>
      <c r="AF243" s="125" t="s">
        <v>1554</v>
      </c>
      <c r="AG243" s="125" t="s">
        <v>677</v>
      </c>
      <c r="AH243" s="126">
        <v>0</v>
      </c>
      <c r="AI243" s="117" t="s">
        <v>1512</v>
      </c>
      <c r="AJ243" s="2"/>
      <c r="AK243" s="2"/>
      <c r="AL243" s="2"/>
      <c r="AM243" s="2"/>
      <c r="AN243" s="2"/>
    </row>
    <row r="244" spans="1:40" ht="12.75" x14ac:dyDescent="0.2">
      <c r="A244" s="117" t="s">
        <v>1270</v>
      </c>
      <c r="B244" s="117" t="s">
        <v>678</v>
      </c>
      <c r="C244" s="117" t="s">
        <v>677</v>
      </c>
      <c r="D244" s="117" t="s">
        <v>678</v>
      </c>
      <c r="E244" s="117" t="s">
        <v>678</v>
      </c>
      <c r="F244" s="117" t="s">
        <v>677</v>
      </c>
      <c r="G244" s="117" t="s">
        <v>677</v>
      </c>
      <c r="H244" s="117" t="s">
        <v>677</v>
      </c>
      <c r="I244" s="117" t="s">
        <v>963</v>
      </c>
      <c r="J244" s="117" t="s">
        <v>679</v>
      </c>
      <c r="K244" s="118">
        <f>180/30</f>
        <v>6</v>
      </c>
      <c r="L244" s="118">
        <v>1</v>
      </c>
      <c r="M244" s="117" t="s">
        <v>1273</v>
      </c>
      <c r="N244" s="10"/>
      <c r="O244" s="117" t="s">
        <v>1272</v>
      </c>
      <c r="P244" s="117" t="s">
        <v>1271</v>
      </c>
      <c r="Q244" s="117" t="s">
        <v>976</v>
      </c>
      <c r="R244" s="119"/>
      <c r="S244" s="10">
        <v>0</v>
      </c>
      <c r="T244" s="10">
        <v>1</v>
      </c>
      <c r="U244" s="10">
        <v>0</v>
      </c>
      <c r="V244" s="10">
        <v>0</v>
      </c>
      <c r="W244" s="10">
        <v>0</v>
      </c>
      <c r="X244" s="10"/>
      <c r="Y244" s="120">
        <v>11.1</v>
      </c>
      <c r="Z244" s="117" t="s">
        <v>678</v>
      </c>
      <c r="AA244" s="121">
        <v>11.1</v>
      </c>
      <c r="AB244" s="122"/>
      <c r="AC244" s="122">
        <v>1</v>
      </c>
      <c r="AD244" s="128">
        <v>6.333333333333333</v>
      </c>
      <c r="AE244" s="10"/>
      <c r="AF244" s="125" t="s">
        <v>1274</v>
      </c>
      <c r="AG244" s="125" t="s">
        <v>678</v>
      </c>
      <c r="AH244" s="126">
        <v>45</v>
      </c>
      <c r="AI244" s="117" t="s">
        <v>1395</v>
      </c>
      <c r="AJ244" s="2"/>
      <c r="AK244" s="2"/>
      <c r="AL244" s="2"/>
      <c r="AM244" s="2"/>
      <c r="AN244" s="2"/>
    </row>
    <row r="245" spans="1:40" ht="12.75" x14ac:dyDescent="0.2">
      <c r="A245" s="117" t="s">
        <v>1555</v>
      </c>
      <c r="B245" s="117" t="s">
        <v>677</v>
      </c>
      <c r="C245" s="117" t="s">
        <v>677</v>
      </c>
      <c r="D245" s="117" t="s">
        <v>677</v>
      </c>
      <c r="E245" s="117" t="s">
        <v>678</v>
      </c>
      <c r="F245" s="117" t="s">
        <v>677</v>
      </c>
      <c r="G245" s="117" t="s">
        <v>677</v>
      </c>
      <c r="H245" s="117" t="s">
        <v>677</v>
      </c>
      <c r="I245" s="117" t="s">
        <v>1041</v>
      </c>
      <c r="J245" s="117" t="s">
        <v>678</v>
      </c>
      <c r="K245" s="118">
        <f>663/30</f>
        <v>22.1</v>
      </c>
      <c r="L245" s="118">
        <v>0</v>
      </c>
      <c r="M245" s="117" t="s">
        <v>1556</v>
      </c>
      <c r="N245" s="10"/>
      <c r="O245" s="117" t="s">
        <v>1011</v>
      </c>
      <c r="P245" s="117" t="s">
        <v>1069</v>
      </c>
      <c r="Q245" s="117" t="s">
        <v>985</v>
      </c>
      <c r="R245" s="119"/>
      <c r="S245" s="10">
        <v>1</v>
      </c>
      <c r="T245" s="10">
        <v>0</v>
      </c>
      <c r="U245" s="10">
        <v>0</v>
      </c>
      <c r="V245" s="10">
        <v>0</v>
      </c>
      <c r="W245" s="10">
        <v>0</v>
      </c>
      <c r="X245" s="10"/>
      <c r="Y245" s="120">
        <v>24.4</v>
      </c>
      <c r="Z245" s="127">
        <v>1</v>
      </c>
      <c r="AA245" s="121">
        <v>24.4</v>
      </c>
      <c r="AB245" s="123"/>
      <c r="AC245" s="122">
        <v>1</v>
      </c>
      <c r="AD245" s="128">
        <v>3.1333333333333333</v>
      </c>
      <c r="AE245" s="10"/>
      <c r="AF245" s="125" t="s">
        <v>1557</v>
      </c>
      <c r="AG245" s="125" t="s">
        <v>677</v>
      </c>
      <c r="AH245" s="126">
        <v>0</v>
      </c>
      <c r="AI245" s="117" t="s">
        <v>1303</v>
      </c>
      <c r="AJ245" s="2"/>
      <c r="AK245" s="2"/>
      <c r="AL245" s="2"/>
      <c r="AM245" s="2"/>
      <c r="AN245" s="2"/>
    </row>
    <row r="246" spans="1:40" ht="12.75" x14ac:dyDescent="0.2">
      <c r="A246" s="117" t="s">
        <v>1276</v>
      </c>
      <c r="B246" s="117" t="s">
        <v>678</v>
      </c>
      <c r="C246" s="117" t="s">
        <v>677</v>
      </c>
      <c r="D246" s="117" t="s">
        <v>678</v>
      </c>
      <c r="E246" s="117" t="s">
        <v>678</v>
      </c>
      <c r="F246" s="117" t="s">
        <v>677</v>
      </c>
      <c r="G246" s="117" t="s">
        <v>677</v>
      </c>
      <c r="H246" s="117" t="s">
        <v>677</v>
      </c>
      <c r="I246" s="117" t="s">
        <v>1169</v>
      </c>
      <c r="J246" s="117" t="s">
        <v>677</v>
      </c>
      <c r="K246" s="118">
        <f>451/30</f>
        <v>15.033333333333333</v>
      </c>
      <c r="L246" s="118">
        <v>0</v>
      </c>
      <c r="M246" s="117" t="s">
        <v>1163</v>
      </c>
      <c r="N246" s="10"/>
      <c r="O246" s="117" t="s">
        <v>1278</v>
      </c>
      <c r="P246" s="117" t="s">
        <v>1277</v>
      </c>
      <c r="Q246" s="117" t="s">
        <v>889</v>
      </c>
      <c r="R246" s="119"/>
      <c r="S246" s="10">
        <v>1</v>
      </c>
      <c r="T246" s="10">
        <v>0</v>
      </c>
      <c r="U246" s="10">
        <v>0</v>
      </c>
      <c r="V246" s="10">
        <v>0</v>
      </c>
      <c r="W246" s="10">
        <v>0</v>
      </c>
      <c r="X246" s="10"/>
      <c r="Y246" s="120">
        <v>69.966666666666669</v>
      </c>
      <c r="Z246" s="127">
        <v>1</v>
      </c>
      <c r="AA246" s="121">
        <v>69.966666666666669</v>
      </c>
      <c r="AB246" s="123"/>
      <c r="AC246" s="123">
        <v>0</v>
      </c>
      <c r="AD246" s="124">
        <v>4.5999999999999996</v>
      </c>
      <c r="AE246" s="10"/>
      <c r="AF246" s="125" t="s">
        <v>1279</v>
      </c>
      <c r="AG246" s="125" t="s">
        <v>677</v>
      </c>
      <c r="AH246" s="126">
        <v>41.3</v>
      </c>
      <c r="AI246" s="117" t="s">
        <v>1470</v>
      </c>
      <c r="AJ246" s="2"/>
      <c r="AK246" s="2"/>
      <c r="AL246" s="2"/>
      <c r="AM246" s="2"/>
      <c r="AN246" s="2"/>
    </row>
    <row r="247" spans="1:40" ht="12.75" x14ac:dyDescent="0.2">
      <c r="A247" s="116" t="s">
        <v>947</v>
      </c>
      <c r="B247" s="117" t="s">
        <v>677</v>
      </c>
      <c r="C247" s="117" t="s">
        <v>677</v>
      </c>
      <c r="D247" s="117" t="s">
        <v>677</v>
      </c>
      <c r="E247" s="117" t="s">
        <v>677</v>
      </c>
      <c r="F247" s="117" t="s">
        <v>678</v>
      </c>
      <c r="G247" s="117" t="s">
        <v>677</v>
      </c>
      <c r="H247" s="117" t="s">
        <v>677</v>
      </c>
      <c r="I247" s="117" t="s">
        <v>923</v>
      </c>
      <c r="J247" s="117" t="s">
        <v>677</v>
      </c>
      <c r="K247" s="118">
        <f>1237/30</f>
        <v>41.233333333333334</v>
      </c>
      <c r="L247" s="118">
        <v>0</v>
      </c>
      <c r="M247" s="117" t="s">
        <v>950</v>
      </c>
      <c r="N247" s="10"/>
      <c r="O247" s="117" t="s">
        <v>948</v>
      </c>
      <c r="P247" s="117" t="s">
        <v>917</v>
      </c>
      <c r="Q247" s="117" t="s">
        <v>949</v>
      </c>
      <c r="R247" s="119"/>
      <c r="S247" s="10">
        <v>0</v>
      </c>
      <c r="T247" s="10">
        <v>1</v>
      </c>
      <c r="U247" s="10">
        <v>0</v>
      </c>
      <c r="V247" s="10">
        <v>0</v>
      </c>
      <c r="W247" s="10">
        <v>0</v>
      </c>
      <c r="X247" s="10"/>
      <c r="Y247" s="120">
        <v>70.099999999999994</v>
      </c>
      <c r="Z247" s="117" t="s">
        <v>677</v>
      </c>
      <c r="AA247" s="121">
        <v>70.099999999999994</v>
      </c>
      <c r="AB247" s="122"/>
      <c r="AC247" s="123">
        <v>0</v>
      </c>
      <c r="AD247" s="124">
        <v>68.3</v>
      </c>
      <c r="AE247" s="10"/>
      <c r="AF247" s="125" t="s">
        <v>951</v>
      </c>
      <c r="AG247" s="125" t="s">
        <v>678</v>
      </c>
      <c r="AH247" s="126">
        <v>0</v>
      </c>
      <c r="AI247" s="117" t="s">
        <v>950</v>
      </c>
      <c r="AJ247" s="2"/>
      <c r="AK247" s="2"/>
      <c r="AL247" s="2"/>
      <c r="AM247" s="2"/>
      <c r="AN247" s="2"/>
    </row>
    <row r="248" spans="1:40" ht="12.75" x14ac:dyDescent="0.2">
      <c r="A248" s="117" t="s">
        <v>1280</v>
      </c>
      <c r="B248" s="117" t="s">
        <v>679</v>
      </c>
      <c r="C248" s="117" t="s">
        <v>677</v>
      </c>
      <c r="D248" s="117" t="s">
        <v>677</v>
      </c>
      <c r="E248" s="117" t="s">
        <v>678</v>
      </c>
      <c r="F248" s="117" t="s">
        <v>677</v>
      </c>
      <c r="G248" s="117" t="s">
        <v>677</v>
      </c>
      <c r="H248" s="117" t="s">
        <v>677</v>
      </c>
      <c r="I248" s="117" t="s">
        <v>1281</v>
      </c>
      <c r="J248" s="117" t="s">
        <v>679</v>
      </c>
      <c r="K248" s="118">
        <f>2655/30</f>
        <v>88.5</v>
      </c>
      <c r="L248" s="118">
        <v>0</v>
      </c>
      <c r="M248" s="117" t="s">
        <v>1282</v>
      </c>
      <c r="N248" s="10"/>
      <c r="O248" s="117" t="s">
        <v>1165</v>
      </c>
      <c r="P248" s="117" t="s">
        <v>1086</v>
      </c>
      <c r="Q248" s="117" t="s">
        <v>1059</v>
      </c>
      <c r="R248" s="119"/>
      <c r="S248" s="10">
        <v>1</v>
      </c>
      <c r="T248" s="10">
        <v>0</v>
      </c>
      <c r="U248" s="10">
        <v>0</v>
      </c>
      <c r="V248" s="10">
        <v>0</v>
      </c>
      <c r="W248" s="10">
        <v>0</v>
      </c>
      <c r="X248" s="10"/>
      <c r="Y248" s="120">
        <v>8.8000000000000007</v>
      </c>
      <c r="Z248" s="117" t="s">
        <v>678</v>
      </c>
      <c r="AA248" s="121">
        <v>8.8000000000000007</v>
      </c>
      <c r="AB248" s="123"/>
      <c r="AC248" s="122">
        <v>1</v>
      </c>
      <c r="AD248" s="128">
        <v>4.5999999999999996</v>
      </c>
      <c r="AE248" s="10"/>
      <c r="AF248" s="125" t="s">
        <v>1283</v>
      </c>
      <c r="AG248" s="125" t="s">
        <v>678</v>
      </c>
      <c r="AH248" s="126">
        <v>15.7</v>
      </c>
      <c r="AI248" s="117" t="s">
        <v>1503</v>
      </c>
      <c r="AJ248" s="2"/>
      <c r="AK248" s="2"/>
      <c r="AL248" s="2"/>
      <c r="AM248" s="2"/>
      <c r="AN248" s="2"/>
    </row>
    <row r="249" spans="1:40" ht="12.75" x14ac:dyDescent="0.2">
      <c r="A249" s="116" t="s">
        <v>953</v>
      </c>
      <c r="B249" s="117" t="s">
        <v>678</v>
      </c>
      <c r="C249" s="117" t="s">
        <v>677</v>
      </c>
      <c r="D249" s="117" t="s">
        <v>677</v>
      </c>
      <c r="E249" s="117" t="s">
        <v>678</v>
      </c>
      <c r="F249" s="117" t="s">
        <v>677</v>
      </c>
      <c r="G249" s="117" t="s">
        <v>677</v>
      </c>
      <c r="H249" s="117" t="s">
        <v>678</v>
      </c>
      <c r="I249" s="117" t="s">
        <v>954</v>
      </c>
      <c r="J249" s="117" t="s">
        <v>678</v>
      </c>
      <c r="K249" s="118">
        <f>531/30</f>
        <v>17.7</v>
      </c>
      <c r="L249" s="118">
        <v>0</v>
      </c>
      <c r="M249" s="117" t="s">
        <v>958</v>
      </c>
      <c r="N249" s="10"/>
      <c r="O249" s="117" t="s">
        <v>956</v>
      </c>
      <c r="P249" s="117" t="s">
        <v>955</v>
      </c>
      <c r="Q249" s="117" t="s">
        <v>957</v>
      </c>
      <c r="R249" s="119"/>
      <c r="S249" s="10">
        <v>1</v>
      </c>
      <c r="T249" s="10">
        <v>0</v>
      </c>
      <c r="U249" s="10">
        <v>0</v>
      </c>
      <c r="V249" s="10">
        <v>0</v>
      </c>
      <c r="W249" s="10">
        <v>0</v>
      </c>
      <c r="X249" s="10"/>
      <c r="Y249" s="120">
        <v>70.099999999999994</v>
      </c>
      <c r="Z249" s="117" t="s">
        <v>677</v>
      </c>
      <c r="AA249" s="121">
        <v>70.099999999999994</v>
      </c>
      <c r="AB249" s="122"/>
      <c r="AC249" s="123">
        <v>1</v>
      </c>
      <c r="AD249" s="124">
        <v>54.266666666666666</v>
      </c>
      <c r="AE249" s="10"/>
      <c r="AF249" s="125" t="s">
        <v>959</v>
      </c>
      <c r="AG249" s="125" t="s">
        <v>678</v>
      </c>
      <c r="AH249" s="126">
        <v>0</v>
      </c>
      <c r="AI249" s="117" t="s">
        <v>1440</v>
      </c>
      <c r="AJ249" s="2"/>
      <c r="AK249" s="2"/>
      <c r="AL249" s="2"/>
      <c r="AM249" s="2"/>
      <c r="AN249" s="2"/>
    </row>
    <row r="250" spans="1:40" ht="12.75" x14ac:dyDescent="0.2">
      <c r="A250" s="117" t="s">
        <v>1285</v>
      </c>
      <c r="B250" s="117" t="s">
        <v>679</v>
      </c>
      <c r="C250" s="117" t="s">
        <v>677</v>
      </c>
      <c r="D250" s="117" t="s">
        <v>678</v>
      </c>
      <c r="E250" s="117" t="s">
        <v>677</v>
      </c>
      <c r="F250" s="117" t="s">
        <v>677</v>
      </c>
      <c r="G250" s="117" t="s">
        <v>677</v>
      </c>
      <c r="H250" s="117" t="s">
        <v>677</v>
      </c>
      <c r="I250" s="117" t="s">
        <v>886</v>
      </c>
      <c r="J250" s="117" t="s">
        <v>678</v>
      </c>
      <c r="K250" s="118" t="s">
        <v>674</v>
      </c>
      <c r="L250" s="118">
        <v>2</v>
      </c>
      <c r="M250" s="117" t="s">
        <v>1287</v>
      </c>
      <c r="N250" s="10"/>
      <c r="O250" s="117" t="s">
        <v>1286</v>
      </c>
      <c r="P250" s="117" t="s">
        <v>964</v>
      </c>
      <c r="Q250" s="117" t="s">
        <v>893</v>
      </c>
      <c r="R250" s="119"/>
      <c r="S250" s="10">
        <v>1</v>
      </c>
      <c r="T250" s="10">
        <v>0</v>
      </c>
      <c r="U250" s="10">
        <v>0</v>
      </c>
      <c r="V250" s="10">
        <v>0</v>
      </c>
      <c r="W250" s="10">
        <v>0</v>
      </c>
      <c r="X250" s="10"/>
      <c r="Y250" s="120">
        <v>62.366666666666667</v>
      </c>
      <c r="Z250" s="117" t="s">
        <v>678</v>
      </c>
      <c r="AA250" s="121">
        <v>62.366666666666667</v>
      </c>
      <c r="AB250" s="122"/>
      <c r="AC250" s="122">
        <v>1</v>
      </c>
      <c r="AD250" s="128">
        <v>14.933333333333334</v>
      </c>
      <c r="AE250" s="10"/>
      <c r="AF250" s="125" t="s">
        <v>1288</v>
      </c>
      <c r="AG250" s="125" t="s">
        <v>678</v>
      </c>
      <c r="AH250" s="126">
        <v>0</v>
      </c>
      <c r="AI250" s="117" t="s">
        <v>1391</v>
      </c>
      <c r="AJ250" s="2"/>
      <c r="AK250" s="2"/>
      <c r="AL250" s="2"/>
      <c r="AM250" s="2"/>
      <c r="AN250" s="2"/>
    </row>
    <row r="251" spans="1:40" ht="12.75" x14ac:dyDescent="0.2">
      <c r="A251" s="117" t="s">
        <v>1290</v>
      </c>
      <c r="B251" s="117" t="s">
        <v>679</v>
      </c>
      <c r="C251" s="117" t="s">
        <v>677</v>
      </c>
      <c r="D251" s="117" t="s">
        <v>678</v>
      </c>
      <c r="E251" s="117" t="s">
        <v>677</v>
      </c>
      <c r="F251" s="117" t="s">
        <v>677</v>
      </c>
      <c r="G251" s="117" t="s">
        <v>677</v>
      </c>
      <c r="H251" s="117" t="s">
        <v>677</v>
      </c>
      <c r="I251" s="117" t="s">
        <v>1068</v>
      </c>
      <c r="J251" s="117" t="s">
        <v>678</v>
      </c>
      <c r="K251" s="118" t="s">
        <v>674</v>
      </c>
      <c r="L251" s="118">
        <v>2</v>
      </c>
      <c r="M251" s="117" t="s">
        <v>1291</v>
      </c>
      <c r="N251" s="10"/>
      <c r="O251" s="117" t="s">
        <v>1146</v>
      </c>
      <c r="P251" s="117" t="s">
        <v>991</v>
      </c>
      <c r="Q251" s="117" t="s">
        <v>985</v>
      </c>
      <c r="R251" s="119"/>
      <c r="S251" s="10">
        <v>1</v>
      </c>
      <c r="T251" s="10">
        <v>0</v>
      </c>
      <c r="U251" s="10">
        <v>0</v>
      </c>
      <c r="V251" s="10">
        <v>0</v>
      </c>
      <c r="W251" s="10">
        <v>0</v>
      </c>
      <c r="X251" s="10"/>
      <c r="Y251" s="120">
        <v>69.8</v>
      </c>
      <c r="Z251" s="117" t="s">
        <v>677</v>
      </c>
      <c r="AA251" s="121">
        <v>69.8</v>
      </c>
      <c r="AB251" s="123"/>
      <c r="AC251" s="122">
        <v>1</v>
      </c>
      <c r="AD251" s="128">
        <v>15.233333333333333</v>
      </c>
      <c r="AE251" s="10"/>
      <c r="AF251" s="125" t="s">
        <v>1014</v>
      </c>
      <c r="AG251" s="125" t="s">
        <v>678</v>
      </c>
      <c r="AH251" s="126">
        <v>10.4</v>
      </c>
      <c r="AI251" s="117" t="s">
        <v>1969</v>
      </c>
      <c r="AJ251" s="2"/>
      <c r="AK251" s="2"/>
      <c r="AL251" s="2"/>
      <c r="AM251" s="2"/>
      <c r="AN251" s="2"/>
    </row>
    <row r="252" spans="1:40" ht="12.75" x14ac:dyDescent="0.2">
      <c r="A252" s="117" t="s">
        <v>1293</v>
      </c>
      <c r="B252" s="117" t="s">
        <v>678</v>
      </c>
      <c r="C252" s="117" t="s">
        <v>677</v>
      </c>
      <c r="D252" s="117" t="s">
        <v>677</v>
      </c>
      <c r="E252" s="117" t="s">
        <v>678</v>
      </c>
      <c r="F252" s="117" t="s">
        <v>677</v>
      </c>
      <c r="G252" s="117" t="s">
        <v>677</v>
      </c>
      <c r="H252" s="117" t="s">
        <v>677</v>
      </c>
      <c r="I252" s="117" t="s">
        <v>909</v>
      </c>
      <c r="J252" s="117" t="s">
        <v>677</v>
      </c>
      <c r="K252" s="118">
        <f>752/30</f>
        <v>25.066666666666666</v>
      </c>
      <c r="L252" s="118">
        <v>0</v>
      </c>
      <c r="M252" s="117" t="s">
        <v>1039</v>
      </c>
      <c r="N252" s="10"/>
      <c r="O252" s="117" t="s">
        <v>925</v>
      </c>
      <c r="P252" s="117" t="s">
        <v>925</v>
      </c>
      <c r="Q252" s="117" t="s">
        <v>1162</v>
      </c>
      <c r="R252" s="119"/>
      <c r="S252" s="10">
        <v>1</v>
      </c>
      <c r="T252" s="10">
        <v>0</v>
      </c>
      <c r="U252" s="10">
        <v>0</v>
      </c>
      <c r="V252" s="10">
        <v>0</v>
      </c>
      <c r="W252" s="10">
        <v>0</v>
      </c>
      <c r="X252" s="10"/>
      <c r="Y252" s="120">
        <v>62</v>
      </c>
      <c r="Z252" s="117" t="s">
        <v>678</v>
      </c>
      <c r="AA252" s="121">
        <v>62</v>
      </c>
      <c r="AB252" s="122"/>
      <c r="AC252" s="122">
        <v>1</v>
      </c>
      <c r="AD252" s="128">
        <v>20.466666666666665</v>
      </c>
      <c r="AE252" s="10"/>
      <c r="AF252" s="125" t="s">
        <v>1294</v>
      </c>
      <c r="AG252" s="125" t="s">
        <v>678</v>
      </c>
      <c r="AH252" s="126">
        <v>35.4</v>
      </c>
      <c r="AI252" s="117" t="s">
        <v>1958</v>
      </c>
      <c r="AJ252" s="2"/>
      <c r="AK252" s="2"/>
      <c r="AL252" s="2"/>
      <c r="AM252" s="2"/>
      <c r="AN252" s="2"/>
    </row>
    <row r="253" spans="1:40" ht="12.75" x14ac:dyDescent="0.2">
      <c r="A253" s="117" t="s">
        <v>1558</v>
      </c>
      <c r="B253" s="117" t="s">
        <v>677</v>
      </c>
      <c r="C253" s="117" t="s">
        <v>677</v>
      </c>
      <c r="D253" s="117" t="s">
        <v>678</v>
      </c>
      <c r="E253" s="117" t="s">
        <v>678</v>
      </c>
      <c r="F253" s="117" t="s">
        <v>677</v>
      </c>
      <c r="G253" s="117" t="s">
        <v>677</v>
      </c>
      <c r="H253" s="117" t="s">
        <v>678</v>
      </c>
      <c r="I253" s="117" t="s">
        <v>1559</v>
      </c>
      <c r="J253" s="117" t="s">
        <v>678</v>
      </c>
      <c r="K253" s="118">
        <f>1737/30</f>
        <v>57.9</v>
      </c>
      <c r="L253" s="118">
        <v>0</v>
      </c>
      <c r="M253" s="117" t="s">
        <v>1560</v>
      </c>
      <c r="N253" s="10"/>
      <c r="O253" s="117" t="s">
        <v>674</v>
      </c>
      <c r="P253" s="117" t="s">
        <v>918</v>
      </c>
      <c r="Q253" s="117" t="s">
        <v>889</v>
      </c>
      <c r="R253" s="119"/>
      <c r="S253" s="10">
        <v>0</v>
      </c>
      <c r="T253" s="10">
        <v>1</v>
      </c>
      <c r="U253" s="10">
        <v>0</v>
      </c>
      <c r="V253" s="10">
        <v>0</v>
      </c>
      <c r="W253" s="10">
        <v>0</v>
      </c>
      <c r="X253" s="10"/>
      <c r="Y253" s="120">
        <v>27.566666666666666</v>
      </c>
      <c r="Z253" s="127">
        <v>1</v>
      </c>
      <c r="AA253" s="121">
        <v>27.566666666666666</v>
      </c>
      <c r="AB253" s="123"/>
      <c r="AC253" s="122">
        <v>1</v>
      </c>
      <c r="AD253" s="128">
        <v>2.9</v>
      </c>
      <c r="AE253" s="10"/>
      <c r="AF253" s="125" t="s">
        <v>1561</v>
      </c>
      <c r="AG253" s="125" t="s">
        <v>678</v>
      </c>
      <c r="AH253" s="126">
        <v>41.9</v>
      </c>
      <c r="AI253" s="117" t="s">
        <v>1963</v>
      </c>
      <c r="AJ253" s="2"/>
      <c r="AK253" s="2"/>
      <c r="AL253" s="2"/>
      <c r="AM253" s="2"/>
      <c r="AN253" s="2"/>
    </row>
    <row r="254" spans="1:40" ht="12.75" x14ac:dyDescent="0.2">
      <c r="A254" s="117" t="s">
        <v>1562</v>
      </c>
      <c r="B254" s="117" t="s">
        <v>677</v>
      </c>
      <c r="C254" s="117" t="s">
        <v>677</v>
      </c>
      <c r="D254" s="117" t="s">
        <v>678</v>
      </c>
      <c r="E254" s="117" t="s">
        <v>677</v>
      </c>
      <c r="F254" s="117" t="s">
        <v>677</v>
      </c>
      <c r="G254" s="117" t="s">
        <v>677</v>
      </c>
      <c r="H254" s="117" t="s">
        <v>677</v>
      </c>
      <c r="I254" s="117" t="s">
        <v>936</v>
      </c>
      <c r="J254" s="117" t="s">
        <v>677</v>
      </c>
      <c r="K254" s="118">
        <f>1806/30</f>
        <v>60.2</v>
      </c>
      <c r="L254" s="118">
        <v>0</v>
      </c>
      <c r="M254" s="117" t="s">
        <v>1227</v>
      </c>
      <c r="N254" s="10"/>
      <c r="O254" s="117" t="s">
        <v>1266</v>
      </c>
      <c r="P254" s="117" t="s">
        <v>1257</v>
      </c>
      <c r="Q254" s="117" t="s">
        <v>1048</v>
      </c>
      <c r="R254" s="119"/>
      <c r="S254" s="10">
        <v>0</v>
      </c>
      <c r="T254" s="10">
        <v>1</v>
      </c>
      <c r="U254" s="10">
        <v>0</v>
      </c>
      <c r="V254" s="10">
        <v>0</v>
      </c>
      <c r="W254" s="10">
        <v>0</v>
      </c>
      <c r="X254" s="10"/>
      <c r="Y254" s="120">
        <v>16.566666666666666</v>
      </c>
      <c r="Z254" s="117" t="s">
        <v>678</v>
      </c>
      <c r="AA254" s="121">
        <v>16.566666666666666</v>
      </c>
      <c r="AB254" s="122"/>
      <c r="AC254" s="122">
        <v>1</v>
      </c>
      <c r="AD254" s="128">
        <v>3.5333333333333332</v>
      </c>
      <c r="AE254" s="10"/>
      <c r="AF254" s="125" t="s">
        <v>1563</v>
      </c>
      <c r="AG254" s="125" t="s">
        <v>677</v>
      </c>
      <c r="AH254" s="126">
        <v>5.8</v>
      </c>
      <c r="AI254" s="117" t="s">
        <v>913</v>
      </c>
      <c r="AJ254" s="2"/>
      <c r="AK254" s="2"/>
      <c r="AL254" s="2"/>
      <c r="AM254" s="2"/>
      <c r="AN254" s="2"/>
    </row>
    <row r="255" spans="1:40" ht="12.75" x14ac:dyDescent="0.2">
      <c r="A255" s="117" t="s">
        <v>1564</v>
      </c>
      <c r="B255" s="117" t="s">
        <v>677</v>
      </c>
      <c r="C255" s="117" t="s">
        <v>677</v>
      </c>
      <c r="D255" s="117" t="s">
        <v>677</v>
      </c>
      <c r="E255" s="117" t="s">
        <v>677</v>
      </c>
      <c r="F255" s="117" t="s">
        <v>677</v>
      </c>
      <c r="G255" s="117" t="s">
        <v>678</v>
      </c>
      <c r="H255" s="117" t="s">
        <v>677</v>
      </c>
      <c r="I255" s="117" t="s">
        <v>1026</v>
      </c>
      <c r="J255" s="117" t="s">
        <v>678</v>
      </c>
      <c r="K255" s="118">
        <f>398/30</f>
        <v>13.266666666666667</v>
      </c>
      <c r="L255" s="118">
        <v>0</v>
      </c>
      <c r="M255" s="117" t="s">
        <v>1107</v>
      </c>
      <c r="N255" s="10"/>
      <c r="O255" s="117" t="s">
        <v>1472</v>
      </c>
      <c r="P255" s="117" t="s">
        <v>1322</v>
      </c>
      <c r="Q255" s="117" t="s">
        <v>919</v>
      </c>
      <c r="R255" s="119"/>
      <c r="S255" s="10">
        <v>0</v>
      </c>
      <c r="T255" s="10">
        <v>1</v>
      </c>
      <c r="U255" s="10">
        <v>0</v>
      </c>
      <c r="V255" s="10">
        <v>0</v>
      </c>
      <c r="W255" s="10">
        <v>0</v>
      </c>
      <c r="X255" s="10"/>
      <c r="Y255" s="120">
        <v>8.7333333333333325</v>
      </c>
      <c r="Z255" s="127">
        <v>1</v>
      </c>
      <c r="AA255" s="121">
        <v>8.7333333333333325</v>
      </c>
      <c r="AB255" s="123"/>
      <c r="AC255" s="122">
        <v>1</v>
      </c>
      <c r="AD255" s="128">
        <v>1.7333333333333334</v>
      </c>
      <c r="AE255" s="10"/>
      <c r="AF255" s="125" t="s">
        <v>1565</v>
      </c>
      <c r="AG255" s="125" t="s">
        <v>677</v>
      </c>
      <c r="AH255" s="126">
        <v>74.2</v>
      </c>
      <c r="AI255" s="117" t="s">
        <v>1970</v>
      </c>
      <c r="AJ255" s="2"/>
      <c r="AK255" s="2"/>
      <c r="AL255" s="2"/>
      <c r="AM255" s="2"/>
      <c r="AN255" s="2"/>
    </row>
    <row r="256" spans="1:40" ht="12.75" x14ac:dyDescent="0.2">
      <c r="A256" s="116" t="s">
        <v>962</v>
      </c>
      <c r="B256" s="117" t="s">
        <v>677</v>
      </c>
      <c r="C256" s="117" t="s">
        <v>677</v>
      </c>
      <c r="D256" s="117" t="s">
        <v>678</v>
      </c>
      <c r="E256" s="117" t="s">
        <v>677</v>
      </c>
      <c r="F256" s="117" t="s">
        <v>677</v>
      </c>
      <c r="G256" s="117" t="s">
        <v>677</v>
      </c>
      <c r="H256" s="117" t="s">
        <v>677</v>
      </c>
      <c r="I256" s="117" t="s">
        <v>963</v>
      </c>
      <c r="J256" s="117" t="s">
        <v>677</v>
      </c>
      <c r="K256" s="118">
        <f>6782/30</f>
        <v>226.06666666666666</v>
      </c>
      <c r="L256" s="118">
        <v>0</v>
      </c>
      <c r="M256" s="117" t="s">
        <v>967</v>
      </c>
      <c r="N256" s="10"/>
      <c r="O256" s="117" t="s">
        <v>965</v>
      </c>
      <c r="P256" s="117" t="s">
        <v>964</v>
      </c>
      <c r="Q256" s="117" t="s">
        <v>966</v>
      </c>
      <c r="R256" s="119"/>
      <c r="S256" s="10">
        <v>1</v>
      </c>
      <c r="T256" s="10">
        <v>0</v>
      </c>
      <c r="U256" s="10">
        <v>0</v>
      </c>
      <c r="V256" s="10">
        <v>0</v>
      </c>
      <c r="W256" s="10">
        <v>0</v>
      </c>
      <c r="X256" s="10"/>
      <c r="Y256" s="120">
        <v>69.466666666666669</v>
      </c>
      <c r="Z256" s="117" t="s">
        <v>677</v>
      </c>
      <c r="AA256" s="121">
        <v>69.466666666666669</v>
      </c>
      <c r="AB256" s="122"/>
      <c r="AC256" s="123">
        <v>0</v>
      </c>
      <c r="AD256" s="124">
        <v>69.466666666666669</v>
      </c>
      <c r="AE256" s="10"/>
      <c r="AF256" s="125" t="s">
        <v>968</v>
      </c>
      <c r="AG256" s="125" t="s">
        <v>678</v>
      </c>
      <c r="AH256" s="126">
        <v>0</v>
      </c>
      <c r="AI256" s="117" t="s">
        <v>1360</v>
      </c>
      <c r="AJ256" s="2"/>
      <c r="AK256" s="2"/>
      <c r="AL256" s="2"/>
      <c r="AM256" s="2"/>
      <c r="AN256" s="2"/>
    </row>
    <row r="257" spans="1:40" ht="12.75" x14ac:dyDescent="0.2">
      <c r="A257" s="117" t="s">
        <v>969</v>
      </c>
      <c r="B257" s="117" t="s">
        <v>678</v>
      </c>
      <c r="C257" s="117" t="s">
        <v>677</v>
      </c>
      <c r="D257" s="117" t="s">
        <v>677</v>
      </c>
      <c r="E257" s="117" t="s">
        <v>678</v>
      </c>
      <c r="F257" s="117" t="s">
        <v>677</v>
      </c>
      <c r="G257" s="117" t="s">
        <v>677</v>
      </c>
      <c r="H257" s="117" t="s">
        <v>677</v>
      </c>
      <c r="I257" s="117" t="s">
        <v>970</v>
      </c>
      <c r="J257" s="117" t="s">
        <v>679</v>
      </c>
      <c r="K257" s="118">
        <f>176/30</f>
        <v>5.8666666666666663</v>
      </c>
      <c r="L257" s="118">
        <v>1</v>
      </c>
      <c r="M257" s="117" t="s">
        <v>974</v>
      </c>
      <c r="N257" s="10"/>
      <c r="O257" s="117" t="s">
        <v>972</v>
      </c>
      <c r="P257" s="117" t="s">
        <v>971</v>
      </c>
      <c r="Q257" s="117" t="s">
        <v>973</v>
      </c>
      <c r="R257" s="119"/>
      <c r="S257" s="10">
        <v>0</v>
      </c>
      <c r="T257" s="10">
        <v>1</v>
      </c>
      <c r="U257" s="10">
        <v>0</v>
      </c>
      <c r="V257" s="10">
        <v>0</v>
      </c>
      <c r="W257" s="10">
        <v>0</v>
      </c>
      <c r="X257" s="10"/>
      <c r="Y257" s="120">
        <v>0.36666666666666664</v>
      </c>
      <c r="Z257" s="117" t="s">
        <v>678</v>
      </c>
      <c r="AA257" s="121">
        <v>0.36666666666666664</v>
      </c>
      <c r="AB257" s="123"/>
      <c r="AC257" s="123">
        <v>0</v>
      </c>
      <c r="AD257" s="124">
        <v>0.36666666666666664</v>
      </c>
      <c r="AE257" s="10"/>
      <c r="AF257" s="125"/>
      <c r="AG257" s="125" t="s">
        <v>677</v>
      </c>
      <c r="AH257" s="126">
        <v>75.8</v>
      </c>
      <c r="AI257" s="117" t="s">
        <v>1971</v>
      </c>
      <c r="AJ257" s="2"/>
      <c r="AK257" s="2"/>
      <c r="AL257" s="2"/>
      <c r="AM257" s="2"/>
      <c r="AN257" s="2"/>
    </row>
    <row r="258" spans="1:40" ht="12.75" x14ac:dyDescent="0.2">
      <c r="A258" s="117" t="s">
        <v>1295</v>
      </c>
      <c r="B258" s="117" t="s">
        <v>677</v>
      </c>
      <c r="C258" s="117" t="s">
        <v>677</v>
      </c>
      <c r="D258" s="117" t="s">
        <v>678</v>
      </c>
      <c r="E258" s="117" t="s">
        <v>677</v>
      </c>
      <c r="F258" s="117" t="s">
        <v>677</v>
      </c>
      <c r="G258" s="117" t="s">
        <v>677</v>
      </c>
      <c r="H258" s="117" t="s">
        <v>677</v>
      </c>
      <c r="I258" s="117" t="s">
        <v>916</v>
      </c>
      <c r="J258" s="117" t="s">
        <v>678</v>
      </c>
      <c r="K258" s="118" t="s">
        <v>674</v>
      </c>
      <c r="L258" s="118">
        <v>2</v>
      </c>
      <c r="M258" s="117" t="s">
        <v>1296</v>
      </c>
      <c r="N258" s="10"/>
      <c r="O258" s="117" t="s">
        <v>887</v>
      </c>
      <c r="P258" s="117" t="s">
        <v>1161</v>
      </c>
      <c r="Q258" s="117" t="s">
        <v>1023</v>
      </c>
      <c r="R258" s="119"/>
      <c r="S258" s="10">
        <v>1</v>
      </c>
      <c r="T258" s="10">
        <v>0</v>
      </c>
      <c r="U258" s="10">
        <v>0</v>
      </c>
      <c r="V258" s="10">
        <v>0</v>
      </c>
      <c r="W258" s="10">
        <v>0</v>
      </c>
      <c r="X258" s="10"/>
      <c r="Y258" s="129">
        <v>69.333333333333329</v>
      </c>
      <c r="Z258" s="117" t="s">
        <v>677</v>
      </c>
      <c r="AA258" s="130">
        <v>69.333333333333329</v>
      </c>
      <c r="AB258" s="123"/>
      <c r="AC258" s="122">
        <v>1</v>
      </c>
      <c r="AD258" s="128">
        <v>35.5</v>
      </c>
      <c r="AE258" s="10"/>
      <c r="AF258" s="125" t="s">
        <v>914</v>
      </c>
      <c r="AG258" s="125" t="s">
        <v>678</v>
      </c>
      <c r="AH258" s="126">
        <v>3.9</v>
      </c>
      <c r="AI258" s="117" t="s">
        <v>1428</v>
      </c>
      <c r="AJ258" s="2"/>
      <c r="AK258" s="2"/>
      <c r="AL258" s="2"/>
      <c r="AM258" s="2"/>
      <c r="AN258" s="2"/>
    </row>
    <row r="259" spans="1:40" ht="12.75" x14ac:dyDescent="0.2">
      <c r="A259" s="117" t="s">
        <v>975</v>
      </c>
      <c r="B259" s="117" t="s">
        <v>677</v>
      </c>
      <c r="C259" s="117" t="s">
        <v>677</v>
      </c>
      <c r="D259" s="117" t="s">
        <v>677</v>
      </c>
      <c r="E259" s="117" t="s">
        <v>678</v>
      </c>
      <c r="F259" s="117" t="s">
        <v>677</v>
      </c>
      <c r="G259" s="117" t="s">
        <v>677</v>
      </c>
      <c r="H259" s="117" t="s">
        <v>677</v>
      </c>
      <c r="I259" s="117" t="s">
        <v>976</v>
      </c>
      <c r="J259" s="117" t="s">
        <v>678</v>
      </c>
      <c r="K259" s="118">
        <f>224/30</f>
        <v>7.4666666666666668</v>
      </c>
      <c r="L259" s="118">
        <v>1</v>
      </c>
      <c r="M259" s="117" t="s">
        <v>980</v>
      </c>
      <c r="N259" s="10"/>
      <c r="O259" s="117" t="s">
        <v>978</v>
      </c>
      <c r="P259" s="117" t="s">
        <v>977</v>
      </c>
      <c r="Q259" s="117" t="s">
        <v>979</v>
      </c>
      <c r="R259" s="119"/>
      <c r="S259" s="10">
        <v>0</v>
      </c>
      <c r="T259" s="10">
        <v>1</v>
      </c>
      <c r="U259" s="10">
        <v>0</v>
      </c>
      <c r="V259" s="10">
        <v>0</v>
      </c>
      <c r="W259" s="10">
        <v>0</v>
      </c>
      <c r="X259" s="10"/>
      <c r="Y259" s="120">
        <v>1.1666666666666667</v>
      </c>
      <c r="Z259" s="117" t="s">
        <v>678</v>
      </c>
      <c r="AA259" s="121">
        <v>1.1666666666666667</v>
      </c>
      <c r="AB259" s="122"/>
      <c r="AC259" s="123">
        <v>0</v>
      </c>
      <c r="AD259" s="124">
        <v>1.1666666666666667</v>
      </c>
      <c r="AE259" s="10"/>
      <c r="AF259" s="125" t="s">
        <v>981</v>
      </c>
      <c r="AG259" s="125" t="s">
        <v>677</v>
      </c>
      <c r="AH259" s="126">
        <v>0</v>
      </c>
      <c r="AI259" s="117" t="s">
        <v>1972</v>
      </c>
      <c r="AJ259" s="2"/>
      <c r="AK259" s="2"/>
      <c r="AL259" s="2"/>
      <c r="AM259" s="2"/>
      <c r="AN259" s="2"/>
    </row>
    <row r="260" spans="1:40" ht="12.75" x14ac:dyDescent="0.2">
      <c r="A260" s="117" t="s">
        <v>1297</v>
      </c>
      <c r="B260" s="117" t="s">
        <v>677</v>
      </c>
      <c r="C260" s="117" t="s">
        <v>677</v>
      </c>
      <c r="D260" s="117" t="s">
        <v>678</v>
      </c>
      <c r="E260" s="117" t="s">
        <v>678</v>
      </c>
      <c r="F260" s="117" t="s">
        <v>677</v>
      </c>
      <c r="G260" s="117" t="s">
        <v>677</v>
      </c>
      <c r="H260" s="117" t="s">
        <v>677</v>
      </c>
      <c r="I260" s="117" t="s">
        <v>1041</v>
      </c>
      <c r="J260" s="117" t="s">
        <v>679</v>
      </c>
      <c r="K260" s="118">
        <f>1572/30</f>
        <v>52.4</v>
      </c>
      <c r="L260" s="118">
        <v>0</v>
      </c>
      <c r="M260" s="117" t="s">
        <v>1298</v>
      </c>
      <c r="N260" s="10"/>
      <c r="O260" s="117" t="s">
        <v>897</v>
      </c>
      <c r="P260" s="117" t="s">
        <v>1146</v>
      </c>
      <c r="Q260" s="117" t="s">
        <v>1239</v>
      </c>
      <c r="R260" s="119"/>
      <c r="S260" s="10">
        <v>0</v>
      </c>
      <c r="T260" s="10">
        <v>1</v>
      </c>
      <c r="U260" s="10">
        <v>0</v>
      </c>
      <c r="V260" s="10">
        <v>0</v>
      </c>
      <c r="W260" s="10">
        <v>0</v>
      </c>
      <c r="X260" s="10"/>
      <c r="Y260" s="120">
        <v>7.7333333333333334</v>
      </c>
      <c r="Z260" s="127">
        <v>1</v>
      </c>
      <c r="AA260" s="121">
        <v>7.7333333333333334</v>
      </c>
      <c r="AB260" s="122"/>
      <c r="AC260" s="122">
        <v>1</v>
      </c>
      <c r="AD260" s="128">
        <v>0.7</v>
      </c>
      <c r="AE260" s="10"/>
      <c r="AF260" s="125" t="s">
        <v>1299</v>
      </c>
      <c r="AG260" s="125" t="s">
        <v>677</v>
      </c>
      <c r="AH260" s="126">
        <v>28.3</v>
      </c>
      <c r="AI260" s="117" t="s">
        <v>1973</v>
      </c>
      <c r="AJ260" s="2"/>
      <c r="AK260" s="2"/>
      <c r="AL260" s="2"/>
      <c r="AM260" s="2"/>
      <c r="AN260" s="2"/>
    </row>
    <row r="261" spans="1:40" ht="12.75" x14ac:dyDescent="0.2">
      <c r="A261" s="117" t="s">
        <v>1566</v>
      </c>
      <c r="B261" s="117" t="s">
        <v>678</v>
      </c>
      <c r="C261" s="117" t="s">
        <v>677</v>
      </c>
      <c r="D261" s="117" t="s">
        <v>677</v>
      </c>
      <c r="E261" s="117" t="s">
        <v>678</v>
      </c>
      <c r="F261" s="117" t="s">
        <v>677</v>
      </c>
      <c r="G261" s="117" t="s">
        <v>677</v>
      </c>
      <c r="H261" s="117" t="s">
        <v>677</v>
      </c>
      <c r="I261" s="117" t="s">
        <v>963</v>
      </c>
      <c r="J261" s="117" t="s">
        <v>678</v>
      </c>
      <c r="K261" s="118">
        <f>109/30</f>
        <v>3.6333333333333333</v>
      </c>
      <c r="L261" s="118">
        <v>1</v>
      </c>
      <c r="M261" s="117" t="s">
        <v>1450</v>
      </c>
      <c r="N261" s="10"/>
      <c r="O261" s="117" t="s">
        <v>1286</v>
      </c>
      <c r="P261" s="117" t="s">
        <v>1174</v>
      </c>
      <c r="Q261" s="117" t="s">
        <v>893</v>
      </c>
      <c r="R261" s="119"/>
      <c r="S261" s="10">
        <v>1</v>
      </c>
      <c r="T261" s="10">
        <v>0</v>
      </c>
      <c r="U261" s="10">
        <v>0</v>
      </c>
      <c r="V261" s="10">
        <v>0</v>
      </c>
      <c r="W261" s="10">
        <v>0</v>
      </c>
      <c r="X261" s="10"/>
      <c r="Y261" s="120">
        <v>17.966666666666665</v>
      </c>
      <c r="Z261" s="127">
        <v>1</v>
      </c>
      <c r="AA261" s="121">
        <v>17.966666666666665</v>
      </c>
      <c r="AB261" s="123"/>
      <c r="AC261" s="122">
        <v>1</v>
      </c>
      <c r="AD261" s="128">
        <v>1.8666666666666667</v>
      </c>
      <c r="AE261" s="10"/>
      <c r="AF261" s="125" t="s">
        <v>1567</v>
      </c>
      <c r="AG261" s="125" t="s">
        <v>677</v>
      </c>
      <c r="AH261" s="126">
        <v>63.5</v>
      </c>
      <c r="AI261" s="117" t="s">
        <v>1617</v>
      </c>
      <c r="AJ261" s="2"/>
      <c r="AK261" s="2"/>
      <c r="AL261" s="2"/>
      <c r="AM261" s="2"/>
      <c r="AN261" s="2"/>
    </row>
    <row r="262" spans="1:40" ht="12.75" x14ac:dyDescent="0.2">
      <c r="A262" s="116" t="s">
        <v>982</v>
      </c>
      <c r="B262" s="117" t="s">
        <v>677</v>
      </c>
      <c r="C262" s="117" t="s">
        <v>677</v>
      </c>
      <c r="D262" s="117" t="s">
        <v>677</v>
      </c>
      <c r="E262" s="117" t="s">
        <v>678</v>
      </c>
      <c r="F262" s="117" t="s">
        <v>677</v>
      </c>
      <c r="G262" s="117" t="s">
        <v>677</v>
      </c>
      <c r="H262" s="117" t="s">
        <v>678</v>
      </c>
      <c r="I262" s="117" t="s">
        <v>983</v>
      </c>
      <c r="J262" s="117" t="s">
        <v>679</v>
      </c>
      <c r="K262" s="118">
        <f>402/30</f>
        <v>13.4</v>
      </c>
      <c r="L262" s="118">
        <v>0</v>
      </c>
      <c r="M262" s="117" t="s">
        <v>986</v>
      </c>
      <c r="N262" s="10"/>
      <c r="O262" s="117" t="s">
        <v>984</v>
      </c>
      <c r="P262" s="117" t="s">
        <v>956</v>
      </c>
      <c r="Q262" s="117" t="s">
        <v>985</v>
      </c>
      <c r="R262" s="119"/>
      <c r="S262" s="10">
        <v>0</v>
      </c>
      <c r="T262" s="10">
        <v>1</v>
      </c>
      <c r="U262" s="10">
        <v>0</v>
      </c>
      <c r="V262" s="10">
        <v>0</v>
      </c>
      <c r="W262" s="10">
        <v>0</v>
      </c>
      <c r="X262" s="10"/>
      <c r="Y262" s="120">
        <v>52.8</v>
      </c>
      <c r="Z262" s="117" t="s">
        <v>678</v>
      </c>
      <c r="AA262" s="121">
        <v>52.8</v>
      </c>
      <c r="AB262" s="122"/>
      <c r="AC262" s="123">
        <v>0</v>
      </c>
      <c r="AD262" s="124">
        <v>51.833333333333336</v>
      </c>
      <c r="AE262" s="10"/>
      <c r="AF262" s="125" t="s">
        <v>987</v>
      </c>
      <c r="AG262" s="125" t="s">
        <v>678</v>
      </c>
      <c r="AH262" s="126">
        <v>3.5</v>
      </c>
      <c r="AI262" s="117" t="s">
        <v>939</v>
      </c>
      <c r="AJ262" s="2"/>
      <c r="AK262" s="2"/>
      <c r="AL262" s="2"/>
      <c r="AM262" s="2"/>
      <c r="AN262" s="2"/>
    </row>
    <row r="263" spans="1:40" ht="12.75" x14ac:dyDescent="0.2">
      <c r="A263" s="117" t="s">
        <v>1300</v>
      </c>
      <c r="B263" s="117" t="s">
        <v>677</v>
      </c>
      <c r="C263" s="117" t="s">
        <v>677</v>
      </c>
      <c r="D263" s="117" t="s">
        <v>677</v>
      </c>
      <c r="E263" s="117" t="s">
        <v>678</v>
      </c>
      <c r="F263" s="117" t="s">
        <v>677</v>
      </c>
      <c r="G263" s="117" t="s">
        <v>677</v>
      </c>
      <c r="H263" s="117" t="s">
        <v>677</v>
      </c>
      <c r="I263" s="117" t="s">
        <v>1016</v>
      </c>
      <c r="J263" s="117" t="s">
        <v>679</v>
      </c>
      <c r="K263" s="118">
        <f>321/30</f>
        <v>10.7</v>
      </c>
      <c r="L263" s="118">
        <v>1</v>
      </c>
      <c r="M263" s="117" t="s">
        <v>1301</v>
      </c>
      <c r="N263" s="10"/>
      <c r="O263" s="117" t="s">
        <v>925</v>
      </c>
      <c r="P263" s="117" t="s">
        <v>1092</v>
      </c>
      <c r="Q263" s="117" t="s">
        <v>1038</v>
      </c>
      <c r="R263" s="119"/>
      <c r="S263" s="10">
        <v>0</v>
      </c>
      <c r="T263" s="10">
        <v>1</v>
      </c>
      <c r="U263" s="10">
        <v>0</v>
      </c>
      <c r="V263" s="10">
        <v>0</v>
      </c>
      <c r="W263" s="10">
        <v>0</v>
      </c>
      <c r="X263" s="10"/>
      <c r="Y263" s="120">
        <v>34.5</v>
      </c>
      <c r="Z263" s="127">
        <v>1</v>
      </c>
      <c r="AA263" s="121">
        <v>34.5</v>
      </c>
      <c r="AB263" s="122"/>
      <c r="AC263" s="122">
        <v>1</v>
      </c>
      <c r="AD263" s="128">
        <v>15.866666666666667</v>
      </c>
      <c r="AE263" s="10"/>
      <c r="AF263" s="125" t="s">
        <v>1182</v>
      </c>
      <c r="AG263" s="125" t="s">
        <v>678</v>
      </c>
      <c r="AH263" s="126">
        <v>3.9</v>
      </c>
      <c r="AI263" s="117" t="s">
        <v>1608</v>
      </c>
      <c r="AJ263" s="2"/>
      <c r="AK263" s="2"/>
      <c r="AL263" s="2"/>
      <c r="AM263" s="2"/>
      <c r="AN263" s="2"/>
    </row>
    <row r="264" spans="1:40" ht="12.75" x14ac:dyDescent="0.2">
      <c r="A264" s="117" t="s">
        <v>1304</v>
      </c>
      <c r="B264" s="117" t="s">
        <v>679</v>
      </c>
      <c r="C264" s="117" t="s">
        <v>677</v>
      </c>
      <c r="D264" s="117" t="s">
        <v>677</v>
      </c>
      <c r="E264" s="117" t="s">
        <v>678</v>
      </c>
      <c r="F264" s="117" t="s">
        <v>677</v>
      </c>
      <c r="G264" s="117" t="s">
        <v>677</v>
      </c>
      <c r="H264" s="117" t="s">
        <v>677</v>
      </c>
      <c r="I264" s="117" t="s">
        <v>1032</v>
      </c>
      <c r="J264" s="117" t="s">
        <v>678</v>
      </c>
      <c r="K264" s="118">
        <f>1002/30</f>
        <v>33.4</v>
      </c>
      <c r="L264" s="118">
        <v>0</v>
      </c>
      <c r="M264" s="117" t="s">
        <v>1306</v>
      </c>
      <c r="N264" s="10"/>
      <c r="O264" s="117" t="s">
        <v>948</v>
      </c>
      <c r="P264" s="117" t="s">
        <v>1305</v>
      </c>
      <c r="Q264" s="117" t="s">
        <v>893</v>
      </c>
      <c r="R264" s="119"/>
      <c r="S264" s="10">
        <v>0</v>
      </c>
      <c r="T264" s="10">
        <v>1</v>
      </c>
      <c r="U264" s="10">
        <v>0</v>
      </c>
      <c r="V264" s="10">
        <v>0</v>
      </c>
      <c r="W264" s="10">
        <v>0</v>
      </c>
      <c r="X264" s="10"/>
      <c r="Y264" s="120">
        <v>9.4333333333333336</v>
      </c>
      <c r="Z264" s="127">
        <v>1</v>
      </c>
      <c r="AA264" s="121">
        <v>9.4333333333333336</v>
      </c>
      <c r="AB264" s="122"/>
      <c r="AC264" s="123">
        <v>0</v>
      </c>
      <c r="AD264" s="124">
        <v>2.2666666666666666</v>
      </c>
      <c r="AE264" s="10"/>
      <c r="AF264" s="125" t="s">
        <v>1307</v>
      </c>
      <c r="AG264" s="125" t="s">
        <v>677</v>
      </c>
      <c r="AH264" s="126">
        <v>31.9</v>
      </c>
      <c r="AI264" s="117" t="s">
        <v>1975</v>
      </c>
      <c r="AJ264" s="2"/>
      <c r="AK264" s="2"/>
      <c r="AL264" s="2"/>
      <c r="AM264" s="2"/>
      <c r="AN264" s="2"/>
    </row>
    <row r="265" spans="1:40" ht="12.75" x14ac:dyDescent="0.2">
      <c r="A265" s="117" t="s">
        <v>1568</v>
      </c>
      <c r="B265" s="117" t="s">
        <v>677</v>
      </c>
      <c r="C265" s="117" t="s">
        <v>677</v>
      </c>
      <c r="D265" s="117" t="s">
        <v>678</v>
      </c>
      <c r="E265" s="117" t="s">
        <v>678</v>
      </c>
      <c r="F265" s="117" t="s">
        <v>677</v>
      </c>
      <c r="G265" s="117" t="s">
        <v>677</v>
      </c>
      <c r="H265" s="117" t="s">
        <v>677</v>
      </c>
      <c r="I265" s="117" t="s">
        <v>903</v>
      </c>
      <c r="J265" s="117" t="s">
        <v>677</v>
      </c>
      <c r="K265" s="118">
        <f>251/30</f>
        <v>8.3666666666666671</v>
      </c>
      <c r="L265" s="118">
        <v>1</v>
      </c>
      <c r="M265" s="117" t="s">
        <v>1569</v>
      </c>
      <c r="N265" s="10"/>
      <c r="O265" s="117" t="s">
        <v>1018</v>
      </c>
      <c r="P265" s="117" t="s">
        <v>888</v>
      </c>
      <c r="Q265" s="117" t="s">
        <v>1477</v>
      </c>
      <c r="R265" s="119"/>
      <c r="S265" s="10">
        <v>1</v>
      </c>
      <c r="T265" s="10">
        <v>0</v>
      </c>
      <c r="U265" s="10">
        <v>0</v>
      </c>
      <c r="V265" s="10">
        <v>0</v>
      </c>
      <c r="W265" s="10">
        <v>0</v>
      </c>
      <c r="X265" s="10"/>
      <c r="Y265" s="120">
        <v>37.033333333333331</v>
      </c>
      <c r="Z265" s="127">
        <v>1</v>
      </c>
      <c r="AA265" s="121">
        <v>37.033333333333331</v>
      </c>
      <c r="AB265" s="122"/>
      <c r="AC265" s="122">
        <v>1</v>
      </c>
      <c r="AD265" s="128">
        <v>0.93333333333333335</v>
      </c>
      <c r="AE265" s="10"/>
      <c r="AF265" s="125" t="s">
        <v>1045</v>
      </c>
      <c r="AG265" s="125" t="s">
        <v>677</v>
      </c>
      <c r="AH265" s="126">
        <v>5.8</v>
      </c>
      <c r="AI265" s="117" t="s">
        <v>1968</v>
      </c>
      <c r="AJ265" s="2"/>
      <c r="AK265" s="2"/>
      <c r="AL265" s="2"/>
      <c r="AM265" s="2"/>
      <c r="AN265" s="2"/>
    </row>
    <row r="266" spans="1:40" ht="12.75" x14ac:dyDescent="0.2">
      <c r="A266" s="117" t="s">
        <v>988</v>
      </c>
      <c r="B266" s="117" t="s">
        <v>677</v>
      </c>
      <c r="C266" s="117" t="s">
        <v>677</v>
      </c>
      <c r="D266" s="117" t="s">
        <v>677</v>
      </c>
      <c r="E266" s="117" t="s">
        <v>678</v>
      </c>
      <c r="F266" s="117" t="s">
        <v>677</v>
      </c>
      <c r="G266" s="117" t="s">
        <v>677</v>
      </c>
      <c r="H266" s="117" t="s">
        <v>677</v>
      </c>
      <c r="I266" s="117" t="s">
        <v>903</v>
      </c>
      <c r="J266" s="117" t="s">
        <v>678</v>
      </c>
      <c r="K266" s="118" t="s">
        <v>674</v>
      </c>
      <c r="L266" s="118">
        <v>2</v>
      </c>
      <c r="M266" s="117" t="s">
        <v>989</v>
      </c>
      <c r="N266" s="10"/>
      <c r="O266" s="117" t="s">
        <v>948</v>
      </c>
      <c r="P266" s="117" t="s">
        <v>887</v>
      </c>
      <c r="Q266" s="117" t="s">
        <v>949</v>
      </c>
      <c r="R266" s="119"/>
      <c r="S266" s="10">
        <v>0</v>
      </c>
      <c r="T266" s="10">
        <v>1</v>
      </c>
      <c r="U266" s="10">
        <v>0</v>
      </c>
      <c r="V266" s="10">
        <v>0</v>
      </c>
      <c r="W266" s="10">
        <v>0</v>
      </c>
      <c r="X266" s="10"/>
      <c r="Y266" s="120">
        <v>43.366666666666667</v>
      </c>
      <c r="Z266" s="127">
        <v>1</v>
      </c>
      <c r="AA266" s="121">
        <v>43.366666666666667</v>
      </c>
      <c r="AB266" s="122"/>
      <c r="AC266" s="123">
        <v>1</v>
      </c>
      <c r="AD266" s="124">
        <v>6.8</v>
      </c>
      <c r="AE266" s="10"/>
      <c r="AF266" s="125" t="s">
        <v>990</v>
      </c>
      <c r="AG266" s="125" t="s">
        <v>677</v>
      </c>
      <c r="AH266" s="126">
        <v>0</v>
      </c>
      <c r="AI266" s="117" t="s">
        <v>1619</v>
      </c>
      <c r="AJ266" s="2"/>
      <c r="AK266" s="2"/>
      <c r="AL266" s="2"/>
      <c r="AM266" s="2"/>
      <c r="AN266" s="2"/>
    </row>
    <row r="267" spans="1:40" ht="12.75" x14ac:dyDescent="0.2">
      <c r="A267" s="117" t="s">
        <v>992</v>
      </c>
      <c r="B267" s="117" t="s">
        <v>678</v>
      </c>
      <c r="C267" s="117" t="s">
        <v>677</v>
      </c>
      <c r="D267" s="117" t="s">
        <v>677</v>
      </c>
      <c r="E267" s="117" t="s">
        <v>678</v>
      </c>
      <c r="F267" s="117" t="s">
        <v>677</v>
      </c>
      <c r="G267" s="117" t="s">
        <v>677</v>
      </c>
      <c r="H267" s="117" t="s">
        <v>678</v>
      </c>
      <c r="I267" s="117" t="s">
        <v>993</v>
      </c>
      <c r="J267" s="117" t="s">
        <v>679</v>
      </c>
      <c r="K267" s="118" t="s">
        <v>674</v>
      </c>
      <c r="L267" s="118">
        <v>2</v>
      </c>
      <c r="M267" s="117" t="s">
        <v>996</v>
      </c>
      <c r="N267" s="10"/>
      <c r="O267" s="117" t="s">
        <v>994</v>
      </c>
      <c r="P267" s="117" t="s">
        <v>897</v>
      </c>
      <c r="Q267" s="117" t="s">
        <v>995</v>
      </c>
      <c r="R267" s="119"/>
      <c r="S267" s="10">
        <v>1</v>
      </c>
      <c r="T267" s="10">
        <v>0</v>
      </c>
      <c r="U267" s="10">
        <v>0</v>
      </c>
      <c r="V267" s="10">
        <v>0</v>
      </c>
      <c r="W267" s="10">
        <v>0</v>
      </c>
      <c r="X267" s="10"/>
      <c r="Y267" s="120">
        <v>7.8666666666666663</v>
      </c>
      <c r="Z267" s="117" t="s">
        <v>678</v>
      </c>
      <c r="AA267" s="121">
        <v>7.8666666666666663</v>
      </c>
      <c r="AB267" s="122"/>
      <c r="AC267" s="122">
        <v>1</v>
      </c>
      <c r="AD267" s="128">
        <v>0.96666666666666667</v>
      </c>
      <c r="AE267" s="10"/>
      <c r="AF267" s="125" t="s">
        <v>997</v>
      </c>
      <c r="AG267" s="125" t="s">
        <v>678</v>
      </c>
      <c r="AH267" s="126">
        <v>47.3</v>
      </c>
      <c r="AI267" s="117" t="s">
        <v>1976</v>
      </c>
      <c r="AJ267" s="2"/>
      <c r="AK267" s="2"/>
      <c r="AL267" s="2"/>
      <c r="AM267" s="2"/>
      <c r="AN267" s="2"/>
    </row>
    <row r="268" spans="1:40" ht="12.75" x14ac:dyDescent="0.2">
      <c r="A268" s="117" t="s">
        <v>998</v>
      </c>
      <c r="B268" s="117" t="s">
        <v>677</v>
      </c>
      <c r="C268" s="117" t="s">
        <v>677</v>
      </c>
      <c r="D268" s="117" t="s">
        <v>677</v>
      </c>
      <c r="E268" s="117" t="s">
        <v>678</v>
      </c>
      <c r="F268" s="117" t="s">
        <v>677</v>
      </c>
      <c r="G268" s="117" t="s">
        <v>677</v>
      </c>
      <c r="H268" s="117" t="s">
        <v>677</v>
      </c>
      <c r="I268" s="117" t="s">
        <v>999</v>
      </c>
      <c r="J268" s="117" t="s">
        <v>678</v>
      </c>
      <c r="K268" s="118">
        <f>392/30</f>
        <v>13.066666666666666</v>
      </c>
      <c r="L268" s="118">
        <v>0</v>
      </c>
      <c r="M268" s="117" t="s">
        <v>1002</v>
      </c>
      <c r="N268" s="10"/>
      <c r="O268" s="117" t="s">
        <v>1001</v>
      </c>
      <c r="P268" s="117" t="s">
        <v>1000</v>
      </c>
      <c r="Q268" s="117" t="s">
        <v>938</v>
      </c>
      <c r="R268" s="119"/>
      <c r="S268" s="10">
        <v>1</v>
      </c>
      <c r="T268" s="10">
        <v>0</v>
      </c>
      <c r="U268" s="10">
        <v>0</v>
      </c>
      <c r="V268" s="10">
        <v>0</v>
      </c>
      <c r="W268" s="10">
        <v>0</v>
      </c>
      <c r="X268" s="10"/>
      <c r="Y268" s="120">
        <v>10.066666666666666</v>
      </c>
      <c r="Z268" s="117" t="s">
        <v>678</v>
      </c>
      <c r="AA268" s="121">
        <v>10.066666666666666</v>
      </c>
      <c r="AB268" s="122"/>
      <c r="AC268" s="123">
        <v>1</v>
      </c>
      <c r="AD268" s="124">
        <v>5.833333333333333</v>
      </c>
      <c r="AE268" s="10"/>
      <c r="AF268" s="125" t="s">
        <v>1003</v>
      </c>
      <c r="AG268" s="125" t="s">
        <v>678</v>
      </c>
      <c r="AH268" s="126">
        <v>76</v>
      </c>
      <c r="AI268" s="117" t="s">
        <v>1978</v>
      </c>
      <c r="AJ268" s="2"/>
      <c r="AK268" s="2"/>
      <c r="AL268" s="2"/>
      <c r="AM268" s="2"/>
      <c r="AN268" s="2"/>
    </row>
    <row r="269" spans="1:40" ht="12.75" x14ac:dyDescent="0.2">
      <c r="A269" s="117" t="s">
        <v>1570</v>
      </c>
      <c r="B269" s="117" t="s">
        <v>677</v>
      </c>
      <c r="C269" s="117" t="s">
        <v>677</v>
      </c>
      <c r="D269" s="117" t="s">
        <v>678</v>
      </c>
      <c r="E269" s="117" t="s">
        <v>677</v>
      </c>
      <c r="F269" s="117" t="s">
        <v>677</v>
      </c>
      <c r="G269" s="117" t="s">
        <v>677</v>
      </c>
      <c r="H269" s="117" t="s">
        <v>678</v>
      </c>
      <c r="I269" s="117" t="s">
        <v>1051</v>
      </c>
      <c r="J269" s="117" t="s">
        <v>678</v>
      </c>
      <c r="K269" s="118">
        <f>71/30</f>
        <v>2.3666666666666667</v>
      </c>
      <c r="L269" s="118">
        <v>1</v>
      </c>
      <c r="M269" s="117" t="s">
        <v>1386</v>
      </c>
      <c r="N269" s="10"/>
      <c r="O269" s="117" t="s">
        <v>1103</v>
      </c>
      <c r="P269" s="117" t="s">
        <v>1135</v>
      </c>
      <c r="Q269" s="117" t="s">
        <v>1239</v>
      </c>
      <c r="R269" s="119"/>
      <c r="S269" s="10">
        <v>0</v>
      </c>
      <c r="T269" s="10">
        <v>1</v>
      </c>
      <c r="U269" s="10">
        <v>0</v>
      </c>
      <c r="V269" s="10">
        <v>0</v>
      </c>
      <c r="W269" s="10">
        <v>0</v>
      </c>
      <c r="X269" s="10"/>
      <c r="Y269" s="120">
        <v>47.133333333333333</v>
      </c>
      <c r="Z269" s="127">
        <v>1</v>
      </c>
      <c r="AA269" s="121">
        <v>47.133333333333333</v>
      </c>
      <c r="AB269" s="122"/>
      <c r="AC269" s="123">
        <v>1</v>
      </c>
      <c r="AD269" s="124">
        <v>10</v>
      </c>
      <c r="AE269" s="10"/>
      <c r="AF269" s="125" t="s">
        <v>1571</v>
      </c>
      <c r="AG269" s="125" t="s">
        <v>677</v>
      </c>
      <c r="AH269" s="126">
        <v>0</v>
      </c>
      <c r="AI269" s="117" t="s">
        <v>1590</v>
      </c>
      <c r="AJ269" s="2"/>
      <c r="AK269" s="2"/>
      <c r="AL269" s="2"/>
      <c r="AM269" s="2"/>
      <c r="AN269" s="2"/>
    </row>
    <row r="270" spans="1:40" ht="12.75" x14ac:dyDescent="0.2">
      <c r="A270" s="117" t="s">
        <v>1004</v>
      </c>
      <c r="B270" s="117" t="s">
        <v>677</v>
      </c>
      <c r="C270" s="117" t="s">
        <v>677</v>
      </c>
      <c r="D270" s="117" t="s">
        <v>678</v>
      </c>
      <c r="E270" s="117" t="s">
        <v>678</v>
      </c>
      <c r="F270" s="117" t="s">
        <v>677</v>
      </c>
      <c r="G270" s="117" t="s">
        <v>677</v>
      </c>
      <c r="H270" s="117" t="s">
        <v>678</v>
      </c>
      <c r="I270" s="117" t="s">
        <v>1005</v>
      </c>
      <c r="J270" s="117" t="s">
        <v>679</v>
      </c>
      <c r="K270" s="118" t="s">
        <v>1377</v>
      </c>
      <c r="L270" s="118">
        <v>2</v>
      </c>
      <c r="M270" s="117" t="s">
        <v>1008</v>
      </c>
      <c r="N270" s="10"/>
      <c r="O270" s="117" t="s">
        <v>1007</v>
      </c>
      <c r="P270" s="117" t="s">
        <v>1006</v>
      </c>
      <c r="Q270" s="117" t="s">
        <v>944</v>
      </c>
      <c r="R270" s="119"/>
      <c r="S270" s="10">
        <v>1</v>
      </c>
      <c r="T270" s="10">
        <v>0</v>
      </c>
      <c r="U270" s="10">
        <v>0</v>
      </c>
      <c r="V270" s="10">
        <v>0</v>
      </c>
      <c r="W270" s="10">
        <v>0</v>
      </c>
      <c r="X270" s="10"/>
      <c r="Y270" s="120">
        <v>29.233333333333334</v>
      </c>
      <c r="Z270" s="117" t="s">
        <v>678</v>
      </c>
      <c r="AA270" s="121">
        <v>29.233333333333334</v>
      </c>
      <c r="AB270" s="123"/>
      <c r="AC270" s="122">
        <v>1</v>
      </c>
      <c r="AD270" s="128">
        <v>9.3333333333333339</v>
      </c>
      <c r="AE270" s="10"/>
      <c r="AF270" s="125" t="s">
        <v>1009</v>
      </c>
      <c r="AG270" s="125" t="s">
        <v>678</v>
      </c>
      <c r="AH270" s="126">
        <v>0</v>
      </c>
      <c r="AI270" s="117" t="s">
        <v>1189</v>
      </c>
      <c r="AJ270" s="2"/>
      <c r="AK270" s="2"/>
      <c r="AL270" s="2"/>
      <c r="AM270" s="2"/>
      <c r="AN270" s="2"/>
    </row>
    <row r="271" spans="1:40" ht="12.75" x14ac:dyDescent="0.2">
      <c r="A271" s="117" t="s">
        <v>1309</v>
      </c>
      <c r="B271" s="117" t="s">
        <v>677</v>
      </c>
      <c r="C271" s="117" t="s">
        <v>677</v>
      </c>
      <c r="D271" s="117" t="s">
        <v>678</v>
      </c>
      <c r="E271" s="117" t="s">
        <v>678</v>
      </c>
      <c r="F271" s="117" t="s">
        <v>677</v>
      </c>
      <c r="G271" s="117" t="s">
        <v>677</v>
      </c>
      <c r="H271" s="117" t="s">
        <v>677</v>
      </c>
      <c r="I271" s="117" t="s">
        <v>1109</v>
      </c>
      <c r="J271" s="117" t="s">
        <v>677</v>
      </c>
      <c r="K271" s="118">
        <f>358/30</f>
        <v>11.933333333333334</v>
      </c>
      <c r="L271" s="118">
        <v>1</v>
      </c>
      <c r="M271" s="117" t="s">
        <v>1310</v>
      </c>
      <c r="N271" s="10"/>
      <c r="O271" s="117" t="s">
        <v>1146</v>
      </c>
      <c r="P271" s="117" t="s">
        <v>1198</v>
      </c>
      <c r="Q271" s="117" t="s">
        <v>1204</v>
      </c>
      <c r="R271" s="119"/>
      <c r="S271" s="10">
        <v>0</v>
      </c>
      <c r="T271" s="10">
        <v>1</v>
      </c>
      <c r="U271" s="10">
        <v>0</v>
      </c>
      <c r="V271" s="10">
        <v>0</v>
      </c>
      <c r="W271" s="10">
        <v>0</v>
      </c>
      <c r="X271" s="10"/>
      <c r="Y271" s="120">
        <v>15.666666666666666</v>
      </c>
      <c r="Z271" s="117" t="s">
        <v>678</v>
      </c>
      <c r="AA271" s="121">
        <v>15.666666666666666</v>
      </c>
      <c r="AB271" s="122"/>
      <c r="AC271" s="122">
        <v>1</v>
      </c>
      <c r="AD271" s="128">
        <v>5.5666666666666664</v>
      </c>
      <c r="AE271" s="10"/>
      <c r="AF271" s="125" t="s">
        <v>951</v>
      </c>
      <c r="AG271" s="125" t="s">
        <v>678</v>
      </c>
      <c r="AH271" s="126">
        <v>15.7</v>
      </c>
      <c r="AI271" s="117" t="s">
        <v>1979</v>
      </c>
      <c r="AJ271" s="2"/>
      <c r="AK271" s="2"/>
      <c r="AL271" s="2"/>
      <c r="AM271" s="2"/>
      <c r="AN271" s="2"/>
    </row>
    <row r="272" spans="1:40" ht="12.75" x14ac:dyDescent="0.2">
      <c r="A272" s="117" t="s">
        <v>1010</v>
      </c>
      <c r="B272" s="117" t="s">
        <v>677</v>
      </c>
      <c r="C272" s="117" t="s">
        <v>677</v>
      </c>
      <c r="D272" s="117" t="s">
        <v>677</v>
      </c>
      <c r="E272" s="117" t="s">
        <v>678</v>
      </c>
      <c r="F272" s="117" t="s">
        <v>677</v>
      </c>
      <c r="G272" s="117" t="s">
        <v>677</v>
      </c>
      <c r="H272" s="117" t="s">
        <v>677</v>
      </c>
      <c r="I272" s="117" t="s">
        <v>929</v>
      </c>
      <c r="J272" s="117" t="s">
        <v>678</v>
      </c>
      <c r="K272" s="118">
        <f>896/30</f>
        <v>29.866666666666667</v>
      </c>
      <c r="L272" s="118">
        <v>0</v>
      </c>
      <c r="M272" s="117" t="s">
        <v>1013</v>
      </c>
      <c r="N272" s="10"/>
      <c r="O272" s="117" t="s">
        <v>1011</v>
      </c>
      <c r="P272" s="117" t="s">
        <v>917</v>
      </c>
      <c r="Q272" s="117" t="s">
        <v>1012</v>
      </c>
      <c r="R272" s="119"/>
      <c r="S272" s="10">
        <v>1</v>
      </c>
      <c r="T272" s="10">
        <v>0</v>
      </c>
      <c r="U272" s="10">
        <v>0</v>
      </c>
      <c r="V272" s="10">
        <v>0</v>
      </c>
      <c r="W272" s="10">
        <v>0</v>
      </c>
      <c r="X272" s="10"/>
      <c r="Y272" s="120">
        <v>27.566666666666666</v>
      </c>
      <c r="Z272" s="117" t="s">
        <v>678</v>
      </c>
      <c r="AA272" s="121">
        <v>27.566666666666666</v>
      </c>
      <c r="AB272" s="122"/>
      <c r="AC272" s="123">
        <v>0</v>
      </c>
      <c r="AD272" s="124">
        <v>26</v>
      </c>
      <c r="AE272" s="10"/>
      <c r="AF272" s="125" t="s">
        <v>1014</v>
      </c>
      <c r="AG272" s="125" t="s">
        <v>678</v>
      </c>
      <c r="AH272" s="126">
        <v>0</v>
      </c>
      <c r="AI272" s="117" t="s">
        <v>1428</v>
      </c>
      <c r="AJ272" s="2"/>
      <c r="AK272" s="2"/>
      <c r="AL272" s="2"/>
      <c r="AM272" s="2"/>
      <c r="AN272" s="2"/>
    </row>
    <row r="273" spans="1:40" ht="12.75" x14ac:dyDescent="0.2">
      <c r="A273" s="117" t="s">
        <v>1311</v>
      </c>
      <c r="B273" s="117" t="s">
        <v>679</v>
      </c>
      <c r="C273" s="117" t="s">
        <v>677</v>
      </c>
      <c r="D273" s="117" t="s">
        <v>677</v>
      </c>
      <c r="E273" s="117" t="s">
        <v>678</v>
      </c>
      <c r="F273" s="117" t="s">
        <v>677</v>
      </c>
      <c r="G273" s="117" t="s">
        <v>677</v>
      </c>
      <c r="H273" s="117" t="s">
        <v>677</v>
      </c>
      <c r="I273" s="117" t="s">
        <v>1026</v>
      </c>
      <c r="J273" s="117" t="s">
        <v>677</v>
      </c>
      <c r="K273" s="118" t="s">
        <v>674</v>
      </c>
      <c r="L273" s="118">
        <v>2</v>
      </c>
      <c r="M273" s="117" t="s">
        <v>1312</v>
      </c>
      <c r="N273" s="10"/>
      <c r="O273" s="117" t="s">
        <v>674</v>
      </c>
      <c r="P273" s="117" t="s">
        <v>1286</v>
      </c>
      <c r="Q273" s="117" t="s">
        <v>899</v>
      </c>
      <c r="R273" s="119"/>
      <c r="S273" s="10">
        <v>1</v>
      </c>
      <c r="T273" s="10">
        <v>0</v>
      </c>
      <c r="U273" s="10">
        <v>0</v>
      </c>
      <c r="V273" s="10">
        <v>0</v>
      </c>
      <c r="W273" s="10">
        <v>0</v>
      </c>
      <c r="X273" s="10"/>
      <c r="Y273" s="120">
        <v>66.599999999999994</v>
      </c>
      <c r="Z273" s="117" t="s">
        <v>678</v>
      </c>
      <c r="AA273" s="121">
        <v>66.599999999999994</v>
      </c>
      <c r="AB273" s="123"/>
      <c r="AC273" s="122">
        <v>1</v>
      </c>
      <c r="AD273" s="128">
        <v>18.633333333333333</v>
      </c>
      <c r="AE273" s="10"/>
      <c r="AF273" s="125" t="s">
        <v>1313</v>
      </c>
      <c r="AG273" s="125" t="s">
        <v>678</v>
      </c>
      <c r="AH273" s="126">
        <v>0</v>
      </c>
      <c r="AI273" s="117" t="s">
        <v>1350</v>
      </c>
      <c r="AJ273" s="2"/>
      <c r="AK273" s="2"/>
      <c r="AL273" s="2"/>
      <c r="AM273" s="2"/>
      <c r="AN273" s="2"/>
    </row>
    <row r="274" spans="1:40" ht="12.75" x14ac:dyDescent="0.2">
      <c r="A274" s="117" t="s">
        <v>1314</v>
      </c>
      <c r="B274" s="117" t="s">
        <v>679</v>
      </c>
      <c r="C274" s="117" t="s">
        <v>677</v>
      </c>
      <c r="D274" s="117" t="s">
        <v>678</v>
      </c>
      <c r="E274" s="117" t="s">
        <v>678</v>
      </c>
      <c r="F274" s="117" t="s">
        <v>677</v>
      </c>
      <c r="G274" s="117" t="s">
        <v>677</v>
      </c>
      <c r="H274" s="117" t="s">
        <v>677</v>
      </c>
      <c r="I274" s="117" t="s">
        <v>1016</v>
      </c>
      <c r="J274" s="117" t="s">
        <v>677</v>
      </c>
      <c r="K274" s="118">
        <f>1513/30</f>
        <v>50.43333333333333</v>
      </c>
      <c r="L274" s="118">
        <v>0</v>
      </c>
      <c r="M274" s="117" t="s">
        <v>1316</v>
      </c>
      <c r="N274" s="10"/>
      <c r="O274" s="117" t="s">
        <v>930</v>
      </c>
      <c r="P274" s="117" t="s">
        <v>1315</v>
      </c>
      <c r="Q274" s="117" t="s">
        <v>893</v>
      </c>
      <c r="R274" s="119"/>
      <c r="S274" s="10">
        <v>0</v>
      </c>
      <c r="T274" s="10">
        <v>1</v>
      </c>
      <c r="U274" s="10">
        <v>0</v>
      </c>
      <c r="V274" s="10">
        <v>0</v>
      </c>
      <c r="W274" s="10">
        <v>0</v>
      </c>
      <c r="X274" s="10"/>
      <c r="Y274" s="120">
        <v>31.533333333333335</v>
      </c>
      <c r="Z274" s="127">
        <v>1</v>
      </c>
      <c r="AA274" s="121">
        <v>31.533333333333335</v>
      </c>
      <c r="AB274" s="122"/>
      <c r="AC274" s="122">
        <v>1</v>
      </c>
      <c r="AD274" s="128">
        <v>10.366666666666667</v>
      </c>
      <c r="AE274" s="10"/>
      <c r="AF274" s="125" t="s">
        <v>1317</v>
      </c>
      <c r="AG274" s="125" t="s">
        <v>678</v>
      </c>
      <c r="AH274" s="126">
        <v>0</v>
      </c>
      <c r="AI274" s="117" t="s">
        <v>1487</v>
      </c>
      <c r="AJ274" s="2"/>
      <c r="AK274" s="2"/>
      <c r="AL274" s="2"/>
      <c r="AM274" s="2"/>
      <c r="AN274" s="2"/>
    </row>
    <row r="275" spans="1:40" ht="12.75" x14ac:dyDescent="0.2">
      <c r="A275" s="117" t="s">
        <v>1572</v>
      </c>
      <c r="B275" s="117" t="s">
        <v>677</v>
      </c>
      <c r="C275" s="117" t="s">
        <v>677</v>
      </c>
      <c r="D275" s="117" t="s">
        <v>678</v>
      </c>
      <c r="E275" s="117" t="s">
        <v>678</v>
      </c>
      <c r="F275" s="117" t="s">
        <v>677</v>
      </c>
      <c r="G275" s="117" t="s">
        <v>677</v>
      </c>
      <c r="H275" s="117" t="s">
        <v>677</v>
      </c>
      <c r="I275" s="117" t="s">
        <v>1102</v>
      </c>
      <c r="J275" s="117" t="s">
        <v>678</v>
      </c>
      <c r="K275" s="118">
        <f>1038/30</f>
        <v>34.6</v>
      </c>
      <c r="L275" s="118">
        <v>0</v>
      </c>
      <c r="M275" s="117" t="s">
        <v>1573</v>
      </c>
      <c r="N275" s="10"/>
      <c r="O275" s="117" t="s">
        <v>956</v>
      </c>
      <c r="P275" s="117" t="s">
        <v>1341</v>
      </c>
      <c r="Q275" s="117" t="s">
        <v>1329</v>
      </c>
      <c r="R275" s="119"/>
      <c r="S275" s="10">
        <v>1</v>
      </c>
      <c r="T275" s="10">
        <v>0</v>
      </c>
      <c r="U275" s="10">
        <v>0</v>
      </c>
      <c r="V275" s="10">
        <v>0</v>
      </c>
      <c r="W275" s="10">
        <v>0</v>
      </c>
      <c r="X275" s="10"/>
      <c r="Y275" s="120">
        <v>36.233333333333334</v>
      </c>
      <c r="Z275" s="127">
        <v>1</v>
      </c>
      <c r="AA275" s="121">
        <v>36.233333333333334</v>
      </c>
      <c r="AB275" s="123"/>
      <c r="AC275" s="122">
        <v>1</v>
      </c>
      <c r="AD275" s="128">
        <v>3.8</v>
      </c>
      <c r="AE275" s="10"/>
      <c r="AF275" s="125" t="s">
        <v>1513</v>
      </c>
      <c r="AG275" s="125" t="s">
        <v>678</v>
      </c>
      <c r="AH275" s="126">
        <v>0</v>
      </c>
      <c r="AI275" s="117" t="s">
        <v>1980</v>
      </c>
      <c r="AJ275" s="2"/>
      <c r="AK275" s="2"/>
      <c r="AL275" s="2"/>
      <c r="AM275" s="2"/>
      <c r="AN275" s="2"/>
    </row>
    <row r="276" spans="1:40" ht="12.75" x14ac:dyDescent="0.2">
      <c r="A276" s="117" t="s">
        <v>1319</v>
      </c>
      <c r="B276" s="117" t="s">
        <v>677</v>
      </c>
      <c r="C276" s="117" t="s">
        <v>677</v>
      </c>
      <c r="D276" s="117" t="s">
        <v>677</v>
      </c>
      <c r="E276" s="117" t="s">
        <v>678</v>
      </c>
      <c r="F276" s="117" t="s">
        <v>677</v>
      </c>
      <c r="G276" s="117" t="s">
        <v>677</v>
      </c>
      <c r="H276" s="117" t="s">
        <v>677</v>
      </c>
      <c r="I276" s="117" t="s">
        <v>903</v>
      </c>
      <c r="J276" s="117" t="s">
        <v>679</v>
      </c>
      <c r="K276" s="118">
        <f>383/30</f>
        <v>12.766666666666667</v>
      </c>
      <c r="L276" s="118">
        <v>0</v>
      </c>
      <c r="M276" s="117" t="s">
        <v>1320</v>
      </c>
      <c r="N276" s="10"/>
      <c r="O276" s="117" t="s">
        <v>1047</v>
      </c>
      <c r="P276" s="117" t="s">
        <v>1022</v>
      </c>
      <c r="Q276" s="117" t="s">
        <v>926</v>
      </c>
      <c r="R276" s="119"/>
      <c r="S276" s="10">
        <v>1</v>
      </c>
      <c r="T276" s="10">
        <v>0</v>
      </c>
      <c r="U276" s="10">
        <v>0</v>
      </c>
      <c r="V276" s="10">
        <v>0</v>
      </c>
      <c r="W276" s="10">
        <v>0</v>
      </c>
      <c r="X276" s="10"/>
      <c r="Y276" s="120">
        <v>17.166666666666668</v>
      </c>
      <c r="Z276" s="127">
        <v>1</v>
      </c>
      <c r="AA276" s="121">
        <v>17.166666666666668</v>
      </c>
      <c r="AB276" s="122"/>
      <c r="AC276" s="122">
        <v>1</v>
      </c>
      <c r="AD276" s="128">
        <v>4.833333333333333</v>
      </c>
      <c r="AE276" s="10"/>
      <c r="AF276" s="125" t="s">
        <v>1321</v>
      </c>
      <c r="AG276" s="125" t="s">
        <v>678</v>
      </c>
      <c r="AH276" s="126">
        <v>36.700000000000003</v>
      </c>
      <c r="AI276" s="117" t="s">
        <v>1372</v>
      </c>
      <c r="AJ276" s="2"/>
      <c r="AK276" s="2"/>
      <c r="AL276" s="2"/>
      <c r="AM276" s="2"/>
      <c r="AN276" s="2"/>
    </row>
    <row r="277" spans="1:40" ht="12.75" x14ac:dyDescent="0.2">
      <c r="A277" s="117" t="s">
        <v>1574</v>
      </c>
      <c r="B277" s="117" t="s">
        <v>678</v>
      </c>
      <c r="C277" s="117" t="s">
        <v>678</v>
      </c>
      <c r="D277" s="117" t="s">
        <v>677</v>
      </c>
      <c r="E277" s="117" t="s">
        <v>678</v>
      </c>
      <c r="F277" s="117" t="s">
        <v>677</v>
      </c>
      <c r="G277" s="117" t="s">
        <v>677</v>
      </c>
      <c r="H277" s="117" t="s">
        <v>677</v>
      </c>
      <c r="I277" s="117" t="s">
        <v>1016</v>
      </c>
      <c r="J277" s="117" t="s">
        <v>678</v>
      </c>
      <c r="K277" s="118">
        <f>329/30</f>
        <v>10.966666666666667</v>
      </c>
      <c r="L277" s="118">
        <v>1</v>
      </c>
      <c r="M277" s="117" t="s">
        <v>1258</v>
      </c>
      <c r="N277" s="10"/>
      <c r="O277" s="117" t="s">
        <v>1575</v>
      </c>
      <c r="P277" s="117" t="s">
        <v>1362</v>
      </c>
      <c r="Q277" s="117" t="s">
        <v>1053</v>
      </c>
      <c r="R277" s="119"/>
      <c r="S277" s="10">
        <v>0</v>
      </c>
      <c r="T277" s="10">
        <v>1</v>
      </c>
      <c r="U277" s="10">
        <v>0</v>
      </c>
      <c r="V277" s="10">
        <v>0</v>
      </c>
      <c r="W277" s="10">
        <v>0</v>
      </c>
      <c r="X277" s="10"/>
      <c r="Y277" s="120">
        <v>16.833333333333332</v>
      </c>
      <c r="Z277" s="127">
        <v>1</v>
      </c>
      <c r="AA277" s="121">
        <v>16.833333333333332</v>
      </c>
      <c r="AB277" s="122"/>
      <c r="AC277" s="122">
        <v>1</v>
      </c>
      <c r="AD277" s="128">
        <v>3.7</v>
      </c>
      <c r="AE277" s="10"/>
      <c r="AF277" s="125" t="s">
        <v>1576</v>
      </c>
      <c r="AG277" s="125" t="s">
        <v>678</v>
      </c>
      <c r="AH277" s="126">
        <v>9.5</v>
      </c>
      <c r="AI277" s="117" t="s">
        <v>1494</v>
      </c>
      <c r="AJ277" s="2"/>
      <c r="AK277" s="2"/>
      <c r="AL277" s="2"/>
      <c r="AM277" s="2"/>
      <c r="AN277" s="2"/>
    </row>
    <row r="278" spans="1:40" ht="12.75" x14ac:dyDescent="0.2">
      <c r="A278" s="117" t="s">
        <v>1324</v>
      </c>
      <c r="B278" s="117" t="s">
        <v>678</v>
      </c>
      <c r="C278" s="117" t="s">
        <v>677</v>
      </c>
      <c r="D278" s="117" t="s">
        <v>677</v>
      </c>
      <c r="E278" s="117" t="s">
        <v>678</v>
      </c>
      <c r="F278" s="117" t="s">
        <v>677</v>
      </c>
      <c r="G278" s="117" t="s">
        <v>677</v>
      </c>
      <c r="H278" s="117" t="s">
        <v>678</v>
      </c>
      <c r="I278" s="117" t="s">
        <v>1219</v>
      </c>
      <c r="J278" s="117" t="s">
        <v>678</v>
      </c>
      <c r="K278" s="118">
        <f>606/30</f>
        <v>20.2</v>
      </c>
      <c r="L278" s="118">
        <v>0</v>
      </c>
      <c r="M278" s="117" t="s">
        <v>894</v>
      </c>
      <c r="N278" s="10"/>
      <c r="O278" s="117" t="s">
        <v>978</v>
      </c>
      <c r="P278" s="117" t="s">
        <v>931</v>
      </c>
      <c r="Q278" s="117" t="s">
        <v>1053</v>
      </c>
      <c r="R278" s="119"/>
      <c r="S278" s="10">
        <v>1</v>
      </c>
      <c r="T278" s="10">
        <v>0</v>
      </c>
      <c r="U278" s="10">
        <v>0</v>
      </c>
      <c r="V278" s="10">
        <v>0</v>
      </c>
      <c r="W278" s="10">
        <v>0</v>
      </c>
      <c r="X278" s="10"/>
      <c r="Y278" s="120">
        <v>27.633333333333333</v>
      </c>
      <c r="Z278" s="127">
        <v>1</v>
      </c>
      <c r="AA278" s="121">
        <v>27.633333333333333</v>
      </c>
      <c r="AB278" s="122"/>
      <c r="AC278" s="122">
        <v>1</v>
      </c>
      <c r="AD278" s="128">
        <v>2.8</v>
      </c>
      <c r="AE278" s="10"/>
      <c r="AF278" s="125" t="s">
        <v>1325</v>
      </c>
      <c r="AG278" s="125" t="s">
        <v>677</v>
      </c>
      <c r="AH278" s="126">
        <v>3</v>
      </c>
      <c r="AI278" s="117" t="s">
        <v>1981</v>
      </c>
      <c r="AJ278" s="2"/>
      <c r="AK278" s="2"/>
      <c r="AL278" s="2"/>
      <c r="AM278" s="2"/>
      <c r="AN278" s="2"/>
    </row>
    <row r="279" spans="1:40" ht="12.75" x14ac:dyDescent="0.2">
      <c r="A279" s="117" t="s">
        <v>1326</v>
      </c>
      <c r="B279" s="117" t="s">
        <v>677</v>
      </c>
      <c r="C279" s="117" t="s">
        <v>677</v>
      </c>
      <c r="D279" s="117" t="s">
        <v>677</v>
      </c>
      <c r="E279" s="117" t="s">
        <v>678</v>
      </c>
      <c r="F279" s="117" t="s">
        <v>677</v>
      </c>
      <c r="G279" s="117" t="s">
        <v>677</v>
      </c>
      <c r="H279" s="117" t="s">
        <v>677</v>
      </c>
      <c r="I279" s="117" t="s">
        <v>1167</v>
      </c>
      <c r="J279" s="117" t="s">
        <v>678</v>
      </c>
      <c r="K279" s="118">
        <f>900/30</f>
        <v>30</v>
      </c>
      <c r="L279" s="118">
        <v>0</v>
      </c>
      <c r="M279" s="117" t="s">
        <v>1330</v>
      </c>
      <c r="N279" s="10"/>
      <c r="O279" s="117" t="s">
        <v>1328</v>
      </c>
      <c r="P279" s="117" t="s">
        <v>1327</v>
      </c>
      <c r="Q279" s="117" t="s">
        <v>1329</v>
      </c>
      <c r="R279" s="119"/>
      <c r="S279" s="10">
        <v>0</v>
      </c>
      <c r="T279" s="10">
        <v>1</v>
      </c>
      <c r="U279" s="10">
        <v>0</v>
      </c>
      <c r="V279" s="10">
        <v>0</v>
      </c>
      <c r="W279" s="10">
        <v>0</v>
      </c>
      <c r="X279" s="10"/>
      <c r="Y279" s="120">
        <v>18.2</v>
      </c>
      <c r="Z279" s="127">
        <v>1</v>
      </c>
      <c r="AA279" s="121">
        <v>18.2</v>
      </c>
      <c r="AB279" s="123"/>
      <c r="AC279" s="122">
        <v>1</v>
      </c>
      <c r="AD279" s="128">
        <v>1.7</v>
      </c>
      <c r="AE279" s="10"/>
      <c r="AF279" s="125" t="s">
        <v>1331</v>
      </c>
      <c r="AG279" s="125" t="s">
        <v>677</v>
      </c>
      <c r="AH279" s="126">
        <v>0</v>
      </c>
      <c r="AI279" s="117" t="s">
        <v>1982</v>
      </c>
      <c r="AJ279" s="2"/>
      <c r="AK279" s="2"/>
      <c r="AL279" s="2"/>
      <c r="AM279" s="2"/>
      <c r="AN279" s="2"/>
    </row>
    <row r="280" spans="1:40" ht="12.75" x14ac:dyDescent="0.2">
      <c r="A280" s="117" t="s">
        <v>1577</v>
      </c>
      <c r="B280" s="117" t="s">
        <v>678</v>
      </c>
      <c r="C280" s="117" t="s">
        <v>677</v>
      </c>
      <c r="D280" s="117" t="s">
        <v>678</v>
      </c>
      <c r="E280" s="117" t="s">
        <v>678</v>
      </c>
      <c r="F280" s="117" t="s">
        <v>677</v>
      </c>
      <c r="G280" s="117" t="s">
        <v>677</v>
      </c>
      <c r="H280" s="117" t="s">
        <v>677</v>
      </c>
      <c r="I280" s="117" t="s">
        <v>1219</v>
      </c>
      <c r="J280" s="117" t="s">
        <v>678</v>
      </c>
      <c r="K280" s="118">
        <f>1733/30</f>
        <v>57.766666666666666</v>
      </c>
      <c r="L280" s="118">
        <v>0</v>
      </c>
      <c r="M280" s="117" t="s">
        <v>1350</v>
      </c>
      <c r="N280" s="10"/>
      <c r="O280" s="117" t="s">
        <v>1341</v>
      </c>
      <c r="P280" s="117" t="s">
        <v>1578</v>
      </c>
      <c r="Q280" s="117" t="s">
        <v>973</v>
      </c>
      <c r="R280" s="119"/>
      <c r="S280" s="10">
        <v>0</v>
      </c>
      <c r="T280" s="10">
        <v>1</v>
      </c>
      <c r="U280" s="10">
        <v>0</v>
      </c>
      <c r="V280" s="10">
        <v>0</v>
      </c>
      <c r="W280" s="10">
        <v>0</v>
      </c>
      <c r="X280" s="10"/>
      <c r="Y280" s="120">
        <v>66.5</v>
      </c>
      <c r="Z280" s="117" t="s">
        <v>677</v>
      </c>
      <c r="AA280" s="121">
        <v>66.5</v>
      </c>
      <c r="AB280" s="122"/>
      <c r="AC280" s="122">
        <v>1</v>
      </c>
      <c r="AD280" s="128">
        <v>18.733333333333334</v>
      </c>
      <c r="AE280" s="10"/>
      <c r="AF280" s="125" t="s">
        <v>968</v>
      </c>
      <c r="AG280" s="125" t="s">
        <v>678</v>
      </c>
      <c r="AH280" s="126">
        <v>60.1</v>
      </c>
      <c r="AI280" s="117" t="s">
        <v>1158</v>
      </c>
      <c r="AJ280" s="2"/>
      <c r="AK280" s="2"/>
      <c r="AL280" s="2"/>
      <c r="AM280" s="2"/>
      <c r="AN280" s="2"/>
    </row>
    <row r="281" spans="1:40" ht="12.75" x14ac:dyDescent="0.2">
      <c r="A281" s="117" t="s">
        <v>1015</v>
      </c>
      <c r="B281" s="117" t="s">
        <v>677</v>
      </c>
      <c r="C281" s="117" t="s">
        <v>677</v>
      </c>
      <c r="D281" s="117" t="s">
        <v>678</v>
      </c>
      <c r="E281" s="117" t="s">
        <v>678</v>
      </c>
      <c r="F281" s="117" t="s">
        <v>677</v>
      </c>
      <c r="G281" s="117" t="s">
        <v>677</v>
      </c>
      <c r="H281" s="117" t="s">
        <v>678</v>
      </c>
      <c r="I281" s="117" t="s">
        <v>1016</v>
      </c>
      <c r="J281" s="117" t="s">
        <v>678</v>
      </c>
      <c r="K281" s="118">
        <f>497/30</f>
        <v>16.566666666666666</v>
      </c>
      <c r="L281" s="118">
        <v>0</v>
      </c>
      <c r="M281" s="117" t="s">
        <v>958</v>
      </c>
      <c r="N281" s="10"/>
      <c r="O281" s="117" t="s">
        <v>1018</v>
      </c>
      <c r="P281" s="117" t="s">
        <v>1017</v>
      </c>
      <c r="Q281" s="117" t="s">
        <v>938</v>
      </c>
      <c r="R281" s="119"/>
      <c r="S281" s="10">
        <v>0</v>
      </c>
      <c r="T281" s="10">
        <v>1</v>
      </c>
      <c r="U281" s="10">
        <v>0</v>
      </c>
      <c r="V281" s="10">
        <v>0</v>
      </c>
      <c r="W281" s="10">
        <v>0</v>
      </c>
      <c r="X281" s="10"/>
      <c r="Y281" s="120">
        <v>7.3</v>
      </c>
      <c r="Z281" s="117" t="s">
        <v>678</v>
      </c>
      <c r="AA281" s="121">
        <v>7.3</v>
      </c>
      <c r="AB281" s="122"/>
      <c r="AC281" s="123">
        <v>1</v>
      </c>
      <c r="AD281" s="124">
        <v>3.7</v>
      </c>
      <c r="AE281" s="10"/>
      <c r="AF281" s="125" t="s">
        <v>1019</v>
      </c>
      <c r="AG281" s="125" t="s">
        <v>678</v>
      </c>
      <c r="AH281" s="126">
        <v>43.1</v>
      </c>
      <c r="AI281" s="117" t="s">
        <v>1984</v>
      </c>
      <c r="AJ281" s="2"/>
      <c r="AK281" s="2"/>
      <c r="AL281" s="2"/>
      <c r="AM281" s="2"/>
      <c r="AN281" s="2"/>
    </row>
    <row r="282" spans="1:40" ht="12.75" x14ac:dyDescent="0.2">
      <c r="A282" s="117" t="s">
        <v>1332</v>
      </c>
      <c r="B282" s="117" t="s">
        <v>678</v>
      </c>
      <c r="C282" s="117" t="s">
        <v>677</v>
      </c>
      <c r="D282" s="117" t="s">
        <v>678</v>
      </c>
      <c r="E282" s="117" t="s">
        <v>678</v>
      </c>
      <c r="F282" s="117" t="s">
        <v>677</v>
      </c>
      <c r="G282" s="117" t="s">
        <v>677</v>
      </c>
      <c r="H282" s="117" t="s">
        <v>677</v>
      </c>
      <c r="I282" s="117" t="s">
        <v>1169</v>
      </c>
      <c r="J282" s="117" t="s">
        <v>677</v>
      </c>
      <c r="K282" s="118">
        <f>205/30</f>
        <v>6.833333333333333</v>
      </c>
      <c r="L282" s="118">
        <v>1</v>
      </c>
      <c r="M282" s="117" t="s">
        <v>1333</v>
      </c>
      <c r="N282" s="10"/>
      <c r="O282" s="117" t="s">
        <v>1092</v>
      </c>
      <c r="P282" s="117" t="s">
        <v>898</v>
      </c>
      <c r="Q282" s="117" t="s">
        <v>926</v>
      </c>
      <c r="R282" s="119"/>
      <c r="S282" s="10">
        <v>1</v>
      </c>
      <c r="T282" s="10">
        <v>0</v>
      </c>
      <c r="U282" s="10">
        <v>0</v>
      </c>
      <c r="V282" s="10">
        <v>0</v>
      </c>
      <c r="W282" s="10">
        <v>0</v>
      </c>
      <c r="X282" s="10"/>
      <c r="Y282" s="120">
        <v>66.166666666666671</v>
      </c>
      <c r="Z282" s="117" t="s">
        <v>677</v>
      </c>
      <c r="AA282" s="121">
        <v>66.166666666666671</v>
      </c>
      <c r="AB282" s="122"/>
      <c r="AC282" s="122">
        <v>1</v>
      </c>
      <c r="AD282" s="128">
        <v>20.333333333333332</v>
      </c>
      <c r="AE282" s="10"/>
      <c r="AF282" s="125" t="s">
        <v>1334</v>
      </c>
      <c r="AG282" s="125" t="s">
        <v>678</v>
      </c>
      <c r="AH282" s="126">
        <v>0</v>
      </c>
      <c r="AI282" s="117" t="s">
        <v>1094</v>
      </c>
      <c r="AJ282" s="2"/>
      <c r="AK282" s="2"/>
      <c r="AL282" s="2"/>
      <c r="AM282" s="2"/>
      <c r="AN282" s="2"/>
    </row>
    <row r="283" spans="1:40" ht="12.75" x14ac:dyDescent="0.2">
      <c r="A283" s="117" t="s">
        <v>1335</v>
      </c>
      <c r="B283" s="117" t="s">
        <v>678</v>
      </c>
      <c r="C283" s="117" t="s">
        <v>677</v>
      </c>
      <c r="D283" s="117" t="s">
        <v>677</v>
      </c>
      <c r="E283" s="117" t="s">
        <v>678</v>
      </c>
      <c r="F283" s="117" t="s">
        <v>678</v>
      </c>
      <c r="G283" s="117" t="s">
        <v>677</v>
      </c>
      <c r="H283" s="117" t="s">
        <v>677</v>
      </c>
      <c r="I283" s="117" t="s">
        <v>954</v>
      </c>
      <c r="J283" s="117" t="s">
        <v>678</v>
      </c>
      <c r="K283" s="118">
        <f>413/30</f>
        <v>13.766666666666667</v>
      </c>
      <c r="L283" s="118">
        <v>0</v>
      </c>
      <c r="M283" s="117" t="s">
        <v>1336</v>
      </c>
      <c r="N283" s="10"/>
      <c r="O283" s="117" t="s">
        <v>965</v>
      </c>
      <c r="P283" s="117" t="s">
        <v>898</v>
      </c>
      <c r="Q283" s="117" t="s">
        <v>985</v>
      </c>
      <c r="R283" s="119"/>
      <c r="S283" s="10">
        <v>1</v>
      </c>
      <c r="T283" s="10">
        <v>0</v>
      </c>
      <c r="U283" s="10">
        <v>0</v>
      </c>
      <c r="V283" s="10">
        <v>0</v>
      </c>
      <c r="W283" s="10">
        <v>0</v>
      </c>
      <c r="X283" s="10"/>
      <c r="Y283" s="120">
        <v>15.5</v>
      </c>
      <c r="Z283" s="117" t="s">
        <v>678</v>
      </c>
      <c r="AA283" s="121">
        <v>15.5</v>
      </c>
      <c r="AB283" s="122"/>
      <c r="AC283" s="122">
        <v>1</v>
      </c>
      <c r="AD283" s="128">
        <v>5.5333333333333332</v>
      </c>
      <c r="AE283" s="10"/>
      <c r="AF283" s="125" t="s">
        <v>1337</v>
      </c>
      <c r="AG283" s="125" t="s">
        <v>678</v>
      </c>
      <c r="AH283" s="126">
        <v>7.7</v>
      </c>
      <c r="AI283" s="117" t="s">
        <v>1985</v>
      </c>
      <c r="AJ283" s="2"/>
      <c r="AK283" s="2"/>
      <c r="AL283" s="2"/>
      <c r="AM283" s="2"/>
      <c r="AN283" s="2"/>
    </row>
    <row r="284" spans="1:40" ht="12.75" x14ac:dyDescent="0.2">
      <c r="A284" s="117" t="s">
        <v>1338</v>
      </c>
      <c r="B284" s="117" t="s">
        <v>678</v>
      </c>
      <c r="C284" s="117" t="s">
        <v>677</v>
      </c>
      <c r="D284" s="117" t="s">
        <v>677</v>
      </c>
      <c r="E284" s="117" t="s">
        <v>678</v>
      </c>
      <c r="F284" s="117" t="s">
        <v>677</v>
      </c>
      <c r="G284" s="117" t="s">
        <v>677</v>
      </c>
      <c r="H284" s="117" t="s">
        <v>677</v>
      </c>
      <c r="I284" s="117" t="s">
        <v>1041</v>
      </c>
      <c r="J284" s="117" t="s">
        <v>678</v>
      </c>
      <c r="K284" s="118">
        <f>553/30</f>
        <v>18.433333333333334</v>
      </c>
      <c r="L284" s="118">
        <v>0</v>
      </c>
      <c r="M284" s="117" t="s">
        <v>1339</v>
      </c>
      <c r="N284" s="10"/>
      <c r="O284" s="117" t="s">
        <v>1165</v>
      </c>
      <c r="P284" s="117" t="s">
        <v>1028</v>
      </c>
      <c r="Q284" s="117" t="s">
        <v>1043</v>
      </c>
      <c r="R284" s="119"/>
      <c r="S284" s="10">
        <v>1</v>
      </c>
      <c r="T284" s="10">
        <v>0</v>
      </c>
      <c r="U284" s="10">
        <v>0</v>
      </c>
      <c r="V284" s="10">
        <v>0</v>
      </c>
      <c r="W284" s="10">
        <v>0</v>
      </c>
      <c r="X284" s="10"/>
      <c r="Y284" s="120">
        <v>14.566666666666666</v>
      </c>
      <c r="Z284" s="117" t="s">
        <v>678</v>
      </c>
      <c r="AA284" s="121">
        <v>14.566666666666666</v>
      </c>
      <c r="AB284" s="122"/>
      <c r="AC284" s="123">
        <v>0</v>
      </c>
      <c r="AD284" s="124">
        <v>8.5333333333333332</v>
      </c>
      <c r="AE284" s="10"/>
      <c r="AF284" s="125" t="s">
        <v>1340</v>
      </c>
      <c r="AG284" s="125" t="s">
        <v>678</v>
      </c>
      <c r="AH284" s="126">
        <v>14</v>
      </c>
      <c r="AI284" s="117" t="s">
        <v>1301</v>
      </c>
      <c r="AJ284" s="2"/>
      <c r="AK284" s="2"/>
      <c r="AL284" s="2"/>
      <c r="AM284" s="2"/>
      <c r="AN284" s="2"/>
    </row>
    <row r="285" spans="1:40" ht="12.75" x14ac:dyDescent="0.2">
      <c r="A285" s="117" t="s">
        <v>1342</v>
      </c>
      <c r="B285" s="117" t="s">
        <v>678</v>
      </c>
      <c r="C285" s="117" t="s">
        <v>677</v>
      </c>
      <c r="D285" s="117" t="s">
        <v>677</v>
      </c>
      <c r="E285" s="117" t="s">
        <v>678</v>
      </c>
      <c r="F285" s="117" t="s">
        <v>677</v>
      </c>
      <c r="G285" s="117" t="s">
        <v>677</v>
      </c>
      <c r="H285" s="117" t="s">
        <v>677</v>
      </c>
      <c r="I285" s="117" t="s">
        <v>993</v>
      </c>
      <c r="J285" s="117" t="s">
        <v>679</v>
      </c>
      <c r="K285" s="118">
        <f>259/30</f>
        <v>8.6333333333333329</v>
      </c>
      <c r="L285" s="118">
        <v>1</v>
      </c>
      <c r="M285" s="117" t="s">
        <v>1344</v>
      </c>
      <c r="N285" s="10"/>
      <c r="O285" s="117" t="s">
        <v>1161</v>
      </c>
      <c r="P285" s="117" t="s">
        <v>1343</v>
      </c>
      <c r="Q285" s="117" t="s">
        <v>1199</v>
      </c>
      <c r="R285" s="119"/>
      <c r="S285" s="10">
        <v>0</v>
      </c>
      <c r="T285" s="10">
        <v>1</v>
      </c>
      <c r="U285" s="10">
        <v>0</v>
      </c>
      <c r="V285" s="10">
        <v>0</v>
      </c>
      <c r="W285" s="10">
        <v>0</v>
      </c>
      <c r="X285" s="10"/>
      <c r="Y285" s="120">
        <v>19.266666666666666</v>
      </c>
      <c r="Z285" s="127">
        <v>1</v>
      </c>
      <c r="AA285" s="121">
        <v>19.266666666666666</v>
      </c>
      <c r="AB285" s="122"/>
      <c r="AC285" s="122">
        <v>1</v>
      </c>
      <c r="AD285" s="128">
        <v>5.666666666666667</v>
      </c>
      <c r="AE285" s="10"/>
      <c r="AF285" s="125" t="s">
        <v>1345</v>
      </c>
      <c r="AG285" s="125" t="s">
        <v>678</v>
      </c>
      <c r="AH285" s="126">
        <v>21.4</v>
      </c>
      <c r="AI285" s="117" t="s">
        <v>1090</v>
      </c>
      <c r="AJ285" s="2"/>
      <c r="AK285" s="2"/>
      <c r="AL285" s="2"/>
      <c r="AM285" s="2"/>
      <c r="AN285" s="2"/>
    </row>
    <row r="286" spans="1:40" ht="12.75" x14ac:dyDescent="0.2">
      <c r="A286" s="117" t="s">
        <v>1020</v>
      </c>
      <c r="B286" s="117" t="s">
        <v>678</v>
      </c>
      <c r="C286" s="117" t="s">
        <v>677</v>
      </c>
      <c r="D286" s="117" t="s">
        <v>677</v>
      </c>
      <c r="E286" s="117" t="s">
        <v>678</v>
      </c>
      <c r="F286" s="117" t="s">
        <v>677</v>
      </c>
      <c r="G286" s="117" t="s">
        <v>677</v>
      </c>
      <c r="H286" s="117" t="s">
        <v>677</v>
      </c>
      <c r="I286" s="117" t="s">
        <v>923</v>
      </c>
      <c r="J286" s="117" t="s">
        <v>678</v>
      </c>
      <c r="K286" s="118">
        <f>455/30</f>
        <v>15.166666666666666</v>
      </c>
      <c r="L286" s="118">
        <v>0</v>
      </c>
      <c r="M286" s="117" t="s">
        <v>1024</v>
      </c>
      <c r="N286" s="10"/>
      <c r="O286" s="117" t="s">
        <v>1022</v>
      </c>
      <c r="P286" s="117" t="s">
        <v>1021</v>
      </c>
      <c r="Q286" s="117" t="s">
        <v>1023</v>
      </c>
      <c r="R286" s="119"/>
      <c r="S286" s="10">
        <v>0</v>
      </c>
      <c r="T286" s="10">
        <v>1</v>
      </c>
      <c r="U286" s="10">
        <v>0</v>
      </c>
      <c r="V286" s="10">
        <v>0</v>
      </c>
      <c r="W286" s="10">
        <v>0</v>
      </c>
      <c r="X286" s="10"/>
      <c r="Y286" s="120">
        <v>14.8</v>
      </c>
      <c r="Z286" s="127">
        <v>1</v>
      </c>
      <c r="AA286" s="121">
        <v>14.8</v>
      </c>
      <c r="AB286" s="123"/>
      <c r="AC286" s="123">
        <v>0</v>
      </c>
      <c r="AD286" s="124">
        <v>4.7</v>
      </c>
      <c r="AE286" s="10"/>
      <c r="AF286" s="125" t="s">
        <v>1025</v>
      </c>
      <c r="AG286" s="125" t="s">
        <v>678</v>
      </c>
      <c r="AH286" s="126">
        <v>59.6</v>
      </c>
      <c r="AI286" s="117" t="s">
        <v>1965</v>
      </c>
      <c r="AJ286" s="2"/>
      <c r="AK286" s="2"/>
      <c r="AL286" s="2"/>
      <c r="AM286" s="2"/>
      <c r="AN286" s="2"/>
    </row>
    <row r="287" spans="1:40" ht="12.75" x14ac:dyDescent="0.2">
      <c r="A287" s="117" t="s">
        <v>1348</v>
      </c>
      <c r="B287" s="117" t="s">
        <v>677</v>
      </c>
      <c r="C287" s="117" t="s">
        <v>677</v>
      </c>
      <c r="D287" s="117" t="s">
        <v>677</v>
      </c>
      <c r="E287" s="117" t="s">
        <v>678</v>
      </c>
      <c r="F287" s="117" t="s">
        <v>677</v>
      </c>
      <c r="G287" s="117" t="s">
        <v>677</v>
      </c>
      <c r="H287" s="117" t="s">
        <v>677</v>
      </c>
      <c r="I287" s="117" t="s">
        <v>999</v>
      </c>
      <c r="J287" s="117" t="s">
        <v>678</v>
      </c>
      <c r="K287" s="118">
        <f>3194/30</f>
        <v>106.46666666666667</v>
      </c>
      <c r="L287" s="118">
        <v>0</v>
      </c>
      <c r="M287" s="117" t="s">
        <v>1190</v>
      </c>
      <c r="N287" s="10"/>
      <c r="O287" s="117" t="s">
        <v>1141</v>
      </c>
      <c r="P287" s="117" t="s">
        <v>1070</v>
      </c>
      <c r="Q287" s="117" t="s">
        <v>1074</v>
      </c>
      <c r="R287" s="119"/>
      <c r="S287" s="10">
        <v>1</v>
      </c>
      <c r="T287" s="10">
        <v>0</v>
      </c>
      <c r="U287" s="10">
        <v>0</v>
      </c>
      <c r="V287" s="10">
        <v>0</v>
      </c>
      <c r="W287" s="10">
        <v>0</v>
      </c>
      <c r="X287" s="10"/>
      <c r="Y287" s="120">
        <v>63.43333333333333</v>
      </c>
      <c r="Z287" s="117" t="s">
        <v>678</v>
      </c>
      <c r="AA287" s="121">
        <v>63.43333333333333</v>
      </c>
      <c r="AB287" s="122"/>
      <c r="AC287" s="122">
        <v>1</v>
      </c>
      <c r="AD287" s="128">
        <v>13.133333333333333</v>
      </c>
      <c r="AE287" s="10"/>
      <c r="AF287" s="125" t="s">
        <v>1349</v>
      </c>
      <c r="AG287" s="125" t="s">
        <v>678</v>
      </c>
      <c r="AH287" s="126">
        <v>0</v>
      </c>
      <c r="AI287" s="117" t="s">
        <v>1510</v>
      </c>
      <c r="AJ287" s="2"/>
      <c r="AK287" s="2"/>
      <c r="AL287" s="2"/>
      <c r="AM287" s="2"/>
      <c r="AN287" s="2"/>
    </row>
    <row r="288" spans="1:40" ht="12.75" x14ac:dyDescent="0.2">
      <c r="A288" s="117" t="s">
        <v>1352</v>
      </c>
      <c r="B288" s="117" t="s">
        <v>678</v>
      </c>
      <c r="C288" s="117" t="s">
        <v>677</v>
      </c>
      <c r="D288" s="117" t="s">
        <v>678</v>
      </c>
      <c r="E288" s="117" t="s">
        <v>678</v>
      </c>
      <c r="F288" s="117" t="s">
        <v>677</v>
      </c>
      <c r="G288" s="117" t="s">
        <v>677</v>
      </c>
      <c r="H288" s="117" t="s">
        <v>677</v>
      </c>
      <c r="I288" s="117" t="s">
        <v>993</v>
      </c>
      <c r="J288" s="117" t="s">
        <v>678</v>
      </c>
      <c r="K288" s="118">
        <f>531/30</f>
        <v>17.7</v>
      </c>
      <c r="L288" s="118">
        <v>0</v>
      </c>
      <c r="M288" s="117" t="s">
        <v>1252</v>
      </c>
      <c r="N288" s="10"/>
      <c r="O288" s="117" t="s">
        <v>1165</v>
      </c>
      <c r="P288" s="117" t="s">
        <v>674</v>
      </c>
      <c r="Q288" s="117" t="s">
        <v>1053</v>
      </c>
      <c r="R288" s="119"/>
      <c r="S288" s="10">
        <v>0</v>
      </c>
      <c r="T288" s="10">
        <v>1</v>
      </c>
      <c r="U288" s="10">
        <v>0</v>
      </c>
      <c r="V288" s="10">
        <v>0</v>
      </c>
      <c r="W288" s="10">
        <v>0</v>
      </c>
      <c r="X288" s="10"/>
      <c r="Y288" s="120">
        <v>65.8</v>
      </c>
      <c r="Z288" s="117" t="s">
        <v>677</v>
      </c>
      <c r="AA288" s="121">
        <v>65.8</v>
      </c>
      <c r="AB288" s="122"/>
      <c r="AC288" s="122">
        <v>1</v>
      </c>
      <c r="AD288" s="128">
        <v>26.933333333333334</v>
      </c>
      <c r="AE288" s="10"/>
      <c r="AF288" s="125" t="s">
        <v>1353</v>
      </c>
      <c r="AG288" s="125" t="s">
        <v>678</v>
      </c>
      <c r="AH288" s="126">
        <v>0</v>
      </c>
      <c r="AI288" s="117" t="s">
        <v>1464</v>
      </c>
      <c r="AJ288" s="2"/>
      <c r="AK288" s="2"/>
      <c r="AL288" s="2"/>
      <c r="AM288" s="2"/>
      <c r="AN288" s="2"/>
    </row>
    <row r="289" spans="1:40" ht="12.75" x14ac:dyDescent="0.2">
      <c r="A289" s="117" t="s">
        <v>1579</v>
      </c>
      <c r="B289" s="117" t="s">
        <v>677</v>
      </c>
      <c r="C289" s="117" t="s">
        <v>677</v>
      </c>
      <c r="D289" s="117" t="s">
        <v>677</v>
      </c>
      <c r="E289" s="117" t="s">
        <v>678</v>
      </c>
      <c r="F289" s="117" t="s">
        <v>677</v>
      </c>
      <c r="G289" s="117" t="s">
        <v>677</v>
      </c>
      <c r="H289" s="117" t="s">
        <v>677</v>
      </c>
      <c r="I289" s="117" t="s">
        <v>993</v>
      </c>
      <c r="J289" s="117" t="s">
        <v>678</v>
      </c>
      <c r="K289" s="118">
        <f>560/30</f>
        <v>18.666666666666668</v>
      </c>
      <c r="L289" s="118">
        <v>0</v>
      </c>
      <c r="M289" s="117" t="s">
        <v>1580</v>
      </c>
      <c r="N289" s="10"/>
      <c r="O289" s="117" t="s">
        <v>1146</v>
      </c>
      <c r="P289" s="117" t="s">
        <v>1006</v>
      </c>
      <c r="Q289" s="117" t="s">
        <v>1424</v>
      </c>
      <c r="R289" s="119"/>
      <c r="S289" s="10">
        <v>1</v>
      </c>
      <c r="T289" s="10">
        <v>0</v>
      </c>
      <c r="U289" s="10">
        <v>0</v>
      </c>
      <c r="V289" s="10">
        <v>0</v>
      </c>
      <c r="W289" s="10">
        <v>0</v>
      </c>
      <c r="X289" s="10"/>
      <c r="Y289" s="120">
        <v>43.2</v>
      </c>
      <c r="Z289" s="127">
        <v>1</v>
      </c>
      <c r="AA289" s="121">
        <v>43.2</v>
      </c>
      <c r="AB289" s="123"/>
      <c r="AC289" s="122">
        <v>1</v>
      </c>
      <c r="AD289" s="128">
        <v>10.199999999999999</v>
      </c>
      <c r="AE289" s="10"/>
      <c r="AF289" s="125" t="s">
        <v>1581</v>
      </c>
      <c r="AG289" s="125" t="s">
        <v>677</v>
      </c>
      <c r="AH289" s="126">
        <v>18.2</v>
      </c>
      <c r="AI289" s="117" t="s">
        <v>1976</v>
      </c>
      <c r="AJ289" s="2"/>
      <c r="AK289" s="2"/>
      <c r="AL289" s="2"/>
      <c r="AM289" s="2"/>
      <c r="AN289" s="2"/>
    </row>
    <row r="290" spans="1:40" ht="12.75" x14ac:dyDescent="0.2">
      <c r="A290" s="117" t="s">
        <v>1355</v>
      </c>
      <c r="B290" s="117" t="s">
        <v>677</v>
      </c>
      <c r="C290" s="117" t="s">
        <v>677</v>
      </c>
      <c r="D290" s="117" t="s">
        <v>677</v>
      </c>
      <c r="E290" s="117" t="s">
        <v>678</v>
      </c>
      <c r="F290" s="117" t="s">
        <v>677</v>
      </c>
      <c r="G290" s="117" t="s">
        <v>677</v>
      </c>
      <c r="H290" s="117" t="s">
        <v>678</v>
      </c>
      <c r="I290" s="117" t="s">
        <v>1169</v>
      </c>
      <c r="J290" s="117" t="s">
        <v>677</v>
      </c>
      <c r="K290" s="118">
        <f>330/30</f>
        <v>11</v>
      </c>
      <c r="L290" s="118">
        <v>1</v>
      </c>
      <c r="M290" s="117" t="s">
        <v>1358</v>
      </c>
      <c r="N290" s="10"/>
      <c r="O290" s="117" t="s">
        <v>925</v>
      </c>
      <c r="P290" s="117" t="s">
        <v>1356</v>
      </c>
      <c r="Q290" s="117" t="s">
        <v>1357</v>
      </c>
      <c r="R290" s="119"/>
      <c r="S290" s="10">
        <v>0</v>
      </c>
      <c r="T290" s="10">
        <v>1</v>
      </c>
      <c r="U290" s="10">
        <v>0</v>
      </c>
      <c r="V290" s="10">
        <v>0</v>
      </c>
      <c r="W290" s="10">
        <v>0</v>
      </c>
      <c r="X290" s="10"/>
      <c r="Y290" s="120">
        <v>24.6</v>
      </c>
      <c r="Z290" s="127">
        <v>1</v>
      </c>
      <c r="AA290" s="121">
        <v>24.6</v>
      </c>
      <c r="AB290" s="122"/>
      <c r="AC290" s="123">
        <v>0</v>
      </c>
      <c r="AD290" s="124">
        <v>6.5</v>
      </c>
      <c r="AE290" s="10"/>
      <c r="AF290" s="125" t="s">
        <v>1359</v>
      </c>
      <c r="AG290" s="125" t="s">
        <v>678</v>
      </c>
      <c r="AH290" s="126">
        <v>3.9</v>
      </c>
      <c r="AI290" s="117" t="s">
        <v>1987</v>
      </c>
      <c r="AJ290" s="2"/>
      <c r="AK290" s="2"/>
      <c r="AL290" s="2"/>
      <c r="AM290" s="2"/>
      <c r="AN290" s="2"/>
    </row>
    <row r="291" spans="1:40" ht="12.75" x14ac:dyDescent="0.2">
      <c r="A291" s="117" t="s">
        <v>1583</v>
      </c>
      <c r="B291" s="117" t="s">
        <v>678</v>
      </c>
      <c r="C291" s="117" t="s">
        <v>677</v>
      </c>
      <c r="D291" s="117" t="s">
        <v>678</v>
      </c>
      <c r="E291" s="117" t="s">
        <v>678</v>
      </c>
      <c r="F291" s="117" t="s">
        <v>677</v>
      </c>
      <c r="G291" s="117" t="s">
        <v>677</v>
      </c>
      <c r="H291" s="117" t="s">
        <v>677</v>
      </c>
      <c r="I291" s="117" t="s">
        <v>1443</v>
      </c>
      <c r="J291" s="117" t="s">
        <v>678</v>
      </c>
      <c r="K291" s="118">
        <f>1428/30</f>
        <v>47.6</v>
      </c>
      <c r="L291" s="118">
        <v>0</v>
      </c>
      <c r="M291" s="117" t="s">
        <v>1584</v>
      </c>
      <c r="N291" s="10"/>
      <c r="O291" s="117" t="s">
        <v>955</v>
      </c>
      <c r="P291" s="117" t="s">
        <v>1346</v>
      </c>
      <c r="Q291" s="117" t="s">
        <v>1239</v>
      </c>
      <c r="R291" s="119"/>
      <c r="S291" s="10">
        <v>0</v>
      </c>
      <c r="T291" s="10">
        <v>1</v>
      </c>
      <c r="U291" s="10">
        <v>0</v>
      </c>
      <c r="V291" s="10">
        <v>0</v>
      </c>
      <c r="W291" s="10">
        <v>0</v>
      </c>
      <c r="X291" s="10"/>
      <c r="Y291" s="120">
        <v>40.333333333333336</v>
      </c>
      <c r="Z291" s="127">
        <v>1</v>
      </c>
      <c r="AA291" s="121">
        <v>40.333333333333336</v>
      </c>
      <c r="AB291" s="123"/>
      <c r="AC291" s="122">
        <v>1</v>
      </c>
      <c r="AD291" s="128">
        <v>7.5</v>
      </c>
      <c r="AE291" s="10"/>
      <c r="AF291" s="125" t="s">
        <v>1585</v>
      </c>
      <c r="AG291" s="125" t="s">
        <v>678</v>
      </c>
      <c r="AH291" s="126">
        <v>0</v>
      </c>
      <c r="AI291" s="117" t="s">
        <v>1988</v>
      </c>
      <c r="AJ291" s="2"/>
      <c r="AK291" s="2"/>
      <c r="AL291" s="2"/>
      <c r="AM291" s="2"/>
      <c r="AN291" s="2"/>
    </row>
    <row r="292" spans="1:40" ht="12.75" x14ac:dyDescent="0.2">
      <c r="A292" s="117" t="s">
        <v>1361</v>
      </c>
      <c r="B292" s="117" t="s">
        <v>678</v>
      </c>
      <c r="C292" s="117" t="s">
        <v>677</v>
      </c>
      <c r="D292" s="117" t="s">
        <v>677</v>
      </c>
      <c r="E292" s="117" t="s">
        <v>678</v>
      </c>
      <c r="F292" s="117" t="s">
        <v>677</v>
      </c>
      <c r="G292" s="117" t="s">
        <v>677</v>
      </c>
      <c r="H292" s="117" t="s">
        <v>677</v>
      </c>
      <c r="I292" s="117" t="s">
        <v>929</v>
      </c>
      <c r="J292" s="117" t="s">
        <v>677</v>
      </c>
      <c r="K292" s="118">
        <f>1624/30</f>
        <v>54.133333333333333</v>
      </c>
      <c r="L292" s="118">
        <v>0</v>
      </c>
      <c r="M292" s="117" t="s">
        <v>939</v>
      </c>
      <c r="N292" s="10"/>
      <c r="O292" s="117" t="s">
        <v>1103</v>
      </c>
      <c r="P292" s="117" t="s">
        <v>1362</v>
      </c>
      <c r="Q292" s="117" t="s">
        <v>1023</v>
      </c>
      <c r="R292" s="119"/>
      <c r="S292" s="10">
        <v>1</v>
      </c>
      <c r="T292" s="10">
        <v>0</v>
      </c>
      <c r="U292" s="10">
        <v>0</v>
      </c>
      <c r="V292" s="10">
        <v>0</v>
      </c>
      <c r="W292" s="10">
        <v>0</v>
      </c>
      <c r="X292" s="10"/>
      <c r="Y292" s="120">
        <v>34.06666666666667</v>
      </c>
      <c r="Z292" s="117" t="s">
        <v>678</v>
      </c>
      <c r="AA292" s="121">
        <v>34.06666666666667</v>
      </c>
      <c r="AB292" s="123"/>
      <c r="AC292" s="122">
        <v>1</v>
      </c>
      <c r="AD292" s="128">
        <v>4.5333333333333332</v>
      </c>
      <c r="AE292" s="10"/>
      <c r="AF292" s="125" t="s">
        <v>1363</v>
      </c>
      <c r="AG292" s="125" t="s">
        <v>678</v>
      </c>
      <c r="AH292" s="126">
        <v>3.9</v>
      </c>
      <c r="AI292" s="117" t="s">
        <v>1989</v>
      </c>
      <c r="AJ292" s="2"/>
      <c r="AK292" s="2"/>
      <c r="AL292" s="2"/>
      <c r="AM292" s="2"/>
      <c r="AN292" s="2"/>
    </row>
    <row r="293" spans="1:40" ht="12.75" x14ac:dyDescent="0.2">
      <c r="A293" s="117" t="s">
        <v>1364</v>
      </c>
      <c r="B293" s="117" t="s">
        <v>677</v>
      </c>
      <c r="C293" s="117" t="s">
        <v>677</v>
      </c>
      <c r="D293" s="117" t="s">
        <v>677</v>
      </c>
      <c r="E293" s="117" t="s">
        <v>678</v>
      </c>
      <c r="F293" s="117" t="s">
        <v>677</v>
      </c>
      <c r="G293" s="117" t="s">
        <v>677</v>
      </c>
      <c r="H293" s="117" t="s">
        <v>677</v>
      </c>
      <c r="I293" s="117" t="s">
        <v>1102</v>
      </c>
      <c r="J293" s="117" t="s">
        <v>678</v>
      </c>
      <c r="K293" s="118">
        <f>630/30</f>
        <v>21</v>
      </c>
      <c r="L293" s="118">
        <v>0</v>
      </c>
      <c r="M293" s="117" t="s">
        <v>1365</v>
      </c>
      <c r="N293" s="10"/>
      <c r="O293" s="117" t="s">
        <v>1238</v>
      </c>
      <c r="P293" s="117" t="s">
        <v>991</v>
      </c>
      <c r="Q293" s="117" t="s">
        <v>957</v>
      </c>
      <c r="R293" s="119"/>
      <c r="S293" s="10">
        <v>0</v>
      </c>
      <c r="T293" s="10">
        <v>1</v>
      </c>
      <c r="U293" s="10">
        <v>0</v>
      </c>
      <c r="V293" s="10">
        <v>0</v>
      </c>
      <c r="W293" s="10">
        <v>0</v>
      </c>
      <c r="X293" s="10"/>
      <c r="Y293" s="120">
        <v>46.7</v>
      </c>
      <c r="Z293" s="117" t="s">
        <v>678</v>
      </c>
      <c r="AA293" s="121">
        <v>46.7</v>
      </c>
      <c r="AB293" s="123"/>
      <c r="AC293" s="122">
        <v>1</v>
      </c>
      <c r="AD293" s="128">
        <v>12.033333333333333</v>
      </c>
      <c r="AE293" s="10"/>
      <c r="AF293" s="125" t="s">
        <v>1366</v>
      </c>
      <c r="AG293" s="125" t="s">
        <v>678</v>
      </c>
      <c r="AH293" s="126">
        <v>0</v>
      </c>
      <c r="AI293" s="117" t="s">
        <v>1588</v>
      </c>
      <c r="AJ293" s="2"/>
      <c r="AK293" s="2"/>
      <c r="AL293" s="2"/>
      <c r="AM293" s="2"/>
      <c r="AN293" s="2"/>
    </row>
    <row r="294" spans="1:40" ht="12.75" x14ac:dyDescent="0.2">
      <c r="A294" s="117" t="s">
        <v>1027</v>
      </c>
      <c r="B294" s="117" t="s">
        <v>677</v>
      </c>
      <c r="C294" s="117" t="s">
        <v>677</v>
      </c>
      <c r="D294" s="117" t="s">
        <v>677</v>
      </c>
      <c r="E294" s="117" t="s">
        <v>678</v>
      </c>
      <c r="F294" s="117" t="s">
        <v>677</v>
      </c>
      <c r="G294" s="117" t="s">
        <v>677</v>
      </c>
      <c r="H294" s="117" t="s">
        <v>677</v>
      </c>
      <c r="I294" s="117" t="s">
        <v>993</v>
      </c>
      <c r="J294" s="117" t="s">
        <v>677</v>
      </c>
      <c r="K294" s="118">
        <f>2398/30</f>
        <v>79.933333333333337</v>
      </c>
      <c r="L294" s="118">
        <v>0</v>
      </c>
      <c r="M294" s="117" t="s">
        <v>1029</v>
      </c>
      <c r="N294" s="10"/>
      <c r="O294" s="117" t="s">
        <v>930</v>
      </c>
      <c r="P294" s="117" t="s">
        <v>1028</v>
      </c>
      <c r="Q294" s="117" t="s">
        <v>973</v>
      </c>
      <c r="R294" s="119"/>
      <c r="S294" s="10">
        <v>0</v>
      </c>
      <c r="T294" s="10">
        <v>1</v>
      </c>
      <c r="U294" s="10">
        <v>0</v>
      </c>
      <c r="V294" s="10">
        <v>0</v>
      </c>
      <c r="W294" s="10">
        <v>0</v>
      </c>
      <c r="X294" s="10"/>
      <c r="Y294" s="120">
        <v>31.433333333333334</v>
      </c>
      <c r="Z294" s="117" t="s">
        <v>678</v>
      </c>
      <c r="AA294" s="121">
        <v>31.433333333333334</v>
      </c>
      <c r="AB294" s="123"/>
      <c r="AC294" s="122">
        <v>1</v>
      </c>
      <c r="AD294" s="128">
        <v>8.1</v>
      </c>
      <c r="AE294" s="10"/>
      <c r="AF294" s="125" t="s">
        <v>1030</v>
      </c>
      <c r="AG294" s="125" t="s">
        <v>678</v>
      </c>
      <c r="AH294" s="126">
        <v>85.5</v>
      </c>
      <c r="AI294" s="117" t="s">
        <v>1990</v>
      </c>
      <c r="AJ294" s="2"/>
      <c r="AK294" s="2"/>
      <c r="AL294" s="2"/>
      <c r="AM294" s="2"/>
      <c r="AN294" s="2"/>
    </row>
    <row r="295" spans="1:40" ht="12.75" x14ac:dyDescent="0.2">
      <c r="A295" s="117" t="s">
        <v>1367</v>
      </c>
      <c r="B295" s="117" t="s">
        <v>677</v>
      </c>
      <c r="C295" s="117" t="s">
        <v>677</v>
      </c>
      <c r="D295" s="117" t="s">
        <v>677</v>
      </c>
      <c r="E295" s="117" t="s">
        <v>678</v>
      </c>
      <c r="F295" s="117" t="s">
        <v>677</v>
      </c>
      <c r="G295" s="117" t="s">
        <v>677</v>
      </c>
      <c r="H295" s="117" t="s">
        <v>677</v>
      </c>
      <c r="I295" s="117" t="s">
        <v>936</v>
      </c>
      <c r="J295" s="117" t="s">
        <v>678</v>
      </c>
      <c r="K295" s="118">
        <f>589/30</f>
        <v>19.633333333333333</v>
      </c>
      <c r="L295" s="118">
        <v>0</v>
      </c>
      <c r="M295" s="117" t="s">
        <v>1263</v>
      </c>
      <c r="N295" s="10"/>
      <c r="O295" s="117" t="s">
        <v>1212</v>
      </c>
      <c r="P295" s="117" t="s">
        <v>910</v>
      </c>
      <c r="Q295" s="117" t="s">
        <v>944</v>
      </c>
      <c r="R295" s="119"/>
      <c r="S295" s="10">
        <v>1</v>
      </c>
      <c r="T295" s="10">
        <v>0</v>
      </c>
      <c r="U295" s="10">
        <v>0</v>
      </c>
      <c r="V295" s="10">
        <v>0</v>
      </c>
      <c r="W295" s="10">
        <v>0</v>
      </c>
      <c r="X295" s="10"/>
      <c r="Y295" s="120">
        <v>20.533333333333335</v>
      </c>
      <c r="Z295" s="127">
        <v>1</v>
      </c>
      <c r="AA295" s="121">
        <v>20.533333333333335</v>
      </c>
      <c r="AB295" s="122"/>
      <c r="AC295" s="122">
        <v>1</v>
      </c>
      <c r="AD295" s="128">
        <v>9.8000000000000007</v>
      </c>
      <c r="AE295" s="10"/>
      <c r="AF295" s="125" t="s">
        <v>1368</v>
      </c>
      <c r="AG295" s="125" t="s">
        <v>678</v>
      </c>
      <c r="AH295" s="126">
        <v>9.5</v>
      </c>
      <c r="AI295" s="117" t="s">
        <v>1636</v>
      </c>
      <c r="AJ295" s="2"/>
      <c r="AK295" s="2"/>
      <c r="AL295" s="2"/>
      <c r="AM295" s="2"/>
      <c r="AN295" s="2"/>
    </row>
    <row r="296" spans="1:40" ht="12.75" x14ac:dyDescent="0.2">
      <c r="A296" s="117" t="s">
        <v>1586</v>
      </c>
      <c r="B296" s="117" t="s">
        <v>679</v>
      </c>
      <c r="C296" s="117" t="s">
        <v>677</v>
      </c>
      <c r="D296" s="117" t="s">
        <v>678</v>
      </c>
      <c r="E296" s="117" t="s">
        <v>678</v>
      </c>
      <c r="F296" s="117" t="s">
        <v>677</v>
      </c>
      <c r="G296" s="117" t="s">
        <v>677</v>
      </c>
      <c r="H296" s="117" t="s">
        <v>677</v>
      </c>
      <c r="I296" s="117" t="s">
        <v>903</v>
      </c>
      <c r="J296" s="117" t="s">
        <v>678</v>
      </c>
      <c r="K296" s="118">
        <f>536/30</f>
        <v>17.866666666666667</v>
      </c>
      <c r="L296" s="118">
        <v>0</v>
      </c>
      <c r="M296" s="117" t="s">
        <v>1587</v>
      </c>
      <c r="N296" s="10"/>
      <c r="O296" s="117" t="s">
        <v>1266</v>
      </c>
      <c r="P296" s="117" t="s">
        <v>994</v>
      </c>
      <c r="Q296" s="117" t="s">
        <v>949</v>
      </c>
      <c r="R296" s="119"/>
      <c r="S296" s="10">
        <v>1</v>
      </c>
      <c r="T296" s="10">
        <v>0</v>
      </c>
      <c r="U296" s="10">
        <v>0</v>
      </c>
      <c r="V296" s="10">
        <v>0</v>
      </c>
      <c r="W296" s="10">
        <v>0</v>
      </c>
      <c r="X296" s="10"/>
      <c r="Y296" s="120">
        <v>28.366666666666667</v>
      </c>
      <c r="Z296" s="127">
        <v>1</v>
      </c>
      <c r="AA296" s="121">
        <v>28.366666666666667</v>
      </c>
      <c r="AB296" s="122"/>
      <c r="AC296" s="122">
        <v>1</v>
      </c>
      <c r="AD296" s="128">
        <v>10.333333333333334</v>
      </c>
      <c r="AE296" s="10"/>
      <c r="AF296" s="125" t="s">
        <v>934</v>
      </c>
      <c r="AG296" s="125" t="s">
        <v>678</v>
      </c>
      <c r="AH296" s="126">
        <v>16.5</v>
      </c>
      <c r="AI296" s="117" t="s">
        <v>1107</v>
      </c>
      <c r="AJ296" s="2"/>
      <c r="AK296" s="2"/>
      <c r="AL296" s="2"/>
      <c r="AM296" s="2"/>
      <c r="AN296" s="2"/>
    </row>
    <row r="297" spans="1:40" ht="12.75" x14ac:dyDescent="0.2">
      <c r="A297" s="116" t="s">
        <v>1031</v>
      </c>
      <c r="B297" s="117" t="s">
        <v>677</v>
      </c>
      <c r="C297" s="117" t="s">
        <v>677</v>
      </c>
      <c r="D297" s="117" t="s">
        <v>678</v>
      </c>
      <c r="E297" s="117" t="s">
        <v>677</v>
      </c>
      <c r="F297" s="117" t="s">
        <v>677</v>
      </c>
      <c r="G297" s="117" t="s">
        <v>677</v>
      </c>
      <c r="H297" s="117" t="s">
        <v>677</v>
      </c>
      <c r="I297" s="117" t="s">
        <v>1032</v>
      </c>
      <c r="J297" s="117" t="s">
        <v>678</v>
      </c>
      <c r="K297" s="118">
        <f>2057/30</f>
        <v>68.566666666666663</v>
      </c>
      <c r="L297" s="118">
        <v>0</v>
      </c>
      <c r="M297" s="117" t="s">
        <v>1036</v>
      </c>
      <c r="N297" s="10"/>
      <c r="O297" s="117" t="s">
        <v>1034</v>
      </c>
      <c r="P297" s="117" t="s">
        <v>1033</v>
      </c>
      <c r="Q297" s="117" t="s">
        <v>1035</v>
      </c>
      <c r="R297" s="119"/>
      <c r="S297" s="10">
        <v>1</v>
      </c>
      <c r="T297" s="10">
        <v>0</v>
      </c>
      <c r="U297" s="10">
        <v>0</v>
      </c>
      <c r="V297" s="10">
        <v>0</v>
      </c>
      <c r="W297" s="10">
        <v>0</v>
      </c>
      <c r="X297" s="10"/>
      <c r="Y297" s="120">
        <v>63.93333333333333</v>
      </c>
      <c r="Z297" s="117" t="s">
        <v>677</v>
      </c>
      <c r="AA297" s="121">
        <v>63.93333333333333</v>
      </c>
      <c r="AB297" s="122"/>
      <c r="AC297" s="123">
        <v>1</v>
      </c>
      <c r="AD297" s="124">
        <v>38.200000000000003</v>
      </c>
      <c r="AE297" s="10"/>
      <c r="AF297" s="125" t="s">
        <v>1037</v>
      </c>
      <c r="AG297" s="125" t="s">
        <v>678</v>
      </c>
      <c r="AH297" s="126">
        <v>19</v>
      </c>
      <c r="AI297" s="117" t="s">
        <v>1992</v>
      </c>
      <c r="AJ297" s="2"/>
      <c r="AK297" s="2"/>
      <c r="AL297" s="2"/>
      <c r="AM297" s="2"/>
      <c r="AN297" s="2"/>
    </row>
    <row r="298" spans="1:40" ht="12.75" x14ac:dyDescent="0.2">
      <c r="A298" s="117" t="s">
        <v>1370</v>
      </c>
      <c r="B298" s="117" t="s">
        <v>678</v>
      </c>
      <c r="C298" s="117" t="s">
        <v>677</v>
      </c>
      <c r="D298" s="117" t="s">
        <v>677</v>
      </c>
      <c r="E298" s="117" t="s">
        <v>678</v>
      </c>
      <c r="F298" s="117" t="s">
        <v>678</v>
      </c>
      <c r="G298" s="117" t="s">
        <v>677</v>
      </c>
      <c r="H298" s="117" t="s">
        <v>677</v>
      </c>
      <c r="I298" s="117" t="s">
        <v>909</v>
      </c>
      <c r="J298" s="117" t="s">
        <v>678</v>
      </c>
      <c r="K298" s="118">
        <f>158/30</f>
        <v>5.2666666666666666</v>
      </c>
      <c r="L298" s="118">
        <v>1</v>
      </c>
      <c r="M298" s="117" t="s">
        <v>1372</v>
      </c>
      <c r="N298" s="10"/>
      <c r="O298" s="117" t="s">
        <v>1063</v>
      </c>
      <c r="P298" s="117" t="s">
        <v>978</v>
      </c>
      <c r="Q298" s="117" t="s">
        <v>1371</v>
      </c>
      <c r="R298" s="119"/>
      <c r="S298" s="10">
        <v>1</v>
      </c>
      <c r="T298" s="10">
        <v>0</v>
      </c>
      <c r="U298" s="10">
        <v>0</v>
      </c>
      <c r="V298" s="10">
        <v>0</v>
      </c>
      <c r="W298" s="10">
        <v>0</v>
      </c>
      <c r="X298" s="10"/>
      <c r="Y298" s="120">
        <v>8.9666666666666668</v>
      </c>
      <c r="Z298" s="127">
        <v>1</v>
      </c>
      <c r="AA298" s="121">
        <v>8.9666666666666668</v>
      </c>
      <c r="AB298" s="123"/>
      <c r="AC298" s="122">
        <v>1</v>
      </c>
      <c r="AD298" s="128">
        <v>0.76666666666666672</v>
      </c>
      <c r="AE298" s="10"/>
      <c r="AF298" s="125" t="s">
        <v>1373</v>
      </c>
      <c r="AG298" s="125" t="s">
        <v>677</v>
      </c>
      <c r="AH298" s="126">
        <v>3</v>
      </c>
      <c r="AI298" s="117" t="s">
        <v>1964</v>
      </c>
      <c r="AJ298" s="2"/>
      <c r="AK298" s="2"/>
      <c r="AL298" s="2"/>
      <c r="AM298" s="2"/>
      <c r="AN298" s="2"/>
    </row>
    <row r="299" spans="1:40" ht="12.75" x14ac:dyDescent="0.2">
      <c r="A299" s="117" t="s">
        <v>1374</v>
      </c>
      <c r="B299" s="117" t="s">
        <v>677</v>
      </c>
      <c r="C299" s="117" t="s">
        <v>677</v>
      </c>
      <c r="D299" s="117" t="s">
        <v>677</v>
      </c>
      <c r="E299" s="117" t="s">
        <v>678</v>
      </c>
      <c r="F299" s="117" t="s">
        <v>677</v>
      </c>
      <c r="G299" s="117" t="s">
        <v>677</v>
      </c>
      <c r="H299" s="117" t="s">
        <v>677</v>
      </c>
      <c r="I299" s="117" t="s">
        <v>1026</v>
      </c>
      <c r="J299" s="117" t="s">
        <v>677</v>
      </c>
      <c r="K299" s="118">
        <f>2129/30</f>
        <v>70.966666666666669</v>
      </c>
      <c r="L299" s="118">
        <v>0</v>
      </c>
      <c r="M299" s="117" t="s">
        <v>1292</v>
      </c>
      <c r="N299" s="10"/>
      <c r="O299" s="117" t="s">
        <v>1262</v>
      </c>
      <c r="P299" s="117" t="s">
        <v>1007</v>
      </c>
      <c r="Q299" s="117" t="s">
        <v>1012</v>
      </c>
      <c r="R299" s="119"/>
      <c r="S299" s="10">
        <v>1</v>
      </c>
      <c r="T299" s="10">
        <v>0</v>
      </c>
      <c r="U299" s="10">
        <v>0</v>
      </c>
      <c r="V299" s="10">
        <v>0</v>
      </c>
      <c r="W299" s="10">
        <v>0</v>
      </c>
      <c r="X299" s="10"/>
      <c r="Y299" s="120">
        <v>42.133333333333333</v>
      </c>
      <c r="Z299" s="117" t="s">
        <v>678</v>
      </c>
      <c r="AA299" s="121">
        <v>42.133333333333333</v>
      </c>
      <c r="AB299" s="122"/>
      <c r="AC299" s="122">
        <v>1</v>
      </c>
      <c r="AD299" s="128">
        <v>15.766666666666667</v>
      </c>
      <c r="AE299" s="10"/>
      <c r="AF299" s="125" t="s">
        <v>1279</v>
      </c>
      <c r="AG299" s="125" t="s">
        <v>677</v>
      </c>
      <c r="AH299" s="126">
        <v>0</v>
      </c>
      <c r="AI299" s="117" t="s">
        <v>1601</v>
      </c>
      <c r="AJ299" s="2"/>
      <c r="AK299" s="2"/>
      <c r="AL299" s="2"/>
      <c r="AM299" s="2"/>
      <c r="AN299" s="2"/>
    </row>
    <row r="300" spans="1:40" ht="12.75" x14ac:dyDescent="0.2">
      <c r="A300" s="117" t="s">
        <v>1378</v>
      </c>
      <c r="B300" s="117" t="s">
        <v>677</v>
      </c>
      <c r="C300" s="117" t="s">
        <v>677</v>
      </c>
      <c r="D300" s="117" t="s">
        <v>677</v>
      </c>
      <c r="E300" s="117" t="s">
        <v>678</v>
      </c>
      <c r="F300" s="117" t="s">
        <v>677</v>
      </c>
      <c r="G300" s="117" t="s">
        <v>677</v>
      </c>
      <c r="H300" s="117" t="s">
        <v>677</v>
      </c>
      <c r="I300" s="117" t="s">
        <v>999</v>
      </c>
      <c r="J300" s="117" t="s">
        <v>677</v>
      </c>
      <c r="K300" s="118">
        <f>702/30</f>
        <v>23.4</v>
      </c>
      <c r="L300" s="118">
        <v>0</v>
      </c>
      <c r="M300" s="117" t="s">
        <v>1379</v>
      </c>
      <c r="N300" s="10"/>
      <c r="O300" s="117" t="s">
        <v>674</v>
      </c>
      <c r="P300" s="117" t="s">
        <v>1033</v>
      </c>
      <c r="Q300" s="117" t="s">
        <v>893</v>
      </c>
      <c r="R300" s="119"/>
      <c r="S300" s="10">
        <v>1</v>
      </c>
      <c r="T300" s="10">
        <v>0</v>
      </c>
      <c r="U300" s="10">
        <v>0</v>
      </c>
      <c r="V300" s="10">
        <v>0</v>
      </c>
      <c r="W300" s="10">
        <v>0</v>
      </c>
      <c r="X300" s="10"/>
      <c r="Y300" s="120">
        <v>64.466666666666669</v>
      </c>
      <c r="Z300" s="117" t="s">
        <v>677</v>
      </c>
      <c r="AA300" s="121">
        <v>64.466666666666669</v>
      </c>
      <c r="AB300" s="123"/>
      <c r="AC300" s="123">
        <v>0</v>
      </c>
      <c r="AD300" s="124">
        <v>12.9</v>
      </c>
      <c r="AE300" s="10"/>
      <c r="AF300" s="125" t="s">
        <v>1380</v>
      </c>
      <c r="AG300" s="125" t="s">
        <v>678</v>
      </c>
      <c r="AH300" s="126">
        <v>0</v>
      </c>
      <c r="AI300" s="117" t="s">
        <v>1390</v>
      </c>
      <c r="AJ300" s="2"/>
      <c r="AK300" s="2"/>
      <c r="AL300" s="2"/>
      <c r="AM300" s="2"/>
      <c r="AN300" s="2"/>
    </row>
    <row r="301" spans="1:40" ht="12.75" x14ac:dyDescent="0.2">
      <c r="A301" s="117" t="s">
        <v>1381</v>
      </c>
      <c r="B301" s="117" t="s">
        <v>677</v>
      </c>
      <c r="C301" s="117" t="s">
        <v>677</v>
      </c>
      <c r="D301" s="117" t="s">
        <v>677</v>
      </c>
      <c r="E301" s="117" t="s">
        <v>678</v>
      </c>
      <c r="F301" s="117" t="s">
        <v>677</v>
      </c>
      <c r="G301" s="117" t="s">
        <v>677</v>
      </c>
      <c r="H301" s="117" t="s">
        <v>677</v>
      </c>
      <c r="I301" s="117" t="s">
        <v>976</v>
      </c>
      <c r="J301" s="117" t="s">
        <v>678</v>
      </c>
      <c r="K301" s="118">
        <f>673/30</f>
        <v>22.433333333333334</v>
      </c>
      <c r="L301" s="118">
        <v>0</v>
      </c>
      <c r="M301" s="117" t="s">
        <v>1384</v>
      </c>
      <c r="N301" s="10"/>
      <c r="O301" s="117" t="s">
        <v>1383</v>
      </c>
      <c r="P301" s="117" t="s">
        <v>1382</v>
      </c>
      <c r="Q301" s="117" t="s">
        <v>1371</v>
      </c>
      <c r="R301" s="119"/>
      <c r="S301" s="10">
        <v>1</v>
      </c>
      <c r="T301" s="10">
        <v>0</v>
      </c>
      <c r="U301" s="10">
        <v>0</v>
      </c>
      <c r="V301" s="10">
        <v>0</v>
      </c>
      <c r="W301" s="10">
        <v>0</v>
      </c>
      <c r="X301" s="10"/>
      <c r="Y301" s="120">
        <v>17.066666666666666</v>
      </c>
      <c r="Z301" s="117" t="s">
        <v>678</v>
      </c>
      <c r="AA301" s="121">
        <v>17.066666666666666</v>
      </c>
      <c r="AB301" s="122"/>
      <c r="AC301" s="122">
        <v>1</v>
      </c>
      <c r="AD301" s="128">
        <v>8.2666666666666675</v>
      </c>
      <c r="AE301" s="10"/>
      <c r="AF301" s="125" t="s">
        <v>1385</v>
      </c>
      <c r="AG301" s="125" t="s">
        <v>678</v>
      </c>
      <c r="AH301" s="126">
        <v>88.9</v>
      </c>
      <c r="AI301" s="117" t="s">
        <v>1993</v>
      </c>
      <c r="AJ301" s="2"/>
      <c r="AK301" s="2"/>
      <c r="AL301" s="2"/>
      <c r="AM301" s="2"/>
      <c r="AN301" s="2"/>
    </row>
    <row r="302" spans="1:40" ht="12.75" x14ac:dyDescent="0.2">
      <c r="A302" s="117" t="s">
        <v>1388</v>
      </c>
      <c r="B302" s="117" t="s">
        <v>677</v>
      </c>
      <c r="C302" s="117" t="s">
        <v>677</v>
      </c>
      <c r="D302" s="117" t="s">
        <v>677</v>
      </c>
      <c r="E302" s="117" t="s">
        <v>678</v>
      </c>
      <c r="F302" s="117" t="s">
        <v>677</v>
      </c>
      <c r="G302" s="117" t="s">
        <v>677</v>
      </c>
      <c r="H302" s="117" t="s">
        <v>677</v>
      </c>
      <c r="I302" s="117" t="s">
        <v>1109</v>
      </c>
      <c r="J302" s="117" t="s">
        <v>677</v>
      </c>
      <c r="K302" s="118">
        <f>357/30</f>
        <v>11.9</v>
      </c>
      <c r="L302" s="118">
        <v>1</v>
      </c>
      <c r="M302" s="117" t="s">
        <v>1213</v>
      </c>
      <c r="N302" s="10"/>
      <c r="O302" s="117" t="s">
        <v>1212</v>
      </c>
      <c r="P302" s="117" t="s">
        <v>1389</v>
      </c>
      <c r="Q302" s="117" t="s">
        <v>893</v>
      </c>
      <c r="R302" s="119"/>
      <c r="S302" s="10">
        <v>0</v>
      </c>
      <c r="T302" s="10">
        <v>1</v>
      </c>
      <c r="U302" s="10">
        <v>0</v>
      </c>
      <c r="V302" s="10">
        <v>0</v>
      </c>
      <c r="W302" s="10">
        <v>0</v>
      </c>
      <c r="X302" s="10"/>
      <c r="Y302" s="120">
        <v>25.4</v>
      </c>
      <c r="Z302" s="127">
        <v>1</v>
      </c>
      <c r="AA302" s="121">
        <v>25.4</v>
      </c>
      <c r="AB302" s="122"/>
      <c r="AC302" s="123">
        <v>1</v>
      </c>
      <c r="AD302" s="124">
        <v>11.466666666666667</v>
      </c>
      <c r="AE302" s="10"/>
      <c r="AF302" s="125" t="s">
        <v>1019</v>
      </c>
      <c r="AG302" s="125" t="s">
        <v>678</v>
      </c>
      <c r="AH302" s="126">
        <v>9.5</v>
      </c>
      <c r="AI302" s="117" t="s">
        <v>1494</v>
      </c>
      <c r="AJ302" s="2"/>
      <c r="AK302" s="2"/>
      <c r="AL302" s="2"/>
      <c r="AM302" s="2"/>
      <c r="AN302" s="2"/>
    </row>
    <row r="303" spans="1:40" ht="12.75" x14ac:dyDescent="0.2">
      <c r="A303" s="117" t="s">
        <v>1392</v>
      </c>
      <c r="B303" s="117" t="s">
        <v>677</v>
      </c>
      <c r="C303" s="117" t="s">
        <v>677</v>
      </c>
      <c r="D303" s="117" t="s">
        <v>677</v>
      </c>
      <c r="E303" s="117" t="s">
        <v>678</v>
      </c>
      <c r="F303" s="117" t="s">
        <v>677</v>
      </c>
      <c r="G303" s="117" t="s">
        <v>678</v>
      </c>
      <c r="H303" s="117" t="s">
        <v>677</v>
      </c>
      <c r="I303" s="117" t="s">
        <v>993</v>
      </c>
      <c r="J303" s="117" t="s">
        <v>677</v>
      </c>
      <c r="K303" s="118">
        <f>1107/30</f>
        <v>36.9</v>
      </c>
      <c r="L303" s="118">
        <v>0</v>
      </c>
      <c r="M303" s="117" t="s">
        <v>1396</v>
      </c>
      <c r="N303" s="10"/>
      <c r="O303" s="117" t="s">
        <v>1394</v>
      </c>
      <c r="P303" s="117" t="s">
        <v>1393</v>
      </c>
      <c r="Q303" s="117" t="s">
        <v>1395</v>
      </c>
      <c r="R303" s="119"/>
      <c r="S303" s="10">
        <v>0</v>
      </c>
      <c r="T303" s="10">
        <v>1</v>
      </c>
      <c r="U303" s="10">
        <v>0</v>
      </c>
      <c r="V303" s="10">
        <v>0</v>
      </c>
      <c r="W303" s="10">
        <v>0</v>
      </c>
      <c r="X303" s="10"/>
      <c r="Y303" s="120">
        <v>15.766666666666667</v>
      </c>
      <c r="Z303" s="117" t="s">
        <v>678</v>
      </c>
      <c r="AA303" s="121">
        <v>15.766666666666667</v>
      </c>
      <c r="AB303" s="123"/>
      <c r="AC303" s="123">
        <v>0</v>
      </c>
      <c r="AD303" s="124">
        <v>2.7</v>
      </c>
      <c r="AE303" s="10"/>
      <c r="AF303" s="125" t="s">
        <v>1397</v>
      </c>
      <c r="AG303" s="125" t="s">
        <v>678</v>
      </c>
      <c r="AH303" s="126">
        <v>82.4</v>
      </c>
      <c r="AI303" s="117" t="s">
        <v>1996</v>
      </c>
      <c r="AJ303" s="2"/>
      <c r="AK303" s="2"/>
      <c r="AL303" s="2"/>
      <c r="AM303" s="2"/>
      <c r="AN303" s="2"/>
    </row>
    <row r="304" spans="1:40" ht="12.75" x14ac:dyDescent="0.2">
      <c r="A304" s="117" t="s">
        <v>1398</v>
      </c>
      <c r="B304" s="117" t="s">
        <v>678</v>
      </c>
      <c r="C304" s="117" t="s">
        <v>677</v>
      </c>
      <c r="D304" s="117" t="s">
        <v>678</v>
      </c>
      <c r="E304" s="117" t="s">
        <v>678</v>
      </c>
      <c r="F304" s="117" t="s">
        <v>677</v>
      </c>
      <c r="G304" s="117" t="s">
        <v>677</v>
      </c>
      <c r="H304" s="117" t="s">
        <v>677</v>
      </c>
      <c r="I304" s="117" t="s">
        <v>1399</v>
      </c>
      <c r="J304" s="117" t="s">
        <v>678</v>
      </c>
      <c r="K304" s="118">
        <f>1623/30</f>
        <v>54.1</v>
      </c>
      <c r="L304" s="118">
        <v>0</v>
      </c>
      <c r="M304" s="117" t="s">
        <v>1401</v>
      </c>
      <c r="N304" s="10"/>
      <c r="O304" s="117" t="s">
        <v>1400</v>
      </c>
      <c r="P304" s="117" t="s">
        <v>918</v>
      </c>
      <c r="Q304" s="117" t="s">
        <v>961</v>
      </c>
      <c r="R304" s="119"/>
      <c r="S304" s="10">
        <v>1</v>
      </c>
      <c r="T304" s="10">
        <v>0</v>
      </c>
      <c r="U304" s="10">
        <v>0</v>
      </c>
      <c r="V304" s="10">
        <v>0</v>
      </c>
      <c r="W304" s="10">
        <v>0</v>
      </c>
      <c r="X304" s="10"/>
      <c r="Y304" s="120">
        <v>31.133333333333333</v>
      </c>
      <c r="Z304" s="117" t="s">
        <v>677</v>
      </c>
      <c r="AA304" s="121">
        <v>31.133333333333333</v>
      </c>
      <c r="AB304" s="123"/>
      <c r="AC304" s="123">
        <v>0</v>
      </c>
      <c r="AD304" s="124">
        <v>9.5333333333333332</v>
      </c>
      <c r="AE304" s="10"/>
      <c r="AF304" s="125" t="s">
        <v>1402</v>
      </c>
      <c r="AG304" s="125" t="s">
        <v>678</v>
      </c>
      <c r="AH304" s="126">
        <v>0</v>
      </c>
      <c r="AI304" s="117" t="s">
        <v>1997</v>
      </c>
      <c r="AJ304" s="2"/>
      <c r="AK304" s="2"/>
      <c r="AL304" s="2"/>
      <c r="AM304" s="2"/>
      <c r="AN304" s="2"/>
    </row>
    <row r="305" spans="1:40" ht="12.75" x14ac:dyDescent="0.2">
      <c r="A305" s="117" t="s">
        <v>1404</v>
      </c>
      <c r="B305" s="117" t="s">
        <v>677</v>
      </c>
      <c r="C305" s="117" t="s">
        <v>677</v>
      </c>
      <c r="D305" s="117" t="s">
        <v>677</v>
      </c>
      <c r="E305" s="117" t="s">
        <v>678</v>
      </c>
      <c r="F305" s="117" t="s">
        <v>677</v>
      </c>
      <c r="G305" s="117" t="s">
        <v>677</v>
      </c>
      <c r="H305" s="117" t="s">
        <v>677</v>
      </c>
      <c r="I305" s="117" t="s">
        <v>1041</v>
      </c>
      <c r="J305" s="117" t="s">
        <v>677</v>
      </c>
      <c r="K305" s="118">
        <f>829/30</f>
        <v>27.633333333333333</v>
      </c>
      <c r="L305" s="118">
        <v>0</v>
      </c>
      <c r="M305" s="117" t="s">
        <v>1406</v>
      </c>
      <c r="N305" s="10"/>
      <c r="O305" s="117" t="s">
        <v>888</v>
      </c>
      <c r="P305" s="117" t="s">
        <v>1405</v>
      </c>
      <c r="Q305" s="117" t="s">
        <v>1023</v>
      </c>
      <c r="R305" s="119"/>
      <c r="S305" s="10">
        <v>1</v>
      </c>
      <c r="T305" s="10">
        <v>0</v>
      </c>
      <c r="U305" s="10">
        <v>0</v>
      </c>
      <c r="V305" s="10">
        <v>0</v>
      </c>
      <c r="W305" s="10">
        <v>0</v>
      </c>
      <c r="X305" s="10"/>
      <c r="Y305" s="120">
        <v>51.7</v>
      </c>
      <c r="Z305" s="117" t="s">
        <v>678</v>
      </c>
      <c r="AA305" s="121">
        <v>51.7</v>
      </c>
      <c r="AB305" s="122"/>
      <c r="AC305" s="123">
        <v>1</v>
      </c>
      <c r="AD305" s="124">
        <v>4.833333333333333</v>
      </c>
      <c r="AE305" s="10"/>
      <c r="AF305" s="125" t="s">
        <v>1407</v>
      </c>
      <c r="AG305" s="125" t="s">
        <v>678</v>
      </c>
      <c r="AH305" s="126">
        <v>3</v>
      </c>
      <c r="AI305" s="117" t="s">
        <v>1347</v>
      </c>
      <c r="AJ305" s="2"/>
      <c r="AK305" s="2"/>
      <c r="AL305" s="2"/>
      <c r="AM305" s="2"/>
      <c r="AN305" s="2"/>
    </row>
    <row r="306" spans="1:40" ht="12.75" x14ac:dyDescent="0.2">
      <c r="A306" s="117" t="s">
        <v>1408</v>
      </c>
      <c r="B306" s="117" t="s">
        <v>677</v>
      </c>
      <c r="C306" s="117" t="s">
        <v>677</v>
      </c>
      <c r="D306" s="117" t="s">
        <v>678</v>
      </c>
      <c r="E306" s="117" t="s">
        <v>678</v>
      </c>
      <c r="F306" s="117" t="s">
        <v>677</v>
      </c>
      <c r="G306" s="117" t="s">
        <v>677</v>
      </c>
      <c r="H306" s="117" t="s">
        <v>678</v>
      </c>
      <c r="I306" s="117" t="s">
        <v>1016</v>
      </c>
      <c r="J306" s="117" t="s">
        <v>677</v>
      </c>
      <c r="K306" s="118">
        <f>1473/30</f>
        <v>49.1</v>
      </c>
      <c r="L306" s="118">
        <v>0</v>
      </c>
      <c r="M306" s="117" t="s">
        <v>1410</v>
      </c>
      <c r="N306" s="10"/>
      <c r="O306" s="117" t="s">
        <v>1106</v>
      </c>
      <c r="P306" s="117" t="s">
        <v>1007</v>
      </c>
      <c r="Q306" s="117" t="s">
        <v>1409</v>
      </c>
      <c r="R306" s="119"/>
      <c r="S306" s="10">
        <v>0</v>
      </c>
      <c r="T306" s="10">
        <v>1</v>
      </c>
      <c r="U306" s="10">
        <v>0</v>
      </c>
      <c r="V306" s="10">
        <v>0</v>
      </c>
      <c r="W306" s="10">
        <v>0</v>
      </c>
      <c r="X306" s="10"/>
      <c r="Y306" s="120">
        <v>23.366666666666667</v>
      </c>
      <c r="Z306" s="127">
        <v>1</v>
      </c>
      <c r="AA306" s="121">
        <v>23.366666666666667</v>
      </c>
      <c r="AB306" s="123"/>
      <c r="AC306" s="122">
        <v>1</v>
      </c>
      <c r="AD306" s="128">
        <v>8.3000000000000007</v>
      </c>
      <c r="AE306" s="10"/>
      <c r="AF306" s="125" t="s">
        <v>1014</v>
      </c>
      <c r="AG306" s="125" t="s">
        <v>678</v>
      </c>
      <c r="AH306" s="126">
        <v>0</v>
      </c>
      <c r="AI306" s="117" t="s">
        <v>1983</v>
      </c>
      <c r="AJ306" s="2"/>
      <c r="AK306" s="2"/>
      <c r="AL306" s="2"/>
      <c r="AM306" s="2"/>
      <c r="AN306" s="2"/>
    </row>
    <row r="307" spans="1:40" ht="12.75" x14ac:dyDescent="0.2">
      <c r="A307" s="117" t="s">
        <v>1040</v>
      </c>
      <c r="B307" s="117" t="s">
        <v>679</v>
      </c>
      <c r="C307" s="117" t="s">
        <v>677</v>
      </c>
      <c r="D307" s="117" t="s">
        <v>678</v>
      </c>
      <c r="E307" s="117" t="s">
        <v>677</v>
      </c>
      <c r="F307" s="117" t="s">
        <v>677</v>
      </c>
      <c r="G307" s="117" t="s">
        <v>677</v>
      </c>
      <c r="H307" s="117" t="s">
        <v>678</v>
      </c>
      <c r="I307" s="117" t="s">
        <v>1041</v>
      </c>
      <c r="J307" s="117" t="s">
        <v>679</v>
      </c>
      <c r="K307" s="118">
        <f>127/30</f>
        <v>4.2333333333333334</v>
      </c>
      <c r="L307" s="118">
        <v>1</v>
      </c>
      <c r="M307" s="117" t="s">
        <v>1044</v>
      </c>
      <c r="N307" s="10"/>
      <c r="O307" s="117" t="s">
        <v>1042</v>
      </c>
      <c r="P307" s="117" t="s">
        <v>942</v>
      </c>
      <c r="Q307" s="117" t="s">
        <v>1043</v>
      </c>
      <c r="R307" s="119"/>
      <c r="S307" s="10">
        <v>0</v>
      </c>
      <c r="T307" s="10">
        <v>1</v>
      </c>
      <c r="U307" s="10">
        <v>0</v>
      </c>
      <c r="V307" s="10">
        <v>0</v>
      </c>
      <c r="W307" s="10">
        <v>0</v>
      </c>
      <c r="X307" s="10"/>
      <c r="Y307" s="120">
        <v>8.6333333333333329</v>
      </c>
      <c r="Z307" s="117" t="s">
        <v>678</v>
      </c>
      <c r="AA307" s="121">
        <v>8.6333333333333329</v>
      </c>
      <c r="AB307" s="122"/>
      <c r="AC307" s="122">
        <v>1</v>
      </c>
      <c r="AD307" s="128">
        <v>0.83333333333333337</v>
      </c>
      <c r="AE307" s="10"/>
      <c r="AF307" s="125" t="s">
        <v>1045</v>
      </c>
      <c r="AG307" s="125" t="s">
        <v>677</v>
      </c>
      <c r="AH307" s="126">
        <v>42.5</v>
      </c>
      <c r="AI307" s="117" t="s">
        <v>1998</v>
      </c>
      <c r="AJ307" s="2"/>
      <c r="AK307" s="2"/>
      <c r="AL307" s="2"/>
      <c r="AM307" s="2"/>
      <c r="AN307" s="2"/>
    </row>
    <row r="308" spans="1:40" ht="12.75" x14ac:dyDescent="0.2">
      <c r="A308" s="117" t="s">
        <v>1413</v>
      </c>
      <c r="B308" s="117" t="s">
        <v>678</v>
      </c>
      <c r="C308" s="117" t="s">
        <v>677</v>
      </c>
      <c r="D308" s="117" t="s">
        <v>677</v>
      </c>
      <c r="E308" s="117" t="s">
        <v>678</v>
      </c>
      <c r="F308" s="117" t="s">
        <v>677</v>
      </c>
      <c r="G308" s="117" t="s">
        <v>677</v>
      </c>
      <c r="H308" s="117" t="s">
        <v>678</v>
      </c>
      <c r="I308" s="117" t="s">
        <v>993</v>
      </c>
      <c r="J308" s="117" t="s">
        <v>678</v>
      </c>
      <c r="K308" s="118">
        <f>266/30</f>
        <v>8.8666666666666671</v>
      </c>
      <c r="L308" s="118">
        <v>1</v>
      </c>
      <c r="M308" s="117" t="s">
        <v>1414</v>
      </c>
      <c r="N308" s="10"/>
      <c r="O308" s="117" t="s">
        <v>1022</v>
      </c>
      <c r="P308" s="117" t="s">
        <v>1375</v>
      </c>
      <c r="Q308" s="117" t="s">
        <v>889</v>
      </c>
      <c r="R308" s="119"/>
      <c r="S308" s="10">
        <v>0</v>
      </c>
      <c r="T308" s="10">
        <v>1</v>
      </c>
      <c r="U308" s="10">
        <v>0</v>
      </c>
      <c r="V308" s="10">
        <v>0</v>
      </c>
      <c r="W308" s="10">
        <v>0</v>
      </c>
      <c r="X308" s="10"/>
      <c r="Y308" s="120">
        <v>10.1</v>
      </c>
      <c r="Z308" s="127">
        <v>1</v>
      </c>
      <c r="AA308" s="121">
        <v>10.1</v>
      </c>
      <c r="AB308" s="122"/>
      <c r="AC308" s="122">
        <v>1</v>
      </c>
      <c r="AD308" s="128">
        <v>3.4333333333333331</v>
      </c>
      <c r="AE308" s="10"/>
      <c r="AF308" s="125" t="s">
        <v>1415</v>
      </c>
      <c r="AG308" s="125" t="s">
        <v>678</v>
      </c>
      <c r="AH308" s="126">
        <v>44</v>
      </c>
      <c r="AI308" s="117" t="s">
        <v>1999</v>
      </c>
      <c r="AJ308" s="2"/>
      <c r="AK308" s="2"/>
      <c r="AL308" s="2"/>
      <c r="AM308" s="2"/>
      <c r="AN308" s="2"/>
    </row>
    <row r="309" spans="1:40" ht="12.75" x14ac:dyDescent="0.2">
      <c r="A309" s="117" t="s">
        <v>979</v>
      </c>
      <c r="B309" s="117" t="s">
        <v>677</v>
      </c>
      <c r="C309" s="117" t="s">
        <v>677</v>
      </c>
      <c r="D309" s="117" t="s">
        <v>677</v>
      </c>
      <c r="E309" s="117" t="s">
        <v>678</v>
      </c>
      <c r="F309" s="117" t="s">
        <v>677</v>
      </c>
      <c r="G309" s="117" t="s">
        <v>677</v>
      </c>
      <c r="H309" s="117" t="s">
        <v>677</v>
      </c>
      <c r="I309" s="117" t="s">
        <v>929</v>
      </c>
      <c r="J309" s="117" t="s">
        <v>677</v>
      </c>
      <c r="K309" s="118">
        <f>2747/30</f>
        <v>91.566666666666663</v>
      </c>
      <c r="L309" s="118">
        <v>0</v>
      </c>
      <c r="M309" s="117" t="s">
        <v>1094</v>
      </c>
      <c r="N309" s="10"/>
      <c r="O309" s="117" t="s">
        <v>1011</v>
      </c>
      <c r="P309" s="117" t="s">
        <v>1069</v>
      </c>
      <c r="Q309" s="117" t="s">
        <v>961</v>
      </c>
      <c r="R309" s="119"/>
      <c r="S309" s="10">
        <v>1</v>
      </c>
      <c r="T309" s="10">
        <v>0</v>
      </c>
      <c r="U309" s="10">
        <v>0</v>
      </c>
      <c r="V309" s="10">
        <v>0</v>
      </c>
      <c r="W309" s="10">
        <v>0</v>
      </c>
      <c r="X309" s="10"/>
      <c r="Y309" s="120">
        <v>39.166666666666664</v>
      </c>
      <c r="Z309" s="117" t="s">
        <v>678</v>
      </c>
      <c r="AA309" s="121">
        <v>39.166666666666664</v>
      </c>
      <c r="AB309" s="123"/>
      <c r="AC309" s="123">
        <v>1</v>
      </c>
      <c r="AD309" s="124">
        <v>20.433333333333334</v>
      </c>
      <c r="AE309" s="10"/>
      <c r="AF309" s="125" t="s">
        <v>1589</v>
      </c>
      <c r="AG309" s="125" t="s">
        <v>678</v>
      </c>
      <c r="AH309" s="126">
        <v>0</v>
      </c>
      <c r="AI309" s="117" t="s">
        <v>2000</v>
      </c>
      <c r="AJ309" s="2"/>
      <c r="AK309" s="2"/>
      <c r="AL309" s="2"/>
      <c r="AM309" s="2"/>
      <c r="AN309" s="2"/>
    </row>
    <row r="310" spans="1:40" ht="12.75" x14ac:dyDescent="0.2">
      <c r="A310" s="117" t="s">
        <v>1416</v>
      </c>
      <c r="B310" s="117" t="s">
        <v>677</v>
      </c>
      <c r="C310" s="117" t="s">
        <v>677</v>
      </c>
      <c r="D310" s="117" t="s">
        <v>677</v>
      </c>
      <c r="E310" s="117" t="s">
        <v>678</v>
      </c>
      <c r="F310" s="117" t="s">
        <v>677</v>
      </c>
      <c r="G310" s="117" t="s">
        <v>677</v>
      </c>
      <c r="H310" s="117" t="s">
        <v>678</v>
      </c>
      <c r="I310" s="117" t="s">
        <v>963</v>
      </c>
      <c r="J310" s="117" t="s">
        <v>678</v>
      </c>
      <c r="K310" s="118" t="s">
        <v>674</v>
      </c>
      <c r="L310" s="118">
        <v>2</v>
      </c>
      <c r="M310" s="117" t="s">
        <v>1417</v>
      </c>
      <c r="N310" s="10"/>
      <c r="O310" s="117" t="s">
        <v>925</v>
      </c>
      <c r="P310" s="117" t="s">
        <v>978</v>
      </c>
      <c r="Q310" s="117" t="s">
        <v>926</v>
      </c>
      <c r="R310" s="119"/>
      <c r="S310" s="10">
        <v>1</v>
      </c>
      <c r="T310" s="10">
        <v>0</v>
      </c>
      <c r="U310" s="10">
        <v>0</v>
      </c>
      <c r="V310" s="10">
        <v>0</v>
      </c>
      <c r="W310" s="10">
        <v>0</v>
      </c>
      <c r="X310" s="10"/>
      <c r="Y310" s="120">
        <v>61.2</v>
      </c>
      <c r="Z310" s="117" t="s">
        <v>678</v>
      </c>
      <c r="AA310" s="121">
        <v>61.2</v>
      </c>
      <c r="AB310" s="122"/>
      <c r="AC310" s="122">
        <v>1</v>
      </c>
      <c r="AD310" s="128">
        <v>14.5</v>
      </c>
      <c r="AE310" s="10"/>
      <c r="AF310" s="125" t="s">
        <v>1418</v>
      </c>
      <c r="AG310" s="125" t="s">
        <v>678</v>
      </c>
      <c r="AH310" s="126">
        <v>0</v>
      </c>
      <c r="AI310" s="117" t="s">
        <v>1606</v>
      </c>
      <c r="AJ310" s="2"/>
      <c r="AK310" s="2"/>
      <c r="AL310" s="2"/>
      <c r="AM310" s="2"/>
      <c r="AN310" s="2"/>
    </row>
    <row r="311" spans="1:40" ht="12.75" x14ac:dyDescent="0.2">
      <c r="A311" s="117" t="s">
        <v>1046</v>
      </c>
      <c r="B311" s="117" t="s">
        <v>677</v>
      </c>
      <c r="C311" s="117" t="s">
        <v>677</v>
      </c>
      <c r="D311" s="117" t="s">
        <v>677</v>
      </c>
      <c r="E311" s="117" t="s">
        <v>678</v>
      </c>
      <c r="F311" s="117" t="s">
        <v>678</v>
      </c>
      <c r="G311" s="117" t="s">
        <v>677</v>
      </c>
      <c r="H311" s="117" t="s">
        <v>677</v>
      </c>
      <c r="I311" s="117" t="s">
        <v>929</v>
      </c>
      <c r="J311" s="117" t="s">
        <v>679</v>
      </c>
      <c r="K311" s="118">
        <f>282/30</f>
        <v>9.4</v>
      </c>
      <c r="L311" s="118">
        <v>1</v>
      </c>
      <c r="M311" s="117" t="s">
        <v>1049</v>
      </c>
      <c r="N311" s="10"/>
      <c r="O311" s="117" t="s">
        <v>978</v>
      </c>
      <c r="P311" s="117" t="s">
        <v>1047</v>
      </c>
      <c r="Q311" s="117" t="s">
        <v>1048</v>
      </c>
      <c r="R311" s="119"/>
      <c r="S311" s="10">
        <v>1</v>
      </c>
      <c r="T311" s="10">
        <v>0</v>
      </c>
      <c r="U311" s="10">
        <v>0</v>
      </c>
      <c r="V311" s="10">
        <v>0</v>
      </c>
      <c r="W311" s="10">
        <v>0</v>
      </c>
      <c r="X311" s="10"/>
      <c r="Y311" s="120">
        <v>3.8333333333333335</v>
      </c>
      <c r="Z311" s="117" t="s">
        <v>678</v>
      </c>
      <c r="AA311" s="121">
        <v>3.8333333333333335</v>
      </c>
      <c r="AB311" s="122"/>
      <c r="AC311" s="123">
        <v>1</v>
      </c>
      <c r="AD311" s="124">
        <v>3.2333333333333334</v>
      </c>
      <c r="AE311" s="10"/>
      <c r="AF311" s="125" t="s">
        <v>934</v>
      </c>
      <c r="AG311" s="125" t="s">
        <v>678</v>
      </c>
      <c r="AH311" s="126">
        <v>24.6</v>
      </c>
      <c r="AI311" s="117" t="s">
        <v>1347</v>
      </c>
      <c r="AJ311" s="2"/>
      <c r="AK311" s="2"/>
      <c r="AL311" s="2"/>
      <c r="AM311" s="2"/>
      <c r="AN311" s="2"/>
    </row>
    <row r="312" spans="1:40" ht="12.75" x14ac:dyDescent="0.2">
      <c r="A312" s="117" t="s">
        <v>1395</v>
      </c>
      <c r="B312" s="117" t="s">
        <v>678</v>
      </c>
      <c r="C312" s="117" t="s">
        <v>677</v>
      </c>
      <c r="D312" s="117" t="s">
        <v>677</v>
      </c>
      <c r="E312" s="117" t="s">
        <v>678</v>
      </c>
      <c r="F312" s="117" t="s">
        <v>677</v>
      </c>
      <c r="G312" s="117" t="s">
        <v>677</v>
      </c>
      <c r="H312" s="117" t="s">
        <v>677</v>
      </c>
      <c r="I312" s="117" t="s">
        <v>1109</v>
      </c>
      <c r="J312" s="117" t="s">
        <v>677</v>
      </c>
      <c r="K312" s="118">
        <f>859/30</f>
        <v>28.633333333333333</v>
      </c>
      <c r="L312" s="118">
        <v>0</v>
      </c>
      <c r="M312" s="117" t="s">
        <v>1227</v>
      </c>
      <c r="N312" s="10"/>
      <c r="O312" s="117" t="s">
        <v>965</v>
      </c>
      <c r="P312" s="117" t="s">
        <v>1591</v>
      </c>
      <c r="Q312" s="117" t="s">
        <v>961</v>
      </c>
      <c r="R312" s="119"/>
      <c r="S312" s="10">
        <v>0</v>
      </c>
      <c r="T312" s="10">
        <v>1</v>
      </c>
      <c r="U312" s="10">
        <v>0</v>
      </c>
      <c r="V312" s="10">
        <v>0</v>
      </c>
      <c r="W312" s="10">
        <v>0</v>
      </c>
      <c r="X312" s="10"/>
      <c r="Y312" s="120">
        <v>36</v>
      </c>
      <c r="Z312" s="127">
        <v>1</v>
      </c>
      <c r="AA312" s="121">
        <v>36</v>
      </c>
      <c r="AB312" s="123"/>
      <c r="AC312" s="122">
        <v>1</v>
      </c>
      <c r="AD312" s="128">
        <v>12.1</v>
      </c>
      <c r="AE312" s="10"/>
      <c r="AF312" s="125" t="s">
        <v>1592</v>
      </c>
      <c r="AG312" s="125" t="s">
        <v>678</v>
      </c>
      <c r="AH312" s="126">
        <v>0</v>
      </c>
      <c r="AI312" s="117" t="s">
        <v>2001</v>
      </c>
      <c r="AJ312" s="2"/>
      <c r="AK312" s="2"/>
      <c r="AL312" s="2"/>
      <c r="AM312" s="2"/>
      <c r="AN312" s="2"/>
    </row>
    <row r="313" spans="1:40" ht="12.75" x14ac:dyDescent="0.2">
      <c r="A313" s="117" t="s">
        <v>1035</v>
      </c>
      <c r="B313" s="117" t="s">
        <v>679</v>
      </c>
      <c r="C313" s="117" t="s">
        <v>677</v>
      </c>
      <c r="D313" s="117" t="s">
        <v>678</v>
      </c>
      <c r="E313" s="117" t="s">
        <v>678</v>
      </c>
      <c r="F313" s="117" t="s">
        <v>677</v>
      </c>
      <c r="G313" s="117" t="s">
        <v>677</v>
      </c>
      <c r="H313" s="117" t="s">
        <v>677</v>
      </c>
      <c r="I313" s="117" t="s">
        <v>1026</v>
      </c>
      <c r="J313" s="117" t="s">
        <v>677</v>
      </c>
      <c r="K313" s="118">
        <f>105/30</f>
        <v>3.5</v>
      </c>
      <c r="L313" s="118">
        <v>1</v>
      </c>
      <c r="M313" s="117" t="s">
        <v>1420</v>
      </c>
      <c r="N313" s="10"/>
      <c r="O313" s="117" t="s">
        <v>1103</v>
      </c>
      <c r="P313" s="117" t="s">
        <v>1146</v>
      </c>
      <c r="Q313" s="117" t="s">
        <v>1091</v>
      </c>
      <c r="R313" s="119"/>
      <c r="S313" s="10">
        <v>1</v>
      </c>
      <c r="T313" s="10">
        <v>0</v>
      </c>
      <c r="U313" s="10">
        <v>0</v>
      </c>
      <c r="V313" s="10">
        <v>0</v>
      </c>
      <c r="W313" s="10">
        <v>0</v>
      </c>
      <c r="X313" s="10"/>
      <c r="Y313" s="120">
        <v>11.8</v>
      </c>
      <c r="Z313" s="127">
        <v>1</v>
      </c>
      <c r="AA313" s="121">
        <v>11.8</v>
      </c>
      <c r="AB313" s="123"/>
      <c r="AC313" s="122">
        <v>1</v>
      </c>
      <c r="AD313" s="128">
        <v>3.7666666666666666</v>
      </c>
      <c r="AE313" s="10"/>
      <c r="AF313" s="125" t="s">
        <v>1421</v>
      </c>
      <c r="AG313" s="125" t="s">
        <v>677</v>
      </c>
      <c r="AH313" s="126">
        <v>3</v>
      </c>
      <c r="AI313" s="117" t="s">
        <v>890</v>
      </c>
      <c r="AJ313" s="2"/>
      <c r="AK313" s="2"/>
      <c r="AL313" s="2"/>
      <c r="AM313" s="2"/>
      <c r="AN313" s="2"/>
    </row>
    <row r="314" spans="1:40" ht="12.75" x14ac:dyDescent="0.2">
      <c r="A314" s="116" t="s">
        <v>1050</v>
      </c>
      <c r="B314" s="117" t="s">
        <v>678</v>
      </c>
      <c r="C314" s="117" t="s">
        <v>677</v>
      </c>
      <c r="D314" s="117" t="s">
        <v>677</v>
      </c>
      <c r="E314" s="117" t="s">
        <v>678</v>
      </c>
      <c r="F314" s="117" t="s">
        <v>677</v>
      </c>
      <c r="G314" s="117" t="s">
        <v>677</v>
      </c>
      <c r="H314" s="117" t="s">
        <v>677</v>
      </c>
      <c r="I314" s="117" t="s">
        <v>1051</v>
      </c>
      <c r="J314" s="117" t="s">
        <v>677</v>
      </c>
      <c r="K314" s="118">
        <f>4708/30</f>
        <v>156.93333333333334</v>
      </c>
      <c r="L314" s="118">
        <v>0</v>
      </c>
      <c r="M314" s="117" t="s">
        <v>1054</v>
      </c>
      <c r="N314" s="10"/>
      <c r="O314" s="117" t="s">
        <v>1052</v>
      </c>
      <c r="P314" s="117" t="s">
        <v>1006</v>
      </c>
      <c r="Q314" s="117" t="s">
        <v>1053</v>
      </c>
      <c r="R314" s="119"/>
      <c r="S314" s="10">
        <v>0</v>
      </c>
      <c r="T314" s="10">
        <v>1</v>
      </c>
      <c r="U314" s="10">
        <v>0</v>
      </c>
      <c r="V314" s="10">
        <v>0</v>
      </c>
      <c r="W314" s="10">
        <v>0</v>
      </c>
      <c r="X314" s="10"/>
      <c r="Y314" s="120">
        <v>56.56666666666667</v>
      </c>
      <c r="Z314" s="117" t="s">
        <v>678</v>
      </c>
      <c r="AA314" s="121">
        <v>56.56666666666667</v>
      </c>
      <c r="AB314" s="122"/>
      <c r="AC314" s="123">
        <v>1</v>
      </c>
      <c r="AD314" s="124">
        <v>35.5</v>
      </c>
      <c r="AE314" s="10"/>
      <c r="AF314" s="125" t="s">
        <v>1025</v>
      </c>
      <c r="AG314" s="125" t="s">
        <v>678</v>
      </c>
      <c r="AH314" s="126">
        <v>0</v>
      </c>
      <c r="AI314" s="117" t="s">
        <v>1619</v>
      </c>
      <c r="AJ314" s="2"/>
      <c r="AK314" s="2"/>
      <c r="AL314" s="2"/>
      <c r="AM314" s="2"/>
      <c r="AN314" s="2"/>
    </row>
    <row r="315" spans="1:40" ht="12.75" x14ac:dyDescent="0.2">
      <c r="A315" s="117" t="s">
        <v>1308</v>
      </c>
      <c r="B315" s="117" t="s">
        <v>677</v>
      </c>
      <c r="C315" s="117" t="s">
        <v>677</v>
      </c>
      <c r="D315" s="117" t="s">
        <v>677</v>
      </c>
      <c r="E315" s="117" t="s">
        <v>677</v>
      </c>
      <c r="F315" s="117" t="s">
        <v>677</v>
      </c>
      <c r="G315" s="117" t="s">
        <v>678</v>
      </c>
      <c r="H315" s="117" t="s">
        <v>678</v>
      </c>
      <c r="I315" s="117" t="s">
        <v>1593</v>
      </c>
      <c r="J315" s="117" t="s">
        <v>678</v>
      </c>
      <c r="K315" s="118">
        <f>273/30</f>
        <v>9.1</v>
      </c>
      <c r="L315" s="118">
        <v>1</v>
      </c>
      <c r="M315" s="117" t="s">
        <v>1594</v>
      </c>
      <c r="N315" s="10"/>
      <c r="O315" s="117" t="s">
        <v>1007</v>
      </c>
      <c r="P315" s="117" t="s">
        <v>1141</v>
      </c>
      <c r="Q315" s="117" t="s">
        <v>957</v>
      </c>
      <c r="R315" s="119"/>
      <c r="S315" s="10">
        <v>0</v>
      </c>
      <c r="T315" s="10">
        <v>1</v>
      </c>
      <c r="U315" s="10">
        <v>0</v>
      </c>
      <c r="V315" s="10">
        <v>0</v>
      </c>
      <c r="W315" s="10">
        <v>0</v>
      </c>
      <c r="X315" s="10"/>
      <c r="Y315" s="120">
        <v>34.133333333333333</v>
      </c>
      <c r="Z315" s="127">
        <v>1</v>
      </c>
      <c r="AA315" s="121">
        <v>34.133333333333333</v>
      </c>
      <c r="AB315" s="122"/>
      <c r="AC315" s="123">
        <v>0</v>
      </c>
      <c r="AD315" s="124">
        <v>5.7666666666666666</v>
      </c>
      <c r="AE315" s="10"/>
      <c r="AF315" s="125" t="s">
        <v>1595</v>
      </c>
      <c r="AG315" s="125" t="s">
        <v>678</v>
      </c>
      <c r="AH315" s="126">
        <v>0</v>
      </c>
      <c r="AI315" s="117" t="s">
        <v>1318</v>
      </c>
      <c r="AJ315" s="2"/>
      <c r="AK315" s="2"/>
      <c r="AL315" s="2"/>
      <c r="AM315" s="2"/>
      <c r="AN315" s="2"/>
    </row>
    <row r="316" spans="1:40" ht="12.75" x14ac:dyDescent="0.2">
      <c r="A316" s="117" t="s">
        <v>1275</v>
      </c>
      <c r="B316" s="117" t="s">
        <v>679</v>
      </c>
      <c r="C316" s="117" t="s">
        <v>677</v>
      </c>
      <c r="D316" s="117" t="s">
        <v>677</v>
      </c>
      <c r="E316" s="117" t="s">
        <v>678</v>
      </c>
      <c r="F316" s="117" t="s">
        <v>677</v>
      </c>
      <c r="G316" s="117" t="s">
        <v>677</v>
      </c>
      <c r="H316" s="117" t="s">
        <v>677</v>
      </c>
      <c r="I316" s="117" t="s">
        <v>1032</v>
      </c>
      <c r="J316" s="117" t="s">
        <v>677</v>
      </c>
      <c r="K316" s="118">
        <f>2631/30</f>
        <v>87.7</v>
      </c>
      <c r="L316" s="118">
        <v>0</v>
      </c>
      <c r="M316" s="117" t="s">
        <v>1423</v>
      </c>
      <c r="N316" s="10"/>
      <c r="O316" s="117" t="s">
        <v>888</v>
      </c>
      <c r="P316" s="117" t="s">
        <v>1422</v>
      </c>
      <c r="Q316" s="117" t="s">
        <v>1329</v>
      </c>
      <c r="R316" s="119"/>
      <c r="S316" s="10">
        <v>0</v>
      </c>
      <c r="T316" s="10">
        <v>1</v>
      </c>
      <c r="U316" s="10">
        <v>0</v>
      </c>
      <c r="V316" s="10">
        <v>0</v>
      </c>
      <c r="W316" s="10">
        <v>0</v>
      </c>
      <c r="X316" s="10"/>
      <c r="Y316" s="120">
        <v>59.93333333333333</v>
      </c>
      <c r="Z316" s="127">
        <v>1</v>
      </c>
      <c r="AA316" s="121">
        <v>59.93333333333333</v>
      </c>
      <c r="AB316" s="123"/>
      <c r="AC316" s="122">
        <v>1</v>
      </c>
      <c r="AD316" s="128">
        <v>17.833333333333332</v>
      </c>
      <c r="AE316" s="10"/>
      <c r="AF316" s="125" t="s">
        <v>891</v>
      </c>
      <c r="AG316" s="125" t="s">
        <v>678</v>
      </c>
      <c r="AH316" s="126">
        <v>0</v>
      </c>
      <c r="AI316" s="117" t="s">
        <v>1955</v>
      </c>
      <c r="AJ316" s="2"/>
      <c r="AK316" s="2"/>
      <c r="AL316" s="2"/>
      <c r="AM316" s="2"/>
      <c r="AN316" s="2"/>
    </row>
    <row r="317" spans="1:40" ht="12.75" x14ac:dyDescent="0.2">
      <c r="A317" s="117" t="s">
        <v>1424</v>
      </c>
      <c r="B317" s="117" t="s">
        <v>677</v>
      </c>
      <c r="C317" s="117" t="s">
        <v>677</v>
      </c>
      <c r="D317" s="117" t="s">
        <v>678</v>
      </c>
      <c r="E317" s="117" t="s">
        <v>678</v>
      </c>
      <c r="F317" s="117" t="s">
        <v>677</v>
      </c>
      <c r="G317" s="117" t="s">
        <v>677</v>
      </c>
      <c r="H317" s="117" t="s">
        <v>677</v>
      </c>
      <c r="I317" s="117" t="s">
        <v>993</v>
      </c>
      <c r="J317" s="117" t="s">
        <v>677</v>
      </c>
      <c r="K317" s="118" t="s">
        <v>674</v>
      </c>
      <c r="L317" s="118">
        <v>2</v>
      </c>
      <c r="M317" s="117" t="s">
        <v>1425</v>
      </c>
      <c r="N317" s="10"/>
      <c r="O317" s="117" t="s">
        <v>1141</v>
      </c>
      <c r="P317" s="117" t="s">
        <v>1422</v>
      </c>
      <c r="Q317" s="117" t="s">
        <v>1204</v>
      </c>
      <c r="R317" s="119"/>
      <c r="S317" s="10">
        <v>0</v>
      </c>
      <c r="T317" s="10">
        <v>1</v>
      </c>
      <c r="U317" s="10">
        <v>0</v>
      </c>
      <c r="V317" s="10">
        <v>0</v>
      </c>
      <c r="W317" s="10">
        <v>0</v>
      </c>
      <c r="X317" s="10"/>
      <c r="Y317" s="120">
        <v>49.233333333333334</v>
      </c>
      <c r="Z317" s="117" t="s">
        <v>678</v>
      </c>
      <c r="AA317" s="121">
        <v>49.233333333333334</v>
      </c>
      <c r="AB317" s="122"/>
      <c r="AC317" s="123">
        <v>0</v>
      </c>
      <c r="AD317" s="124">
        <v>14.933333333333334</v>
      </c>
      <c r="AE317" s="10"/>
      <c r="AF317" s="125" t="s">
        <v>1426</v>
      </c>
      <c r="AG317" s="125" t="s">
        <v>678</v>
      </c>
      <c r="AH317" s="126">
        <v>3.9</v>
      </c>
      <c r="AI317" s="117" t="s">
        <v>1323</v>
      </c>
      <c r="AJ317" s="2"/>
      <c r="AK317" s="2"/>
      <c r="AL317" s="2"/>
      <c r="AM317" s="2"/>
      <c r="AN317" s="2"/>
    </row>
    <row r="318" spans="1:40" ht="12.75" x14ac:dyDescent="0.2">
      <c r="A318" s="117" t="s">
        <v>1038</v>
      </c>
      <c r="B318" s="117" t="s">
        <v>678</v>
      </c>
      <c r="C318" s="117" t="s">
        <v>677</v>
      </c>
      <c r="D318" s="117" t="s">
        <v>677</v>
      </c>
      <c r="E318" s="117" t="s">
        <v>678</v>
      </c>
      <c r="F318" s="117" t="s">
        <v>677</v>
      </c>
      <c r="G318" s="117" t="s">
        <v>678</v>
      </c>
      <c r="H318" s="117" t="s">
        <v>677</v>
      </c>
      <c r="I318" s="117" t="s">
        <v>1102</v>
      </c>
      <c r="J318" s="117" t="s">
        <v>678</v>
      </c>
      <c r="K318" s="118">
        <f>1177/30</f>
        <v>39.233333333333334</v>
      </c>
      <c r="L318" s="118">
        <v>0</v>
      </c>
      <c r="M318" s="117" t="s">
        <v>1428</v>
      </c>
      <c r="N318" s="10"/>
      <c r="O318" s="117" t="s">
        <v>1427</v>
      </c>
      <c r="P318" s="117" t="s">
        <v>1265</v>
      </c>
      <c r="Q318" s="117" t="s">
        <v>1071</v>
      </c>
      <c r="R318" s="119"/>
      <c r="S318" s="10">
        <v>1</v>
      </c>
      <c r="T318" s="10">
        <v>0</v>
      </c>
      <c r="U318" s="10">
        <v>0</v>
      </c>
      <c r="V318" s="10">
        <v>0</v>
      </c>
      <c r="W318" s="10">
        <v>0</v>
      </c>
      <c r="X318" s="10"/>
      <c r="Y318" s="120">
        <v>5.6333333333333337</v>
      </c>
      <c r="Z318" s="117" t="s">
        <v>678</v>
      </c>
      <c r="AA318" s="121">
        <v>5.6333333333333337</v>
      </c>
      <c r="AB318" s="131"/>
      <c r="AC318" s="122">
        <v>1</v>
      </c>
      <c r="AD318" s="128">
        <v>1.6333333333333333</v>
      </c>
      <c r="AE318" s="10"/>
      <c r="AF318" s="125" t="s">
        <v>1429</v>
      </c>
      <c r="AG318" s="125" t="s">
        <v>677</v>
      </c>
      <c r="AH318" s="126">
        <v>43.1</v>
      </c>
      <c r="AI318" s="117" t="s">
        <v>1638</v>
      </c>
      <c r="AJ318" s="2"/>
      <c r="AK318" s="2"/>
      <c r="AL318" s="2"/>
      <c r="AM318" s="2"/>
      <c r="AN318" s="2"/>
    </row>
    <row r="319" spans="1:40" ht="12.75" x14ac:dyDescent="0.2">
      <c r="A319" s="117" t="s">
        <v>1254</v>
      </c>
      <c r="B319" s="117" t="s">
        <v>677</v>
      </c>
      <c r="C319" s="117" t="s">
        <v>677</v>
      </c>
      <c r="D319" s="117" t="s">
        <v>678</v>
      </c>
      <c r="E319" s="117" t="s">
        <v>677</v>
      </c>
      <c r="F319" s="117" t="s">
        <v>678</v>
      </c>
      <c r="G319" s="117" t="s">
        <v>678</v>
      </c>
      <c r="H319" s="117" t="s">
        <v>678</v>
      </c>
      <c r="I319" s="117" t="s">
        <v>970</v>
      </c>
      <c r="J319" s="117" t="s">
        <v>678</v>
      </c>
      <c r="K319" s="118">
        <f>1141/30</f>
        <v>38.033333333333331</v>
      </c>
      <c r="L319" s="118">
        <v>0</v>
      </c>
      <c r="M319" s="117" t="s">
        <v>1431</v>
      </c>
      <c r="N319" s="10"/>
      <c r="O319" s="117" t="s">
        <v>1034</v>
      </c>
      <c r="P319" s="117" t="s">
        <v>904</v>
      </c>
      <c r="Q319" s="117" t="s">
        <v>1136</v>
      </c>
      <c r="R319" s="119"/>
      <c r="S319" s="10">
        <v>1</v>
      </c>
      <c r="T319" s="10">
        <v>0</v>
      </c>
      <c r="U319" s="10">
        <v>0</v>
      </c>
      <c r="V319" s="10">
        <v>0</v>
      </c>
      <c r="W319" s="10">
        <v>0</v>
      </c>
      <c r="X319" s="10"/>
      <c r="Y319" s="120">
        <v>9.8666666666666671</v>
      </c>
      <c r="Z319" s="127">
        <v>1</v>
      </c>
      <c r="AA319" s="121">
        <v>9.8666666666666671</v>
      </c>
      <c r="AB319" s="122"/>
      <c r="AC319" s="122">
        <v>1</v>
      </c>
      <c r="AD319" s="128">
        <v>1.7666666666666666</v>
      </c>
      <c r="AE319" s="10"/>
      <c r="AF319" s="125" t="s">
        <v>1432</v>
      </c>
      <c r="AG319" s="125" t="s">
        <v>678</v>
      </c>
      <c r="AH319" s="126">
        <v>30.5</v>
      </c>
      <c r="AI319" s="117" t="s">
        <v>1232</v>
      </c>
      <c r="AJ319" s="2"/>
      <c r="AK319" s="2"/>
      <c r="AL319" s="2"/>
      <c r="AM319" s="2"/>
      <c r="AN319" s="2"/>
    </row>
    <row r="320" spans="1:40" ht="12.75" x14ac:dyDescent="0.2">
      <c r="A320" s="117" t="s">
        <v>1053</v>
      </c>
      <c r="B320" s="117" t="s">
        <v>678</v>
      </c>
      <c r="C320" s="117" t="s">
        <v>678</v>
      </c>
      <c r="D320" s="117" t="s">
        <v>677</v>
      </c>
      <c r="E320" s="117" t="s">
        <v>678</v>
      </c>
      <c r="F320" s="117" t="s">
        <v>677</v>
      </c>
      <c r="G320" s="117" t="s">
        <v>677</v>
      </c>
      <c r="H320" s="117" t="s">
        <v>677</v>
      </c>
      <c r="I320" s="117" t="s">
        <v>1056</v>
      </c>
      <c r="J320" s="117" t="s">
        <v>678</v>
      </c>
      <c r="K320" s="118">
        <f>288/30</f>
        <v>9.6</v>
      </c>
      <c r="L320" s="118">
        <v>1</v>
      </c>
      <c r="M320" s="117" t="s">
        <v>1060</v>
      </c>
      <c r="N320" s="10"/>
      <c r="O320" s="117" t="s">
        <v>1058</v>
      </c>
      <c r="P320" s="117" t="s">
        <v>1057</v>
      </c>
      <c r="Q320" s="117" t="s">
        <v>1059</v>
      </c>
      <c r="R320" s="119"/>
      <c r="S320" s="10">
        <v>1</v>
      </c>
      <c r="T320" s="10">
        <v>0</v>
      </c>
      <c r="U320" s="10">
        <v>0</v>
      </c>
      <c r="V320" s="10">
        <v>0</v>
      </c>
      <c r="W320" s="10">
        <v>0</v>
      </c>
      <c r="X320" s="10"/>
      <c r="Y320" s="120">
        <v>4.2</v>
      </c>
      <c r="Z320" s="117" t="s">
        <v>678</v>
      </c>
      <c r="AA320" s="121">
        <v>4.2</v>
      </c>
      <c r="AB320" s="122"/>
      <c r="AC320" s="123">
        <v>1</v>
      </c>
      <c r="AD320" s="124">
        <v>0.93333333333333335</v>
      </c>
      <c r="AE320" s="10"/>
      <c r="AF320" s="125" t="s">
        <v>1061</v>
      </c>
      <c r="AG320" s="125" t="s">
        <v>677</v>
      </c>
      <c r="AH320" s="126">
        <v>43.8</v>
      </c>
      <c r="AI320" s="117" t="s">
        <v>1949</v>
      </c>
      <c r="AJ320" s="2"/>
      <c r="AK320" s="2"/>
      <c r="AL320" s="2"/>
      <c r="AM320" s="2"/>
      <c r="AN320" s="2"/>
    </row>
    <row r="321" spans="1:40" ht="12.75" x14ac:dyDescent="0.2">
      <c r="A321" s="117" t="s">
        <v>938</v>
      </c>
      <c r="B321" s="117" t="s">
        <v>678</v>
      </c>
      <c r="C321" s="117" t="s">
        <v>677</v>
      </c>
      <c r="D321" s="117" t="s">
        <v>678</v>
      </c>
      <c r="E321" s="117" t="s">
        <v>678</v>
      </c>
      <c r="F321" s="117" t="s">
        <v>677</v>
      </c>
      <c r="G321" s="117" t="s">
        <v>677</v>
      </c>
      <c r="H321" s="117" t="s">
        <v>677</v>
      </c>
      <c r="I321" s="117" t="s">
        <v>976</v>
      </c>
      <c r="J321" s="117" t="s">
        <v>679</v>
      </c>
      <c r="K321" s="118">
        <f>711/30</f>
        <v>23.7</v>
      </c>
      <c r="L321" s="118">
        <v>0</v>
      </c>
      <c r="M321" s="117" t="s">
        <v>1435</v>
      </c>
      <c r="N321" s="10"/>
      <c r="O321" s="117" t="s">
        <v>1113</v>
      </c>
      <c r="P321" s="117" t="s">
        <v>1434</v>
      </c>
      <c r="Q321" s="117" t="s">
        <v>1254</v>
      </c>
      <c r="R321" s="119"/>
      <c r="S321" s="10">
        <v>0</v>
      </c>
      <c r="T321" s="10">
        <v>1</v>
      </c>
      <c r="U321" s="10">
        <v>0</v>
      </c>
      <c r="V321" s="10">
        <v>0</v>
      </c>
      <c r="W321" s="10">
        <v>0</v>
      </c>
      <c r="X321" s="10"/>
      <c r="Y321" s="120">
        <v>17.933333333333334</v>
      </c>
      <c r="Z321" s="117" t="s">
        <v>678</v>
      </c>
      <c r="AA321" s="121">
        <v>17.933333333333334</v>
      </c>
      <c r="AB321" s="122"/>
      <c r="AC321" s="122">
        <v>1</v>
      </c>
      <c r="AD321" s="128">
        <v>3.6</v>
      </c>
      <c r="AE321" s="10"/>
      <c r="AF321" s="125" t="s">
        <v>1436</v>
      </c>
      <c r="AG321" s="125" t="s">
        <v>677</v>
      </c>
      <c r="AH321" s="126">
        <v>7.7</v>
      </c>
      <c r="AI321" s="117" t="s">
        <v>2003</v>
      </c>
      <c r="AJ321" s="2"/>
      <c r="AK321" s="2"/>
      <c r="AL321" s="2"/>
      <c r="AM321" s="2"/>
      <c r="AN321" s="2"/>
    </row>
    <row r="322" spans="1:40" ht="12.75" x14ac:dyDescent="0.2">
      <c r="A322" s="117" t="s">
        <v>1071</v>
      </c>
      <c r="B322" s="117" t="s">
        <v>678</v>
      </c>
      <c r="C322" s="117" t="s">
        <v>677</v>
      </c>
      <c r="D322" s="117" t="s">
        <v>677</v>
      </c>
      <c r="E322" s="117" t="s">
        <v>678</v>
      </c>
      <c r="F322" s="117" t="s">
        <v>677</v>
      </c>
      <c r="G322" s="117" t="s">
        <v>677</v>
      </c>
      <c r="H322" s="117" t="s">
        <v>678</v>
      </c>
      <c r="I322" s="117" t="s">
        <v>903</v>
      </c>
      <c r="J322" s="117" t="s">
        <v>678</v>
      </c>
      <c r="K322" s="118">
        <f>483/30</f>
        <v>16.100000000000001</v>
      </c>
      <c r="L322" s="118">
        <v>0</v>
      </c>
      <c r="M322" s="117" t="s">
        <v>1354</v>
      </c>
      <c r="N322" s="10"/>
      <c r="O322" s="117" t="s">
        <v>1187</v>
      </c>
      <c r="P322" s="117" t="s">
        <v>1437</v>
      </c>
      <c r="Q322" s="117" t="s">
        <v>889</v>
      </c>
      <c r="R322" s="119"/>
      <c r="S322" s="10">
        <v>1</v>
      </c>
      <c r="T322" s="10">
        <v>0</v>
      </c>
      <c r="U322" s="10">
        <v>0</v>
      </c>
      <c r="V322" s="10">
        <v>0</v>
      </c>
      <c r="W322" s="10">
        <v>0</v>
      </c>
      <c r="X322" s="10"/>
      <c r="Y322" s="120">
        <v>25.733333333333334</v>
      </c>
      <c r="Z322" s="127">
        <v>1</v>
      </c>
      <c r="AA322" s="121">
        <v>25.733333333333334</v>
      </c>
      <c r="AB322" s="122"/>
      <c r="AC322" s="122">
        <v>1</v>
      </c>
      <c r="AD322" s="128">
        <v>0.76666666666666672</v>
      </c>
      <c r="AE322" s="10"/>
      <c r="AF322" s="125" t="s">
        <v>1438</v>
      </c>
      <c r="AG322" s="125" t="s">
        <v>677</v>
      </c>
      <c r="AH322" s="126">
        <v>0</v>
      </c>
      <c r="AI322" s="117" t="s">
        <v>1958</v>
      </c>
      <c r="AJ322" s="2"/>
      <c r="AK322" s="2"/>
      <c r="AL322" s="2"/>
      <c r="AM322" s="2"/>
      <c r="AN322" s="2"/>
    </row>
    <row r="323" spans="1:40" ht="12.75" x14ac:dyDescent="0.2">
      <c r="A323" s="117" t="s">
        <v>1357</v>
      </c>
      <c r="B323" s="117" t="s">
        <v>677</v>
      </c>
      <c r="C323" s="117" t="s">
        <v>677</v>
      </c>
      <c r="D323" s="117" t="s">
        <v>677</v>
      </c>
      <c r="E323" s="117" t="s">
        <v>677</v>
      </c>
      <c r="F323" s="117" t="s">
        <v>678</v>
      </c>
      <c r="G323" s="117" t="s">
        <v>677</v>
      </c>
      <c r="H323" s="117" t="s">
        <v>678</v>
      </c>
      <c r="I323" s="117" t="s">
        <v>1134</v>
      </c>
      <c r="J323" s="117" t="s">
        <v>678</v>
      </c>
      <c r="K323" s="118">
        <f>672/30</f>
        <v>22.4</v>
      </c>
      <c r="L323" s="118">
        <v>0</v>
      </c>
      <c r="M323" s="117" t="s">
        <v>1596</v>
      </c>
      <c r="N323" s="10"/>
      <c r="O323" s="117" t="s">
        <v>994</v>
      </c>
      <c r="P323" s="117" t="s">
        <v>904</v>
      </c>
      <c r="Q323" s="117" t="s">
        <v>952</v>
      </c>
      <c r="R323" s="119"/>
      <c r="S323" s="10">
        <v>0</v>
      </c>
      <c r="T323" s="10">
        <v>1</v>
      </c>
      <c r="U323" s="10">
        <v>0</v>
      </c>
      <c r="V323" s="10">
        <v>0</v>
      </c>
      <c r="W323" s="10">
        <v>0</v>
      </c>
      <c r="X323" s="10"/>
      <c r="Y323" s="120">
        <v>16.166666666666668</v>
      </c>
      <c r="Z323" s="127">
        <v>1</v>
      </c>
      <c r="AA323" s="121">
        <v>16.166666666666668</v>
      </c>
      <c r="AB323" s="123"/>
      <c r="AC323" s="123">
        <v>0</v>
      </c>
      <c r="AD323" s="124">
        <v>2.7</v>
      </c>
      <c r="AE323" s="10"/>
      <c r="AF323" s="125" t="s">
        <v>1597</v>
      </c>
      <c r="AG323" s="125" t="s">
        <v>678</v>
      </c>
      <c r="AH323" s="126">
        <v>10.4</v>
      </c>
      <c r="AI323" s="117" t="s">
        <v>2004</v>
      </c>
      <c r="AJ323" s="2"/>
      <c r="AK323" s="2"/>
      <c r="AL323" s="2"/>
      <c r="AM323" s="2"/>
      <c r="AN323" s="2"/>
    </row>
    <row r="324" spans="1:40" ht="12.75" x14ac:dyDescent="0.2">
      <c r="A324" s="117" t="s">
        <v>1062</v>
      </c>
      <c r="B324" s="117" t="s">
        <v>678</v>
      </c>
      <c r="C324" s="117" t="s">
        <v>677</v>
      </c>
      <c r="D324" s="117" t="s">
        <v>677</v>
      </c>
      <c r="E324" s="117" t="s">
        <v>678</v>
      </c>
      <c r="F324" s="117" t="s">
        <v>677</v>
      </c>
      <c r="G324" s="117" t="s">
        <v>677</v>
      </c>
      <c r="H324" s="117" t="s">
        <v>677</v>
      </c>
      <c r="I324" s="117" t="s">
        <v>983</v>
      </c>
      <c r="J324" s="117" t="s">
        <v>679</v>
      </c>
      <c r="K324" s="118">
        <f>455/30</f>
        <v>15.166666666666666</v>
      </c>
      <c r="L324" s="118">
        <v>0</v>
      </c>
      <c r="M324" s="117" t="s">
        <v>1065</v>
      </c>
      <c r="N324" s="10"/>
      <c r="O324" s="117" t="s">
        <v>1064</v>
      </c>
      <c r="P324" s="117" t="s">
        <v>1063</v>
      </c>
      <c r="Q324" s="117" t="s">
        <v>889</v>
      </c>
      <c r="R324" s="119"/>
      <c r="S324" s="10">
        <v>1</v>
      </c>
      <c r="T324" s="10">
        <v>0</v>
      </c>
      <c r="U324" s="10">
        <v>0</v>
      </c>
      <c r="V324" s="10">
        <v>0</v>
      </c>
      <c r="W324" s="10">
        <v>0</v>
      </c>
      <c r="X324" s="10"/>
      <c r="Y324" s="120">
        <v>7.7</v>
      </c>
      <c r="Z324" s="117" t="s">
        <v>678</v>
      </c>
      <c r="AA324" s="121">
        <v>7.7</v>
      </c>
      <c r="AB324" s="123"/>
      <c r="AC324" s="123">
        <v>1</v>
      </c>
      <c r="AD324" s="124">
        <v>5.833333333333333</v>
      </c>
      <c r="AE324" s="10"/>
      <c r="AF324" s="125" t="s">
        <v>1066</v>
      </c>
      <c r="AG324" s="125" t="s">
        <v>677</v>
      </c>
      <c r="AH324" s="126">
        <v>0</v>
      </c>
      <c r="AI324" s="117" t="s">
        <v>1318</v>
      </c>
      <c r="AJ324" s="2"/>
      <c r="AK324" s="2"/>
      <c r="AL324" s="2"/>
      <c r="AM324" s="2"/>
      <c r="AN324" s="2"/>
    </row>
    <row r="325" spans="1:40" ht="12.75" x14ac:dyDescent="0.2">
      <c r="A325" s="117" t="s">
        <v>995</v>
      </c>
      <c r="B325" s="117" t="s">
        <v>677</v>
      </c>
      <c r="C325" s="117" t="s">
        <v>677</v>
      </c>
      <c r="D325" s="117" t="s">
        <v>677</v>
      </c>
      <c r="E325" s="117" t="s">
        <v>678</v>
      </c>
      <c r="F325" s="117" t="s">
        <v>677</v>
      </c>
      <c r="G325" s="117" t="s">
        <v>677</v>
      </c>
      <c r="H325" s="117" t="s">
        <v>677</v>
      </c>
      <c r="I325" s="117" t="s">
        <v>1281</v>
      </c>
      <c r="J325" s="117" t="s">
        <v>679</v>
      </c>
      <c r="K325" s="118" t="s">
        <v>674</v>
      </c>
      <c r="L325" s="118">
        <v>2</v>
      </c>
      <c r="M325" s="117" t="s">
        <v>1441</v>
      </c>
      <c r="N325" s="10"/>
      <c r="O325" s="117" t="s">
        <v>931</v>
      </c>
      <c r="P325" s="117" t="s">
        <v>887</v>
      </c>
      <c r="Q325" s="117" t="s">
        <v>889</v>
      </c>
      <c r="R325" s="119"/>
      <c r="S325" s="10">
        <v>0</v>
      </c>
      <c r="T325" s="10">
        <v>1</v>
      </c>
      <c r="U325" s="10">
        <v>0</v>
      </c>
      <c r="V325" s="10">
        <v>0</v>
      </c>
      <c r="W325" s="10">
        <v>0</v>
      </c>
      <c r="X325" s="10"/>
      <c r="Y325" s="120">
        <v>21.7</v>
      </c>
      <c r="Z325" s="117" t="s">
        <v>678</v>
      </c>
      <c r="AA325" s="121">
        <v>21.7</v>
      </c>
      <c r="AB325" s="122"/>
      <c r="AC325" s="122">
        <v>1</v>
      </c>
      <c r="AD325" s="128">
        <v>13.233333333333333</v>
      </c>
      <c r="AE325" s="10"/>
      <c r="AF325" s="125" t="s">
        <v>1442</v>
      </c>
      <c r="AG325" s="125" t="s">
        <v>678</v>
      </c>
      <c r="AH325" s="126">
        <v>3</v>
      </c>
      <c r="AI325" s="117" t="s">
        <v>2005</v>
      </c>
      <c r="AJ325" s="2"/>
      <c r="AK325" s="2"/>
      <c r="AL325" s="2"/>
      <c r="AM325" s="2"/>
      <c r="AN325" s="2"/>
    </row>
    <row r="326" spans="1:40" ht="12.75" x14ac:dyDescent="0.2">
      <c r="A326" s="117" t="s">
        <v>1067</v>
      </c>
      <c r="B326" s="117" t="s">
        <v>678</v>
      </c>
      <c r="C326" s="117" t="s">
        <v>677</v>
      </c>
      <c r="D326" s="117" t="s">
        <v>678</v>
      </c>
      <c r="E326" s="117" t="s">
        <v>678</v>
      </c>
      <c r="F326" s="117" t="s">
        <v>677</v>
      </c>
      <c r="G326" s="117" t="s">
        <v>677</v>
      </c>
      <c r="H326" s="117" t="s">
        <v>677</v>
      </c>
      <c r="I326" s="117" t="s">
        <v>1068</v>
      </c>
      <c r="J326" s="117" t="s">
        <v>678</v>
      </c>
      <c r="K326" s="118">
        <f>355/30</f>
        <v>11.833333333333334</v>
      </c>
      <c r="L326" s="118">
        <v>1</v>
      </c>
      <c r="M326" s="117" t="s">
        <v>1072</v>
      </c>
      <c r="N326" s="10"/>
      <c r="O326" s="117" t="s">
        <v>1070</v>
      </c>
      <c r="P326" s="117" t="s">
        <v>1069</v>
      </c>
      <c r="Q326" s="117" t="s">
        <v>1071</v>
      </c>
      <c r="R326" s="119"/>
      <c r="S326" s="10">
        <v>1</v>
      </c>
      <c r="T326" s="10">
        <v>0</v>
      </c>
      <c r="U326" s="10">
        <v>0</v>
      </c>
      <c r="V326" s="10">
        <v>0</v>
      </c>
      <c r="W326" s="10">
        <v>0</v>
      </c>
      <c r="X326" s="10"/>
      <c r="Y326" s="120">
        <v>18.633333333333333</v>
      </c>
      <c r="Z326" s="117" t="s">
        <v>678</v>
      </c>
      <c r="AA326" s="121">
        <v>18.633333333333333</v>
      </c>
      <c r="AB326" s="122"/>
      <c r="AC326" s="122">
        <v>1</v>
      </c>
      <c r="AD326" s="128">
        <v>13.9</v>
      </c>
      <c r="AE326" s="10"/>
      <c r="AF326" s="125" t="s">
        <v>1073</v>
      </c>
      <c r="AG326" s="125" t="s">
        <v>678</v>
      </c>
      <c r="AH326" s="126">
        <v>27.6</v>
      </c>
      <c r="AI326" s="117" t="s">
        <v>2002</v>
      </c>
      <c r="AJ326" s="2"/>
      <c r="AK326" s="2"/>
      <c r="AL326" s="2"/>
      <c r="AM326" s="2"/>
      <c r="AN326" s="2"/>
    </row>
    <row r="327" spans="1:40" ht="12.75" x14ac:dyDescent="0.2">
      <c r="A327" s="117" t="s">
        <v>1178</v>
      </c>
      <c r="B327" s="117" t="s">
        <v>678</v>
      </c>
      <c r="C327" s="117" t="s">
        <v>677</v>
      </c>
      <c r="D327" s="117" t="s">
        <v>677</v>
      </c>
      <c r="E327" s="117" t="s">
        <v>678</v>
      </c>
      <c r="F327" s="117" t="s">
        <v>677</v>
      </c>
      <c r="G327" s="117" t="s">
        <v>677</v>
      </c>
      <c r="H327" s="117" t="s">
        <v>677</v>
      </c>
      <c r="I327" s="117" t="s">
        <v>1443</v>
      </c>
      <c r="J327" s="117" t="s">
        <v>678</v>
      </c>
      <c r="K327" s="118">
        <f>216/30</f>
        <v>7.2</v>
      </c>
      <c r="L327" s="118">
        <v>1</v>
      </c>
      <c r="M327" s="117" t="s">
        <v>1444</v>
      </c>
      <c r="N327" s="10"/>
      <c r="O327" s="117" t="s">
        <v>948</v>
      </c>
      <c r="P327" s="117" t="s">
        <v>1439</v>
      </c>
      <c r="Q327" s="117" t="s">
        <v>1239</v>
      </c>
      <c r="R327" s="119"/>
      <c r="S327" s="10">
        <v>1</v>
      </c>
      <c r="T327" s="10">
        <v>0</v>
      </c>
      <c r="U327" s="10">
        <v>0</v>
      </c>
      <c r="V327" s="10">
        <v>0</v>
      </c>
      <c r="W327" s="10">
        <v>0</v>
      </c>
      <c r="X327" s="10"/>
      <c r="Y327" s="120">
        <v>23.533333333333335</v>
      </c>
      <c r="Z327" s="127">
        <v>1</v>
      </c>
      <c r="AA327" s="121">
        <v>23.533333333333335</v>
      </c>
      <c r="AB327" s="122"/>
      <c r="AC327" s="123">
        <v>1</v>
      </c>
      <c r="AD327" s="124">
        <v>7.5333333333333332</v>
      </c>
      <c r="AE327" s="10"/>
      <c r="AF327" s="125" t="s">
        <v>940</v>
      </c>
      <c r="AG327" s="125" t="s">
        <v>678</v>
      </c>
      <c r="AH327" s="126">
        <v>16.5</v>
      </c>
      <c r="AI327" s="117" t="s">
        <v>1596</v>
      </c>
      <c r="AJ327" s="2"/>
      <c r="AK327" s="2"/>
      <c r="AL327" s="2"/>
      <c r="AM327" s="2"/>
      <c r="AN327" s="2"/>
    </row>
    <row r="328" spans="1:40" ht="12.75" x14ac:dyDescent="0.2">
      <c r="A328" s="117" t="s">
        <v>1199</v>
      </c>
      <c r="B328" s="117" t="s">
        <v>678</v>
      </c>
      <c r="C328" s="117" t="s">
        <v>677</v>
      </c>
      <c r="D328" s="117" t="s">
        <v>677</v>
      </c>
      <c r="E328" s="117" t="s">
        <v>678</v>
      </c>
      <c r="F328" s="117" t="s">
        <v>677</v>
      </c>
      <c r="G328" s="117" t="s">
        <v>677</v>
      </c>
      <c r="H328" s="117" t="s">
        <v>677</v>
      </c>
      <c r="I328" s="117" t="s">
        <v>1234</v>
      </c>
      <c r="J328" s="117" t="s">
        <v>678</v>
      </c>
      <c r="K328" s="118">
        <f>3484/30</f>
        <v>116.13333333333334</v>
      </c>
      <c r="L328" s="118">
        <v>0</v>
      </c>
      <c r="M328" s="117" t="s">
        <v>1445</v>
      </c>
      <c r="N328" s="10"/>
      <c r="O328" s="117" t="s">
        <v>1146</v>
      </c>
      <c r="P328" s="117" t="s">
        <v>1322</v>
      </c>
      <c r="Q328" s="117" t="s">
        <v>1199</v>
      </c>
      <c r="R328" s="119"/>
      <c r="S328" s="10">
        <v>0</v>
      </c>
      <c r="T328" s="10">
        <v>1</v>
      </c>
      <c r="U328" s="10">
        <v>0</v>
      </c>
      <c r="V328" s="10">
        <v>0</v>
      </c>
      <c r="W328" s="10">
        <v>0</v>
      </c>
      <c r="X328" s="10"/>
      <c r="Y328" s="120">
        <v>34.766666666666666</v>
      </c>
      <c r="Z328" s="127">
        <v>1</v>
      </c>
      <c r="AA328" s="121">
        <v>34.766666666666666</v>
      </c>
      <c r="AB328" s="122"/>
      <c r="AC328" s="122">
        <v>1</v>
      </c>
      <c r="AD328" s="128">
        <v>13.833333333333334</v>
      </c>
      <c r="AE328" s="10"/>
      <c r="AF328" s="125" t="s">
        <v>1446</v>
      </c>
      <c r="AG328" s="125" t="s">
        <v>678</v>
      </c>
      <c r="AH328" s="126">
        <v>0</v>
      </c>
      <c r="AI328" s="117" t="s">
        <v>1428</v>
      </c>
      <c r="AJ328" s="2"/>
      <c r="AK328" s="2"/>
      <c r="AL328" s="2"/>
      <c r="AM328" s="2"/>
      <c r="AN328" s="2"/>
    </row>
    <row r="329" spans="1:40" ht="12.75" x14ac:dyDescent="0.2">
      <c r="A329" s="117" t="s">
        <v>919</v>
      </c>
      <c r="B329" s="117" t="s">
        <v>678</v>
      </c>
      <c r="C329" s="117" t="s">
        <v>677</v>
      </c>
      <c r="D329" s="117" t="s">
        <v>678</v>
      </c>
      <c r="E329" s="117" t="s">
        <v>677</v>
      </c>
      <c r="F329" s="117" t="s">
        <v>677</v>
      </c>
      <c r="G329" s="117" t="s">
        <v>677</v>
      </c>
      <c r="H329" s="117" t="s">
        <v>677</v>
      </c>
      <c r="I329" s="117" t="s">
        <v>1234</v>
      </c>
      <c r="J329" s="117" t="s">
        <v>677</v>
      </c>
      <c r="K329" s="118" t="s">
        <v>674</v>
      </c>
      <c r="L329" s="118">
        <v>2</v>
      </c>
      <c r="M329" s="117" t="s">
        <v>2006</v>
      </c>
      <c r="N329" s="10"/>
      <c r="O329" s="117" t="s">
        <v>888</v>
      </c>
      <c r="P329" s="117" t="s">
        <v>1236</v>
      </c>
      <c r="Q329" s="117" t="s">
        <v>1067</v>
      </c>
      <c r="R329" s="119"/>
      <c r="S329" s="10">
        <v>0</v>
      </c>
      <c r="T329" s="10">
        <v>1</v>
      </c>
      <c r="U329" s="10">
        <v>0</v>
      </c>
      <c r="V329" s="10">
        <v>0</v>
      </c>
      <c r="W329" s="10">
        <v>0</v>
      </c>
      <c r="X329" s="10"/>
      <c r="Y329" s="120">
        <v>8.5666666666666664</v>
      </c>
      <c r="Z329" s="117" t="s">
        <v>678</v>
      </c>
      <c r="AA329" s="121">
        <v>8.5666666666666664</v>
      </c>
      <c r="AB329" s="122"/>
      <c r="AC329" s="131">
        <v>0</v>
      </c>
      <c r="AD329" s="132">
        <v>0</v>
      </c>
      <c r="AE329" s="10"/>
      <c r="AF329" s="125"/>
      <c r="AG329" s="125" t="s">
        <v>677</v>
      </c>
      <c r="AH329" s="126">
        <v>3</v>
      </c>
      <c r="AI329" s="117" t="s">
        <v>1166</v>
      </c>
      <c r="AJ329" s="2"/>
      <c r="AK329" s="2"/>
      <c r="AL329" s="2"/>
      <c r="AM329" s="2"/>
      <c r="AN329" s="2"/>
    </row>
    <row r="330" spans="1:40" ht="12.75" x14ac:dyDescent="0.2">
      <c r="A330" s="117" t="s">
        <v>1076</v>
      </c>
      <c r="B330" s="117" t="s">
        <v>677</v>
      </c>
      <c r="C330" s="117" t="s">
        <v>677</v>
      </c>
      <c r="D330" s="117" t="s">
        <v>677</v>
      </c>
      <c r="E330" s="117" t="s">
        <v>678</v>
      </c>
      <c r="F330" s="117" t="s">
        <v>677</v>
      </c>
      <c r="G330" s="117" t="s">
        <v>677</v>
      </c>
      <c r="H330" s="117" t="s">
        <v>677</v>
      </c>
      <c r="I330" s="117" t="s">
        <v>970</v>
      </c>
      <c r="J330" s="117" t="s">
        <v>677</v>
      </c>
      <c r="K330" s="118">
        <f>264/30</f>
        <v>8.8000000000000007</v>
      </c>
      <c r="L330" s="118">
        <v>1</v>
      </c>
      <c r="M330" s="117" t="s">
        <v>1598</v>
      </c>
      <c r="N330" s="10"/>
      <c r="O330" s="117" t="s">
        <v>910</v>
      </c>
      <c r="P330" s="117" t="s">
        <v>1226</v>
      </c>
      <c r="Q330" s="117" t="s">
        <v>926</v>
      </c>
      <c r="R330" s="119"/>
      <c r="S330" s="10">
        <v>0</v>
      </c>
      <c r="T330" s="10">
        <v>1</v>
      </c>
      <c r="U330" s="10">
        <v>0</v>
      </c>
      <c r="V330" s="10">
        <v>0</v>
      </c>
      <c r="W330" s="10">
        <v>0</v>
      </c>
      <c r="X330" s="10"/>
      <c r="Y330" s="120">
        <v>17.8</v>
      </c>
      <c r="Z330" s="127">
        <v>1</v>
      </c>
      <c r="AA330" s="121">
        <v>17.8</v>
      </c>
      <c r="AB330" s="123"/>
      <c r="AC330" s="122">
        <v>1</v>
      </c>
      <c r="AD330" s="128">
        <v>2.6666666666666665</v>
      </c>
      <c r="AE330" s="10"/>
      <c r="AF330" s="125" t="s">
        <v>1479</v>
      </c>
      <c r="AG330" s="125" t="s">
        <v>678</v>
      </c>
      <c r="AH330" s="126">
        <v>18.2</v>
      </c>
      <c r="AI330" s="117" t="s">
        <v>1503</v>
      </c>
      <c r="AJ330" s="2"/>
      <c r="AK330" s="2"/>
      <c r="AL330" s="2"/>
      <c r="AM330" s="2"/>
      <c r="AN330" s="2"/>
    </row>
    <row r="331" spans="1:40" ht="12.75" x14ac:dyDescent="0.2">
      <c r="A331" s="117" t="s">
        <v>973</v>
      </c>
      <c r="B331" s="117" t="s">
        <v>678</v>
      </c>
      <c r="C331" s="117" t="s">
        <v>677</v>
      </c>
      <c r="D331" s="117" t="s">
        <v>678</v>
      </c>
      <c r="E331" s="117" t="s">
        <v>678</v>
      </c>
      <c r="F331" s="117" t="s">
        <v>677</v>
      </c>
      <c r="G331" s="117" t="s">
        <v>677</v>
      </c>
      <c r="H331" s="117" t="s">
        <v>677</v>
      </c>
      <c r="I331" s="117" t="s">
        <v>1559</v>
      </c>
      <c r="J331" s="117" t="s">
        <v>677</v>
      </c>
      <c r="K331" s="118">
        <f>450/30</f>
        <v>15</v>
      </c>
      <c r="L331" s="118">
        <v>0</v>
      </c>
      <c r="M331" s="117" t="s">
        <v>1599</v>
      </c>
      <c r="N331" s="10"/>
      <c r="O331" s="117" t="s">
        <v>1011</v>
      </c>
      <c r="P331" s="117" t="s">
        <v>948</v>
      </c>
      <c r="Q331" s="117" t="s">
        <v>949</v>
      </c>
      <c r="R331" s="119"/>
      <c r="S331" s="10">
        <v>1</v>
      </c>
      <c r="T331" s="10">
        <v>0</v>
      </c>
      <c r="U331" s="10">
        <v>0</v>
      </c>
      <c r="V331" s="10">
        <v>0</v>
      </c>
      <c r="W331" s="10">
        <v>0</v>
      </c>
      <c r="X331" s="10"/>
      <c r="Y331" s="120">
        <v>43.233333333333334</v>
      </c>
      <c r="Z331" s="127">
        <v>1</v>
      </c>
      <c r="AA331" s="121">
        <v>43.233333333333334</v>
      </c>
      <c r="AB331" s="123"/>
      <c r="AC331" s="122">
        <v>1</v>
      </c>
      <c r="AD331" s="128">
        <v>8.4</v>
      </c>
      <c r="AE331" s="10"/>
      <c r="AF331" s="125" t="s">
        <v>1600</v>
      </c>
      <c r="AG331" s="125" t="s">
        <v>678</v>
      </c>
      <c r="AH331" s="126">
        <v>3.9</v>
      </c>
      <c r="AI331" s="117" t="s">
        <v>2007</v>
      </c>
      <c r="AJ331" s="2"/>
      <c r="AK331" s="2"/>
      <c r="AL331" s="2"/>
      <c r="AM331" s="2"/>
      <c r="AN331" s="2"/>
    </row>
    <row r="332" spans="1:40" ht="12.75" x14ac:dyDescent="0.2">
      <c r="A332" s="117" t="s">
        <v>1074</v>
      </c>
      <c r="B332" s="117" t="s">
        <v>677</v>
      </c>
      <c r="C332" s="117" t="s">
        <v>677</v>
      </c>
      <c r="D332" s="117" t="s">
        <v>678</v>
      </c>
      <c r="E332" s="117" t="s">
        <v>677</v>
      </c>
      <c r="F332" s="117" t="s">
        <v>677</v>
      </c>
      <c r="G332" s="117" t="s">
        <v>677</v>
      </c>
      <c r="H332" s="117" t="s">
        <v>678</v>
      </c>
      <c r="I332" s="117" t="s">
        <v>1068</v>
      </c>
      <c r="J332" s="117" t="s">
        <v>679</v>
      </c>
      <c r="K332" s="118" t="s">
        <v>674</v>
      </c>
      <c r="L332" s="118">
        <v>2</v>
      </c>
      <c r="M332" s="117" t="s">
        <v>1077</v>
      </c>
      <c r="N332" s="10"/>
      <c r="O332" s="117" t="s">
        <v>994</v>
      </c>
      <c r="P332" s="117" t="s">
        <v>1075</v>
      </c>
      <c r="Q332" s="117" t="s">
        <v>1076</v>
      </c>
      <c r="R332" s="119"/>
      <c r="S332" s="10">
        <v>0</v>
      </c>
      <c r="T332" s="10">
        <v>1</v>
      </c>
      <c r="U332" s="10">
        <v>0</v>
      </c>
      <c r="V332" s="10">
        <v>0</v>
      </c>
      <c r="W332" s="10">
        <v>0</v>
      </c>
      <c r="X332" s="10"/>
      <c r="Y332" s="120">
        <v>49.666666666666664</v>
      </c>
      <c r="Z332" s="117" t="s">
        <v>678</v>
      </c>
      <c r="AA332" s="121">
        <v>49.666666666666664</v>
      </c>
      <c r="AB332" s="122"/>
      <c r="AC332" s="122">
        <v>1</v>
      </c>
      <c r="AD332" s="128">
        <v>26.4</v>
      </c>
      <c r="AE332" s="10"/>
      <c r="AF332" s="125" t="s">
        <v>1078</v>
      </c>
      <c r="AG332" s="125" t="s">
        <v>678</v>
      </c>
      <c r="AH332" s="126">
        <v>0</v>
      </c>
      <c r="AI332" s="117" t="s">
        <v>890</v>
      </c>
      <c r="AJ332" s="2"/>
      <c r="AK332" s="2"/>
      <c r="AL332" s="2"/>
      <c r="AM332" s="2"/>
      <c r="AN332" s="2"/>
    </row>
    <row r="333" spans="1:40" ht="12.75" x14ac:dyDescent="0.2">
      <c r="A333" s="117" t="s">
        <v>952</v>
      </c>
      <c r="B333" s="117" t="s">
        <v>678</v>
      </c>
      <c r="C333" s="117" t="s">
        <v>677</v>
      </c>
      <c r="D333" s="117" t="s">
        <v>677</v>
      </c>
      <c r="E333" s="117" t="s">
        <v>678</v>
      </c>
      <c r="F333" s="117" t="s">
        <v>677</v>
      </c>
      <c r="G333" s="117" t="s">
        <v>677</v>
      </c>
      <c r="H333" s="117" t="s">
        <v>677</v>
      </c>
      <c r="I333" s="117" t="s">
        <v>929</v>
      </c>
      <c r="J333" s="117" t="s">
        <v>679</v>
      </c>
      <c r="K333" s="118">
        <f>287/30</f>
        <v>9.5666666666666664</v>
      </c>
      <c r="L333" s="118">
        <v>1</v>
      </c>
      <c r="M333" s="117" t="s">
        <v>1449</v>
      </c>
      <c r="N333" s="10"/>
      <c r="O333" s="117" t="s">
        <v>1448</v>
      </c>
      <c r="P333" s="117" t="s">
        <v>1447</v>
      </c>
      <c r="Q333" s="117" t="s">
        <v>1059</v>
      </c>
      <c r="R333" s="119"/>
      <c r="S333" s="10">
        <v>1</v>
      </c>
      <c r="T333" s="10">
        <v>0</v>
      </c>
      <c r="U333" s="10">
        <v>0</v>
      </c>
      <c r="V333" s="10">
        <v>0</v>
      </c>
      <c r="W333" s="10">
        <v>0</v>
      </c>
      <c r="X333" s="10"/>
      <c r="Y333" s="120">
        <v>17.2</v>
      </c>
      <c r="Z333" s="127">
        <v>1</v>
      </c>
      <c r="AA333" s="121">
        <v>17.2</v>
      </c>
      <c r="AB333" s="122"/>
      <c r="AC333" s="122">
        <v>1</v>
      </c>
      <c r="AD333" s="128">
        <v>6.3</v>
      </c>
      <c r="AE333" s="10"/>
      <c r="AF333" s="125" t="s">
        <v>1182</v>
      </c>
      <c r="AG333" s="125" t="s">
        <v>678</v>
      </c>
      <c r="AH333" s="126">
        <v>42.5</v>
      </c>
      <c r="AI333" s="117" t="s">
        <v>2009</v>
      </c>
      <c r="AJ333" s="2"/>
      <c r="AK333" s="2"/>
      <c r="AL333" s="2"/>
      <c r="AM333" s="2"/>
      <c r="AN333" s="2"/>
    </row>
    <row r="334" spans="1:40" ht="12.75" x14ac:dyDescent="0.2">
      <c r="A334" s="117" t="s">
        <v>1162</v>
      </c>
      <c r="B334" s="117" t="s">
        <v>678</v>
      </c>
      <c r="C334" s="117" t="s">
        <v>677</v>
      </c>
      <c r="D334" s="117" t="s">
        <v>678</v>
      </c>
      <c r="E334" s="117" t="s">
        <v>677</v>
      </c>
      <c r="F334" s="117" t="s">
        <v>677</v>
      </c>
      <c r="G334" s="117" t="s">
        <v>677</v>
      </c>
      <c r="H334" s="117" t="s">
        <v>677</v>
      </c>
      <c r="I334" s="117" t="s">
        <v>1109</v>
      </c>
      <c r="J334" s="117" t="s">
        <v>677</v>
      </c>
      <c r="K334" s="118">
        <f>365/30</f>
        <v>12.166666666666666</v>
      </c>
      <c r="L334" s="118">
        <v>1</v>
      </c>
      <c r="M334" s="117" t="s">
        <v>1451</v>
      </c>
      <c r="N334" s="10"/>
      <c r="O334" s="117" t="s">
        <v>1006</v>
      </c>
      <c r="P334" s="117" t="s">
        <v>1161</v>
      </c>
      <c r="Q334" s="117" t="s">
        <v>944</v>
      </c>
      <c r="R334" s="119"/>
      <c r="S334" s="10">
        <v>1</v>
      </c>
      <c r="T334" s="10">
        <v>0</v>
      </c>
      <c r="U334" s="10">
        <v>0</v>
      </c>
      <c r="V334" s="10">
        <v>0</v>
      </c>
      <c r="W334" s="10">
        <v>0</v>
      </c>
      <c r="X334" s="10"/>
      <c r="Y334" s="120">
        <v>61.133333333333333</v>
      </c>
      <c r="Z334" s="117" t="s">
        <v>677</v>
      </c>
      <c r="AA334" s="121">
        <v>61.133333333333333</v>
      </c>
      <c r="AB334" s="123"/>
      <c r="AC334" s="123">
        <v>1</v>
      </c>
      <c r="AD334" s="124">
        <v>27.166666666666668</v>
      </c>
      <c r="AE334" s="10"/>
      <c r="AF334" s="125" t="s">
        <v>1138</v>
      </c>
      <c r="AG334" s="125" t="s">
        <v>678</v>
      </c>
      <c r="AH334" s="126">
        <v>4.9000000000000004</v>
      </c>
      <c r="AI334" s="117" t="s">
        <v>2010</v>
      </c>
      <c r="AJ334" s="2"/>
      <c r="AK334" s="2"/>
      <c r="AL334" s="2"/>
      <c r="AM334" s="2"/>
      <c r="AN334" s="2"/>
    </row>
    <row r="335" spans="1:40" ht="12.75" x14ac:dyDescent="0.2">
      <c r="A335" s="117" t="s">
        <v>1079</v>
      </c>
      <c r="B335" s="117" t="s">
        <v>678</v>
      </c>
      <c r="C335" s="117" t="s">
        <v>677</v>
      </c>
      <c r="D335" s="117" t="s">
        <v>678</v>
      </c>
      <c r="E335" s="117" t="s">
        <v>678</v>
      </c>
      <c r="F335" s="117" t="s">
        <v>677</v>
      </c>
      <c r="G335" s="117" t="s">
        <v>677</v>
      </c>
      <c r="H335" s="117" t="s">
        <v>677</v>
      </c>
      <c r="I335" s="117" t="s">
        <v>983</v>
      </c>
      <c r="J335" s="117" t="s">
        <v>678</v>
      </c>
      <c r="K335" s="118">
        <f>322/30</f>
        <v>10.733333333333333</v>
      </c>
      <c r="L335" s="118">
        <v>1</v>
      </c>
      <c r="M335" s="117" t="s">
        <v>1081</v>
      </c>
      <c r="N335" s="10"/>
      <c r="O335" s="117" t="s">
        <v>1022</v>
      </c>
      <c r="P335" s="117" t="s">
        <v>1080</v>
      </c>
      <c r="Q335" s="117" t="s">
        <v>973</v>
      </c>
      <c r="R335" s="119"/>
      <c r="S335" s="10">
        <v>1</v>
      </c>
      <c r="T335" s="10">
        <v>0</v>
      </c>
      <c r="U335" s="10">
        <v>0</v>
      </c>
      <c r="V335" s="10">
        <v>0</v>
      </c>
      <c r="W335" s="10">
        <v>0</v>
      </c>
      <c r="X335" s="10"/>
      <c r="Y335" s="120">
        <v>3.2333333333333334</v>
      </c>
      <c r="Z335" s="117" t="s">
        <v>678</v>
      </c>
      <c r="AA335" s="121">
        <v>3.2333333333333334</v>
      </c>
      <c r="AB335" s="122"/>
      <c r="AC335" s="123">
        <v>0</v>
      </c>
      <c r="AD335" s="124">
        <v>1.8666666666666667</v>
      </c>
      <c r="AE335" s="10"/>
      <c r="AF335" s="125" t="s">
        <v>1082</v>
      </c>
      <c r="AG335" s="125" t="s">
        <v>678</v>
      </c>
      <c r="AH335" s="126">
        <v>15.7</v>
      </c>
      <c r="AI335" s="117" t="s">
        <v>2011</v>
      </c>
      <c r="AJ335" s="2"/>
      <c r="AK335" s="2"/>
      <c r="AL335" s="2"/>
      <c r="AM335" s="2"/>
      <c r="AN335" s="2"/>
    </row>
    <row r="336" spans="1:40" ht="12.75" x14ac:dyDescent="0.2">
      <c r="A336" s="117" t="s">
        <v>1371</v>
      </c>
      <c r="B336" s="117" t="s">
        <v>678</v>
      </c>
      <c r="C336" s="117" t="s">
        <v>677</v>
      </c>
      <c r="D336" s="117" t="s">
        <v>678</v>
      </c>
      <c r="E336" s="117" t="s">
        <v>677</v>
      </c>
      <c r="F336" s="117" t="s">
        <v>677</v>
      </c>
      <c r="G336" s="117" t="s">
        <v>677</v>
      </c>
      <c r="H336" s="117" t="s">
        <v>677</v>
      </c>
      <c r="I336" s="117" t="s">
        <v>1026</v>
      </c>
      <c r="J336" s="117" t="s">
        <v>677</v>
      </c>
      <c r="K336" s="118">
        <f>100/30</f>
        <v>3.3333333333333335</v>
      </c>
      <c r="L336" s="118">
        <v>1</v>
      </c>
      <c r="M336" s="117" t="s">
        <v>1602</v>
      </c>
      <c r="N336" s="10"/>
      <c r="O336" s="117" t="s">
        <v>1146</v>
      </c>
      <c r="P336" s="117" t="s">
        <v>1376</v>
      </c>
      <c r="Q336" s="117" t="s">
        <v>1371</v>
      </c>
      <c r="R336" s="119"/>
      <c r="S336" s="10">
        <v>1</v>
      </c>
      <c r="T336" s="10">
        <v>0</v>
      </c>
      <c r="U336" s="10">
        <v>0</v>
      </c>
      <c r="V336" s="10">
        <v>0</v>
      </c>
      <c r="W336" s="10">
        <v>0</v>
      </c>
      <c r="X336" s="10"/>
      <c r="Y336" s="120">
        <v>12.833333333333334</v>
      </c>
      <c r="Z336" s="127">
        <v>1</v>
      </c>
      <c r="AA336" s="121">
        <v>12.833333333333334</v>
      </c>
      <c r="AB336" s="122"/>
      <c r="AC336" s="122">
        <v>1</v>
      </c>
      <c r="AD336" s="128">
        <v>0.66666666666666663</v>
      </c>
      <c r="AE336" s="10"/>
      <c r="AF336" s="125" t="s">
        <v>1603</v>
      </c>
      <c r="AG336" s="125" t="s">
        <v>677</v>
      </c>
      <c r="AH336" s="126">
        <v>4.9000000000000004</v>
      </c>
      <c r="AI336" s="117" t="s">
        <v>2008</v>
      </c>
      <c r="AJ336" s="2"/>
      <c r="AK336" s="2"/>
      <c r="AL336" s="2"/>
      <c r="AM336" s="2"/>
      <c r="AN336" s="2"/>
    </row>
    <row r="337" spans="1:40" ht="12.75" x14ac:dyDescent="0.2">
      <c r="A337" s="117" t="s">
        <v>1239</v>
      </c>
      <c r="B337" s="117" t="s">
        <v>677</v>
      </c>
      <c r="C337" s="117" t="s">
        <v>677</v>
      </c>
      <c r="D337" s="117" t="s">
        <v>677</v>
      </c>
      <c r="E337" s="117" t="s">
        <v>678</v>
      </c>
      <c r="F337" s="117" t="s">
        <v>678</v>
      </c>
      <c r="G337" s="117" t="s">
        <v>678</v>
      </c>
      <c r="H337" s="117" t="s">
        <v>677</v>
      </c>
      <c r="I337" s="117" t="s">
        <v>916</v>
      </c>
      <c r="J337" s="117" t="s">
        <v>678</v>
      </c>
      <c r="K337" s="118">
        <f>253/30</f>
        <v>8.4333333333333336</v>
      </c>
      <c r="L337" s="118">
        <v>1</v>
      </c>
      <c r="M337" s="117" t="s">
        <v>1604</v>
      </c>
      <c r="N337" s="10"/>
      <c r="O337" s="117" t="s">
        <v>1117</v>
      </c>
      <c r="P337" s="117" t="s">
        <v>1591</v>
      </c>
      <c r="Q337" s="117" t="s">
        <v>985</v>
      </c>
      <c r="R337" s="119"/>
      <c r="S337" s="10">
        <v>0</v>
      </c>
      <c r="T337" s="10">
        <v>1</v>
      </c>
      <c r="U337" s="10">
        <v>0</v>
      </c>
      <c r="V337" s="10">
        <v>0</v>
      </c>
      <c r="W337" s="10">
        <v>0</v>
      </c>
      <c r="X337" s="10"/>
      <c r="Y337" s="120">
        <v>39.4</v>
      </c>
      <c r="Z337" s="117" t="s">
        <v>678</v>
      </c>
      <c r="AA337" s="121">
        <v>39.4</v>
      </c>
      <c r="AB337" s="122"/>
      <c r="AC337" s="122">
        <v>1</v>
      </c>
      <c r="AD337" s="128">
        <v>7.4</v>
      </c>
      <c r="AE337" s="10"/>
      <c r="AF337" s="125" t="s">
        <v>1605</v>
      </c>
      <c r="AG337" s="125" t="s">
        <v>678</v>
      </c>
      <c r="AH337" s="126">
        <v>9.5</v>
      </c>
      <c r="AI337" s="117" t="s">
        <v>2012</v>
      </c>
      <c r="AJ337" s="2"/>
      <c r="AK337" s="2"/>
      <c r="AL337" s="2"/>
      <c r="AM337" s="2"/>
      <c r="AN337" s="2"/>
    </row>
    <row r="338" spans="1:40" ht="12.75" x14ac:dyDescent="0.2">
      <c r="A338" s="117" t="s">
        <v>926</v>
      </c>
      <c r="B338" s="117" t="s">
        <v>677</v>
      </c>
      <c r="C338" s="117" t="s">
        <v>677</v>
      </c>
      <c r="D338" s="117" t="s">
        <v>677</v>
      </c>
      <c r="E338" s="117" t="s">
        <v>678</v>
      </c>
      <c r="F338" s="117" t="s">
        <v>677</v>
      </c>
      <c r="G338" s="117" t="s">
        <v>677</v>
      </c>
      <c r="H338" s="117" t="s">
        <v>677</v>
      </c>
      <c r="I338" s="117" t="s">
        <v>936</v>
      </c>
      <c r="J338" s="117" t="s">
        <v>678</v>
      </c>
      <c r="K338" s="118">
        <f>1539/30</f>
        <v>51.3</v>
      </c>
      <c r="L338" s="118">
        <v>0</v>
      </c>
      <c r="M338" s="117" t="s">
        <v>1452</v>
      </c>
      <c r="N338" s="10"/>
      <c r="O338" s="117" t="s">
        <v>994</v>
      </c>
      <c r="P338" s="117" t="s">
        <v>965</v>
      </c>
      <c r="Q338" s="117" t="s">
        <v>1199</v>
      </c>
      <c r="R338" s="119"/>
      <c r="S338" s="10">
        <v>1</v>
      </c>
      <c r="T338" s="10">
        <v>0</v>
      </c>
      <c r="U338" s="10">
        <v>0</v>
      </c>
      <c r="V338" s="10">
        <v>0</v>
      </c>
      <c r="W338" s="10">
        <v>0</v>
      </c>
      <c r="X338" s="10"/>
      <c r="Y338" s="120">
        <v>3.7666666666666666</v>
      </c>
      <c r="Z338" s="117" t="s">
        <v>678</v>
      </c>
      <c r="AA338" s="121">
        <v>3.7666666666666666</v>
      </c>
      <c r="AB338" s="123"/>
      <c r="AC338" s="122">
        <v>1</v>
      </c>
      <c r="AD338" s="128">
        <v>0.9</v>
      </c>
      <c r="AE338" s="10"/>
      <c r="AF338" s="125" t="s">
        <v>1453</v>
      </c>
      <c r="AG338" s="125" t="s">
        <v>677</v>
      </c>
      <c r="AH338" s="126">
        <v>38.700000000000003</v>
      </c>
      <c r="AI338" s="117" t="s">
        <v>1107</v>
      </c>
      <c r="AJ338" s="2"/>
      <c r="AK338" s="2"/>
      <c r="AL338" s="2"/>
      <c r="AM338" s="2"/>
      <c r="AN338" s="2"/>
    </row>
    <row r="339" spans="1:40" ht="12.75" x14ac:dyDescent="0.2">
      <c r="A339" s="117" t="s">
        <v>889</v>
      </c>
      <c r="B339" s="117" t="s">
        <v>678</v>
      </c>
      <c r="C339" s="117" t="s">
        <v>677</v>
      </c>
      <c r="D339" s="117" t="s">
        <v>678</v>
      </c>
      <c r="E339" s="117" t="s">
        <v>678</v>
      </c>
      <c r="F339" s="117" t="s">
        <v>677</v>
      </c>
      <c r="G339" s="117" t="s">
        <v>677</v>
      </c>
      <c r="H339" s="117" t="s">
        <v>677</v>
      </c>
      <c r="I339" s="117" t="s">
        <v>1026</v>
      </c>
      <c r="J339" s="117" t="s">
        <v>678</v>
      </c>
      <c r="K339" s="118">
        <f>1398/30</f>
        <v>46.6</v>
      </c>
      <c r="L339" s="118">
        <v>0</v>
      </c>
      <c r="M339" s="117" t="s">
        <v>1607</v>
      </c>
      <c r="N339" s="10"/>
      <c r="O339" s="117" t="s">
        <v>1070</v>
      </c>
      <c r="P339" s="117" t="s">
        <v>1346</v>
      </c>
      <c r="Q339" s="117" t="s">
        <v>1091</v>
      </c>
      <c r="R339" s="119"/>
      <c r="S339" s="10">
        <v>0</v>
      </c>
      <c r="T339" s="10">
        <v>1</v>
      </c>
      <c r="U339" s="10">
        <v>0</v>
      </c>
      <c r="V339" s="10">
        <v>0</v>
      </c>
      <c r="W339" s="10">
        <v>0</v>
      </c>
      <c r="X339" s="10"/>
      <c r="Y339" s="120">
        <v>46.866666666666667</v>
      </c>
      <c r="Z339" s="117" t="s">
        <v>678</v>
      </c>
      <c r="AA339" s="121">
        <v>46.866666666666667</v>
      </c>
      <c r="AB339" s="122"/>
      <c r="AC339" s="122">
        <v>1</v>
      </c>
      <c r="AD339" s="128">
        <v>20.266666666666666</v>
      </c>
      <c r="AE339" s="10"/>
      <c r="AF339" s="125" t="s">
        <v>934</v>
      </c>
      <c r="AG339" s="125" t="s">
        <v>678</v>
      </c>
      <c r="AH339" s="126">
        <v>0</v>
      </c>
      <c r="AI339" s="117" t="s">
        <v>1953</v>
      </c>
      <c r="AJ339" s="2"/>
      <c r="AK339" s="2"/>
      <c r="AL339" s="2"/>
      <c r="AM339" s="2"/>
      <c r="AN339" s="2"/>
    </row>
    <row r="340" spans="1:40" ht="12.75" x14ac:dyDescent="0.2">
      <c r="A340" s="117" t="s">
        <v>893</v>
      </c>
      <c r="B340" s="117" t="s">
        <v>677</v>
      </c>
      <c r="C340" s="117" t="s">
        <v>677</v>
      </c>
      <c r="D340" s="117" t="s">
        <v>678</v>
      </c>
      <c r="E340" s="117" t="s">
        <v>678</v>
      </c>
      <c r="F340" s="117" t="s">
        <v>677</v>
      </c>
      <c r="G340" s="117" t="s">
        <v>677</v>
      </c>
      <c r="H340" s="117" t="s">
        <v>677</v>
      </c>
      <c r="I340" s="117" t="s">
        <v>1032</v>
      </c>
      <c r="J340" s="117" t="s">
        <v>677</v>
      </c>
      <c r="K340" s="118" t="s">
        <v>674</v>
      </c>
      <c r="L340" s="118">
        <v>2</v>
      </c>
      <c r="M340" s="117" t="s">
        <v>1454</v>
      </c>
      <c r="N340" s="10"/>
      <c r="O340" s="117" t="s">
        <v>1093</v>
      </c>
      <c r="P340" s="117" t="s">
        <v>1266</v>
      </c>
      <c r="Q340" s="117" t="s">
        <v>919</v>
      </c>
      <c r="R340" s="119"/>
      <c r="S340" s="10">
        <v>1</v>
      </c>
      <c r="T340" s="10">
        <v>0</v>
      </c>
      <c r="U340" s="10">
        <v>0</v>
      </c>
      <c r="V340" s="10">
        <v>0</v>
      </c>
      <c r="W340" s="10">
        <v>0</v>
      </c>
      <c r="X340" s="10"/>
      <c r="Y340" s="129">
        <v>38.06666666666667</v>
      </c>
      <c r="Z340" s="117" t="s">
        <v>678</v>
      </c>
      <c r="AA340" s="130">
        <v>38.06666666666667</v>
      </c>
      <c r="AB340" s="131"/>
      <c r="AC340" s="122">
        <v>1</v>
      </c>
      <c r="AD340" s="128">
        <v>5.4</v>
      </c>
      <c r="AE340" s="10"/>
      <c r="AF340" s="125" t="s">
        <v>891</v>
      </c>
      <c r="AG340" s="125" t="s">
        <v>678</v>
      </c>
      <c r="AH340" s="126">
        <v>3</v>
      </c>
      <c r="AI340" s="117" t="s">
        <v>2013</v>
      </c>
      <c r="AJ340" s="2"/>
      <c r="AK340" s="2"/>
      <c r="AL340" s="2"/>
      <c r="AM340" s="2"/>
      <c r="AN340" s="2"/>
    </row>
    <row r="341" spans="1:40" ht="12.75" x14ac:dyDescent="0.2">
      <c r="A341" s="117" t="s">
        <v>1023</v>
      </c>
      <c r="B341" s="117" t="s">
        <v>677</v>
      </c>
      <c r="C341" s="117" t="s">
        <v>677</v>
      </c>
      <c r="D341" s="117" t="s">
        <v>677</v>
      </c>
      <c r="E341" s="117" t="s">
        <v>678</v>
      </c>
      <c r="F341" s="117" t="s">
        <v>677</v>
      </c>
      <c r="G341" s="117" t="s">
        <v>677</v>
      </c>
      <c r="H341" s="117" t="s">
        <v>677</v>
      </c>
      <c r="I341" s="117" t="s">
        <v>936</v>
      </c>
      <c r="J341" s="117" t="s">
        <v>679</v>
      </c>
      <c r="K341" s="118">
        <f>740/30</f>
        <v>24.666666666666668</v>
      </c>
      <c r="L341" s="118">
        <v>0</v>
      </c>
      <c r="M341" s="117" t="s">
        <v>1611</v>
      </c>
      <c r="N341" s="10"/>
      <c r="O341" s="117" t="s">
        <v>1610</v>
      </c>
      <c r="P341" s="117" t="s">
        <v>1609</v>
      </c>
      <c r="Q341" s="117" t="s">
        <v>952</v>
      </c>
      <c r="R341" s="119"/>
      <c r="S341" s="10">
        <v>1</v>
      </c>
      <c r="T341" s="10">
        <v>0</v>
      </c>
      <c r="U341" s="10">
        <v>0</v>
      </c>
      <c r="V341" s="10">
        <v>0</v>
      </c>
      <c r="W341" s="10">
        <v>0</v>
      </c>
      <c r="X341" s="10"/>
      <c r="Y341" s="120">
        <v>12.2</v>
      </c>
      <c r="Z341" s="127">
        <v>1</v>
      </c>
      <c r="AA341" s="121">
        <v>12.2</v>
      </c>
      <c r="AB341" s="122"/>
      <c r="AC341" s="123">
        <v>1</v>
      </c>
      <c r="AD341" s="124">
        <v>0.8</v>
      </c>
      <c r="AE341" s="10"/>
      <c r="AF341" s="125" t="s">
        <v>1612</v>
      </c>
      <c r="AG341" s="125" t="s">
        <v>677</v>
      </c>
      <c r="AH341" s="126">
        <v>31.2</v>
      </c>
      <c r="AI341" s="117" t="s">
        <v>1991</v>
      </c>
      <c r="AJ341" s="2"/>
      <c r="AK341" s="2"/>
      <c r="AL341" s="2"/>
      <c r="AM341" s="2"/>
      <c r="AN341" s="2"/>
    </row>
    <row r="342" spans="1:40" ht="12.75" x14ac:dyDescent="0.2">
      <c r="A342" s="116" t="s">
        <v>985</v>
      </c>
      <c r="B342" s="117" t="s">
        <v>677</v>
      </c>
      <c r="C342" s="117" t="s">
        <v>677</v>
      </c>
      <c r="D342" s="117" t="s">
        <v>678</v>
      </c>
      <c r="E342" s="117" t="s">
        <v>677</v>
      </c>
      <c r="F342" s="117" t="s">
        <v>677</v>
      </c>
      <c r="G342" s="117" t="s">
        <v>677</v>
      </c>
      <c r="H342" s="117" t="s">
        <v>677</v>
      </c>
      <c r="I342" s="117" t="s">
        <v>1032</v>
      </c>
      <c r="J342" s="117" t="s">
        <v>678</v>
      </c>
      <c r="K342" s="118" t="s">
        <v>674</v>
      </c>
      <c r="L342" s="118">
        <v>2</v>
      </c>
      <c r="M342" s="117" t="s">
        <v>1084</v>
      </c>
      <c r="N342" s="10"/>
      <c r="O342" s="117" t="s">
        <v>925</v>
      </c>
      <c r="P342" s="117" t="s">
        <v>1083</v>
      </c>
      <c r="Q342" s="117" t="s">
        <v>1074</v>
      </c>
      <c r="R342" s="119"/>
      <c r="S342" s="10">
        <v>1</v>
      </c>
      <c r="T342" s="10">
        <v>0</v>
      </c>
      <c r="U342" s="10">
        <v>0</v>
      </c>
      <c r="V342" s="10">
        <v>0</v>
      </c>
      <c r="W342" s="10">
        <v>0</v>
      </c>
      <c r="X342" s="10"/>
      <c r="Y342" s="120">
        <v>61.033333333333331</v>
      </c>
      <c r="Z342" s="117" t="s">
        <v>677</v>
      </c>
      <c r="AA342" s="121">
        <v>61.033333333333331</v>
      </c>
      <c r="AB342" s="122"/>
      <c r="AC342" s="123">
        <v>1</v>
      </c>
      <c r="AD342" s="124">
        <v>51.3</v>
      </c>
      <c r="AE342" s="10"/>
      <c r="AF342" s="125" t="s">
        <v>1085</v>
      </c>
      <c r="AG342" s="125" t="s">
        <v>678</v>
      </c>
      <c r="AH342" s="126">
        <v>0</v>
      </c>
      <c r="AI342" s="117" t="s">
        <v>1412</v>
      </c>
      <c r="AJ342" s="2"/>
      <c r="AK342" s="2"/>
      <c r="AL342" s="2"/>
      <c r="AM342" s="2"/>
      <c r="AN342" s="2"/>
    </row>
    <row r="343" spans="1:40" ht="12.75" x14ac:dyDescent="0.2">
      <c r="A343" s="117" t="s">
        <v>1329</v>
      </c>
      <c r="B343" s="117" t="s">
        <v>678</v>
      </c>
      <c r="C343" s="117" t="s">
        <v>677</v>
      </c>
      <c r="D343" s="117" t="s">
        <v>678</v>
      </c>
      <c r="E343" s="117" t="s">
        <v>677</v>
      </c>
      <c r="F343" s="117" t="s">
        <v>677</v>
      </c>
      <c r="G343" s="117" t="s">
        <v>677</v>
      </c>
      <c r="H343" s="117" t="s">
        <v>677</v>
      </c>
      <c r="I343" s="117" t="s">
        <v>1399</v>
      </c>
      <c r="J343" s="117" t="s">
        <v>679</v>
      </c>
      <c r="K343" s="118">
        <f>280/30</f>
        <v>9.3333333333333339</v>
      </c>
      <c r="L343" s="118">
        <v>1</v>
      </c>
      <c r="M343" s="117" t="s">
        <v>1614</v>
      </c>
      <c r="N343" s="10"/>
      <c r="O343" s="117" t="s">
        <v>1613</v>
      </c>
      <c r="P343" s="117" t="s">
        <v>1083</v>
      </c>
      <c r="Q343" s="117" t="s">
        <v>952</v>
      </c>
      <c r="R343" s="119"/>
      <c r="S343" s="10">
        <v>0</v>
      </c>
      <c r="T343" s="10">
        <v>1</v>
      </c>
      <c r="U343" s="10">
        <v>0</v>
      </c>
      <c r="V343" s="10">
        <v>0</v>
      </c>
      <c r="W343" s="10">
        <v>0</v>
      </c>
      <c r="X343" s="10"/>
      <c r="Y343" s="120">
        <v>20.566666666666666</v>
      </c>
      <c r="Z343" s="127">
        <v>1</v>
      </c>
      <c r="AA343" s="121">
        <v>20.566666666666666</v>
      </c>
      <c r="AB343" s="122"/>
      <c r="AC343" s="122">
        <v>1</v>
      </c>
      <c r="AD343" s="128">
        <v>2.7333333333333334</v>
      </c>
      <c r="AE343" s="10"/>
      <c r="AF343" s="125" t="s">
        <v>1368</v>
      </c>
      <c r="AG343" s="125" t="s">
        <v>678</v>
      </c>
      <c r="AH343" s="126">
        <v>21.4</v>
      </c>
      <c r="AI343" s="117" t="s">
        <v>1962</v>
      </c>
      <c r="AJ343" s="2"/>
      <c r="AK343" s="2"/>
      <c r="AL343" s="2"/>
      <c r="AM343" s="2"/>
      <c r="AN343" s="2"/>
    </row>
    <row r="344" spans="1:40" ht="12.75" x14ac:dyDescent="0.2">
      <c r="A344" s="117" t="s">
        <v>961</v>
      </c>
      <c r="B344" s="117" t="s">
        <v>677</v>
      </c>
      <c r="C344" s="117" t="s">
        <v>677</v>
      </c>
      <c r="D344" s="117" t="s">
        <v>678</v>
      </c>
      <c r="E344" s="117" t="s">
        <v>678</v>
      </c>
      <c r="F344" s="117" t="s">
        <v>677</v>
      </c>
      <c r="G344" s="117" t="s">
        <v>677</v>
      </c>
      <c r="H344" s="117" t="s">
        <v>677</v>
      </c>
      <c r="I344" s="117" t="s">
        <v>960</v>
      </c>
      <c r="J344" s="117" t="s">
        <v>677</v>
      </c>
      <c r="K344" s="118">
        <f>1372/30</f>
        <v>45.733333333333334</v>
      </c>
      <c r="L344" s="118">
        <v>0</v>
      </c>
      <c r="M344" s="117" t="s">
        <v>1430</v>
      </c>
      <c r="N344" s="10"/>
      <c r="O344" s="117" t="s">
        <v>931</v>
      </c>
      <c r="P344" s="117" t="s">
        <v>1284</v>
      </c>
      <c r="Q344" s="117" t="s">
        <v>1071</v>
      </c>
      <c r="R344" s="119"/>
      <c r="S344" s="10">
        <v>0</v>
      </c>
      <c r="T344" s="10">
        <v>1</v>
      </c>
      <c r="U344" s="10">
        <v>0</v>
      </c>
      <c r="V344" s="10">
        <v>0</v>
      </c>
      <c r="W344" s="10">
        <v>0</v>
      </c>
      <c r="X344" s="10"/>
      <c r="Y344" s="120">
        <v>17.533333333333335</v>
      </c>
      <c r="Z344" s="127">
        <v>1</v>
      </c>
      <c r="AA344" s="121">
        <v>17.533333333333335</v>
      </c>
      <c r="AB344" s="123"/>
      <c r="AC344" s="122">
        <v>1</v>
      </c>
      <c r="AD344" s="128">
        <v>1.4333333333333333</v>
      </c>
      <c r="AE344" s="10"/>
      <c r="AF344" s="125" t="s">
        <v>1455</v>
      </c>
      <c r="AG344" s="125" t="s">
        <v>677</v>
      </c>
      <c r="AH344" s="126">
        <v>0</v>
      </c>
      <c r="AI344" s="117" t="s">
        <v>1181</v>
      </c>
      <c r="AJ344" s="2"/>
      <c r="AK344" s="2"/>
      <c r="AL344" s="2"/>
      <c r="AM344" s="2"/>
      <c r="AN344" s="2"/>
    </row>
    <row r="345" spans="1:40" ht="12.75" x14ac:dyDescent="0.2">
      <c r="A345" s="117" t="s">
        <v>944</v>
      </c>
      <c r="B345" s="117" t="s">
        <v>678</v>
      </c>
      <c r="C345" s="117" t="s">
        <v>677</v>
      </c>
      <c r="D345" s="117" t="s">
        <v>677</v>
      </c>
      <c r="E345" s="117" t="s">
        <v>678</v>
      </c>
      <c r="F345" s="117" t="s">
        <v>677</v>
      </c>
      <c r="G345" s="117" t="s">
        <v>677</v>
      </c>
      <c r="H345" s="117" t="s">
        <v>677</v>
      </c>
      <c r="I345" s="117" t="s">
        <v>999</v>
      </c>
      <c r="J345" s="117" t="s">
        <v>678</v>
      </c>
      <c r="K345" s="118" t="s">
        <v>674</v>
      </c>
      <c r="L345" s="118">
        <v>2</v>
      </c>
      <c r="M345" s="117" t="s">
        <v>1088</v>
      </c>
      <c r="N345" s="10"/>
      <c r="O345" s="117" t="s">
        <v>1087</v>
      </c>
      <c r="P345" s="117" t="s">
        <v>1086</v>
      </c>
      <c r="Q345" s="117" t="s">
        <v>1053</v>
      </c>
      <c r="R345" s="119"/>
      <c r="S345" s="10">
        <v>1</v>
      </c>
      <c r="T345" s="10">
        <v>0</v>
      </c>
      <c r="U345" s="10">
        <v>0</v>
      </c>
      <c r="V345" s="10">
        <v>0</v>
      </c>
      <c r="W345" s="10">
        <v>0</v>
      </c>
      <c r="X345" s="10"/>
      <c r="Y345" s="120">
        <v>7.9</v>
      </c>
      <c r="Z345" s="117" t="s">
        <v>678</v>
      </c>
      <c r="AA345" s="121">
        <v>7.9</v>
      </c>
      <c r="AB345" s="122"/>
      <c r="AC345" s="123">
        <v>1</v>
      </c>
      <c r="AD345" s="124">
        <v>2.7333333333333334</v>
      </c>
      <c r="AE345" s="10"/>
      <c r="AF345" s="125" t="s">
        <v>1089</v>
      </c>
      <c r="AG345" s="125" t="s">
        <v>677</v>
      </c>
      <c r="AH345" s="126">
        <v>70.5</v>
      </c>
      <c r="AI345" s="117" t="s">
        <v>2014</v>
      </c>
      <c r="AJ345" s="2"/>
      <c r="AK345" s="2"/>
      <c r="AL345" s="2"/>
      <c r="AM345" s="2"/>
      <c r="AN345" s="2"/>
    </row>
    <row r="346" spans="1:40" ht="12.75" x14ac:dyDescent="0.2">
      <c r="A346" s="117" t="s">
        <v>1012</v>
      </c>
      <c r="B346" s="117" t="s">
        <v>677</v>
      </c>
      <c r="C346" s="117" t="s">
        <v>677</v>
      </c>
      <c r="D346" s="117" t="s">
        <v>677</v>
      </c>
      <c r="E346" s="117" t="s">
        <v>678</v>
      </c>
      <c r="F346" s="117" t="s">
        <v>677</v>
      </c>
      <c r="G346" s="117" t="s">
        <v>678</v>
      </c>
      <c r="H346" s="117" t="s">
        <v>677</v>
      </c>
      <c r="I346" s="117" t="s">
        <v>1032</v>
      </c>
      <c r="J346" s="117" t="s">
        <v>678</v>
      </c>
      <c r="K346" s="118">
        <f>363/30</f>
        <v>12.1</v>
      </c>
      <c r="L346" s="118">
        <v>1</v>
      </c>
      <c r="M346" s="117" t="s">
        <v>2015</v>
      </c>
      <c r="N346" s="10"/>
      <c r="O346" s="117" t="s">
        <v>1052</v>
      </c>
      <c r="P346" s="117" t="s">
        <v>1184</v>
      </c>
      <c r="Q346" s="117" t="s">
        <v>892</v>
      </c>
      <c r="R346" s="119"/>
      <c r="S346" s="10">
        <v>0</v>
      </c>
      <c r="T346" s="10">
        <v>1</v>
      </c>
      <c r="U346" s="10">
        <v>0</v>
      </c>
      <c r="V346" s="10">
        <v>0</v>
      </c>
      <c r="W346" s="10">
        <v>0</v>
      </c>
      <c r="X346" s="10"/>
      <c r="Y346" s="120">
        <v>6.4666666666666668</v>
      </c>
      <c r="Z346" s="117" t="s">
        <v>678</v>
      </c>
      <c r="AA346" s="121">
        <v>6.4666666666666668</v>
      </c>
      <c r="AB346" s="122"/>
      <c r="AC346" s="122">
        <v>1</v>
      </c>
      <c r="AD346" s="128">
        <v>0.8</v>
      </c>
      <c r="AE346" s="10"/>
      <c r="AF346" s="125" t="s">
        <v>1599</v>
      </c>
      <c r="AG346" s="125" t="s">
        <v>677</v>
      </c>
      <c r="AH346" s="126">
        <v>18.2</v>
      </c>
      <c r="AI346" s="117" t="s">
        <v>2016</v>
      </c>
      <c r="AJ346" s="2"/>
      <c r="AK346" s="2"/>
      <c r="AL346" s="2"/>
      <c r="AM346" s="2"/>
      <c r="AN346" s="2"/>
    </row>
    <row r="347" spans="1:40" ht="12.75" x14ac:dyDescent="0.2">
      <c r="A347" s="117" t="s">
        <v>1043</v>
      </c>
      <c r="B347" s="117" t="s">
        <v>678</v>
      </c>
      <c r="C347" s="117" t="s">
        <v>677</v>
      </c>
      <c r="D347" s="117" t="s">
        <v>677</v>
      </c>
      <c r="E347" s="117" t="s">
        <v>678</v>
      </c>
      <c r="F347" s="117" t="s">
        <v>677</v>
      </c>
      <c r="G347" s="117" t="s">
        <v>677</v>
      </c>
      <c r="H347" s="117" t="s">
        <v>677</v>
      </c>
      <c r="I347" s="117" t="s">
        <v>1109</v>
      </c>
      <c r="J347" s="117" t="s">
        <v>677</v>
      </c>
      <c r="K347" s="118" t="s">
        <v>674</v>
      </c>
      <c r="L347" s="118">
        <v>2</v>
      </c>
      <c r="M347" s="117" t="s">
        <v>1456</v>
      </c>
      <c r="N347" s="10"/>
      <c r="O347" s="117" t="s">
        <v>1047</v>
      </c>
      <c r="P347" s="117" t="s">
        <v>1369</v>
      </c>
      <c r="Q347" s="117" t="s">
        <v>1204</v>
      </c>
      <c r="R347" s="119"/>
      <c r="S347" s="10">
        <v>0</v>
      </c>
      <c r="T347" s="10">
        <v>1</v>
      </c>
      <c r="U347" s="10">
        <v>0</v>
      </c>
      <c r="V347" s="10">
        <v>0</v>
      </c>
      <c r="W347" s="10">
        <v>0</v>
      </c>
      <c r="X347" s="10"/>
      <c r="Y347" s="120">
        <v>56</v>
      </c>
      <c r="Z347" s="117" t="s">
        <v>678</v>
      </c>
      <c r="AA347" s="121">
        <v>56</v>
      </c>
      <c r="AB347" s="123"/>
      <c r="AC347" s="122">
        <v>1</v>
      </c>
      <c r="AD347" s="128">
        <v>8.3000000000000007</v>
      </c>
      <c r="AE347" s="10"/>
      <c r="AF347" s="125" t="s">
        <v>1457</v>
      </c>
      <c r="AG347" s="125" t="s">
        <v>677</v>
      </c>
      <c r="AH347" s="126">
        <v>0</v>
      </c>
      <c r="AI347" s="117" t="s">
        <v>1953</v>
      </c>
      <c r="AJ347" s="2"/>
      <c r="AK347" s="2"/>
      <c r="AL347" s="2"/>
      <c r="AM347" s="2"/>
      <c r="AN347" s="2"/>
    </row>
    <row r="348" spans="1:40" ht="12.75" x14ac:dyDescent="0.2">
      <c r="A348" s="117" t="s">
        <v>966</v>
      </c>
      <c r="B348" s="117" t="s">
        <v>677</v>
      </c>
      <c r="C348" s="117" t="s">
        <v>677</v>
      </c>
      <c r="D348" s="117" t="s">
        <v>678</v>
      </c>
      <c r="E348" s="117" t="s">
        <v>678</v>
      </c>
      <c r="F348" s="117" t="s">
        <v>677</v>
      </c>
      <c r="G348" s="117" t="s">
        <v>677</v>
      </c>
      <c r="H348" s="117" t="s">
        <v>677</v>
      </c>
      <c r="I348" s="117" t="s">
        <v>916</v>
      </c>
      <c r="J348" s="117" t="s">
        <v>679</v>
      </c>
      <c r="K348" s="118">
        <f>357/30</f>
        <v>11.9</v>
      </c>
      <c r="L348" s="118">
        <v>1</v>
      </c>
      <c r="M348" s="117" t="s">
        <v>1635</v>
      </c>
      <c r="N348" s="10"/>
      <c r="O348" s="117" t="s">
        <v>904</v>
      </c>
      <c r="P348" s="117" t="s">
        <v>924</v>
      </c>
      <c r="Q348" s="117" t="s">
        <v>1062</v>
      </c>
      <c r="R348" s="119"/>
      <c r="S348" s="10">
        <v>0</v>
      </c>
      <c r="T348" s="10">
        <v>1</v>
      </c>
      <c r="U348" s="10">
        <v>0</v>
      </c>
      <c r="V348" s="10">
        <v>0</v>
      </c>
      <c r="W348" s="10">
        <v>0</v>
      </c>
      <c r="X348" s="10"/>
      <c r="Y348" s="120">
        <v>25.7</v>
      </c>
      <c r="Z348" s="117" t="s">
        <v>678</v>
      </c>
      <c r="AA348" s="121">
        <v>25.7</v>
      </c>
      <c r="AB348" s="123"/>
      <c r="AC348" s="122">
        <v>1</v>
      </c>
      <c r="AD348" s="128">
        <v>6.5333333333333332</v>
      </c>
      <c r="AE348" s="10"/>
      <c r="AF348" s="125" t="s">
        <v>1581</v>
      </c>
      <c r="AG348" s="125" t="s">
        <v>677</v>
      </c>
      <c r="AH348" s="126">
        <v>0</v>
      </c>
      <c r="AI348" s="117" t="s">
        <v>2017</v>
      </c>
      <c r="AJ348" s="2"/>
      <c r="AK348" s="2"/>
      <c r="AL348" s="2"/>
      <c r="AM348" s="2"/>
      <c r="AN348" s="2"/>
    </row>
    <row r="349" spans="1:40" ht="12.75" x14ac:dyDescent="0.2">
      <c r="A349" s="116" t="s">
        <v>1091</v>
      </c>
      <c r="B349" s="117" t="s">
        <v>677</v>
      </c>
      <c r="C349" s="117" t="s">
        <v>677</v>
      </c>
      <c r="D349" s="117" t="s">
        <v>677</v>
      </c>
      <c r="E349" s="117" t="s">
        <v>678</v>
      </c>
      <c r="F349" s="117" t="s">
        <v>677</v>
      </c>
      <c r="G349" s="117" t="s">
        <v>677</v>
      </c>
      <c r="H349" s="117" t="s">
        <v>677</v>
      </c>
      <c r="I349" s="117" t="s">
        <v>923</v>
      </c>
      <c r="J349" s="117" t="s">
        <v>678</v>
      </c>
      <c r="K349" s="118" t="s">
        <v>674</v>
      </c>
      <c r="L349" s="118">
        <v>2</v>
      </c>
      <c r="M349" s="117" t="s">
        <v>1094</v>
      </c>
      <c r="N349" s="10"/>
      <c r="O349" s="117" t="s">
        <v>1093</v>
      </c>
      <c r="P349" s="117" t="s">
        <v>1092</v>
      </c>
      <c r="Q349" s="117" t="s">
        <v>1091</v>
      </c>
      <c r="R349" s="119"/>
      <c r="S349" s="10">
        <v>0</v>
      </c>
      <c r="T349" s="10">
        <v>1</v>
      </c>
      <c r="U349" s="10">
        <v>0</v>
      </c>
      <c r="V349" s="10">
        <v>0</v>
      </c>
      <c r="W349" s="10">
        <v>0</v>
      </c>
      <c r="X349" s="10"/>
      <c r="Y349" s="120">
        <v>59.366666666666667</v>
      </c>
      <c r="Z349" s="117" t="s">
        <v>677</v>
      </c>
      <c r="AA349" s="121">
        <v>59.366666666666667</v>
      </c>
      <c r="AB349" s="122"/>
      <c r="AC349" s="123">
        <v>0</v>
      </c>
      <c r="AD349" s="124">
        <v>59.033333333333331</v>
      </c>
      <c r="AE349" s="10"/>
      <c r="AF349" s="125" t="s">
        <v>1095</v>
      </c>
      <c r="AG349" s="125" t="s">
        <v>678</v>
      </c>
      <c r="AH349" s="126">
        <v>2</v>
      </c>
      <c r="AI349" s="117" t="s">
        <v>1107</v>
      </c>
      <c r="AJ349" s="2"/>
      <c r="AK349" s="2"/>
      <c r="AL349" s="2"/>
      <c r="AM349" s="2"/>
      <c r="AN349" s="2"/>
    </row>
    <row r="350" spans="1:40" ht="12.75" x14ac:dyDescent="0.2">
      <c r="A350" s="117" t="s">
        <v>949</v>
      </c>
      <c r="B350" s="117" t="s">
        <v>678</v>
      </c>
      <c r="C350" s="117" t="s">
        <v>677</v>
      </c>
      <c r="D350" s="117" t="s">
        <v>677</v>
      </c>
      <c r="E350" s="117" t="s">
        <v>678</v>
      </c>
      <c r="F350" s="117" t="s">
        <v>677</v>
      </c>
      <c r="G350" s="117" t="s">
        <v>677</v>
      </c>
      <c r="H350" s="117" t="s">
        <v>677</v>
      </c>
      <c r="I350" s="117" t="s">
        <v>1026</v>
      </c>
      <c r="J350" s="117" t="s">
        <v>677</v>
      </c>
      <c r="K350" s="118">
        <f>271/30</f>
        <v>9.0333333333333332</v>
      </c>
      <c r="L350" s="118">
        <v>1</v>
      </c>
      <c r="M350" s="117" t="s">
        <v>1458</v>
      </c>
      <c r="N350" s="10"/>
      <c r="O350" s="117" t="s">
        <v>1135</v>
      </c>
      <c r="P350" s="117" t="s">
        <v>1437</v>
      </c>
      <c r="Q350" s="117" t="s">
        <v>1079</v>
      </c>
      <c r="R350" s="119"/>
      <c r="S350" s="10">
        <v>0</v>
      </c>
      <c r="T350" s="10">
        <v>1</v>
      </c>
      <c r="U350" s="10">
        <v>0</v>
      </c>
      <c r="V350" s="10">
        <v>0</v>
      </c>
      <c r="W350" s="10">
        <v>0</v>
      </c>
      <c r="X350" s="10"/>
      <c r="Y350" s="120">
        <v>43.93333333333333</v>
      </c>
      <c r="Z350" s="127">
        <v>1</v>
      </c>
      <c r="AA350" s="121">
        <v>43.93333333333333</v>
      </c>
      <c r="AB350" s="122"/>
      <c r="AC350" s="122">
        <v>1</v>
      </c>
      <c r="AD350" s="128">
        <v>12.1</v>
      </c>
      <c r="AE350" s="10"/>
      <c r="AF350" s="125" t="s">
        <v>1459</v>
      </c>
      <c r="AG350" s="125" t="s">
        <v>678</v>
      </c>
      <c r="AH350" s="126">
        <v>0</v>
      </c>
      <c r="AI350" s="117" t="s">
        <v>2018</v>
      </c>
      <c r="AJ350" s="2"/>
      <c r="AK350" s="2"/>
      <c r="AL350" s="2"/>
      <c r="AM350" s="2"/>
      <c r="AN350" s="2"/>
    </row>
    <row r="351" spans="1:40" ht="12.75" x14ac:dyDescent="0.2">
      <c r="A351" s="116" t="s">
        <v>1204</v>
      </c>
      <c r="B351" s="117" t="s">
        <v>678</v>
      </c>
      <c r="C351" s="117" t="s">
        <v>677</v>
      </c>
      <c r="D351" s="117" t="s">
        <v>678</v>
      </c>
      <c r="E351" s="117" t="s">
        <v>677</v>
      </c>
      <c r="F351" s="117" t="s">
        <v>677</v>
      </c>
      <c r="G351" s="117" t="s">
        <v>677</v>
      </c>
      <c r="H351" s="117" t="s">
        <v>677</v>
      </c>
      <c r="I351" s="117" t="s">
        <v>1219</v>
      </c>
      <c r="J351" s="117" t="s">
        <v>678</v>
      </c>
      <c r="K351" s="118">
        <f>526/30</f>
        <v>17.533333333333335</v>
      </c>
      <c r="L351" s="118">
        <v>0</v>
      </c>
      <c r="M351" s="117" t="s">
        <v>2019</v>
      </c>
      <c r="N351" s="10"/>
      <c r="O351" s="117" t="s">
        <v>931</v>
      </c>
      <c r="P351" s="117" t="s">
        <v>1103</v>
      </c>
      <c r="Q351" s="117" t="s">
        <v>949</v>
      </c>
      <c r="R351" s="119"/>
      <c r="S351" s="10">
        <v>0</v>
      </c>
      <c r="T351" s="10">
        <v>1</v>
      </c>
      <c r="U351" s="10">
        <v>0</v>
      </c>
      <c r="V351" s="10">
        <v>0</v>
      </c>
      <c r="W351" s="10">
        <v>0</v>
      </c>
      <c r="X351" s="10"/>
      <c r="Y351" s="120">
        <v>30.3</v>
      </c>
      <c r="Z351" s="117" t="s">
        <v>678</v>
      </c>
      <c r="AA351" s="121">
        <v>30.3</v>
      </c>
      <c r="AB351" s="122"/>
      <c r="AC351" s="131">
        <v>0</v>
      </c>
      <c r="AD351" s="132">
        <v>28.933333333333334</v>
      </c>
      <c r="AE351" s="10"/>
      <c r="AF351" s="125" t="s">
        <v>1294</v>
      </c>
      <c r="AG351" s="125" t="s">
        <v>678</v>
      </c>
      <c r="AH351" s="126">
        <v>6.8</v>
      </c>
      <c r="AI351" s="117" t="s">
        <v>913</v>
      </c>
      <c r="AJ351" s="2"/>
      <c r="AK351" s="2"/>
      <c r="AL351" s="2"/>
      <c r="AM351" s="2"/>
      <c r="AN351" s="2"/>
    </row>
    <row r="352" spans="1:40" ht="12.75" x14ac:dyDescent="0.2">
      <c r="A352" s="117" t="s">
        <v>957</v>
      </c>
      <c r="B352" s="117" t="s">
        <v>677</v>
      </c>
      <c r="C352" s="117" t="s">
        <v>677</v>
      </c>
      <c r="D352" s="117" t="s">
        <v>677</v>
      </c>
      <c r="E352" s="117" t="s">
        <v>678</v>
      </c>
      <c r="F352" s="117" t="s">
        <v>677</v>
      </c>
      <c r="G352" s="117" t="s">
        <v>677</v>
      </c>
      <c r="H352" s="117" t="s">
        <v>677</v>
      </c>
      <c r="I352" s="117" t="s">
        <v>1016</v>
      </c>
      <c r="J352" s="117" t="s">
        <v>677</v>
      </c>
      <c r="K352" s="118">
        <f>2941/30</f>
        <v>98.033333333333331</v>
      </c>
      <c r="L352" s="118">
        <v>0</v>
      </c>
      <c r="M352" s="117" t="s">
        <v>1230</v>
      </c>
      <c r="N352" s="10"/>
      <c r="O352" s="117" t="s">
        <v>1322</v>
      </c>
      <c r="P352" s="117" t="s">
        <v>1006</v>
      </c>
      <c r="Q352" s="117" t="s">
        <v>949</v>
      </c>
      <c r="R352" s="119"/>
      <c r="S352" s="10">
        <v>1</v>
      </c>
      <c r="T352" s="10">
        <v>0</v>
      </c>
      <c r="U352" s="10">
        <v>0</v>
      </c>
      <c r="V352" s="10">
        <v>0</v>
      </c>
      <c r="W352" s="10">
        <v>0</v>
      </c>
      <c r="X352" s="10"/>
      <c r="Y352" s="120">
        <v>59.1</v>
      </c>
      <c r="Z352" s="117" t="s">
        <v>678</v>
      </c>
      <c r="AA352" s="121">
        <v>59.1</v>
      </c>
      <c r="AB352" s="123"/>
      <c r="AC352" s="122">
        <v>1</v>
      </c>
      <c r="AD352" s="128">
        <v>18.466666666666665</v>
      </c>
      <c r="AE352" s="10"/>
      <c r="AF352" s="125" t="s">
        <v>1460</v>
      </c>
      <c r="AG352" s="125" t="s">
        <v>678</v>
      </c>
      <c r="AH352" s="126">
        <v>0</v>
      </c>
      <c r="AI352" s="117" t="s">
        <v>1450</v>
      </c>
      <c r="AJ352" s="2"/>
      <c r="AK352" s="2"/>
      <c r="AL352" s="2"/>
      <c r="AM352" s="2"/>
      <c r="AN352" s="2"/>
    </row>
    <row r="353" spans="1:40" ht="12.75" x14ac:dyDescent="0.2">
      <c r="A353" s="117" t="s">
        <v>1048</v>
      </c>
      <c r="B353" s="117" t="s">
        <v>677</v>
      </c>
      <c r="C353" s="117" t="s">
        <v>677</v>
      </c>
      <c r="D353" s="117" t="s">
        <v>678</v>
      </c>
      <c r="E353" s="117" t="s">
        <v>677</v>
      </c>
      <c r="F353" s="117" t="s">
        <v>677</v>
      </c>
      <c r="G353" s="117" t="s">
        <v>677</v>
      </c>
      <c r="H353" s="117" t="s">
        <v>677</v>
      </c>
      <c r="I353" s="117" t="s">
        <v>1051</v>
      </c>
      <c r="J353" s="117" t="s">
        <v>678</v>
      </c>
      <c r="K353" s="118">
        <f>464/30</f>
        <v>15.466666666666667</v>
      </c>
      <c r="L353" s="118">
        <v>0</v>
      </c>
      <c r="M353" s="117" t="s">
        <v>1107</v>
      </c>
      <c r="N353" s="10"/>
      <c r="O353" s="117" t="s">
        <v>925</v>
      </c>
      <c r="P353" s="117" t="s">
        <v>1236</v>
      </c>
      <c r="Q353" s="117" t="s">
        <v>1371</v>
      </c>
      <c r="R353" s="119"/>
      <c r="S353" s="10">
        <v>0</v>
      </c>
      <c r="T353" s="10">
        <v>1</v>
      </c>
      <c r="U353" s="10">
        <v>0</v>
      </c>
      <c r="V353" s="10">
        <v>0</v>
      </c>
      <c r="W353" s="10">
        <v>0</v>
      </c>
      <c r="X353" s="10"/>
      <c r="Y353" s="120">
        <v>29.266666666666666</v>
      </c>
      <c r="Z353" s="127">
        <v>1</v>
      </c>
      <c r="AA353" s="121">
        <v>29.266666666666666</v>
      </c>
      <c r="AB353" s="123"/>
      <c r="AC353" s="122">
        <v>1</v>
      </c>
      <c r="AD353" s="128">
        <v>7.3666666666666663</v>
      </c>
      <c r="AE353" s="10"/>
      <c r="AF353" s="125" t="s">
        <v>1615</v>
      </c>
      <c r="AG353" s="125" t="s">
        <v>678</v>
      </c>
      <c r="AH353" s="126">
        <v>0</v>
      </c>
      <c r="AI353" s="117" t="s">
        <v>1054</v>
      </c>
      <c r="AJ353" s="2"/>
      <c r="AK353" s="2"/>
      <c r="AL353" s="2"/>
      <c r="AM353" s="2"/>
      <c r="AN353" s="2"/>
    </row>
    <row r="354" spans="1:40" ht="12.75" x14ac:dyDescent="0.2">
      <c r="A354" s="117" t="s">
        <v>899</v>
      </c>
      <c r="B354" s="117" t="s">
        <v>678</v>
      </c>
      <c r="C354" s="117" t="s">
        <v>677</v>
      </c>
      <c r="D354" s="117" t="s">
        <v>677</v>
      </c>
      <c r="E354" s="117" t="s">
        <v>678</v>
      </c>
      <c r="F354" s="117" t="s">
        <v>677</v>
      </c>
      <c r="G354" s="117" t="s">
        <v>677</v>
      </c>
      <c r="H354" s="117" t="s">
        <v>677</v>
      </c>
      <c r="I354" s="117" t="s">
        <v>1443</v>
      </c>
      <c r="J354" s="117" t="s">
        <v>678</v>
      </c>
      <c r="K354" s="118">
        <f>1070/30</f>
        <v>35.666666666666664</v>
      </c>
      <c r="L354" s="118">
        <v>0</v>
      </c>
      <c r="M354" s="117" t="s">
        <v>1637</v>
      </c>
      <c r="N354" s="10"/>
      <c r="O354" s="117" t="s">
        <v>984</v>
      </c>
      <c r="P354" s="117" t="s">
        <v>1034</v>
      </c>
      <c r="Q354" s="117" t="s">
        <v>889</v>
      </c>
      <c r="R354" s="119"/>
      <c r="S354" s="10">
        <v>0</v>
      </c>
      <c r="T354" s="10">
        <v>1</v>
      </c>
      <c r="U354" s="10">
        <v>0</v>
      </c>
      <c r="V354" s="10">
        <v>0</v>
      </c>
      <c r="W354" s="10">
        <v>0</v>
      </c>
      <c r="X354" s="10"/>
      <c r="Y354" s="120">
        <v>36.93333333333333</v>
      </c>
      <c r="Z354" s="117" t="s">
        <v>678</v>
      </c>
      <c r="AA354" s="121">
        <v>36.93333333333333</v>
      </c>
      <c r="AB354" s="122"/>
      <c r="AC354" s="122">
        <v>1</v>
      </c>
      <c r="AD354" s="128">
        <v>13.433333333333334</v>
      </c>
      <c r="AE354" s="10"/>
      <c r="AF354" s="125" t="s">
        <v>1242</v>
      </c>
      <c r="AG354" s="125" t="s">
        <v>678</v>
      </c>
      <c r="AH354" s="126">
        <v>0</v>
      </c>
      <c r="AI354" s="117" t="s">
        <v>1974</v>
      </c>
      <c r="AJ354" s="2"/>
      <c r="AK354" s="2"/>
      <c r="AL354" s="2"/>
      <c r="AM354" s="2"/>
      <c r="AN354" s="2"/>
    </row>
    <row r="355" spans="1:40" ht="12.75" x14ac:dyDescent="0.2">
      <c r="A355" s="117" t="s">
        <v>932</v>
      </c>
      <c r="B355" s="117" t="s">
        <v>677</v>
      </c>
      <c r="C355" s="117" t="s">
        <v>677</v>
      </c>
      <c r="D355" s="117" t="s">
        <v>678</v>
      </c>
      <c r="E355" s="117" t="s">
        <v>678</v>
      </c>
      <c r="F355" s="117" t="s">
        <v>678</v>
      </c>
      <c r="G355" s="117" t="s">
        <v>677</v>
      </c>
      <c r="H355" s="117" t="s">
        <v>677</v>
      </c>
      <c r="I355" s="117" t="s">
        <v>1096</v>
      </c>
      <c r="J355" s="117" t="s">
        <v>679</v>
      </c>
      <c r="K355" s="118" t="s">
        <v>674</v>
      </c>
      <c r="L355" s="118">
        <v>2</v>
      </c>
      <c r="M355" s="117" t="s">
        <v>1099</v>
      </c>
      <c r="N355" s="10"/>
      <c r="O355" s="117" t="s">
        <v>1098</v>
      </c>
      <c r="P355" s="117" t="s">
        <v>1097</v>
      </c>
      <c r="Q355" s="117" t="s">
        <v>966</v>
      </c>
      <c r="R355" s="119"/>
      <c r="S355" s="10">
        <v>1</v>
      </c>
      <c r="T355" s="10">
        <v>0</v>
      </c>
      <c r="U355" s="10">
        <v>0</v>
      </c>
      <c r="V355" s="10">
        <v>0</v>
      </c>
      <c r="W355" s="10">
        <v>0</v>
      </c>
      <c r="X355" s="10"/>
      <c r="Y355" s="120">
        <v>2.7</v>
      </c>
      <c r="Z355" s="117" t="s">
        <v>678</v>
      </c>
      <c r="AA355" s="121">
        <v>2.7</v>
      </c>
      <c r="AB355" s="123"/>
      <c r="AC355" s="123">
        <v>1</v>
      </c>
      <c r="AD355" s="124">
        <v>0.8</v>
      </c>
      <c r="AE355" s="10"/>
      <c r="AF355" s="125" t="s">
        <v>1100</v>
      </c>
      <c r="AG355" s="125" t="s">
        <v>677</v>
      </c>
      <c r="AH355" s="126">
        <v>60.6</v>
      </c>
      <c r="AI355" s="117" t="s">
        <v>2020</v>
      </c>
      <c r="AJ355" s="2"/>
      <c r="AK355" s="2"/>
      <c r="AL355" s="2"/>
      <c r="AM355" s="2"/>
      <c r="AN355" s="2"/>
    </row>
    <row r="356" spans="1:40" ht="12.75" x14ac:dyDescent="0.2">
      <c r="A356" s="117" t="s">
        <v>1409</v>
      </c>
      <c r="B356" s="117" t="s">
        <v>678</v>
      </c>
      <c r="C356" s="117" t="s">
        <v>677</v>
      </c>
      <c r="D356" s="117" t="s">
        <v>677</v>
      </c>
      <c r="E356" s="117" t="s">
        <v>678</v>
      </c>
      <c r="F356" s="117" t="s">
        <v>677</v>
      </c>
      <c r="G356" s="117" t="s">
        <v>677</v>
      </c>
      <c r="H356" s="117" t="s">
        <v>677</v>
      </c>
      <c r="I356" s="117" t="s">
        <v>999</v>
      </c>
      <c r="J356" s="117" t="s">
        <v>679</v>
      </c>
      <c r="K356" s="118">
        <f>6426/30</f>
        <v>214.2</v>
      </c>
      <c r="L356" s="118">
        <v>0</v>
      </c>
      <c r="M356" s="117" t="s">
        <v>1387</v>
      </c>
      <c r="N356" s="10"/>
      <c r="O356" s="117" t="s">
        <v>1198</v>
      </c>
      <c r="P356" s="117" t="s">
        <v>1047</v>
      </c>
      <c r="Q356" s="117" t="s">
        <v>1162</v>
      </c>
      <c r="R356" s="119"/>
      <c r="S356" s="10">
        <v>1</v>
      </c>
      <c r="T356" s="10">
        <v>0</v>
      </c>
      <c r="U356" s="10">
        <v>0</v>
      </c>
      <c r="V356" s="10">
        <v>0</v>
      </c>
      <c r="W356" s="10">
        <v>0</v>
      </c>
      <c r="X356" s="10"/>
      <c r="Y356" s="120">
        <v>29.866666666666667</v>
      </c>
      <c r="Z356" s="117" t="s">
        <v>678</v>
      </c>
      <c r="AA356" s="121">
        <v>29.866666666666667</v>
      </c>
      <c r="AB356" s="123"/>
      <c r="AC356" s="122">
        <v>1</v>
      </c>
      <c r="AD356" s="128">
        <v>5.5333333333333332</v>
      </c>
      <c r="AE356" s="10"/>
      <c r="AF356" s="125" t="s">
        <v>1461</v>
      </c>
      <c r="AG356" s="125" t="s">
        <v>678</v>
      </c>
      <c r="AH356" s="126">
        <v>0</v>
      </c>
      <c r="AI356" s="117" t="s">
        <v>1985</v>
      </c>
      <c r="AJ356" s="2"/>
      <c r="AK356" s="2"/>
      <c r="AL356" s="2"/>
      <c r="AM356" s="2"/>
      <c r="AN356" s="2"/>
    </row>
    <row r="357" spans="1:40" ht="12.75" x14ac:dyDescent="0.2">
      <c r="A357" s="117" t="s">
        <v>912</v>
      </c>
      <c r="B357" s="117" t="s">
        <v>678</v>
      </c>
      <c r="C357" s="117" t="s">
        <v>677</v>
      </c>
      <c r="D357" s="117" t="s">
        <v>678</v>
      </c>
      <c r="E357" s="117" t="s">
        <v>678</v>
      </c>
      <c r="F357" s="117" t="s">
        <v>677</v>
      </c>
      <c r="G357" s="117" t="s">
        <v>677</v>
      </c>
      <c r="H357" s="117" t="s">
        <v>677</v>
      </c>
      <c r="I357" s="117" t="s">
        <v>929</v>
      </c>
      <c r="J357" s="117" t="s">
        <v>678</v>
      </c>
      <c r="K357" s="118">
        <f>225/30</f>
        <v>7.5</v>
      </c>
      <c r="L357" s="118">
        <v>1</v>
      </c>
      <c r="M357" s="117" t="s">
        <v>1054</v>
      </c>
      <c r="N357" s="10"/>
      <c r="O357" s="117" t="s">
        <v>1212</v>
      </c>
      <c r="P357" s="117" t="s">
        <v>1018</v>
      </c>
      <c r="Q357" s="117" t="s">
        <v>1162</v>
      </c>
      <c r="R357" s="119"/>
      <c r="S357" s="10">
        <v>1</v>
      </c>
      <c r="T357" s="10">
        <v>0</v>
      </c>
      <c r="U357" s="10">
        <v>0</v>
      </c>
      <c r="V357" s="10">
        <v>0</v>
      </c>
      <c r="W357" s="10">
        <v>0</v>
      </c>
      <c r="X357" s="10"/>
      <c r="Y357" s="120">
        <v>37.4</v>
      </c>
      <c r="Z357" s="127">
        <v>1</v>
      </c>
      <c r="AA357" s="121">
        <v>37.4</v>
      </c>
      <c r="AB357" s="123"/>
      <c r="AC357" s="122">
        <v>1</v>
      </c>
      <c r="AD357" s="128">
        <v>7.4333333333333336</v>
      </c>
      <c r="AE357" s="10"/>
      <c r="AF357" s="125" t="s">
        <v>1616</v>
      </c>
      <c r="AG357" s="125" t="s">
        <v>678</v>
      </c>
      <c r="AH357" s="126">
        <v>0</v>
      </c>
      <c r="AI357" s="117" t="s">
        <v>2021</v>
      </c>
      <c r="AJ357" s="2"/>
      <c r="AK357" s="2"/>
      <c r="AL357" s="2"/>
      <c r="AM357" s="2"/>
      <c r="AN357" s="2"/>
    </row>
    <row r="358" spans="1:40" ht="12.75" x14ac:dyDescent="0.2">
      <c r="A358" s="117" t="s">
        <v>1136</v>
      </c>
      <c r="B358" s="117" t="s">
        <v>678</v>
      </c>
      <c r="C358" s="117" t="s">
        <v>678</v>
      </c>
      <c r="D358" s="117" t="s">
        <v>677</v>
      </c>
      <c r="E358" s="117" t="s">
        <v>678</v>
      </c>
      <c r="F358" s="117" t="s">
        <v>677</v>
      </c>
      <c r="G358" s="117" t="s">
        <v>678</v>
      </c>
      <c r="H358" s="117" t="s">
        <v>678</v>
      </c>
      <c r="I358" s="117" t="s">
        <v>1462</v>
      </c>
      <c r="J358" s="117" t="s">
        <v>678</v>
      </c>
      <c r="K358" s="118">
        <f>233/30</f>
        <v>7.7666666666666666</v>
      </c>
      <c r="L358" s="118">
        <v>1</v>
      </c>
      <c r="M358" s="117" t="s">
        <v>1139</v>
      </c>
      <c r="N358" s="10"/>
      <c r="O358" s="117" t="s">
        <v>1022</v>
      </c>
      <c r="P358" s="117" t="s">
        <v>1018</v>
      </c>
      <c r="Q358" s="117" t="s">
        <v>1199</v>
      </c>
      <c r="R358" s="119"/>
      <c r="S358" s="10">
        <v>1</v>
      </c>
      <c r="T358" s="10">
        <v>0</v>
      </c>
      <c r="U358" s="10">
        <v>0</v>
      </c>
      <c r="V358" s="10">
        <v>0</v>
      </c>
      <c r="W358" s="10">
        <v>0</v>
      </c>
      <c r="X358" s="10"/>
      <c r="Y358" s="120">
        <v>12.1</v>
      </c>
      <c r="Z358" s="117" t="s">
        <v>678</v>
      </c>
      <c r="AA358" s="121">
        <v>12.1</v>
      </c>
      <c r="AB358" s="122"/>
      <c r="AC358" s="123">
        <v>1</v>
      </c>
      <c r="AD358" s="124">
        <v>2.3333333333333335</v>
      </c>
      <c r="AE358" s="10"/>
      <c r="AF358" s="125" t="s">
        <v>1463</v>
      </c>
      <c r="AG358" s="125" t="s">
        <v>677</v>
      </c>
      <c r="AH358" s="126">
        <v>25.3</v>
      </c>
      <c r="AI358" s="117" t="s">
        <v>2019</v>
      </c>
      <c r="AJ358" s="2"/>
      <c r="AK358" s="2"/>
      <c r="AL358" s="2"/>
      <c r="AM358" s="2"/>
      <c r="AN358" s="2"/>
    </row>
    <row r="359" spans="1:40" ht="12.75" x14ac:dyDescent="0.2">
      <c r="A359" s="117" t="s">
        <v>1403</v>
      </c>
      <c r="B359" s="117" t="s">
        <v>677</v>
      </c>
      <c r="C359" s="117" t="s">
        <v>677</v>
      </c>
      <c r="D359" s="117" t="s">
        <v>677</v>
      </c>
      <c r="E359" s="117" t="s">
        <v>678</v>
      </c>
      <c r="F359" s="117" t="s">
        <v>677</v>
      </c>
      <c r="G359" s="117" t="s">
        <v>677</v>
      </c>
      <c r="H359" s="117" t="s">
        <v>677</v>
      </c>
      <c r="I359" s="117" t="s">
        <v>963</v>
      </c>
      <c r="J359" s="117" t="s">
        <v>678</v>
      </c>
      <c r="K359" s="118" t="s">
        <v>674</v>
      </c>
      <c r="L359" s="118">
        <v>2</v>
      </c>
      <c r="M359" s="117" t="s">
        <v>1465</v>
      </c>
      <c r="N359" s="10"/>
      <c r="O359" s="117" t="s">
        <v>1184</v>
      </c>
      <c r="P359" s="117" t="s">
        <v>991</v>
      </c>
      <c r="Q359" s="117" t="s">
        <v>1012</v>
      </c>
      <c r="R359" s="119"/>
      <c r="S359" s="10">
        <v>0</v>
      </c>
      <c r="T359" s="10">
        <v>1</v>
      </c>
      <c r="U359" s="10">
        <v>0</v>
      </c>
      <c r="V359" s="10">
        <v>0</v>
      </c>
      <c r="W359" s="10">
        <v>0</v>
      </c>
      <c r="X359" s="10"/>
      <c r="Y359" s="120">
        <v>13.633333333333333</v>
      </c>
      <c r="Z359" s="127">
        <v>1</v>
      </c>
      <c r="AA359" s="121">
        <v>13.633333333333333</v>
      </c>
      <c r="AB359" s="122"/>
      <c r="AC359" s="123">
        <v>1</v>
      </c>
      <c r="AD359" s="124">
        <v>6.3</v>
      </c>
      <c r="AE359" s="10"/>
      <c r="AF359" s="125" t="s">
        <v>1466</v>
      </c>
      <c r="AG359" s="125" t="s">
        <v>678</v>
      </c>
      <c r="AH359" s="126">
        <v>0</v>
      </c>
      <c r="AI359" s="117" t="s">
        <v>1967</v>
      </c>
      <c r="AJ359" s="2"/>
      <c r="AK359" s="2"/>
      <c r="AL359" s="2"/>
      <c r="AM359" s="2"/>
      <c r="AN359" s="2"/>
    </row>
    <row r="360" spans="1:40" ht="12.75" x14ac:dyDescent="0.2">
      <c r="A360" s="117" t="s">
        <v>1468</v>
      </c>
      <c r="B360" s="117" t="s">
        <v>677</v>
      </c>
      <c r="C360" s="117" t="s">
        <v>677</v>
      </c>
      <c r="D360" s="117" t="s">
        <v>678</v>
      </c>
      <c r="E360" s="117" t="s">
        <v>678</v>
      </c>
      <c r="F360" s="117" t="s">
        <v>678</v>
      </c>
      <c r="G360" s="117" t="s">
        <v>678</v>
      </c>
      <c r="H360" s="117" t="s">
        <v>677</v>
      </c>
      <c r="I360" s="117" t="s">
        <v>909</v>
      </c>
      <c r="J360" s="117" t="s">
        <v>679</v>
      </c>
      <c r="K360" s="118">
        <f>231/30</f>
        <v>7.7</v>
      </c>
      <c r="L360" s="118">
        <v>1</v>
      </c>
      <c r="M360" s="117" t="s">
        <v>1470</v>
      </c>
      <c r="N360" s="10"/>
      <c r="O360" s="117" t="s">
        <v>1160</v>
      </c>
      <c r="P360" s="117" t="s">
        <v>1469</v>
      </c>
      <c r="Q360" s="117" t="s">
        <v>1468</v>
      </c>
      <c r="R360" s="119"/>
      <c r="S360" s="10">
        <v>0</v>
      </c>
      <c r="T360" s="10">
        <v>1</v>
      </c>
      <c r="U360" s="10">
        <v>0</v>
      </c>
      <c r="V360" s="10">
        <v>0</v>
      </c>
      <c r="W360" s="10">
        <v>0</v>
      </c>
      <c r="X360" s="10"/>
      <c r="Y360" s="120">
        <v>9.5333333333333332</v>
      </c>
      <c r="Z360" s="127">
        <v>1</v>
      </c>
      <c r="AA360" s="121">
        <v>9.5333333333333332</v>
      </c>
      <c r="AB360" s="123"/>
      <c r="AC360" s="122">
        <v>1</v>
      </c>
      <c r="AD360" s="128">
        <v>2.7666666666666666</v>
      </c>
      <c r="AE360" s="10"/>
      <c r="AF360" s="125" t="s">
        <v>1471</v>
      </c>
      <c r="AG360" s="125" t="s">
        <v>678</v>
      </c>
      <c r="AH360" s="126">
        <v>55.1</v>
      </c>
      <c r="AI360" s="117" t="s">
        <v>2023</v>
      </c>
      <c r="AJ360" s="2"/>
      <c r="AK360" s="2"/>
      <c r="AL360" s="2"/>
      <c r="AM360" s="2"/>
      <c r="AN360" s="2"/>
    </row>
    <row r="361" spans="1:40" ht="12.75" x14ac:dyDescent="0.2">
      <c r="A361" s="117" t="s">
        <v>1433</v>
      </c>
      <c r="B361" s="117" t="s">
        <v>677</v>
      </c>
      <c r="C361" s="117" t="s">
        <v>677</v>
      </c>
      <c r="D361" s="117" t="s">
        <v>677</v>
      </c>
      <c r="E361" s="117" t="s">
        <v>678</v>
      </c>
      <c r="F361" s="117" t="s">
        <v>677</v>
      </c>
      <c r="G361" s="117" t="s">
        <v>677</v>
      </c>
      <c r="H361" s="117" t="s">
        <v>677</v>
      </c>
      <c r="I361" s="117" t="s">
        <v>929</v>
      </c>
      <c r="J361" s="117" t="s">
        <v>677</v>
      </c>
      <c r="K361" s="118">
        <f>751/30</f>
        <v>25.033333333333335</v>
      </c>
      <c r="L361" s="118">
        <v>0</v>
      </c>
      <c r="M361" s="117" t="s">
        <v>1474</v>
      </c>
      <c r="N361" s="10"/>
      <c r="O361" s="117" t="s">
        <v>1146</v>
      </c>
      <c r="P361" s="117" t="s">
        <v>1473</v>
      </c>
      <c r="Q361" s="117" t="s">
        <v>1012</v>
      </c>
      <c r="R361" s="119"/>
      <c r="S361" s="10">
        <v>1</v>
      </c>
      <c r="T361" s="10">
        <v>0</v>
      </c>
      <c r="U361" s="10">
        <v>0</v>
      </c>
      <c r="V361" s="10">
        <v>0</v>
      </c>
      <c r="W361" s="10">
        <v>0</v>
      </c>
      <c r="X361" s="10"/>
      <c r="Y361" s="120">
        <v>26.1</v>
      </c>
      <c r="Z361" s="127">
        <v>1</v>
      </c>
      <c r="AA361" s="121">
        <v>26.1</v>
      </c>
      <c r="AB361" s="122"/>
      <c r="AC361" s="122">
        <v>1</v>
      </c>
      <c r="AD361" s="128">
        <v>0.9</v>
      </c>
      <c r="AE361" s="10"/>
      <c r="AF361" s="125" t="s">
        <v>1475</v>
      </c>
      <c r="AG361" s="125" t="s">
        <v>677</v>
      </c>
      <c r="AH361" s="126">
        <v>0</v>
      </c>
      <c r="AI361" s="117" t="s">
        <v>1540</v>
      </c>
      <c r="AJ361" s="2"/>
      <c r="AK361" s="2"/>
      <c r="AL361" s="2"/>
      <c r="AM361" s="2"/>
      <c r="AN361" s="2"/>
    </row>
    <row r="362" spans="1:40" ht="12.75" x14ac:dyDescent="0.2">
      <c r="A362" s="117" t="s">
        <v>1411</v>
      </c>
      <c r="B362" s="117" t="s">
        <v>678</v>
      </c>
      <c r="C362" s="117" t="s">
        <v>677</v>
      </c>
      <c r="D362" s="117" t="s">
        <v>677</v>
      </c>
      <c r="E362" s="117" t="s">
        <v>678</v>
      </c>
      <c r="F362" s="117" t="s">
        <v>677</v>
      </c>
      <c r="G362" s="117" t="s">
        <v>677</v>
      </c>
      <c r="H362" s="117" t="s">
        <v>677</v>
      </c>
      <c r="I362" s="117" t="s">
        <v>1026</v>
      </c>
      <c r="J362" s="117" t="s">
        <v>677</v>
      </c>
      <c r="K362" s="118">
        <f>416/30</f>
        <v>13.866666666666667</v>
      </c>
      <c r="L362" s="118">
        <v>0</v>
      </c>
      <c r="M362" s="117" t="s">
        <v>1476</v>
      </c>
      <c r="N362" s="10"/>
      <c r="O362" s="117" t="s">
        <v>943</v>
      </c>
      <c r="P362" s="117" t="s">
        <v>1018</v>
      </c>
      <c r="Q362" s="117" t="s">
        <v>1023</v>
      </c>
      <c r="R362" s="119"/>
      <c r="S362" s="10">
        <v>0</v>
      </c>
      <c r="T362" s="10">
        <v>1</v>
      </c>
      <c r="U362" s="10">
        <v>0</v>
      </c>
      <c r="V362" s="10">
        <v>0</v>
      </c>
      <c r="W362" s="10">
        <v>0</v>
      </c>
      <c r="X362" s="10"/>
      <c r="Y362" s="120">
        <v>39.43333333333333</v>
      </c>
      <c r="Z362" s="117" t="s">
        <v>678</v>
      </c>
      <c r="AA362" s="121">
        <v>39.43333333333333</v>
      </c>
      <c r="AB362" s="122"/>
      <c r="AC362" s="122">
        <v>1</v>
      </c>
      <c r="AD362" s="128">
        <v>15.4</v>
      </c>
      <c r="AE362" s="10"/>
      <c r="AF362" s="125" t="s">
        <v>914</v>
      </c>
      <c r="AG362" s="125" t="s">
        <v>678</v>
      </c>
      <c r="AH362" s="126">
        <v>8.6</v>
      </c>
      <c r="AI362" s="117" t="s">
        <v>1995</v>
      </c>
      <c r="AJ362" s="2"/>
      <c r="AK362" s="2"/>
      <c r="AL362" s="2"/>
      <c r="AM362" s="2"/>
      <c r="AN362" s="2"/>
    </row>
    <row r="363" spans="1:40" ht="12.75" x14ac:dyDescent="0.2">
      <c r="A363" s="117" t="s">
        <v>2024</v>
      </c>
      <c r="B363" s="117" t="s">
        <v>677</v>
      </c>
      <c r="C363" s="117" t="s">
        <v>677</v>
      </c>
      <c r="D363" s="117" t="s">
        <v>678</v>
      </c>
      <c r="E363" s="117" t="s">
        <v>678</v>
      </c>
      <c r="F363" s="117" t="s">
        <v>678</v>
      </c>
      <c r="G363" s="117" t="s">
        <v>677</v>
      </c>
      <c r="H363" s="117" t="s">
        <v>677</v>
      </c>
      <c r="I363" s="117" t="s">
        <v>929</v>
      </c>
      <c r="J363" s="117" t="s">
        <v>678</v>
      </c>
      <c r="K363" s="118">
        <f>2556/30</f>
        <v>85.2</v>
      </c>
      <c r="L363" s="118">
        <v>0</v>
      </c>
      <c r="M363" s="117" t="s">
        <v>2025</v>
      </c>
      <c r="N363" s="10"/>
      <c r="O363" s="117" t="s">
        <v>2026</v>
      </c>
      <c r="P363" s="117" t="s">
        <v>1064</v>
      </c>
      <c r="Q363" s="117" t="s">
        <v>893</v>
      </c>
      <c r="R363" s="119"/>
      <c r="S363" s="10">
        <v>1</v>
      </c>
      <c r="T363" s="10">
        <v>0</v>
      </c>
      <c r="U363" s="10">
        <v>0</v>
      </c>
      <c r="V363" s="10">
        <v>0</v>
      </c>
      <c r="W363" s="10">
        <v>0</v>
      </c>
      <c r="X363" s="10"/>
      <c r="Y363" s="129">
        <v>13.133333333333333</v>
      </c>
      <c r="Z363" s="117" t="s">
        <v>678</v>
      </c>
      <c r="AA363" s="130">
        <v>13.133333333333333</v>
      </c>
      <c r="AB363" s="122"/>
      <c r="AC363" s="123">
        <v>1</v>
      </c>
      <c r="AD363" s="124">
        <v>13.133333333333333</v>
      </c>
      <c r="AE363" s="10"/>
      <c r="AF363" s="125" t="s">
        <v>2028</v>
      </c>
      <c r="AG363" s="125" t="s">
        <v>677</v>
      </c>
      <c r="AH363" s="126">
        <v>23</v>
      </c>
      <c r="AI363" s="117" t="s">
        <v>2027</v>
      </c>
      <c r="AJ363" s="2"/>
      <c r="AK363" s="2"/>
      <c r="AL363" s="2"/>
      <c r="AM363" s="2"/>
      <c r="AN363" s="2"/>
    </row>
    <row r="364" spans="1:40" ht="12.75" x14ac:dyDescent="0.2">
      <c r="A364" s="117" t="s">
        <v>1477</v>
      </c>
      <c r="B364" s="117" t="s">
        <v>677</v>
      </c>
      <c r="C364" s="117" t="s">
        <v>677</v>
      </c>
      <c r="D364" s="117" t="s">
        <v>678</v>
      </c>
      <c r="E364" s="117" t="s">
        <v>677</v>
      </c>
      <c r="F364" s="117" t="s">
        <v>677</v>
      </c>
      <c r="G364" s="117" t="s">
        <v>677</v>
      </c>
      <c r="H364" s="117" t="s">
        <v>677</v>
      </c>
      <c r="I364" s="117" t="s">
        <v>1443</v>
      </c>
      <c r="J364" s="117" t="s">
        <v>677</v>
      </c>
      <c r="K364" s="118">
        <f>1342/30</f>
        <v>44.733333333333334</v>
      </c>
      <c r="L364" s="118">
        <v>0</v>
      </c>
      <c r="M364" s="117" t="s">
        <v>1478</v>
      </c>
      <c r="N364" s="10"/>
      <c r="O364" s="117" t="s">
        <v>1156</v>
      </c>
      <c r="P364" s="117" t="s">
        <v>910</v>
      </c>
      <c r="Q364" s="117" t="s">
        <v>932</v>
      </c>
      <c r="R364" s="119"/>
      <c r="S364" s="10">
        <v>1</v>
      </c>
      <c r="T364" s="10">
        <v>0</v>
      </c>
      <c r="U364" s="10">
        <v>0</v>
      </c>
      <c r="V364" s="10">
        <v>0</v>
      </c>
      <c r="W364" s="10">
        <v>0</v>
      </c>
      <c r="X364" s="10"/>
      <c r="Y364" s="120">
        <v>41.133333333333333</v>
      </c>
      <c r="Z364" s="117" t="s">
        <v>678</v>
      </c>
      <c r="AA364" s="121">
        <v>41.133333333333333</v>
      </c>
      <c r="AB364" s="123"/>
      <c r="AC364" s="123">
        <v>1</v>
      </c>
      <c r="AD364" s="124">
        <v>3.6333333333333333</v>
      </c>
      <c r="AE364" s="10"/>
      <c r="AF364" s="125" t="s">
        <v>1479</v>
      </c>
      <c r="AG364" s="125" t="s">
        <v>678</v>
      </c>
      <c r="AH364" s="126">
        <v>0</v>
      </c>
      <c r="AI364" s="117" t="s">
        <v>1325</v>
      </c>
      <c r="AJ364" s="2"/>
      <c r="AK364" s="2"/>
      <c r="AL364" s="2"/>
      <c r="AM364" s="2"/>
      <c r="AN364" s="2"/>
    </row>
    <row r="365" spans="1:40" ht="12.75" x14ac:dyDescent="0.2">
      <c r="A365" s="117" t="s">
        <v>1480</v>
      </c>
      <c r="B365" s="117" t="s">
        <v>677</v>
      </c>
      <c r="C365" s="117" t="s">
        <v>677</v>
      </c>
      <c r="D365" s="117" t="s">
        <v>677</v>
      </c>
      <c r="E365" s="117" t="s">
        <v>678</v>
      </c>
      <c r="F365" s="117" t="s">
        <v>677</v>
      </c>
      <c r="G365" s="117" t="s">
        <v>677</v>
      </c>
      <c r="H365" s="117" t="s">
        <v>677</v>
      </c>
      <c r="I365" s="117" t="s">
        <v>1041</v>
      </c>
      <c r="J365" s="117" t="s">
        <v>679</v>
      </c>
      <c r="K365" s="118">
        <f>687/30</f>
        <v>22.9</v>
      </c>
      <c r="L365" s="118">
        <v>0</v>
      </c>
      <c r="M365" s="117" t="s">
        <v>1481</v>
      </c>
      <c r="N365" s="10"/>
      <c r="O365" s="117" t="s">
        <v>1113</v>
      </c>
      <c r="P365" s="117" t="s">
        <v>1328</v>
      </c>
      <c r="Q365" s="117" t="s">
        <v>1199</v>
      </c>
      <c r="R365" s="119"/>
      <c r="S365" s="10">
        <v>0</v>
      </c>
      <c r="T365" s="10">
        <v>1</v>
      </c>
      <c r="U365" s="10">
        <v>0</v>
      </c>
      <c r="V365" s="10">
        <v>0</v>
      </c>
      <c r="W365" s="10">
        <v>0</v>
      </c>
      <c r="X365" s="10"/>
      <c r="Y365" s="120">
        <v>3.4</v>
      </c>
      <c r="Z365" s="117" t="s">
        <v>678</v>
      </c>
      <c r="AA365" s="121">
        <v>3.4</v>
      </c>
      <c r="AB365" s="122"/>
      <c r="AC365" s="122">
        <v>1</v>
      </c>
      <c r="AD365" s="128">
        <v>1.8666666666666667</v>
      </c>
      <c r="AE365" s="10"/>
      <c r="AF365" s="125" t="s">
        <v>1482</v>
      </c>
      <c r="AG365" s="125" t="s">
        <v>677</v>
      </c>
      <c r="AH365" s="126">
        <v>40</v>
      </c>
      <c r="AI365" s="117" t="s">
        <v>2029</v>
      </c>
      <c r="AJ365" s="2"/>
      <c r="AK365" s="2"/>
      <c r="AL365" s="2"/>
      <c r="AM365" s="2"/>
      <c r="AN365" s="2"/>
    </row>
    <row r="366" spans="1:40" ht="12.75" x14ac:dyDescent="0.2">
      <c r="A366" s="116" t="s">
        <v>1101</v>
      </c>
      <c r="B366" s="117" t="s">
        <v>677</v>
      </c>
      <c r="C366" s="117" t="s">
        <v>677</v>
      </c>
      <c r="D366" s="117" t="s">
        <v>678</v>
      </c>
      <c r="E366" s="117" t="s">
        <v>677</v>
      </c>
      <c r="F366" s="117" t="s">
        <v>677</v>
      </c>
      <c r="G366" s="117" t="s">
        <v>677</v>
      </c>
      <c r="H366" s="117" t="s">
        <v>677</v>
      </c>
      <c r="I366" s="117" t="s">
        <v>1102</v>
      </c>
      <c r="J366" s="117" t="s">
        <v>678</v>
      </c>
      <c r="K366" s="118" t="s">
        <v>674</v>
      </c>
      <c r="L366" s="118">
        <v>2</v>
      </c>
      <c r="M366" s="117" t="s">
        <v>1104</v>
      </c>
      <c r="N366" s="10"/>
      <c r="O366" s="117" t="s">
        <v>1103</v>
      </c>
      <c r="P366" s="117" t="s">
        <v>924</v>
      </c>
      <c r="Q366" s="117" t="s">
        <v>926</v>
      </c>
      <c r="R366" s="119"/>
      <c r="S366" s="10">
        <v>0</v>
      </c>
      <c r="T366" s="10">
        <v>1</v>
      </c>
      <c r="U366" s="10">
        <v>0</v>
      </c>
      <c r="V366" s="10">
        <v>0</v>
      </c>
      <c r="W366" s="10">
        <v>0</v>
      </c>
      <c r="X366" s="10"/>
      <c r="Y366" s="120">
        <v>57.56666666666667</v>
      </c>
      <c r="Z366" s="117" t="s">
        <v>677</v>
      </c>
      <c r="AA366" s="121">
        <v>57.56666666666667</v>
      </c>
      <c r="AB366" s="123"/>
      <c r="AC366" s="123">
        <v>0</v>
      </c>
      <c r="AD366" s="124">
        <v>47.366666666666667</v>
      </c>
      <c r="AE366" s="10"/>
      <c r="AF366" s="125" t="s">
        <v>891</v>
      </c>
      <c r="AG366" s="125" t="s">
        <v>678</v>
      </c>
      <c r="AH366" s="126">
        <v>0</v>
      </c>
      <c r="AI366" s="117" t="s">
        <v>1419</v>
      </c>
      <c r="AJ366" s="2"/>
      <c r="AK366" s="2"/>
      <c r="AL366" s="2"/>
      <c r="AM366" s="2"/>
      <c r="AN366" s="2"/>
    </row>
    <row r="367" spans="1:40" ht="12.75" x14ac:dyDescent="0.2">
      <c r="A367" s="117" t="s">
        <v>1483</v>
      </c>
      <c r="B367" s="117" t="s">
        <v>677</v>
      </c>
      <c r="C367" s="117" t="s">
        <v>677</v>
      </c>
      <c r="D367" s="117" t="s">
        <v>677</v>
      </c>
      <c r="E367" s="117" t="s">
        <v>678</v>
      </c>
      <c r="F367" s="117" t="s">
        <v>677</v>
      </c>
      <c r="G367" s="117" t="s">
        <v>677</v>
      </c>
      <c r="H367" s="117" t="s">
        <v>677</v>
      </c>
      <c r="I367" s="117" t="s">
        <v>1026</v>
      </c>
      <c r="J367" s="117" t="s">
        <v>677</v>
      </c>
      <c r="K367" s="118">
        <f>685/30</f>
        <v>22.833333333333332</v>
      </c>
      <c r="L367" s="118">
        <v>0</v>
      </c>
      <c r="M367" s="117" t="s">
        <v>1054</v>
      </c>
      <c r="N367" s="10"/>
      <c r="O367" s="117" t="s">
        <v>1286</v>
      </c>
      <c r="P367" s="117" t="s">
        <v>1047</v>
      </c>
      <c r="Q367" s="117" t="s">
        <v>889</v>
      </c>
      <c r="R367" s="119"/>
      <c r="S367" s="10">
        <v>1</v>
      </c>
      <c r="T367" s="10">
        <v>0</v>
      </c>
      <c r="U367" s="10">
        <v>0</v>
      </c>
      <c r="V367" s="10">
        <v>0</v>
      </c>
      <c r="W367" s="10">
        <v>0</v>
      </c>
      <c r="X367" s="10"/>
      <c r="Y367" s="120">
        <v>57.466666666666669</v>
      </c>
      <c r="Z367" s="117" t="s">
        <v>677</v>
      </c>
      <c r="AA367" s="121">
        <v>57.466666666666669</v>
      </c>
      <c r="AB367" s="123"/>
      <c r="AC367" s="123">
        <v>0</v>
      </c>
      <c r="AD367" s="124">
        <v>22.4</v>
      </c>
      <c r="AE367" s="10"/>
      <c r="AF367" s="125" t="s">
        <v>1242</v>
      </c>
      <c r="AG367" s="125" t="s">
        <v>678</v>
      </c>
      <c r="AH367" s="126">
        <v>7.7</v>
      </c>
      <c r="AI367" s="117" t="s">
        <v>1982</v>
      </c>
      <c r="AJ367" s="2"/>
      <c r="AK367" s="2"/>
      <c r="AL367" s="2"/>
      <c r="AM367" s="2"/>
      <c r="AN367" s="2"/>
    </row>
    <row r="368" spans="1:40" ht="12.75" x14ac:dyDescent="0.2">
      <c r="A368" s="116" t="s">
        <v>1105</v>
      </c>
      <c r="B368" s="117" t="s">
        <v>678</v>
      </c>
      <c r="C368" s="117" t="s">
        <v>677</v>
      </c>
      <c r="D368" s="117" t="s">
        <v>677</v>
      </c>
      <c r="E368" s="117" t="s">
        <v>678</v>
      </c>
      <c r="F368" s="117" t="s">
        <v>677</v>
      </c>
      <c r="G368" s="117" t="s">
        <v>677</v>
      </c>
      <c r="H368" s="117" t="s">
        <v>677</v>
      </c>
      <c r="I368" s="117" t="s">
        <v>929</v>
      </c>
      <c r="J368" s="117" t="s">
        <v>679</v>
      </c>
      <c r="K368" s="118">
        <f>313/30</f>
        <v>10.433333333333334</v>
      </c>
      <c r="L368" s="118">
        <v>1</v>
      </c>
      <c r="M368" s="117" t="s">
        <v>1107</v>
      </c>
      <c r="N368" s="10"/>
      <c r="O368" s="117" t="s">
        <v>994</v>
      </c>
      <c r="P368" s="117" t="s">
        <v>1106</v>
      </c>
      <c r="Q368" s="117" t="s">
        <v>926</v>
      </c>
      <c r="R368" s="119"/>
      <c r="S368" s="10">
        <v>0</v>
      </c>
      <c r="T368" s="10">
        <v>1</v>
      </c>
      <c r="U368" s="10">
        <v>0</v>
      </c>
      <c r="V368" s="10">
        <v>0</v>
      </c>
      <c r="W368" s="10">
        <v>0</v>
      </c>
      <c r="X368" s="10"/>
      <c r="Y368" s="120">
        <v>30.266666666666666</v>
      </c>
      <c r="Z368" s="117" t="s">
        <v>678</v>
      </c>
      <c r="AA368" s="121">
        <v>30.266666666666666</v>
      </c>
      <c r="AB368" s="123"/>
      <c r="AC368" s="123">
        <v>1</v>
      </c>
      <c r="AD368" s="124">
        <v>26.466666666666665</v>
      </c>
      <c r="AE368" s="10"/>
      <c r="AF368" s="125" t="s">
        <v>1108</v>
      </c>
      <c r="AG368" s="125" t="s">
        <v>678</v>
      </c>
      <c r="AH368" s="126">
        <v>11.3</v>
      </c>
      <c r="AI368" s="117" t="s">
        <v>2030</v>
      </c>
      <c r="AJ368" s="2"/>
      <c r="AK368" s="2"/>
      <c r="AL368" s="2"/>
      <c r="AM368" s="2"/>
      <c r="AN368" s="2"/>
    </row>
    <row r="369" spans="1:40" ht="12.75" x14ac:dyDescent="0.2">
      <c r="A369" s="117" t="s">
        <v>1484</v>
      </c>
      <c r="B369" s="117" t="s">
        <v>678</v>
      </c>
      <c r="C369" s="117" t="s">
        <v>677</v>
      </c>
      <c r="D369" s="117" t="s">
        <v>677</v>
      </c>
      <c r="E369" s="117" t="s">
        <v>678</v>
      </c>
      <c r="F369" s="117" t="s">
        <v>677</v>
      </c>
      <c r="G369" s="117" t="s">
        <v>677</v>
      </c>
      <c r="H369" s="117" t="s">
        <v>677</v>
      </c>
      <c r="I369" s="117" t="s">
        <v>970</v>
      </c>
      <c r="J369" s="117" t="s">
        <v>679</v>
      </c>
      <c r="K369" s="118">
        <f>413/30</f>
        <v>13.766666666666667</v>
      </c>
      <c r="L369" s="118">
        <v>0</v>
      </c>
      <c r="M369" s="117" t="s">
        <v>1350</v>
      </c>
      <c r="N369" s="10"/>
      <c r="O369" s="117" t="s">
        <v>1156</v>
      </c>
      <c r="P369" s="117" t="s">
        <v>1485</v>
      </c>
      <c r="Q369" s="117" t="s">
        <v>893</v>
      </c>
      <c r="R369" s="119"/>
      <c r="S369" s="10">
        <v>0</v>
      </c>
      <c r="T369" s="10">
        <v>1</v>
      </c>
      <c r="U369" s="10">
        <v>0</v>
      </c>
      <c r="V369" s="10">
        <v>0</v>
      </c>
      <c r="W369" s="10">
        <v>0</v>
      </c>
      <c r="X369" s="10"/>
      <c r="Y369" s="120">
        <v>27.8</v>
      </c>
      <c r="Z369" s="127">
        <v>1</v>
      </c>
      <c r="AA369" s="121">
        <v>27.8</v>
      </c>
      <c r="AB369" s="123"/>
      <c r="AC369" s="122">
        <v>1</v>
      </c>
      <c r="AD369" s="128">
        <v>11.9</v>
      </c>
      <c r="AE369" s="10"/>
      <c r="AF369" s="125" t="s">
        <v>987</v>
      </c>
      <c r="AG369" s="125" t="s">
        <v>678</v>
      </c>
      <c r="AH369" s="126">
        <v>32.6</v>
      </c>
      <c r="AI369" s="117" t="s">
        <v>2031</v>
      </c>
      <c r="AJ369" s="2"/>
      <c r="AK369" s="2"/>
      <c r="AL369" s="2"/>
      <c r="AM369" s="2"/>
      <c r="AN369" s="2"/>
    </row>
    <row r="370" spans="1:40" ht="12.75" x14ac:dyDescent="0.2">
      <c r="A370" s="117" t="s">
        <v>1110</v>
      </c>
      <c r="B370" s="117" t="s">
        <v>678</v>
      </c>
      <c r="C370" s="117" t="s">
        <v>677</v>
      </c>
      <c r="D370" s="117" t="s">
        <v>677</v>
      </c>
      <c r="E370" s="117" t="s">
        <v>678</v>
      </c>
      <c r="F370" s="117" t="s">
        <v>677</v>
      </c>
      <c r="G370" s="117" t="s">
        <v>678</v>
      </c>
      <c r="H370" s="117" t="s">
        <v>677</v>
      </c>
      <c r="I370" s="117" t="s">
        <v>1041</v>
      </c>
      <c r="J370" s="117" t="s">
        <v>678</v>
      </c>
      <c r="K370" s="118">
        <f>604/30</f>
        <v>20.133333333333333</v>
      </c>
      <c r="L370" s="118">
        <v>0</v>
      </c>
      <c r="M370" s="117" t="s">
        <v>1111</v>
      </c>
      <c r="N370" s="10"/>
      <c r="O370" s="117" t="s">
        <v>984</v>
      </c>
      <c r="P370" s="117" t="s">
        <v>930</v>
      </c>
      <c r="Q370" s="117" t="s">
        <v>1043</v>
      </c>
      <c r="R370" s="119"/>
      <c r="S370" s="10">
        <v>1</v>
      </c>
      <c r="T370" s="10">
        <v>0</v>
      </c>
      <c r="U370" s="10">
        <v>0</v>
      </c>
      <c r="V370" s="10">
        <v>0</v>
      </c>
      <c r="W370" s="10">
        <v>0</v>
      </c>
      <c r="X370" s="10"/>
      <c r="Y370" s="120">
        <v>19.166666666666668</v>
      </c>
      <c r="Z370" s="117" t="s">
        <v>678</v>
      </c>
      <c r="AA370" s="121">
        <v>19.166666666666668</v>
      </c>
      <c r="AB370" s="123"/>
      <c r="AC370" s="122">
        <v>1</v>
      </c>
      <c r="AD370" s="128">
        <v>11.866666666666667</v>
      </c>
      <c r="AE370" s="10"/>
      <c r="AF370" s="125" t="s">
        <v>1095</v>
      </c>
      <c r="AG370" s="125" t="s">
        <v>678</v>
      </c>
      <c r="AH370" s="126">
        <v>2</v>
      </c>
      <c r="AI370" s="117" t="s">
        <v>1986</v>
      </c>
      <c r="AJ370" s="2"/>
      <c r="AK370" s="2"/>
      <c r="AL370" s="2"/>
      <c r="AM370" s="2"/>
      <c r="AN370" s="2"/>
    </row>
    <row r="371" spans="1:40" ht="12.75" x14ac:dyDescent="0.2">
      <c r="A371" s="117" t="s">
        <v>1112</v>
      </c>
      <c r="B371" s="117" t="s">
        <v>678</v>
      </c>
      <c r="C371" s="117" t="s">
        <v>677</v>
      </c>
      <c r="D371" s="117" t="s">
        <v>677</v>
      </c>
      <c r="E371" s="117" t="s">
        <v>678</v>
      </c>
      <c r="F371" s="117" t="s">
        <v>677</v>
      </c>
      <c r="G371" s="117" t="s">
        <v>677</v>
      </c>
      <c r="H371" s="117" t="s">
        <v>677</v>
      </c>
      <c r="I371" s="117" t="s">
        <v>909</v>
      </c>
      <c r="J371" s="117" t="s">
        <v>678</v>
      </c>
      <c r="K371" s="118">
        <f>103/30</f>
        <v>3.4333333333333331</v>
      </c>
      <c r="L371" s="118">
        <v>1</v>
      </c>
      <c r="M371" s="117" t="s">
        <v>1114</v>
      </c>
      <c r="N371" s="10"/>
      <c r="O371" s="117" t="s">
        <v>1113</v>
      </c>
      <c r="P371" s="117" t="s">
        <v>1001</v>
      </c>
      <c r="Q371" s="117" t="s">
        <v>889</v>
      </c>
      <c r="R371" s="119"/>
      <c r="S371" s="10">
        <v>0</v>
      </c>
      <c r="T371" s="10">
        <v>1</v>
      </c>
      <c r="U371" s="10">
        <v>0</v>
      </c>
      <c r="V371" s="10">
        <v>0</v>
      </c>
      <c r="W371" s="10">
        <v>0</v>
      </c>
      <c r="X371" s="10"/>
      <c r="Y371" s="120">
        <v>8.5333333333333332</v>
      </c>
      <c r="Z371" s="117" t="s">
        <v>678</v>
      </c>
      <c r="AA371" s="121">
        <v>8.5333333333333332</v>
      </c>
      <c r="AB371" s="122"/>
      <c r="AC371" s="123">
        <v>1</v>
      </c>
      <c r="AD371" s="124">
        <v>1.5</v>
      </c>
      <c r="AE371" s="10"/>
      <c r="AF371" s="125" t="s">
        <v>1115</v>
      </c>
      <c r="AG371" s="125" t="s">
        <v>678</v>
      </c>
      <c r="AH371" s="126">
        <v>23.8</v>
      </c>
      <c r="AI371" s="117" t="s">
        <v>1985</v>
      </c>
      <c r="AJ371" s="2"/>
      <c r="AK371" s="2"/>
      <c r="AL371" s="2"/>
      <c r="AM371" s="2"/>
      <c r="AN371" s="2"/>
    </row>
    <row r="372" spans="1:40" ht="12.75" x14ac:dyDescent="0.2">
      <c r="A372" s="117" t="s">
        <v>1486</v>
      </c>
      <c r="B372" s="117" t="s">
        <v>678</v>
      </c>
      <c r="C372" s="117" t="s">
        <v>677</v>
      </c>
      <c r="D372" s="117" t="s">
        <v>677</v>
      </c>
      <c r="E372" s="117" t="s">
        <v>678</v>
      </c>
      <c r="F372" s="117" t="s">
        <v>677</v>
      </c>
      <c r="G372" s="117" t="s">
        <v>677</v>
      </c>
      <c r="H372" s="117" t="s">
        <v>677</v>
      </c>
      <c r="I372" s="117" t="s">
        <v>1016</v>
      </c>
      <c r="J372" s="117" t="s">
        <v>678</v>
      </c>
      <c r="K372" s="118">
        <f>750/30</f>
        <v>25</v>
      </c>
      <c r="L372" s="118">
        <v>0</v>
      </c>
      <c r="M372" s="117" t="s">
        <v>1487</v>
      </c>
      <c r="N372" s="10"/>
      <c r="O372" s="117" t="s">
        <v>910</v>
      </c>
      <c r="P372" s="117" t="s">
        <v>917</v>
      </c>
      <c r="Q372" s="117" t="s">
        <v>973</v>
      </c>
      <c r="R372" s="119"/>
      <c r="S372" s="10">
        <v>0</v>
      </c>
      <c r="T372" s="10">
        <v>1</v>
      </c>
      <c r="U372" s="10">
        <v>0</v>
      </c>
      <c r="V372" s="10">
        <v>0</v>
      </c>
      <c r="W372" s="10">
        <v>0</v>
      </c>
      <c r="X372" s="10"/>
      <c r="Y372" s="120">
        <v>16.266666666666666</v>
      </c>
      <c r="Z372" s="127">
        <v>1</v>
      </c>
      <c r="AA372" s="121">
        <v>16.266666666666666</v>
      </c>
      <c r="AB372" s="123"/>
      <c r="AC372" s="122">
        <v>1</v>
      </c>
      <c r="AD372" s="128">
        <v>5.6</v>
      </c>
      <c r="AE372" s="10"/>
      <c r="AF372" s="125" t="s">
        <v>1488</v>
      </c>
      <c r="AG372" s="125" t="s">
        <v>678</v>
      </c>
      <c r="AH372" s="126">
        <v>8.6</v>
      </c>
      <c r="AI372" s="117" t="s">
        <v>1185</v>
      </c>
      <c r="AJ372" s="2"/>
      <c r="AK372" s="2"/>
      <c r="AL372" s="2"/>
      <c r="AM372" s="2"/>
      <c r="AN372" s="2"/>
    </row>
    <row r="373" spans="1:40" ht="12.75" x14ac:dyDescent="0.2">
      <c r="A373" s="117" t="s">
        <v>1489</v>
      </c>
      <c r="B373" s="117" t="s">
        <v>678</v>
      </c>
      <c r="C373" s="117" t="s">
        <v>677</v>
      </c>
      <c r="D373" s="117" t="s">
        <v>678</v>
      </c>
      <c r="E373" s="117" t="s">
        <v>678</v>
      </c>
      <c r="F373" s="117" t="s">
        <v>677</v>
      </c>
      <c r="G373" s="117" t="s">
        <v>677</v>
      </c>
      <c r="H373" s="117" t="s">
        <v>677</v>
      </c>
      <c r="I373" s="117" t="s">
        <v>923</v>
      </c>
      <c r="J373" s="117" t="s">
        <v>677</v>
      </c>
      <c r="K373" s="118">
        <f>353/30</f>
        <v>11.766666666666667</v>
      </c>
      <c r="L373" s="118">
        <v>1</v>
      </c>
      <c r="M373" s="117" t="s">
        <v>1455</v>
      </c>
      <c r="N373" s="10"/>
      <c r="O373" s="117" t="s">
        <v>1018</v>
      </c>
      <c r="P373" s="117" t="s">
        <v>887</v>
      </c>
      <c r="Q373" s="117" t="s">
        <v>1254</v>
      </c>
      <c r="R373" s="119"/>
      <c r="S373" s="10">
        <v>0</v>
      </c>
      <c r="T373" s="10">
        <v>1</v>
      </c>
      <c r="U373" s="10">
        <v>0</v>
      </c>
      <c r="V373" s="10">
        <v>0</v>
      </c>
      <c r="W373" s="10">
        <v>0</v>
      </c>
      <c r="X373" s="10"/>
      <c r="Y373" s="120">
        <v>11.233333333333333</v>
      </c>
      <c r="Z373" s="127">
        <v>1</v>
      </c>
      <c r="AA373" s="121">
        <v>11.233333333333333</v>
      </c>
      <c r="AB373" s="122"/>
      <c r="AC373" s="122">
        <v>1</v>
      </c>
      <c r="AD373" s="128">
        <v>0.93333333333333335</v>
      </c>
      <c r="AE373" s="10"/>
      <c r="AF373" s="125" t="s">
        <v>1490</v>
      </c>
      <c r="AG373" s="125" t="s">
        <v>677</v>
      </c>
      <c r="AH373" s="126">
        <v>12.2</v>
      </c>
      <c r="AI373" s="117" t="s">
        <v>2032</v>
      </c>
      <c r="AJ373" s="2"/>
      <c r="AK373" s="2"/>
      <c r="AL373" s="2"/>
      <c r="AM373" s="2"/>
      <c r="AN373" s="2"/>
    </row>
    <row r="374" spans="1:40" ht="12.75" x14ac:dyDescent="0.2">
      <c r="A374" s="117" t="s">
        <v>905</v>
      </c>
      <c r="B374" s="117" t="s">
        <v>677</v>
      </c>
      <c r="C374" s="117" t="s">
        <v>677</v>
      </c>
      <c r="D374" s="117" t="s">
        <v>678</v>
      </c>
      <c r="E374" s="117" t="s">
        <v>677</v>
      </c>
      <c r="F374" s="117" t="s">
        <v>678</v>
      </c>
      <c r="G374" s="117" t="s">
        <v>677</v>
      </c>
      <c r="H374" s="117" t="s">
        <v>677</v>
      </c>
      <c r="I374" s="117" t="s">
        <v>999</v>
      </c>
      <c r="J374" s="117" t="s">
        <v>677</v>
      </c>
      <c r="K374" s="118">
        <f>1016/30</f>
        <v>33.866666666666667</v>
      </c>
      <c r="L374" s="118">
        <v>0</v>
      </c>
      <c r="M374" s="117" t="s">
        <v>1617</v>
      </c>
      <c r="N374" s="10"/>
      <c r="O374" s="117" t="s">
        <v>930</v>
      </c>
      <c r="P374" s="117" t="s">
        <v>1075</v>
      </c>
      <c r="Q374" s="117" t="s">
        <v>889</v>
      </c>
      <c r="R374" s="119"/>
      <c r="S374" s="10">
        <v>0</v>
      </c>
      <c r="T374" s="10">
        <v>1</v>
      </c>
      <c r="U374" s="10">
        <v>0</v>
      </c>
      <c r="V374" s="10">
        <v>0</v>
      </c>
      <c r="W374" s="10">
        <v>0</v>
      </c>
      <c r="X374" s="10"/>
      <c r="Y374" s="120">
        <v>22.366666666666667</v>
      </c>
      <c r="Z374" s="127">
        <v>1</v>
      </c>
      <c r="AA374" s="121">
        <v>22.366666666666667</v>
      </c>
      <c r="AB374" s="122"/>
      <c r="AC374" s="122">
        <v>1</v>
      </c>
      <c r="AD374" s="128">
        <v>4.5999999999999996</v>
      </c>
      <c r="AE374" s="10"/>
      <c r="AF374" s="125" t="s">
        <v>1618</v>
      </c>
      <c r="AG374" s="125" t="s">
        <v>678</v>
      </c>
      <c r="AH374" s="126">
        <v>0</v>
      </c>
      <c r="AI374" s="117" t="s">
        <v>1985</v>
      </c>
      <c r="AJ374" s="2"/>
      <c r="AK374" s="2"/>
      <c r="AL374" s="2"/>
      <c r="AM374" s="2"/>
      <c r="AN374" s="2"/>
    </row>
    <row r="375" spans="1:40" ht="12.75" x14ac:dyDescent="0.2">
      <c r="A375" s="117" t="s">
        <v>1116</v>
      </c>
      <c r="B375" s="117" t="s">
        <v>678</v>
      </c>
      <c r="C375" s="117" t="s">
        <v>677</v>
      </c>
      <c r="D375" s="117" t="s">
        <v>678</v>
      </c>
      <c r="E375" s="117" t="s">
        <v>678</v>
      </c>
      <c r="F375" s="117" t="s">
        <v>678</v>
      </c>
      <c r="G375" s="117" t="s">
        <v>677</v>
      </c>
      <c r="H375" s="117" t="s">
        <v>677</v>
      </c>
      <c r="I375" s="117" t="s">
        <v>1051</v>
      </c>
      <c r="J375" s="117" t="s">
        <v>679</v>
      </c>
      <c r="K375" s="118" t="s">
        <v>674</v>
      </c>
      <c r="L375" s="118">
        <v>2</v>
      </c>
      <c r="M375" s="117" t="s">
        <v>1118</v>
      </c>
      <c r="N375" s="10"/>
      <c r="O375" s="117" t="s">
        <v>1117</v>
      </c>
      <c r="P375" s="117" t="s">
        <v>918</v>
      </c>
      <c r="Q375" s="117" t="s">
        <v>1043</v>
      </c>
      <c r="R375" s="119"/>
      <c r="S375" s="10">
        <v>0</v>
      </c>
      <c r="T375" s="10">
        <v>1</v>
      </c>
      <c r="U375" s="10">
        <v>0</v>
      </c>
      <c r="V375" s="10">
        <v>0</v>
      </c>
      <c r="W375" s="10">
        <v>0</v>
      </c>
      <c r="X375" s="10"/>
      <c r="Y375" s="120">
        <v>2.8666666666666667</v>
      </c>
      <c r="Z375" s="117" t="s">
        <v>678</v>
      </c>
      <c r="AA375" s="121">
        <v>2.8666666666666667</v>
      </c>
      <c r="AB375" s="123"/>
      <c r="AC375" s="123">
        <v>1</v>
      </c>
      <c r="AD375" s="124">
        <v>2.8</v>
      </c>
      <c r="AE375" s="10"/>
      <c r="AF375" s="125" t="s">
        <v>1119</v>
      </c>
      <c r="AG375" s="125" t="s">
        <v>678</v>
      </c>
      <c r="AH375" s="126">
        <v>10.4</v>
      </c>
      <c r="AI375" s="117" t="s">
        <v>2033</v>
      </c>
      <c r="AJ375" s="2"/>
      <c r="AK375" s="2"/>
      <c r="AL375" s="2"/>
      <c r="AM375" s="2"/>
      <c r="AN375" s="2"/>
    </row>
    <row r="376" spans="1:40" ht="12.75" x14ac:dyDescent="0.2">
      <c r="A376" s="117" t="s">
        <v>1491</v>
      </c>
      <c r="B376" s="117" t="s">
        <v>678</v>
      </c>
      <c r="C376" s="117" t="s">
        <v>677</v>
      </c>
      <c r="D376" s="117" t="s">
        <v>677</v>
      </c>
      <c r="E376" s="117" t="s">
        <v>678</v>
      </c>
      <c r="F376" s="117" t="s">
        <v>677</v>
      </c>
      <c r="G376" s="117" t="s">
        <v>677</v>
      </c>
      <c r="H376" s="117" t="s">
        <v>677</v>
      </c>
      <c r="I376" s="117" t="s">
        <v>999</v>
      </c>
      <c r="J376" s="117" t="s">
        <v>678</v>
      </c>
      <c r="K376" s="118">
        <f>590/30</f>
        <v>19.666666666666668</v>
      </c>
      <c r="L376" s="118">
        <v>0</v>
      </c>
      <c r="M376" s="117" t="s">
        <v>1492</v>
      </c>
      <c r="N376" s="10"/>
      <c r="O376" s="117" t="s">
        <v>1383</v>
      </c>
      <c r="P376" s="117" t="s">
        <v>942</v>
      </c>
      <c r="Q376" s="117" t="s">
        <v>985</v>
      </c>
      <c r="R376" s="119"/>
      <c r="S376" s="10">
        <v>0</v>
      </c>
      <c r="T376" s="10">
        <v>1</v>
      </c>
      <c r="U376" s="10">
        <v>0</v>
      </c>
      <c r="V376" s="10">
        <v>0</v>
      </c>
      <c r="W376" s="10">
        <v>0</v>
      </c>
      <c r="X376" s="10"/>
      <c r="Y376" s="120">
        <v>23.8</v>
      </c>
      <c r="Z376" s="127">
        <v>0</v>
      </c>
      <c r="AA376" s="121">
        <v>23.8</v>
      </c>
      <c r="AB376" s="122"/>
      <c r="AC376" s="122">
        <v>1</v>
      </c>
      <c r="AD376" s="128">
        <v>8.2333333333333325</v>
      </c>
      <c r="AE376" s="10"/>
      <c r="AF376" s="125" t="s">
        <v>1351</v>
      </c>
      <c r="AG376" s="125" t="s">
        <v>678</v>
      </c>
      <c r="AH376" s="126">
        <v>4.9000000000000004</v>
      </c>
      <c r="AI376" s="117" t="s">
        <v>1959</v>
      </c>
      <c r="AJ376" s="2"/>
      <c r="AK376" s="2"/>
      <c r="AL376" s="2"/>
      <c r="AM376" s="2"/>
      <c r="AN376" s="2"/>
    </row>
    <row r="377" spans="1:40" ht="12.75" x14ac:dyDescent="0.2">
      <c r="A377" s="117" t="s">
        <v>1120</v>
      </c>
      <c r="B377" s="117" t="s">
        <v>679</v>
      </c>
      <c r="C377" s="117" t="s">
        <v>677</v>
      </c>
      <c r="D377" s="117" t="s">
        <v>677</v>
      </c>
      <c r="E377" s="117" t="s">
        <v>678</v>
      </c>
      <c r="F377" s="117" t="s">
        <v>677</v>
      </c>
      <c r="G377" s="117" t="s">
        <v>677</v>
      </c>
      <c r="H377" s="117" t="s">
        <v>677</v>
      </c>
      <c r="I377" s="117" t="s">
        <v>1068</v>
      </c>
      <c r="J377" s="117" t="s">
        <v>678</v>
      </c>
      <c r="K377" s="118" t="s">
        <v>674</v>
      </c>
      <c r="L377" s="118">
        <v>2</v>
      </c>
      <c r="M377" s="117" t="s">
        <v>1124</v>
      </c>
      <c r="N377" s="10"/>
      <c r="O377" s="117" t="s">
        <v>1122</v>
      </c>
      <c r="P377" s="117" t="s">
        <v>1121</v>
      </c>
      <c r="Q377" s="117" t="s">
        <v>1123</v>
      </c>
      <c r="R377" s="119"/>
      <c r="S377" s="10">
        <v>0</v>
      </c>
      <c r="T377" s="10">
        <v>1</v>
      </c>
      <c r="U377" s="10">
        <v>0</v>
      </c>
      <c r="V377" s="10">
        <v>0</v>
      </c>
      <c r="W377" s="10">
        <v>0</v>
      </c>
      <c r="X377" s="10"/>
      <c r="Y377" s="120">
        <v>4.7</v>
      </c>
      <c r="Z377" s="117" t="s">
        <v>678</v>
      </c>
      <c r="AA377" s="121">
        <v>4.7</v>
      </c>
      <c r="AB377" s="122"/>
      <c r="AC377" s="123">
        <v>0</v>
      </c>
      <c r="AD377" s="124">
        <v>1.4333333333333333</v>
      </c>
      <c r="AE377" s="10"/>
      <c r="AF377" s="125" t="s">
        <v>1125</v>
      </c>
      <c r="AG377" s="125" t="s">
        <v>678</v>
      </c>
      <c r="AH377" s="126">
        <v>58.7</v>
      </c>
      <c r="AI377" s="117" t="s">
        <v>1582</v>
      </c>
      <c r="AJ377" s="2"/>
      <c r="AK377" s="2"/>
      <c r="AL377" s="2"/>
      <c r="AM377" s="2"/>
      <c r="AN377" s="2"/>
    </row>
    <row r="378" spans="1:40" ht="12.75" x14ac:dyDescent="0.2">
      <c r="A378" s="117" t="s">
        <v>1620</v>
      </c>
      <c r="B378" s="117" t="s">
        <v>678</v>
      </c>
      <c r="C378" s="117" t="s">
        <v>678</v>
      </c>
      <c r="D378" s="117" t="s">
        <v>677</v>
      </c>
      <c r="E378" s="117" t="s">
        <v>678</v>
      </c>
      <c r="F378" s="117" t="s">
        <v>677</v>
      </c>
      <c r="G378" s="117" t="s">
        <v>677</v>
      </c>
      <c r="H378" s="117" t="s">
        <v>677</v>
      </c>
      <c r="I378" s="117" t="s">
        <v>1026</v>
      </c>
      <c r="J378" s="117" t="s">
        <v>678</v>
      </c>
      <c r="K378" s="118">
        <f>277/30</f>
        <v>9.2333333333333325</v>
      </c>
      <c r="L378" s="118">
        <v>1</v>
      </c>
      <c r="M378" s="117" t="s">
        <v>1055</v>
      </c>
      <c r="N378" s="10"/>
      <c r="O378" s="117" t="s">
        <v>1622</v>
      </c>
      <c r="P378" s="117" t="s">
        <v>1621</v>
      </c>
      <c r="Q378" s="117" t="s">
        <v>976</v>
      </c>
      <c r="R378" s="119"/>
      <c r="S378" s="10">
        <v>1</v>
      </c>
      <c r="T378" s="10">
        <v>0</v>
      </c>
      <c r="U378" s="10">
        <v>0</v>
      </c>
      <c r="V378" s="10">
        <v>0</v>
      </c>
      <c r="W378" s="10">
        <v>0</v>
      </c>
      <c r="X378" s="10"/>
      <c r="Y378" s="120">
        <v>12.6</v>
      </c>
      <c r="Z378" s="127">
        <v>1</v>
      </c>
      <c r="AA378" s="121">
        <v>12.6</v>
      </c>
      <c r="AB378" s="122"/>
      <c r="AC378" s="123">
        <v>1</v>
      </c>
      <c r="AD378" s="124">
        <v>1.8333333333333333</v>
      </c>
      <c r="AE378" s="10"/>
      <c r="AF378" s="125" t="s">
        <v>1623</v>
      </c>
      <c r="AG378" s="125" t="s">
        <v>677</v>
      </c>
      <c r="AH378" s="126">
        <v>0</v>
      </c>
      <c r="AI378" s="117" t="s">
        <v>1953</v>
      </c>
      <c r="AJ378" s="2"/>
      <c r="AK378" s="2"/>
      <c r="AL378" s="2"/>
      <c r="AM378" s="2"/>
      <c r="AN378" s="2"/>
    </row>
    <row r="379" spans="1:40" ht="12.75" x14ac:dyDescent="0.2">
      <c r="A379" s="117" t="s">
        <v>1493</v>
      </c>
      <c r="B379" s="117" t="s">
        <v>679</v>
      </c>
      <c r="C379" s="117" t="s">
        <v>677</v>
      </c>
      <c r="D379" s="117" t="s">
        <v>677</v>
      </c>
      <c r="E379" s="117" t="s">
        <v>678</v>
      </c>
      <c r="F379" s="117" t="s">
        <v>677</v>
      </c>
      <c r="G379" s="117" t="s">
        <v>677</v>
      </c>
      <c r="H379" s="117" t="s">
        <v>677</v>
      </c>
      <c r="I379" s="117" t="s">
        <v>960</v>
      </c>
      <c r="J379" s="117" t="s">
        <v>677</v>
      </c>
      <c r="K379" s="118" t="s">
        <v>674</v>
      </c>
      <c r="L379" s="118">
        <v>2</v>
      </c>
      <c r="M379" s="117" t="s">
        <v>1494</v>
      </c>
      <c r="N379" s="10"/>
      <c r="O379" s="117" t="s">
        <v>904</v>
      </c>
      <c r="P379" s="117" t="s">
        <v>1177</v>
      </c>
      <c r="Q379" s="117" t="s">
        <v>1162</v>
      </c>
      <c r="R379" s="119"/>
      <c r="S379" s="10">
        <v>1</v>
      </c>
      <c r="T379" s="10">
        <v>0</v>
      </c>
      <c r="U379" s="10">
        <v>0</v>
      </c>
      <c r="V379" s="10">
        <v>0</v>
      </c>
      <c r="W379" s="10">
        <v>0</v>
      </c>
      <c r="X379" s="10"/>
      <c r="Y379" s="120">
        <v>18.633333333333333</v>
      </c>
      <c r="Z379" s="117" t="s">
        <v>678</v>
      </c>
      <c r="AA379" s="121">
        <v>18.633333333333333</v>
      </c>
      <c r="AB379" s="123"/>
      <c r="AC379" s="123">
        <v>1</v>
      </c>
      <c r="AD379" s="124">
        <v>3.8</v>
      </c>
      <c r="AE379" s="10"/>
      <c r="AF379" s="125" t="s">
        <v>1495</v>
      </c>
      <c r="AG379" s="125" t="s">
        <v>677</v>
      </c>
      <c r="AH379" s="126">
        <v>0</v>
      </c>
      <c r="AI379" s="117" t="s">
        <v>1955</v>
      </c>
      <c r="AJ379" s="2"/>
      <c r="AK379" s="2"/>
      <c r="AL379" s="2"/>
      <c r="AM379" s="2"/>
      <c r="AN379" s="2"/>
    </row>
    <row r="380" spans="1:40" ht="12.75" x14ac:dyDescent="0.2">
      <c r="A380" s="117" t="s">
        <v>1496</v>
      </c>
      <c r="B380" s="117" t="s">
        <v>677</v>
      </c>
      <c r="C380" s="117" t="s">
        <v>677</v>
      </c>
      <c r="D380" s="117" t="s">
        <v>678</v>
      </c>
      <c r="E380" s="117" t="s">
        <v>678</v>
      </c>
      <c r="F380" s="117" t="s">
        <v>677</v>
      </c>
      <c r="G380" s="117" t="s">
        <v>677</v>
      </c>
      <c r="H380" s="117" t="s">
        <v>677</v>
      </c>
      <c r="I380" s="117" t="s">
        <v>1032</v>
      </c>
      <c r="J380" s="117" t="s">
        <v>677</v>
      </c>
      <c r="K380" s="118">
        <f>1277/30</f>
        <v>42.56666666666667</v>
      </c>
      <c r="L380" s="118">
        <v>0</v>
      </c>
      <c r="M380" s="117" t="s">
        <v>1497</v>
      </c>
      <c r="N380" s="10"/>
      <c r="O380" s="117" t="s">
        <v>925</v>
      </c>
      <c r="P380" s="117" t="s">
        <v>1322</v>
      </c>
      <c r="Q380" s="117" t="s">
        <v>1048</v>
      </c>
      <c r="R380" s="119"/>
      <c r="S380" s="10">
        <v>1</v>
      </c>
      <c r="T380" s="10">
        <v>0</v>
      </c>
      <c r="U380" s="10">
        <v>0</v>
      </c>
      <c r="V380" s="10">
        <v>0</v>
      </c>
      <c r="W380" s="10">
        <v>0</v>
      </c>
      <c r="X380" s="10"/>
      <c r="Y380" s="120">
        <v>39.233333333333334</v>
      </c>
      <c r="Z380" s="117" t="s">
        <v>678</v>
      </c>
      <c r="AA380" s="121">
        <v>39.233333333333334</v>
      </c>
      <c r="AB380" s="122"/>
      <c r="AC380" s="123">
        <v>0</v>
      </c>
      <c r="AD380" s="124">
        <v>5.5333333333333332</v>
      </c>
      <c r="AE380" s="10"/>
      <c r="AF380" s="125" t="s">
        <v>1340</v>
      </c>
      <c r="AG380" s="125" t="s">
        <v>678</v>
      </c>
      <c r="AH380" s="126">
        <v>0</v>
      </c>
      <c r="AI380" s="117" t="s">
        <v>1185</v>
      </c>
      <c r="AJ380" s="2"/>
      <c r="AK380" s="2"/>
      <c r="AL380" s="2"/>
      <c r="AM380" s="2"/>
      <c r="AN380" s="2"/>
    </row>
    <row r="381" spans="1:40" ht="12.75" x14ac:dyDescent="0.2">
      <c r="A381" s="117" t="s">
        <v>1498</v>
      </c>
      <c r="B381" s="117" t="s">
        <v>678</v>
      </c>
      <c r="C381" s="117" t="s">
        <v>677</v>
      </c>
      <c r="D381" s="117" t="s">
        <v>677</v>
      </c>
      <c r="E381" s="117" t="s">
        <v>678</v>
      </c>
      <c r="F381" s="117" t="s">
        <v>677</v>
      </c>
      <c r="G381" s="117" t="s">
        <v>677</v>
      </c>
      <c r="H381" s="117" t="s">
        <v>677</v>
      </c>
      <c r="I381" s="117" t="s">
        <v>1032</v>
      </c>
      <c r="J381" s="117" t="s">
        <v>677</v>
      </c>
      <c r="K381" s="118">
        <f>287/30</f>
        <v>9.5666666666666664</v>
      </c>
      <c r="L381" s="118">
        <v>1</v>
      </c>
      <c r="M381" s="117" t="s">
        <v>1094</v>
      </c>
      <c r="N381" s="10"/>
      <c r="O381" s="117" t="s">
        <v>1286</v>
      </c>
      <c r="P381" s="117" t="s">
        <v>1083</v>
      </c>
      <c r="Q381" s="117" t="s">
        <v>1079</v>
      </c>
      <c r="R381" s="119"/>
      <c r="S381" s="10">
        <v>0</v>
      </c>
      <c r="T381" s="10">
        <v>1</v>
      </c>
      <c r="U381" s="10">
        <v>0</v>
      </c>
      <c r="V381" s="10">
        <v>0</v>
      </c>
      <c r="W381" s="10">
        <v>0</v>
      </c>
      <c r="X381" s="10"/>
      <c r="Y381" s="120">
        <v>34.333333333333336</v>
      </c>
      <c r="Z381" s="117" t="s">
        <v>678</v>
      </c>
      <c r="AA381" s="121">
        <v>34.333333333333336</v>
      </c>
      <c r="AB381" s="123"/>
      <c r="AC381" s="123">
        <v>1</v>
      </c>
      <c r="AD381" s="124">
        <v>8.5666666666666664</v>
      </c>
      <c r="AE381" s="10"/>
      <c r="AF381" s="125" t="s">
        <v>1499</v>
      </c>
      <c r="AG381" s="125" t="s">
        <v>678</v>
      </c>
      <c r="AH381" s="126">
        <v>38.700000000000003</v>
      </c>
      <c r="AI381" s="117" t="s">
        <v>1994</v>
      </c>
      <c r="AJ381" s="2"/>
      <c r="AK381" s="2"/>
      <c r="AL381" s="2"/>
      <c r="AM381" s="2"/>
      <c r="AN381" s="2"/>
    </row>
    <row r="382" spans="1:40" ht="12.75" x14ac:dyDescent="0.2">
      <c r="A382" s="117" t="s">
        <v>1500</v>
      </c>
      <c r="B382" s="117" t="s">
        <v>679</v>
      </c>
      <c r="C382" s="117" t="s">
        <v>677</v>
      </c>
      <c r="D382" s="117" t="s">
        <v>677</v>
      </c>
      <c r="E382" s="117" t="s">
        <v>678</v>
      </c>
      <c r="F382" s="117" t="s">
        <v>677</v>
      </c>
      <c r="G382" s="117" t="s">
        <v>677</v>
      </c>
      <c r="H382" s="117" t="s">
        <v>677</v>
      </c>
      <c r="I382" s="117" t="s">
        <v>1051</v>
      </c>
      <c r="J382" s="117" t="s">
        <v>678</v>
      </c>
      <c r="K382" s="118" t="s">
        <v>674</v>
      </c>
      <c r="L382" s="118">
        <v>2</v>
      </c>
      <c r="M382" s="117" t="s">
        <v>1501</v>
      </c>
      <c r="N382" s="10"/>
      <c r="O382" s="117" t="s">
        <v>984</v>
      </c>
      <c r="P382" s="117" t="s">
        <v>924</v>
      </c>
      <c r="Q382" s="117" t="s">
        <v>919</v>
      </c>
      <c r="R382" s="119"/>
      <c r="S382" s="10">
        <v>1</v>
      </c>
      <c r="T382" s="10">
        <v>0</v>
      </c>
      <c r="U382" s="10">
        <v>0</v>
      </c>
      <c r="V382" s="10">
        <v>0</v>
      </c>
      <c r="W382" s="10">
        <v>0</v>
      </c>
      <c r="X382" s="10"/>
      <c r="Y382" s="120">
        <v>55.366666666666667</v>
      </c>
      <c r="Z382" s="117" t="s">
        <v>677</v>
      </c>
      <c r="AA382" s="121">
        <v>55.366666666666667</v>
      </c>
      <c r="AB382" s="122"/>
      <c r="AC382" s="122">
        <v>1</v>
      </c>
      <c r="AD382" s="128">
        <v>11.333333333333334</v>
      </c>
      <c r="AE382" s="10"/>
      <c r="AF382" s="125" t="s">
        <v>1502</v>
      </c>
      <c r="AG382" s="125" t="s">
        <v>678</v>
      </c>
      <c r="AH382" s="126">
        <v>0</v>
      </c>
      <c r="AI382" s="117" t="s">
        <v>1412</v>
      </c>
      <c r="AJ382" s="2"/>
      <c r="AK382" s="2"/>
      <c r="AL382" s="2"/>
      <c r="AM382" s="2"/>
      <c r="AN382" s="2"/>
    </row>
    <row r="383" spans="1:40" ht="12.75" x14ac:dyDescent="0.2">
      <c r="A383" s="117" t="s">
        <v>1504</v>
      </c>
      <c r="B383" s="117" t="s">
        <v>677</v>
      </c>
      <c r="C383" s="117" t="s">
        <v>677</v>
      </c>
      <c r="D383" s="117" t="s">
        <v>677</v>
      </c>
      <c r="E383" s="117" t="s">
        <v>678</v>
      </c>
      <c r="F383" s="117" t="s">
        <v>677</v>
      </c>
      <c r="G383" s="117" t="s">
        <v>677</v>
      </c>
      <c r="H383" s="117" t="s">
        <v>677</v>
      </c>
      <c r="I383" s="117" t="s">
        <v>1399</v>
      </c>
      <c r="J383" s="117" t="s">
        <v>677</v>
      </c>
      <c r="K383" s="118">
        <f>1322/30</f>
        <v>44.06666666666667</v>
      </c>
      <c r="L383" s="118">
        <v>0</v>
      </c>
      <c r="M383" s="117" t="s">
        <v>1339</v>
      </c>
      <c r="N383" s="10"/>
      <c r="O383" s="117" t="s">
        <v>931</v>
      </c>
      <c r="P383" s="117" t="s">
        <v>924</v>
      </c>
      <c r="Q383" s="117" t="s">
        <v>944</v>
      </c>
      <c r="R383" s="119"/>
      <c r="S383" s="10">
        <v>1</v>
      </c>
      <c r="T383" s="10">
        <v>0</v>
      </c>
      <c r="U383" s="10">
        <v>0</v>
      </c>
      <c r="V383" s="10">
        <v>0</v>
      </c>
      <c r="W383" s="10">
        <v>0</v>
      </c>
      <c r="X383" s="10"/>
      <c r="Y383" s="129">
        <v>49.866666666666667</v>
      </c>
      <c r="Z383" s="117" t="s">
        <v>677</v>
      </c>
      <c r="AA383" s="130">
        <v>49.866666666666667</v>
      </c>
      <c r="AB383" s="122"/>
      <c r="AC383" s="123">
        <v>1</v>
      </c>
      <c r="AD383" s="124">
        <v>22.4</v>
      </c>
      <c r="AE383" s="10"/>
      <c r="AF383" s="125" t="s">
        <v>1025</v>
      </c>
      <c r="AG383" s="125" t="s">
        <v>678</v>
      </c>
      <c r="AH383" s="126">
        <v>3</v>
      </c>
      <c r="AI383" s="117" t="s">
        <v>1391</v>
      </c>
      <c r="AJ383" s="2"/>
      <c r="AK383" s="2"/>
      <c r="AL383" s="2"/>
      <c r="AM383" s="2"/>
      <c r="AN383" s="2"/>
    </row>
    <row r="384" spans="1:40" ht="12.75" x14ac:dyDescent="0.2">
      <c r="A384" s="117" t="s">
        <v>1507</v>
      </c>
      <c r="B384" s="117" t="s">
        <v>678</v>
      </c>
      <c r="C384" s="117" t="s">
        <v>677</v>
      </c>
      <c r="D384" s="117" t="s">
        <v>677</v>
      </c>
      <c r="E384" s="117" t="s">
        <v>678</v>
      </c>
      <c r="F384" s="117" t="s">
        <v>677</v>
      </c>
      <c r="G384" s="117" t="s">
        <v>677</v>
      </c>
      <c r="H384" s="117" t="s">
        <v>677</v>
      </c>
      <c r="I384" s="117" t="s">
        <v>993</v>
      </c>
      <c r="J384" s="117" t="s">
        <v>678</v>
      </c>
      <c r="K384" s="118">
        <f>247/30</f>
        <v>8.2333333333333325</v>
      </c>
      <c r="L384" s="118">
        <v>1</v>
      </c>
      <c r="M384" s="117" t="s">
        <v>1508</v>
      </c>
      <c r="N384" s="10"/>
      <c r="O384" s="117" t="s">
        <v>1422</v>
      </c>
      <c r="P384" s="117" t="s">
        <v>991</v>
      </c>
      <c r="Q384" s="117" t="s">
        <v>1079</v>
      </c>
      <c r="R384" s="119"/>
      <c r="S384" s="10">
        <v>1</v>
      </c>
      <c r="T384" s="10">
        <v>0</v>
      </c>
      <c r="U384" s="10">
        <v>0</v>
      </c>
      <c r="V384" s="10">
        <v>0</v>
      </c>
      <c r="W384" s="10">
        <v>0</v>
      </c>
      <c r="X384" s="10"/>
      <c r="Y384" s="120">
        <v>28</v>
      </c>
      <c r="Z384" s="117" t="s">
        <v>678</v>
      </c>
      <c r="AA384" s="121">
        <v>28</v>
      </c>
      <c r="AB384" s="122"/>
      <c r="AC384" s="122">
        <v>1</v>
      </c>
      <c r="AD384" s="128">
        <v>1.8333333333333333</v>
      </c>
      <c r="AE384" s="10"/>
      <c r="AF384" s="125" t="s">
        <v>1509</v>
      </c>
      <c r="AG384" s="125" t="s">
        <v>677</v>
      </c>
      <c r="AH384" s="126">
        <v>0</v>
      </c>
      <c r="AI384" s="117" t="s">
        <v>1590</v>
      </c>
      <c r="AJ384" s="2"/>
      <c r="AK384" s="2"/>
      <c r="AL384" s="2"/>
      <c r="AM384" s="2"/>
      <c r="AN384" s="2"/>
    </row>
    <row r="385" spans="1:40" ht="12.75" x14ac:dyDescent="0.2">
      <c r="A385" s="117" t="s">
        <v>1624</v>
      </c>
      <c r="B385" s="117" t="s">
        <v>678</v>
      </c>
      <c r="C385" s="117" t="s">
        <v>678</v>
      </c>
      <c r="D385" s="117" t="s">
        <v>678</v>
      </c>
      <c r="E385" s="117" t="s">
        <v>678</v>
      </c>
      <c r="F385" s="117" t="s">
        <v>677</v>
      </c>
      <c r="G385" s="117" t="s">
        <v>677</v>
      </c>
      <c r="H385" s="117" t="s">
        <v>677</v>
      </c>
      <c r="I385" s="117" t="s">
        <v>1026</v>
      </c>
      <c r="J385" s="117" t="s">
        <v>678</v>
      </c>
      <c r="K385" s="118">
        <f>319/30</f>
        <v>10.633333333333333</v>
      </c>
      <c r="L385" s="118">
        <v>1</v>
      </c>
      <c r="M385" s="117" t="s">
        <v>1625</v>
      </c>
      <c r="N385" s="10"/>
      <c r="O385" s="117" t="s">
        <v>1092</v>
      </c>
      <c r="P385" s="117" t="s">
        <v>1238</v>
      </c>
      <c r="Q385" s="117" t="s">
        <v>1091</v>
      </c>
      <c r="R385" s="119"/>
      <c r="S385" s="10">
        <v>0</v>
      </c>
      <c r="T385" s="10">
        <v>1</v>
      </c>
      <c r="U385" s="10">
        <v>0</v>
      </c>
      <c r="V385" s="10">
        <v>0</v>
      </c>
      <c r="W385" s="10">
        <v>0</v>
      </c>
      <c r="X385" s="10"/>
      <c r="Y385" s="120">
        <v>16.2</v>
      </c>
      <c r="Z385" s="127">
        <v>1</v>
      </c>
      <c r="AA385" s="121">
        <v>16.2</v>
      </c>
      <c r="AB385" s="123"/>
      <c r="AC385" s="122">
        <v>1</v>
      </c>
      <c r="AD385" s="128">
        <v>1.8</v>
      </c>
      <c r="AE385" s="10"/>
      <c r="AF385" s="125" t="s">
        <v>1626</v>
      </c>
      <c r="AG385" s="125" t="s">
        <v>678</v>
      </c>
      <c r="AH385" s="126">
        <v>7.7</v>
      </c>
      <c r="AI385" s="117" t="s">
        <v>2034</v>
      </c>
      <c r="AJ385" s="2"/>
      <c r="AK385" s="2"/>
      <c r="AL385" s="2"/>
      <c r="AM385" s="2"/>
      <c r="AN385" s="2"/>
    </row>
    <row r="386" spans="1:40" ht="12.75" x14ac:dyDescent="0.2">
      <c r="A386" s="117" t="s">
        <v>1126</v>
      </c>
      <c r="B386" s="117" t="s">
        <v>678</v>
      </c>
      <c r="C386" s="117" t="s">
        <v>678</v>
      </c>
      <c r="D386" s="117" t="s">
        <v>677</v>
      </c>
      <c r="E386" s="117" t="s">
        <v>678</v>
      </c>
      <c r="F386" s="117" t="s">
        <v>678</v>
      </c>
      <c r="G386" s="117" t="s">
        <v>678</v>
      </c>
      <c r="H386" s="117" t="s">
        <v>677</v>
      </c>
      <c r="I386" s="117" t="s">
        <v>909</v>
      </c>
      <c r="J386" s="117" t="s">
        <v>679</v>
      </c>
      <c r="K386" s="118">
        <f>251/30</f>
        <v>8.3666666666666671</v>
      </c>
      <c r="L386" s="118">
        <v>1</v>
      </c>
      <c r="M386" s="117" t="s">
        <v>1129</v>
      </c>
      <c r="N386" s="10"/>
      <c r="O386" s="117" t="s">
        <v>1128</v>
      </c>
      <c r="P386" s="117" t="s">
        <v>1127</v>
      </c>
      <c r="Q386" s="117" t="s">
        <v>1071</v>
      </c>
      <c r="R386" s="119"/>
      <c r="S386" s="10">
        <v>0</v>
      </c>
      <c r="T386" s="10">
        <v>1</v>
      </c>
      <c r="U386" s="10">
        <v>0</v>
      </c>
      <c r="V386" s="10">
        <v>0</v>
      </c>
      <c r="W386" s="10">
        <v>0</v>
      </c>
      <c r="X386" s="10"/>
      <c r="Y386" s="120">
        <v>1.2333333333333334</v>
      </c>
      <c r="Z386" s="117" t="s">
        <v>678</v>
      </c>
      <c r="AA386" s="121">
        <v>1.2333333333333334</v>
      </c>
      <c r="AB386" s="131"/>
      <c r="AC386" s="123">
        <v>1</v>
      </c>
      <c r="AD386" s="124">
        <v>0.9</v>
      </c>
      <c r="AE386" s="10"/>
      <c r="AF386" s="125"/>
      <c r="AG386" s="125" t="s">
        <v>677</v>
      </c>
      <c r="AH386" s="126">
        <v>81.3</v>
      </c>
      <c r="AI386" s="117" t="s">
        <v>2035</v>
      </c>
      <c r="AJ386" s="2"/>
      <c r="AK386" s="2"/>
      <c r="AL386" s="2"/>
      <c r="AM386" s="2"/>
      <c r="AN386" s="2"/>
    </row>
    <row r="387" spans="1:40" ht="12.75" x14ac:dyDescent="0.2">
      <c r="A387" s="117" t="s">
        <v>1130</v>
      </c>
      <c r="B387" s="117" t="s">
        <v>677</v>
      </c>
      <c r="C387" s="117" t="s">
        <v>677</v>
      </c>
      <c r="D387" s="117" t="s">
        <v>677</v>
      </c>
      <c r="E387" s="117" t="s">
        <v>678</v>
      </c>
      <c r="F387" s="117" t="s">
        <v>677</v>
      </c>
      <c r="G387" s="117" t="s">
        <v>677</v>
      </c>
      <c r="H387" s="117" t="s">
        <v>677</v>
      </c>
      <c r="I387" s="117" t="s">
        <v>1131</v>
      </c>
      <c r="J387" s="117" t="s">
        <v>679</v>
      </c>
      <c r="K387" s="118">
        <f>899/30</f>
        <v>29.966666666666665</v>
      </c>
      <c r="L387" s="118">
        <v>0</v>
      </c>
      <c r="M387" s="117" t="s">
        <v>1132</v>
      </c>
      <c r="N387" s="10"/>
      <c r="O387" s="117" t="s">
        <v>1011</v>
      </c>
      <c r="P387" s="117" t="s">
        <v>1007</v>
      </c>
      <c r="Q387" s="117" t="s">
        <v>949</v>
      </c>
      <c r="R387" s="119"/>
      <c r="S387" s="10">
        <v>0</v>
      </c>
      <c r="T387" s="10">
        <v>1</v>
      </c>
      <c r="U387" s="10">
        <v>0</v>
      </c>
      <c r="V387" s="10">
        <v>0</v>
      </c>
      <c r="W387" s="10">
        <v>0</v>
      </c>
      <c r="X387" s="10"/>
      <c r="Y387" s="120">
        <v>27.1</v>
      </c>
      <c r="Z387" s="117" t="s">
        <v>678</v>
      </c>
      <c r="AA387" s="121">
        <v>27.1</v>
      </c>
      <c r="AB387" s="122"/>
      <c r="AC387" s="122">
        <v>1</v>
      </c>
      <c r="AD387" s="128">
        <v>7.5666666666666664</v>
      </c>
      <c r="AE387" s="10"/>
      <c r="AF387" s="125" t="s">
        <v>940</v>
      </c>
      <c r="AG387" s="125" t="s">
        <v>678</v>
      </c>
      <c r="AH387" s="126">
        <v>0</v>
      </c>
      <c r="AI387" s="117" t="s">
        <v>1137</v>
      </c>
      <c r="AJ387" s="2"/>
      <c r="AK387" s="2"/>
      <c r="AL387" s="2"/>
      <c r="AM387" s="2"/>
      <c r="AN387" s="2"/>
    </row>
    <row r="388" spans="1:40" ht="12.75" x14ac:dyDescent="0.2">
      <c r="A388" s="117" t="s">
        <v>1627</v>
      </c>
      <c r="B388" s="117" t="s">
        <v>677</v>
      </c>
      <c r="C388" s="117" t="s">
        <v>677</v>
      </c>
      <c r="D388" s="117" t="s">
        <v>677</v>
      </c>
      <c r="E388" s="117" t="s">
        <v>678</v>
      </c>
      <c r="F388" s="117" t="s">
        <v>677</v>
      </c>
      <c r="G388" s="117" t="s">
        <v>677</v>
      </c>
      <c r="H388" s="117" t="s">
        <v>677</v>
      </c>
      <c r="I388" s="117" t="s">
        <v>1056</v>
      </c>
      <c r="J388" s="117" t="s">
        <v>677</v>
      </c>
      <c r="K388" s="118" t="s">
        <v>674</v>
      </c>
      <c r="L388" s="118">
        <v>2</v>
      </c>
      <c r="M388" s="117" t="s">
        <v>1628</v>
      </c>
      <c r="N388" s="10"/>
      <c r="O388" s="117" t="s">
        <v>1266</v>
      </c>
      <c r="P388" s="117" t="s">
        <v>1156</v>
      </c>
      <c r="Q388" s="117" t="s">
        <v>889</v>
      </c>
      <c r="R388" s="119"/>
      <c r="S388" s="10">
        <v>1</v>
      </c>
      <c r="T388" s="10">
        <v>0</v>
      </c>
      <c r="U388" s="10">
        <v>0</v>
      </c>
      <c r="V388" s="10">
        <v>0</v>
      </c>
      <c r="W388" s="10">
        <v>0</v>
      </c>
      <c r="X388" s="10"/>
      <c r="Y388" s="120">
        <v>29.533333333333335</v>
      </c>
      <c r="Z388" s="127">
        <v>1</v>
      </c>
      <c r="AA388" s="121">
        <v>29.533333333333335</v>
      </c>
      <c r="AB388" s="122"/>
      <c r="AC388" s="122">
        <v>1</v>
      </c>
      <c r="AD388" s="128">
        <v>0.9</v>
      </c>
      <c r="AE388" s="10"/>
      <c r="AF388" s="125" t="s">
        <v>1629</v>
      </c>
      <c r="AG388" s="125" t="s">
        <v>677</v>
      </c>
      <c r="AH388" s="126">
        <v>0</v>
      </c>
      <c r="AI388" s="117" t="s">
        <v>1260</v>
      </c>
      <c r="AJ388" s="2"/>
      <c r="AK388" s="2"/>
      <c r="AL388" s="2"/>
      <c r="AM388" s="2"/>
      <c r="AN388" s="2"/>
    </row>
    <row r="389" spans="1:40" ht="12.75" x14ac:dyDescent="0.2">
      <c r="A389" s="117" t="s">
        <v>1630</v>
      </c>
      <c r="B389" s="117" t="s">
        <v>678</v>
      </c>
      <c r="C389" s="117" t="s">
        <v>678</v>
      </c>
      <c r="D389" s="117" t="s">
        <v>678</v>
      </c>
      <c r="E389" s="117" t="s">
        <v>678</v>
      </c>
      <c r="F389" s="117" t="s">
        <v>677</v>
      </c>
      <c r="G389" s="117" t="s">
        <v>677</v>
      </c>
      <c r="H389" s="117" t="s">
        <v>677</v>
      </c>
      <c r="I389" s="117" t="s">
        <v>929</v>
      </c>
      <c r="J389" s="117" t="s">
        <v>677</v>
      </c>
      <c r="K389" s="118">
        <f>421/30</f>
        <v>14.033333333333333</v>
      </c>
      <c r="L389" s="118">
        <v>0</v>
      </c>
      <c r="M389" s="117" t="s">
        <v>1350</v>
      </c>
      <c r="N389" s="10"/>
      <c r="O389" s="117" t="s">
        <v>918</v>
      </c>
      <c r="P389" s="117" t="s">
        <v>1631</v>
      </c>
      <c r="Q389" s="117" t="s">
        <v>1403</v>
      </c>
      <c r="R389" s="119"/>
      <c r="S389" s="10">
        <v>0</v>
      </c>
      <c r="T389" s="10">
        <v>1</v>
      </c>
      <c r="U389" s="10">
        <v>0</v>
      </c>
      <c r="V389" s="10">
        <v>0</v>
      </c>
      <c r="W389" s="10">
        <v>0</v>
      </c>
      <c r="X389" s="10"/>
      <c r="Y389" s="120">
        <v>16.5</v>
      </c>
      <c r="Z389" s="127">
        <v>1</v>
      </c>
      <c r="AA389" s="121">
        <v>16.5</v>
      </c>
      <c r="AB389" s="122"/>
      <c r="AC389" s="122">
        <v>1</v>
      </c>
      <c r="AD389" s="128">
        <v>1.8666666666666667</v>
      </c>
      <c r="AE389" s="10"/>
      <c r="AF389" s="125" t="s">
        <v>1560</v>
      </c>
      <c r="AG389" s="125" t="s">
        <v>677</v>
      </c>
      <c r="AH389" s="126">
        <v>60.6</v>
      </c>
      <c r="AI389" s="117" t="s">
        <v>2036</v>
      </c>
      <c r="AJ389" s="2"/>
      <c r="AK389" s="2"/>
      <c r="AL389" s="2"/>
      <c r="AM389" s="2"/>
      <c r="AN389" s="2"/>
    </row>
    <row r="390" spans="1:40" ht="12.75" x14ac:dyDescent="0.2">
      <c r="A390" s="116" t="s">
        <v>1133</v>
      </c>
      <c r="B390" s="117" t="s">
        <v>678</v>
      </c>
      <c r="C390" s="117" t="s">
        <v>678</v>
      </c>
      <c r="D390" s="117" t="s">
        <v>677</v>
      </c>
      <c r="E390" s="117" t="s">
        <v>678</v>
      </c>
      <c r="F390" s="117" t="s">
        <v>677</v>
      </c>
      <c r="G390" s="117" t="s">
        <v>677</v>
      </c>
      <c r="H390" s="117" t="s">
        <v>677</v>
      </c>
      <c r="I390" s="117" t="s">
        <v>1134</v>
      </c>
      <c r="J390" s="117" t="s">
        <v>677</v>
      </c>
      <c r="K390" s="118">
        <f>777/30</f>
        <v>25.9</v>
      </c>
      <c r="L390" s="118">
        <v>0</v>
      </c>
      <c r="M390" s="117" t="s">
        <v>1137</v>
      </c>
      <c r="N390" s="10"/>
      <c r="O390" s="117" t="s">
        <v>1135</v>
      </c>
      <c r="P390" s="117" t="s">
        <v>1086</v>
      </c>
      <c r="Q390" s="117" t="s">
        <v>1136</v>
      </c>
      <c r="R390" s="119"/>
      <c r="S390" s="10">
        <v>1</v>
      </c>
      <c r="T390" s="10">
        <v>0</v>
      </c>
      <c r="U390" s="10">
        <v>0</v>
      </c>
      <c r="V390" s="10">
        <v>0</v>
      </c>
      <c r="W390" s="10">
        <v>0</v>
      </c>
      <c r="X390" s="10"/>
      <c r="Y390" s="120">
        <v>52.033333333333331</v>
      </c>
      <c r="Z390" s="117" t="s">
        <v>677</v>
      </c>
      <c r="AA390" s="121">
        <v>52.033333333333331</v>
      </c>
      <c r="AB390" s="123"/>
      <c r="AC390" s="123">
        <v>1</v>
      </c>
      <c r="AD390" s="124">
        <v>26.066666666666666</v>
      </c>
      <c r="AE390" s="10"/>
      <c r="AF390" s="125" t="s">
        <v>1138</v>
      </c>
      <c r="AG390" s="125" t="s">
        <v>678</v>
      </c>
      <c r="AH390" s="126">
        <v>0</v>
      </c>
      <c r="AI390" s="117" t="s">
        <v>1540</v>
      </c>
      <c r="AJ390" s="2"/>
      <c r="AK390" s="2"/>
      <c r="AL390" s="2"/>
      <c r="AM390" s="2"/>
      <c r="AN390" s="2"/>
    </row>
    <row r="391" spans="1:40" ht="12.75" x14ac:dyDescent="0.2">
      <c r="A391" s="117" t="s">
        <v>1511</v>
      </c>
      <c r="B391" s="117" t="s">
        <v>678</v>
      </c>
      <c r="C391" s="117" t="s">
        <v>678</v>
      </c>
      <c r="D391" s="117" t="s">
        <v>677</v>
      </c>
      <c r="E391" s="117" t="s">
        <v>678</v>
      </c>
      <c r="F391" s="117" t="s">
        <v>677</v>
      </c>
      <c r="G391" s="117" t="s">
        <v>677</v>
      </c>
      <c r="H391" s="117" t="s">
        <v>677</v>
      </c>
      <c r="I391" s="117" t="s">
        <v>1399</v>
      </c>
      <c r="J391" s="117" t="s">
        <v>677</v>
      </c>
      <c r="K391" s="118">
        <f>545/30</f>
        <v>18.166666666666668</v>
      </c>
      <c r="L391" s="118">
        <v>0</v>
      </c>
      <c r="M391" s="117" t="s">
        <v>1512</v>
      </c>
      <c r="N391" s="10"/>
      <c r="O391" s="117" t="s">
        <v>1034</v>
      </c>
      <c r="P391" s="117" t="s">
        <v>1322</v>
      </c>
      <c r="Q391" s="117" t="s">
        <v>1048</v>
      </c>
      <c r="R391" s="119"/>
      <c r="S391" s="10">
        <v>0</v>
      </c>
      <c r="T391" s="10">
        <v>1</v>
      </c>
      <c r="U391" s="10">
        <v>0</v>
      </c>
      <c r="V391" s="10">
        <v>0</v>
      </c>
      <c r="W391" s="10">
        <v>0</v>
      </c>
      <c r="X391" s="10"/>
      <c r="Y391" s="120">
        <v>35.06666666666667</v>
      </c>
      <c r="Z391" s="117" t="s">
        <v>678</v>
      </c>
      <c r="AA391" s="121">
        <v>35.06666666666667</v>
      </c>
      <c r="AB391" s="123"/>
      <c r="AC391" s="122">
        <v>1</v>
      </c>
      <c r="AD391" s="128">
        <v>14.933333333333334</v>
      </c>
      <c r="AE391" s="10"/>
      <c r="AF391" s="125" t="s">
        <v>1513</v>
      </c>
      <c r="AG391" s="125" t="s">
        <v>678</v>
      </c>
      <c r="AH391" s="126">
        <v>0</v>
      </c>
      <c r="AI391" s="117" t="s">
        <v>1114</v>
      </c>
      <c r="AJ391" s="2"/>
      <c r="AK391" s="2"/>
      <c r="AL391" s="2"/>
      <c r="AM391" s="2"/>
      <c r="AN391" s="2"/>
    </row>
    <row r="392" spans="1:40" ht="12.75" x14ac:dyDescent="0.2">
      <c r="A392" s="117" t="s">
        <v>1514</v>
      </c>
      <c r="B392" s="117" t="s">
        <v>678</v>
      </c>
      <c r="C392" s="117" t="s">
        <v>677</v>
      </c>
      <c r="D392" s="117" t="s">
        <v>678</v>
      </c>
      <c r="E392" s="117" t="s">
        <v>678</v>
      </c>
      <c r="F392" s="117" t="s">
        <v>677</v>
      </c>
      <c r="G392" s="117" t="s">
        <v>677</v>
      </c>
      <c r="H392" s="117" t="s">
        <v>677</v>
      </c>
      <c r="I392" s="117" t="s">
        <v>903</v>
      </c>
      <c r="J392" s="117" t="s">
        <v>678</v>
      </c>
      <c r="K392" s="118">
        <f>977/30</f>
        <v>32.56666666666667</v>
      </c>
      <c r="L392" s="118">
        <v>0</v>
      </c>
      <c r="M392" s="117" t="s">
        <v>1515</v>
      </c>
      <c r="N392" s="10"/>
      <c r="O392" s="117" t="s">
        <v>1284</v>
      </c>
      <c r="P392" s="117" t="s">
        <v>1070</v>
      </c>
      <c r="Q392" s="117" t="s">
        <v>1395</v>
      </c>
      <c r="R392" s="119"/>
      <c r="S392" s="10">
        <v>0</v>
      </c>
      <c r="T392" s="10">
        <v>1</v>
      </c>
      <c r="U392" s="10">
        <v>0</v>
      </c>
      <c r="V392" s="10">
        <v>0</v>
      </c>
      <c r="W392" s="10">
        <v>0</v>
      </c>
      <c r="X392" s="10"/>
      <c r="Y392" s="120">
        <v>6.9333333333333336</v>
      </c>
      <c r="Z392" s="127">
        <v>1</v>
      </c>
      <c r="AA392" s="121">
        <v>6.9333333333333336</v>
      </c>
      <c r="AB392" s="122"/>
      <c r="AC392" s="123">
        <v>0</v>
      </c>
      <c r="AD392" s="124">
        <v>2.7666666666666666</v>
      </c>
      <c r="AE392" s="10"/>
      <c r="AF392" s="125" t="s">
        <v>1368</v>
      </c>
      <c r="AG392" s="125" t="s">
        <v>678</v>
      </c>
      <c r="AH392" s="126">
        <v>4.9000000000000004</v>
      </c>
      <c r="AI392" s="117" t="s">
        <v>1623</v>
      </c>
      <c r="AJ392" s="2"/>
      <c r="AK392" s="2"/>
      <c r="AL392" s="2"/>
      <c r="AM392" s="2"/>
      <c r="AN392" s="2"/>
    </row>
    <row r="393" spans="1:40" ht="12.75" x14ac:dyDescent="0.2">
      <c r="A393" s="117" t="s">
        <v>1516</v>
      </c>
      <c r="B393" s="117" t="s">
        <v>677</v>
      </c>
      <c r="C393" s="117" t="s">
        <v>677</v>
      </c>
      <c r="D393" s="117" t="s">
        <v>677</v>
      </c>
      <c r="E393" s="117" t="s">
        <v>678</v>
      </c>
      <c r="F393" s="117" t="s">
        <v>677</v>
      </c>
      <c r="G393" s="117" t="s">
        <v>677</v>
      </c>
      <c r="H393" s="117" t="s">
        <v>677</v>
      </c>
      <c r="I393" s="117" t="s">
        <v>1517</v>
      </c>
      <c r="J393" s="117" t="s">
        <v>677</v>
      </c>
      <c r="K393" s="118">
        <f>862/30</f>
        <v>28.733333333333334</v>
      </c>
      <c r="L393" s="118">
        <v>0</v>
      </c>
      <c r="M393" s="117" t="s">
        <v>1518</v>
      </c>
      <c r="N393" s="10"/>
      <c r="O393" s="117" t="s">
        <v>956</v>
      </c>
      <c r="P393" s="117" t="s">
        <v>888</v>
      </c>
      <c r="Q393" s="117" t="s">
        <v>949</v>
      </c>
      <c r="R393" s="119"/>
      <c r="S393" s="10">
        <v>1</v>
      </c>
      <c r="T393" s="10">
        <v>0</v>
      </c>
      <c r="U393" s="10">
        <v>0</v>
      </c>
      <c r="V393" s="10">
        <v>0</v>
      </c>
      <c r="W393" s="10">
        <v>0</v>
      </c>
      <c r="X393" s="10"/>
      <c r="Y393" s="120">
        <v>53.7</v>
      </c>
      <c r="Z393" s="117" t="s">
        <v>677</v>
      </c>
      <c r="AA393" s="121">
        <v>53.7</v>
      </c>
      <c r="AB393" s="123"/>
      <c r="AC393" s="122">
        <v>1</v>
      </c>
      <c r="AD393" s="128">
        <v>13.633333333333333</v>
      </c>
      <c r="AE393" s="10"/>
      <c r="AF393" s="125" t="s">
        <v>1519</v>
      </c>
      <c r="AG393" s="125" t="s">
        <v>678</v>
      </c>
      <c r="AH393" s="126">
        <v>0</v>
      </c>
      <c r="AI393" s="117" t="s">
        <v>1054</v>
      </c>
      <c r="AJ393" s="2"/>
      <c r="AK393" s="2"/>
      <c r="AL393" s="2"/>
      <c r="AM393" s="2"/>
      <c r="AN393" s="2"/>
    </row>
    <row r="394" spans="1:40" ht="12.75" x14ac:dyDescent="0.2">
      <c r="A394" s="117" t="s">
        <v>1520</v>
      </c>
      <c r="B394" s="117" t="s">
        <v>677</v>
      </c>
      <c r="C394" s="117" t="s">
        <v>677</v>
      </c>
      <c r="D394" s="117" t="s">
        <v>677</v>
      </c>
      <c r="E394" s="117" t="s">
        <v>678</v>
      </c>
      <c r="F394" s="117" t="s">
        <v>678</v>
      </c>
      <c r="G394" s="117" t="s">
        <v>677</v>
      </c>
      <c r="H394" s="117" t="s">
        <v>677</v>
      </c>
      <c r="I394" s="117" t="s">
        <v>1032</v>
      </c>
      <c r="J394" s="117" t="s">
        <v>677</v>
      </c>
      <c r="K394" s="118">
        <f>90/30</f>
        <v>3</v>
      </c>
      <c r="L394" s="118">
        <v>1</v>
      </c>
      <c r="M394" s="117" t="s">
        <v>1521</v>
      </c>
      <c r="N394" s="10"/>
      <c r="O394" s="117" t="s">
        <v>1006</v>
      </c>
      <c r="P394" s="117" t="s">
        <v>1238</v>
      </c>
      <c r="Q394" s="117" t="s">
        <v>1199</v>
      </c>
      <c r="R394" s="119"/>
      <c r="S394" s="10">
        <v>0</v>
      </c>
      <c r="T394" s="10">
        <v>1</v>
      </c>
      <c r="U394" s="10">
        <v>0</v>
      </c>
      <c r="V394" s="10">
        <v>0</v>
      </c>
      <c r="W394" s="10">
        <v>0</v>
      </c>
      <c r="X394" s="10"/>
      <c r="Y394" s="120">
        <v>10.133333333333333</v>
      </c>
      <c r="Z394" s="117" t="s">
        <v>678</v>
      </c>
      <c r="AA394" s="121">
        <v>10.133333333333333</v>
      </c>
      <c r="AB394" s="123"/>
      <c r="AC394" s="122">
        <v>1</v>
      </c>
      <c r="AD394" s="128">
        <v>4.7666666666666666</v>
      </c>
      <c r="AE394" s="10"/>
      <c r="AF394" s="125" t="s">
        <v>1522</v>
      </c>
      <c r="AG394" s="125" t="s">
        <v>678</v>
      </c>
      <c r="AH394" s="126">
        <v>0</v>
      </c>
      <c r="AI394" s="117" t="s">
        <v>1974</v>
      </c>
      <c r="AJ394" s="2"/>
      <c r="AK394" s="2"/>
      <c r="AL394" s="2"/>
      <c r="AM394" s="2"/>
      <c r="AN394" s="2"/>
    </row>
    <row r="395" spans="1:40" ht="12.75" x14ac:dyDescent="0.2">
      <c r="A395" s="117" t="s">
        <v>1523</v>
      </c>
      <c r="B395" s="117" t="s">
        <v>679</v>
      </c>
      <c r="C395" s="117" t="s">
        <v>677</v>
      </c>
      <c r="D395" s="117" t="s">
        <v>677</v>
      </c>
      <c r="E395" s="117" t="s">
        <v>677</v>
      </c>
      <c r="F395" s="117" t="s">
        <v>677</v>
      </c>
      <c r="G395" s="117" t="s">
        <v>677</v>
      </c>
      <c r="H395" s="117" t="s">
        <v>678</v>
      </c>
      <c r="I395" s="117" t="s">
        <v>983</v>
      </c>
      <c r="J395" s="117" t="s">
        <v>678</v>
      </c>
      <c r="K395" s="118">
        <f>213/30</f>
        <v>7.1</v>
      </c>
      <c r="L395" s="118">
        <v>1</v>
      </c>
      <c r="M395" s="117" t="s">
        <v>1208</v>
      </c>
      <c r="N395" s="10"/>
      <c r="O395" s="117" t="s">
        <v>943</v>
      </c>
      <c r="P395" s="117" t="s">
        <v>991</v>
      </c>
      <c r="Q395" s="117" t="s">
        <v>892</v>
      </c>
      <c r="R395" s="119"/>
      <c r="S395" s="10">
        <v>1</v>
      </c>
      <c r="T395" s="10">
        <v>0</v>
      </c>
      <c r="U395" s="10">
        <v>0</v>
      </c>
      <c r="V395" s="10">
        <v>0</v>
      </c>
      <c r="W395" s="10">
        <v>0</v>
      </c>
      <c r="X395" s="10"/>
      <c r="Y395" s="120">
        <v>20.566666666666666</v>
      </c>
      <c r="Z395" s="117" t="s">
        <v>678</v>
      </c>
      <c r="AA395" s="121">
        <v>20.566666666666666</v>
      </c>
      <c r="AB395" s="122"/>
      <c r="AC395" s="122">
        <v>1</v>
      </c>
      <c r="AD395" s="128">
        <v>17.8</v>
      </c>
      <c r="AE395" s="10"/>
      <c r="AF395" s="125" t="s">
        <v>1014</v>
      </c>
      <c r="AG395" s="125" t="s">
        <v>678</v>
      </c>
      <c r="AH395" s="126">
        <v>0</v>
      </c>
      <c r="AI395" s="117" t="s">
        <v>1240</v>
      </c>
      <c r="AJ395" s="2"/>
      <c r="AK395" s="2"/>
      <c r="AL395" s="2"/>
      <c r="AM395" s="2"/>
      <c r="AN395" s="2"/>
    </row>
    <row r="396" spans="1:40" ht="12.75" x14ac:dyDescent="0.2">
      <c r="A396" s="117" t="s">
        <v>1524</v>
      </c>
      <c r="B396" s="117" t="s">
        <v>677</v>
      </c>
      <c r="C396" s="117" t="s">
        <v>677</v>
      </c>
      <c r="D396" s="117" t="s">
        <v>678</v>
      </c>
      <c r="E396" s="117" t="s">
        <v>678</v>
      </c>
      <c r="F396" s="117" t="s">
        <v>677</v>
      </c>
      <c r="G396" s="117" t="s">
        <v>677</v>
      </c>
      <c r="H396" s="117" t="s">
        <v>677</v>
      </c>
      <c r="I396" s="117" t="s">
        <v>936</v>
      </c>
      <c r="J396" s="117" t="s">
        <v>677</v>
      </c>
      <c r="K396" s="118">
        <f>644/30</f>
        <v>21.466666666666665</v>
      </c>
      <c r="L396" s="118">
        <v>0</v>
      </c>
      <c r="M396" s="117" t="s">
        <v>1525</v>
      </c>
      <c r="N396" s="10"/>
      <c r="O396" s="117" t="s">
        <v>956</v>
      </c>
      <c r="P396" s="117" t="s">
        <v>1467</v>
      </c>
      <c r="Q396" s="117" t="s">
        <v>985</v>
      </c>
      <c r="R396" s="119"/>
      <c r="S396" s="10">
        <v>1</v>
      </c>
      <c r="T396" s="10">
        <v>0</v>
      </c>
      <c r="U396" s="10">
        <v>0</v>
      </c>
      <c r="V396" s="10">
        <v>0</v>
      </c>
      <c r="W396" s="10">
        <v>0</v>
      </c>
      <c r="X396" s="10"/>
      <c r="Y396" s="120">
        <v>53.466666666666669</v>
      </c>
      <c r="Z396" s="117" t="s">
        <v>677</v>
      </c>
      <c r="AA396" s="121">
        <v>53.466666666666669</v>
      </c>
      <c r="AB396" s="122"/>
      <c r="AC396" s="123">
        <v>0</v>
      </c>
      <c r="AD396" s="124">
        <v>3.5</v>
      </c>
      <c r="AE396" s="10"/>
      <c r="AF396" s="125" t="s">
        <v>1526</v>
      </c>
      <c r="AG396" s="125" t="s">
        <v>678</v>
      </c>
      <c r="AH396" s="126">
        <v>5</v>
      </c>
      <c r="AI396" s="117" t="s">
        <v>1289</v>
      </c>
      <c r="AJ396" s="2"/>
      <c r="AK396" s="2"/>
      <c r="AL396" s="2"/>
      <c r="AM396" s="2"/>
      <c r="AN396" s="2"/>
    </row>
    <row r="397" spans="1:40" ht="12.75" x14ac:dyDescent="0.2">
      <c r="A397" s="116" t="s">
        <v>1140</v>
      </c>
      <c r="B397" s="117" t="s">
        <v>678</v>
      </c>
      <c r="C397" s="117" t="s">
        <v>677</v>
      </c>
      <c r="D397" s="117" t="s">
        <v>677</v>
      </c>
      <c r="E397" s="117" t="s">
        <v>678</v>
      </c>
      <c r="F397" s="117" t="s">
        <v>677</v>
      </c>
      <c r="G397" s="117" t="s">
        <v>677</v>
      </c>
      <c r="H397" s="117" t="s">
        <v>677</v>
      </c>
      <c r="I397" s="117" t="s">
        <v>1096</v>
      </c>
      <c r="J397" s="117" t="s">
        <v>677</v>
      </c>
      <c r="K397" s="118">
        <f>1227/30</f>
        <v>40.9</v>
      </c>
      <c r="L397" s="118">
        <v>0</v>
      </c>
      <c r="M397" s="117" t="s">
        <v>1142</v>
      </c>
      <c r="N397" s="10"/>
      <c r="O397" s="117" t="s">
        <v>1141</v>
      </c>
      <c r="P397" s="117" t="s">
        <v>1006</v>
      </c>
      <c r="Q397" s="117" t="s">
        <v>899</v>
      </c>
      <c r="R397" s="119"/>
      <c r="S397" s="10">
        <v>1</v>
      </c>
      <c r="T397" s="10">
        <v>0</v>
      </c>
      <c r="U397" s="10">
        <v>0</v>
      </c>
      <c r="V397" s="10">
        <v>0</v>
      </c>
      <c r="W397" s="10">
        <v>0</v>
      </c>
      <c r="X397" s="10"/>
      <c r="Y397" s="120">
        <v>52.033333333333331</v>
      </c>
      <c r="Z397" s="117" t="s">
        <v>677</v>
      </c>
      <c r="AA397" s="121">
        <v>52.033333333333331</v>
      </c>
      <c r="AB397" s="123"/>
      <c r="AC397" s="131">
        <v>0</v>
      </c>
      <c r="AD397" s="132">
        <v>51.733333333333334</v>
      </c>
      <c r="AE397" s="10"/>
      <c r="AF397" s="125" t="s">
        <v>1085</v>
      </c>
      <c r="AG397" s="125" t="s">
        <v>678</v>
      </c>
      <c r="AH397" s="126">
        <v>0</v>
      </c>
      <c r="AI397" s="117" t="s">
        <v>1221</v>
      </c>
      <c r="AJ397" s="2"/>
      <c r="AK397" s="2"/>
      <c r="AL397" s="2"/>
      <c r="AM397" s="2"/>
      <c r="AN397" s="2"/>
    </row>
    <row r="398" spans="1:40" ht="12.75" x14ac:dyDescent="0.2">
      <c r="A398" s="117" t="s">
        <v>1143</v>
      </c>
      <c r="B398" s="117" t="s">
        <v>677</v>
      </c>
      <c r="C398" s="117" t="s">
        <v>677</v>
      </c>
      <c r="D398" s="117" t="s">
        <v>677</v>
      </c>
      <c r="E398" s="117" t="s">
        <v>678</v>
      </c>
      <c r="F398" s="117" t="s">
        <v>677</v>
      </c>
      <c r="G398" s="117" t="s">
        <v>677</v>
      </c>
      <c r="H398" s="117" t="s">
        <v>677</v>
      </c>
      <c r="I398" s="117" t="s">
        <v>923</v>
      </c>
      <c r="J398" s="117" t="s">
        <v>678</v>
      </c>
      <c r="K398" s="118">
        <f>1095/30</f>
        <v>36.5</v>
      </c>
      <c r="L398" s="118">
        <v>0</v>
      </c>
      <c r="M398" s="117" t="s">
        <v>1145</v>
      </c>
      <c r="N398" s="10"/>
      <c r="O398" s="117" t="s">
        <v>1103</v>
      </c>
      <c r="P398" s="117" t="s">
        <v>1144</v>
      </c>
      <c r="Q398" s="117" t="s">
        <v>1079</v>
      </c>
      <c r="R398" s="119"/>
      <c r="S398" s="10">
        <v>1</v>
      </c>
      <c r="T398" s="10">
        <v>0</v>
      </c>
      <c r="U398" s="10">
        <v>0</v>
      </c>
      <c r="V398" s="10">
        <v>0</v>
      </c>
      <c r="W398" s="10">
        <v>0</v>
      </c>
      <c r="X398" s="10"/>
      <c r="Y398" s="120">
        <v>28.633333333333333</v>
      </c>
      <c r="Z398" s="117" t="s">
        <v>678</v>
      </c>
      <c r="AA398" s="121">
        <v>28.633333333333333</v>
      </c>
      <c r="AB398" s="123"/>
      <c r="AC398" s="122">
        <v>1</v>
      </c>
      <c r="AD398" s="128">
        <v>11.166666666666666</v>
      </c>
      <c r="AE398" s="10"/>
      <c r="AF398" s="125" t="s">
        <v>1037</v>
      </c>
      <c r="AG398" s="125" t="s">
        <v>678</v>
      </c>
      <c r="AH398" s="126">
        <v>8.6</v>
      </c>
      <c r="AI398" s="117" t="s">
        <v>1185</v>
      </c>
      <c r="AJ398" s="2"/>
      <c r="AK398" s="2"/>
      <c r="AL398" s="2"/>
      <c r="AM398" s="2"/>
      <c r="AN398" s="2"/>
    </row>
    <row r="399" spans="1:40" ht="12.75" x14ac:dyDescent="0.2">
      <c r="A399" s="117" t="s">
        <v>1527</v>
      </c>
      <c r="B399" s="117" t="s">
        <v>677</v>
      </c>
      <c r="C399" s="117" t="s">
        <v>677</v>
      </c>
      <c r="D399" s="117" t="s">
        <v>678</v>
      </c>
      <c r="E399" s="117" t="s">
        <v>678</v>
      </c>
      <c r="F399" s="117" t="s">
        <v>677</v>
      </c>
      <c r="G399" s="117" t="s">
        <v>677</v>
      </c>
      <c r="H399" s="117" t="s">
        <v>677</v>
      </c>
      <c r="I399" s="117" t="s">
        <v>983</v>
      </c>
      <c r="J399" s="117" t="s">
        <v>677</v>
      </c>
      <c r="K399" s="118">
        <f>542/30</f>
        <v>18.066666666666666</v>
      </c>
      <c r="L399" s="118">
        <v>0</v>
      </c>
      <c r="M399" s="117" t="s">
        <v>1528</v>
      </c>
      <c r="N399" s="10"/>
      <c r="O399" s="117" t="s">
        <v>1047</v>
      </c>
      <c r="P399" s="117" t="s">
        <v>887</v>
      </c>
      <c r="Q399" s="117" t="s">
        <v>1357</v>
      </c>
      <c r="R399" s="119"/>
      <c r="S399" s="10">
        <v>0</v>
      </c>
      <c r="T399" s="10">
        <v>1</v>
      </c>
      <c r="U399" s="10">
        <v>0</v>
      </c>
      <c r="V399" s="10">
        <v>0</v>
      </c>
      <c r="W399" s="10">
        <v>0</v>
      </c>
      <c r="X399" s="10"/>
      <c r="Y399" s="120">
        <v>36.9</v>
      </c>
      <c r="Z399" s="117" t="s">
        <v>678</v>
      </c>
      <c r="AA399" s="121">
        <v>36.9</v>
      </c>
      <c r="AB399" s="123"/>
      <c r="AC399" s="122">
        <v>1</v>
      </c>
      <c r="AD399" s="128">
        <v>6.5</v>
      </c>
      <c r="AE399" s="10"/>
      <c r="AF399" s="125" t="s">
        <v>901</v>
      </c>
      <c r="AG399" s="125" t="s">
        <v>678</v>
      </c>
      <c r="AH399" s="126">
        <v>14.8</v>
      </c>
      <c r="AI399" s="117" t="s">
        <v>1503</v>
      </c>
      <c r="AJ399" s="2"/>
      <c r="AK399" s="2"/>
      <c r="AL399" s="2"/>
      <c r="AM399" s="2"/>
      <c r="AN399" s="2"/>
    </row>
    <row r="400" spans="1:40" ht="12.75" x14ac:dyDescent="0.2">
      <c r="A400" s="117" t="s">
        <v>1632</v>
      </c>
      <c r="B400" s="117" t="s">
        <v>678</v>
      </c>
      <c r="C400" s="117" t="s">
        <v>677</v>
      </c>
      <c r="D400" s="117" t="s">
        <v>678</v>
      </c>
      <c r="E400" s="117" t="s">
        <v>678</v>
      </c>
      <c r="F400" s="117" t="s">
        <v>677</v>
      </c>
      <c r="G400" s="117" t="s">
        <v>677</v>
      </c>
      <c r="H400" s="117" t="s">
        <v>678</v>
      </c>
      <c r="I400" s="117" t="s">
        <v>909</v>
      </c>
      <c r="J400" s="117" t="s">
        <v>678</v>
      </c>
      <c r="K400" s="118">
        <f>543/30</f>
        <v>18.100000000000001</v>
      </c>
      <c r="L400" s="118">
        <v>0</v>
      </c>
      <c r="M400" s="117" t="s">
        <v>1633</v>
      </c>
      <c r="N400" s="10"/>
      <c r="O400" s="117" t="s">
        <v>1106</v>
      </c>
      <c r="P400" s="117" t="s">
        <v>898</v>
      </c>
      <c r="Q400" s="117" t="s">
        <v>1091</v>
      </c>
      <c r="R400" s="119"/>
      <c r="S400" s="10">
        <v>1</v>
      </c>
      <c r="T400" s="10">
        <v>0</v>
      </c>
      <c r="U400" s="10">
        <v>0</v>
      </c>
      <c r="V400" s="10">
        <v>0</v>
      </c>
      <c r="W400" s="10">
        <v>0</v>
      </c>
      <c r="X400" s="10"/>
      <c r="Y400" s="120">
        <v>22</v>
      </c>
      <c r="Z400" s="127">
        <v>1</v>
      </c>
      <c r="AA400" s="121">
        <v>22</v>
      </c>
      <c r="AB400" s="133"/>
      <c r="AC400" s="122">
        <v>1</v>
      </c>
      <c r="AD400" s="128">
        <v>2.7666666666666666</v>
      </c>
      <c r="AE400" s="10"/>
      <c r="AF400" s="125" t="s">
        <v>1634</v>
      </c>
      <c r="AG400" s="125" t="s">
        <v>678</v>
      </c>
      <c r="AH400" s="126">
        <v>14</v>
      </c>
      <c r="AI400" s="117" t="s">
        <v>2022</v>
      </c>
      <c r="AJ400" s="2"/>
      <c r="AK400" s="2"/>
      <c r="AL400" s="2"/>
      <c r="AM400" s="2"/>
      <c r="AN400" s="2"/>
    </row>
    <row r="401" spans="1:40" ht="12.75" x14ac:dyDescent="0.2">
      <c r="A401" s="116" t="s">
        <v>1147</v>
      </c>
      <c r="B401" s="117" t="s">
        <v>677</v>
      </c>
      <c r="C401" s="117" t="s">
        <v>677</v>
      </c>
      <c r="D401" s="117" t="s">
        <v>677</v>
      </c>
      <c r="E401" s="117" t="s">
        <v>678</v>
      </c>
      <c r="F401" s="117" t="s">
        <v>677</v>
      </c>
      <c r="G401" s="117" t="s">
        <v>677</v>
      </c>
      <c r="H401" s="117" t="s">
        <v>677</v>
      </c>
      <c r="I401" s="117" t="s">
        <v>960</v>
      </c>
      <c r="J401" s="117" t="s">
        <v>678</v>
      </c>
      <c r="K401" s="118" t="s">
        <v>674</v>
      </c>
      <c r="L401" s="118">
        <v>2</v>
      </c>
      <c r="M401" s="117" t="s">
        <v>1148</v>
      </c>
      <c r="N401" s="10"/>
      <c r="O401" s="117" t="s">
        <v>897</v>
      </c>
      <c r="P401" s="117" t="s">
        <v>1083</v>
      </c>
      <c r="Q401" s="117" t="s">
        <v>1091</v>
      </c>
      <c r="R401" s="119"/>
      <c r="S401" s="10">
        <v>1</v>
      </c>
      <c r="T401" s="10">
        <v>0</v>
      </c>
      <c r="U401" s="10">
        <v>0</v>
      </c>
      <c r="V401" s="10">
        <v>0</v>
      </c>
      <c r="W401" s="10">
        <v>0</v>
      </c>
      <c r="X401" s="10"/>
      <c r="Y401" s="120">
        <v>51.233333333333334</v>
      </c>
      <c r="Z401" s="117" t="s">
        <v>677</v>
      </c>
      <c r="AA401" s="121">
        <v>51.233333333333334</v>
      </c>
      <c r="AB401" s="134"/>
      <c r="AC401" s="123">
        <v>1</v>
      </c>
      <c r="AD401" s="124">
        <v>30.333333333333332</v>
      </c>
      <c r="AE401" s="10"/>
      <c r="AF401" s="125" t="s">
        <v>1149</v>
      </c>
      <c r="AG401" s="125" t="s">
        <v>678</v>
      </c>
      <c r="AH401" s="126">
        <v>3</v>
      </c>
      <c r="AI401" s="117" t="s">
        <v>1952</v>
      </c>
      <c r="AJ401" s="2"/>
      <c r="AK401" s="2"/>
      <c r="AL401" s="2"/>
      <c r="AM401" s="2"/>
      <c r="AN401" s="2"/>
    </row>
    <row r="402" spans="1:40" ht="12.75" x14ac:dyDescent="0.2">
      <c r="A402" s="117" t="s">
        <v>1150</v>
      </c>
      <c r="B402" s="117" t="s">
        <v>677</v>
      </c>
      <c r="C402" s="117" t="s">
        <v>678</v>
      </c>
      <c r="D402" s="117" t="s">
        <v>677</v>
      </c>
      <c r="E402" s="117" t="s">
        <v>678</v>
      </c>
      <c r="F402" s="117" t="s">
        <v>677</v>
      </c>
      <c r="G402" s="117" t="s">
        <v>677</v>
      </c>
      <c r="H402" s="117" t="s">
        <v>677</v>
      </c>
      <c r="I402" s="117" t="s">
        <v>1026</v>
      </c>
      <c r="J402" s="117" t="s">
        <v>678</v>
      </c>
      <c r="K402" s="118">
        <f>239/30</f>
        <v>7.9666666666666668</v>
      </c>
      <c r="L402" s="118">
        <v>1</v>
      </c>
      <c r="M402" s="117" t="s">
        <v>1153</v>
      </c>
      <c r="N402" s="10"/>
      <c r="O402" s="117" t="s">
        <v>1152</v>
      </c>
      <c r="P402" s="117" t="s">
        <v>1151</v>
      </c>
      <c r="Q402" s="117" t="s">
        <v>995</v>
      </c>
      <c r="R402" s="119"/>
      <c r="S402" s="10">
        <v>1</v>
      </c>
      <c r="T402" s="10">
        <v>0</v>
      </c>
      <c r="U402" s="10">
        <v>0</v>
      </c>
      <c r="V402" s="10">
        <v>0</v>
      </c>
      <c r="W402" s="10">
        <v>0</v>
      </c>
      <c r="X402" s="10"/>
      <c r="Y402" s="120">
        <v>3.3333333333333335</v>
      </c>
      <c r="Z402" s="117" t="s">
        <v>678</v>
      </c>
      <c r="AA402" s="121">
        <v>3.3333333333333335</v>
      </c>
      <c r="AB402" s="135"/>
      <c r="AC402" s="123">
        <v>1</v>
      </c>
      <c r="AD402" s="124">
        <v>0.8666666666666667</v>
      </c>
      <c r="AE402" s="10"/>
      <c r="AF402" s="125" t="s">
        <v>1154</v>
      </c>
      <c r="AG402" s="125" t="s">
        <v>677</v>
      </c>
      <c r="AH402" s="126">
        <v>55.6</v>
      </c>
      <c r="AI402" s="117" t="s">
        <v>1977</v>
      </c>
      <c r="AJ402" s="2"/>
      <c r="AK402" s="2"/>
      <c r="AL402" s="2"/>
      <c r="AM402" s="2"/>
      <c r="AN402" s="2"/>
    </row>
    <row r="403" spans="1:40" ht="12.75" x14ac:dyDescent="0.2">
      <c r="A403" s="117" t="s">
        <v>1155</v>
      </c>
      <c r="B403" s="117" t="s">
        <v>678</v>
      </c>
      <c r="C403" s="117" t="s">
        <v>677</v>
      </c>
      <c r="D403" s="117" t="s">
        <v>678</v>
      </c>
      <c r="E403" s="117" t="s">
        <v>678</v>
      </c>
      <c r="F403" s="117" t="s">
        <v>677</v>
      </c>
      <c r="G403" s="117" t="s">
        <v>677</v>
      </c>
      <c r="H403" s="117" t="s">
        <v>677</v>
      </c>
      <c r="I403" s="117" t="s">
        <v>1041</v>
      </c>
      <c r="J403" s="117" t="s">
        <v>679</v>
      </c>
      <c r="K403" s="118">
        <f>195/30</f>
        <v>6.5</v>
      </c>
      <c r="L403" s="118">
        <v>1</v>
      </c>
      <c r="M403" s="117" t="s">
        <v>1157</v>
      </c>
      <c r="N403" s="10"/>
      <c r="O403" s="117" t="s">
        <v>956</v>
      </c>
      <c r="P403" s="117" t="s">
        <v>1156</v>
      </c>
      <c r="Q403" s="117" t="s">
        <v>1053</v>
      </c>
      <c r="R403" s="119"/>
      <c r="S403" s="10">
        <v>1</v>
      </c>
      <c r="T403" s="10">
        <v>0</v>
      </c>
      <c r="U403" s="10">
        <v>0</v>
      </c>
      <c r="V403" s="10">
        <v>0</v>
      </c>
      <c r="W403" s="10">
        <v>0</v>
      </c>
      <c r="X403" s="10"/>
      <c r="Y403" s="120">
        <v>3.6666666666666665</v>
      </c>
      <c r="Z403" s="117" t="s">
        <v>678</v>
      </c>
      <c r="AA403" s="121">
        <v>3.6666666666666665</v>
      </c>
      <c r="AB403" s="135"/>
      <c r="AC403" s="122">
        <v>1</v>
      </c>
      <c r="AD403" s="128">
        <v>0.7</v>
      </c>
      <c r="AE403" s="10"/>
      <c r="AF403" s="125" t="s">
        <v>1158</v>
      </c>
      <c r="AG403" s="125" t="s">
        <v>677</v>
      </c>
      <c r="AH403" s="126">
        <v>5.8</v>
      </c>
      <c r="AI403" s="117" t="s">
        <v>2031</v>
      </c>
      <c r="AJ403" s="2"/>
      <c r="AK403" s="2"/>
      <c r="AL403" s="2"/>
      <c r="AM403" s="2"/>
      <c r="AN403" s="2"/>
    </row>
    <row r="404" spans="1:40" ht="12.75" x14ac:dyDescent="0.2">
      <c r="A404" s="117" t="s">
        <v>1159</v>
      </c>
      <c r="B404" s="117" t="s">
        <v>678</v>
      </c>
      <c r="C404" s="117" t="s">
        <v>677</v>
      </c>
      <c r="D404" s="117" t="s">
        <v>677</v>
      </c>
      <c r="E404" s="117" t="s">
        <v>678</v>
      </c>
      <c r="F404" s="117" t="s">
        <v>677</v>
      </c>
      <c r="G404" s="117" t="s">
        <v>677</v>
      </c>
      <c r="H404" s="117" t="s">
        <v>677</v>
      </c>
      <c r="I404" s="117" t="s">
        <v>1041</v>
      </c>
      <c r="J404" s="117" t="s">
        <v>678</v>
      </c>
      <c r="K404" s="118">
        <f>306/30</f>
        <v>10.199999999999999</v>
      </c>
      <c r="L404" s="118">
        <v>1</v>
      </c>
      <c r="M404" s="117" t="s">
        <v>1163</v>
      </c>
      <c r="N404" s="10"/>
      <c r="O404" s="117" t="s">
        <v>1161</v>
      </c>
      <c r="P404" s="117" t="s">
        <v>1160</v>
      </c>
      <c r="Q404" s="117" t="s">
        <v>1162</v>
      </c>
      <c r="R404" s="119"/>
      <c r="S404" s="10">
        <v>0</v>
      </c>
      <c r="T404" s="10">
        <v>1</v>
      </c>
      <c r="U404" s="10">
        <v>0</v>
      </c>
      <c r="V404" s="10">
        <v>0</v>
      </c>
      <c r="W404" s="10">
        <v>0</v>
      </c>
      <c r="X404" s="10"/>
      <c r="Y404" s="120">
        <v>26.766666666666666</v>
      </c>
      <c r="Z404" s="117" t="s">
        <v>678</v>
      </c>
      <c r="AA404" s="121">
        <v>26.766666666666666</v>
      </c>
      <c r="AB404" s="135"/>
      <c r="AC404" s="123">
        <v>1</v>
      </c>
      <c r="AD404" s="124">
        <v>8.6666666666666661</v>
      </c>
      <c r="AE404" s="10"/>
      <c r="AF404" s="125" t="s">
        <v>1164</v>
      </c>
      <c r="AG404" s="125" t="s">
        <v>678</v>
      </c>
      <c r="AH404" s="126">
        <v>7.7</v>
      </c>
      <c r="AI404" s="117" t="s">
        <v>1966</v>
      </c>
      <c r="AJ404" s="2"/>
      <c r="AK404" s="2"/>
      <c r="AL404" s="2"/>
      <c r="AM404" s="2"/>
      <c r="AN404" s="2"/>
    </row>
    <row r="405" spans="1:40" ht="12.75" x14ac:dyDescent="0.2">
      <c r="A405" s="117" t="s">
        <v>1529</v>
      </c>
      <c r="B405" s="117" t="s">
        <v>678</v>
      </c>
      <c r="C405" s="117" t="s">
        <v>678</v>
      </c>
      <c r="D405" s="117" t="s">
        <v>678</v>
      </c>
      <c r="E405" s="117" t="s">
        <v>678</v>
      </c>
      <c r="F405" s="117" t="s">
        <v>677</v>
      </c>
      <c r="G405" s="117" t="s">
        <v>677</v>
      </c>
      <c r="H405" s="117" t="s">
        <v>677</v>
      </c>
      <c r="I405" s="117" t="s">
        <v>1399</v>
      </c>
      <c r="J405" s="117" t="s">
        <v>677</v>
      </c>
      <c r="K405" s="118">
        <f>341/30</f>
        <v>11.366666666666667</v>
      </c>
      <c r="L405" s="118">
        <v>1</v>
      </c>
      <c r="M405" s="117" t="s">
        <v>1325</v>
      </c>
      <c r="N405" s="10"/>
      <c r="O405" s="117" t="s">
        <v>1052</v>
      </c>
      <c r="P405" s="117" t="s">
        <v>984</v>
      </c>
      <c r="Q405" s="117" t="s">
        <v>1480</v>
      </c>
      <c r="R405" s="119"/>
      <c r="S405" s="10">
        <v>0</v>
      </c>
      <c r="T405" s="10">
        <v>1</v>
      </c>
      <c r="U405" s="10">
        <v>0</v>
      </c>
      <c r="V405" s="10">
        <v>0</v>
      </c>
      <c r="W405" s="10">
        <v>0</v>
      </c>
      <c r="X405" s="10"/>
      <c r="Y405" s="120">
        <v>16</v>
      </c>
      <c r="Z405" s="127">
        <v>1</v>
      </c>
      <c r="AA405" s="121">
        <v>16</v>
      </c>
      <c r="AB405" s="135"/>
      <c r="AC405" s="123">
        <v>1</v>
      </c>
      <c r="AD405" s="124">
        <v>5.6</v>
      </c>
      <c r="AE405" s="10"/>
      <c r="AF405" s="125" t="s">
        <v>1530</v>
      </c>
      <c r="AG405" s="125" t="s">
        <v>678</v>
      </c>
      <c r="AH405" s="126">
        <v>2</v>
      </c>
      <c r="AI405" s="117" t="s">
        <v>2037</v>
      </c>
      <c r="AJ405" s="2"/>
      <c r="AK405" s="2"/>
      <c r="AL405" s="2"/>
      <c r="AM405" s="2"/>
      <c r="AN405" s="2"/>
    </row>
    <row r="406" spans="1:40" ht="12.75" x14ac:dyDescent="0.2">
      <c r="A406" s="117" t="s">
        <v>1531</v>
      </c>
      <c r="B406" s="117" t="s">
        <v>678</v>
      </c>
      <c r="C406" s="117" t="s">
        <v>677</v>
      </c>
      <c r="D406" s="117" t="s">
        <v>677</v>
      </c>
      <c r="E406" s="117" t="s">
        <v>678</v>
      </c>
      <c r="F406" s="117" t="s">
        <v>677</v>
      </c>
      <c r="G406" s="117" t="s">
        <v>677</v>
      </c>
      <c r="H406" s="117" t="s">
        <v>678</v>
      </c>
      <c r="I406" s="117" t="s">
        <v>936</v>
      </c>
      <c r="J406" s="117" t="s">
        <v>678</v>
      </c>
      <c r="K406" s="118">
        <f>517/30</f>
        <v>17.233333333333334</v>
      </c>
      <c r="L406" s="118">
        <v>0</v>
      </c>
      <c r="M406" s="117" t="s">
        <v>1533</v>
      </c>
      <c r="N406" s="10"/>
      <c r="O406" s="117" t="s">
        <v>1103</v>
      </c>
      <c r="P406" s="117" t="s">
        <v>1532</v>
      </c>
      <c r="Q406" s="117" t="s">
        <v>1067</v>
      </c>
      <c r="R406" s="119"/>
      <c r="S406" s="10">
        <v>1</v>
      </c>
      <c r="T406" s="10">
        <v>0</v>
      </c>
      <c r="U406" s="10">
        <v>0</v>
      </c>
      <c r="V406" s="10">
        <v>0</v>
      </c>
      <c r="W406" s="10">
        <v>0</v>
      </c>
      <c r="X406" s="10"/>
      <c r="Y406" s="129">
        <v>33.733333333333334</v>
      </c>
      <c r="Z406" s="117" t="s">
        <v>678</v>
      </c>
      <c r="AA406" s="130">
        <v>33.733333333333334</v>
      </c>
      <c r="AB406" s="135"/>
      <c r="AC406" s="122">
        <v>1</v>
      </c>
      <c r="AD406" s="128">
        <v>18.366666666666667</v>
      </c>
      <c r="AE406" s="10"/>
      <c r="AF406" s="125" t="s">
        <v>1534</v>
      </c>
      <c r="AG406" s="125" t="s">
        <v>678</v>
      </c>
      <c r="AH406" s="126">
        <v>14.8</v>
      </c>
      <c r="AI406" s="117" t="s">
        <v>1379</v>
      </c>
      <c r="AJ406" s="2"/>
      <c r="AK406" s="2"/>
      <c r="AL406" s="2"/>
      <c r="AM406" s="2"/>
      <c r="AN406" s="2"/>
    </row>
    <row r="407" spans="1:40" ht="12.75" x14ac:dyDescent="0.2">
      <c r="A407" s="117" t="s">
        <v>1168</v>
      </c>
      <c r="B407" s="117" t="s">
        <v>678</v>
      </c>
      <c r="C407" s="117" t="s">
        <v>677</v>
      </c>
      <c r="D407" s="117" t="s">
        <v>677</v>
      </c>
      <c r="E407" s="117" t="s">
        <v>678</v>
      </c>
      <c r="F407" s="117" t="s">
        <v>677</v>
      </c>
      <c r="G407" s="117" t="s">
        <v>677</v>
      </c>
      <c r="H407" s="117" t="s">
        <v>677</v>
      </c>
      <c r="I407" s="117" t="s">
        <v>1169</v>
      </c>
      <c r="J407" s="117" t="s">
        <v>677</v>
      </c>
      <c r="K407" s="118">
        <f>97/30</f>
        <v>3.2333333333333334</v>
      </c>
      <c r="L407" s="118">
        <v>1</v>
      </c>
      <c r="M407" s="117" t="s">
        <v>1172</v>
      </c>
      <c r="N407" s="10"/>
      <c r="O407" s="117" t="s">
        <v>1171</v>
      </c>
      <c r="P407" s="117" t="s">
        <v>1170</v>
      </c>
      <c r="Q407" s="117" t="s">
        <v>926</v>
      </c>
      <c r="R407" s="119"/>
      <c r="S407" s="10">
        <v>1</v>
      </c>
      <c r="T407" s="10">
        <v>0</v>
      </c>
      <c r="U407" s="10">
        <v>0</v>
      </c>
      <c r="V407" s="10">
        <v>0</v>
      </c>
      <c r="W407" s="10">
        <v>0</v>
      </c>
      <c r="X407" s="10"/>
      <c r="Y407" s="120">
        <v>22.133333333333333</v>
      </c>
      <c r="Z407" s="117" t="s">
        <v>678</v>
      </c>
      <c r="AA407" s="121">
        <v>22.133333333333333</v>
      </c>
      <c r="AB407" s="135"/>
      <c r="AC407" s="122">
        <v>1</v>
      </c>
      <c r="AD407" s="128">
        <v>0.93333333333333335</v>
      </c>
      <c r="AE407" s="10"/>
      <c r="AF407" s="125" t="s">
        <v>1173</v>
      </c>
      <c r="AG407" s="125" t="s">
        <v>677</v>
      </c>
      <c r="AH407" s="126">
        <v>35.4</v>
      </c>
      <c r="AI407" s="117" t="s">
        <v>1269</v>
      </c>
      <c r="AJ407" s="2"/>
      <c r="AK407" s="2"/>
      <c r="AL407" s="2"/>
      <c r="AM407" s="2"/>
      <c r="AN407" s="2"/>
    </row>
    <row r="408" spans="1:40" ht="12.75" x14ac:dyDescent="0.2">
      <c r="A408" s="117" t="s">
        <v>1175</v>
      </c>
      <c r="B408" s="117" t="s">
        <v>679</v>
      </c>
      <c r="C408" s="117" t="s">
        <v>677</v>
      </c>
      <c r="D408" s="117" t="s">
        <v>678</v>
      </c>
      <c r="E408" s="117" t="s">
        <v>678</v>
      </c>
      <c r="F408" s="117" t="s">
        <v>677</v>
      </c>
      <c r="G408" s="117" t="s">
        <v>677</v>
      </c>
      <c r="H408" s="117" t="s">
        <v>678</v>
      </c>
      <c r="I408" s="117" t="s">
        <v>1016</v>
      </c>
      <c r="J408" s="117" t="s">
        <v>677</v>
      </c>
      <c r="K408" s="118">
        <f>1120/30</f>
        <v>37.333333333333336</v>
      </c>
      <c r="L408" s="118">
        <v>0</v>
      </c>
      <c r="M408" s="117" t="s">
        <v>1084</v>
      </c>
      <c r="N408" s="10"/>
      <c r="O408" s="117" t="s">
        <v>925</v>
      </c>
      <c r="P408" s="117" t="s">
        <v>1011</v>
      </c>
      <c r="Q408" s="117" t="s">
        <v>889</v>
      </c>
      <c r="R408" s="119"/>
      <c r="S408" s="10">
        <v>1</v>
      </c>
      <c r="T408" s="10">
        <v>0</v>
      </c>
      <c r="U408" s="10">
        <v>0</v>
      </c>
      <c r="V408" s="10">
        <v>0</v>
      </c>
      <c r="W408" s="10">
        <v>0</v>
      </c>
      <c r="X408" s="10"/>
      <c r="Y408" s="120">
        <v>44.6</v>
      </c>
      <c r="Z408" s="117" t="s">
        <v>678</v>
      </c>
      <c r="AA408" s="121">
        <v>44.6</v>
      </c>
      <c r="AB408" s="135"/>
      <c r="AC408" s="123">
        <v>1</v>
      </c>
      <c r="AD408" s="124">
        <v>2.9</v>
      </c>
      <c r="AE408" s="10"/>
      <c r="AF408" s="125"/>
      <c r="AG408" s="125" t="s">
        <v>677</v>
      </c>
      <c r="AH408" s="126">
        <v>0</v>
      </c>
      <c r="AI408" s="117" t="s">
        <v>2019</v>
      </c>
      <c r="AJ408" s="2"/>
      <c r="AK408" s="2"/>
      <c r="AL408" s="2"/>
      <c r="AM408" s="2"/>
      <c r="AN408" s="2"/>
    </row>
    <row r="409" spans="1:40" ht="12.75" x14ac:dyDescent="0.2">
      <c r="A409" s="116" t="s">
        <v>1176</v>
      </c>
      <c r="B409" s="117" t="s">
        <v>677</v>
      </c>
      <c r="C409" s="117" t="s">
        <v>677</v>
      </c>
      <c r="D409" s="117" t="s">
        <v>677</v>
      </c>
      <c r="E409" s="117" t="s">
        <v>678</v>
      </c>
      <c r="F409" s="117" t="s">
        <v>677</v>
      </c>
      <c r="G409" s="117" t="s">
        <v>677</v>
      </c>
      <c r="H409" s="117" t="s">
        <v>677</v>
      </c>
      <c r="I409" s="117" t="s">
        <v>963</v>
      </c>
      <c r="J409" s="117" t="s">
        <v>677</v>
      </c>
      <c r="K409" s="118" t="s">
        <v>674</v>
      </c>
      <c r="L409" s="118">
        <v>2</v>
      </c>
      <c r="M409" s="117" t="s">
        <v>1179</v>
      </c>
      <c r="N409" s="10"/>
      <c r="O409" s="117" t="s">
        <v>994</v>
      </c>
      <c r="P409" s="117" t="s">
        <v>1177</v>
      </c>
      <c r="Q409" s="117" t="s">
        <v>1178</v>
      </c>
      <c r="R409" s="119"/>
      <c r="S409" s="10">
        <v>1</v>
      </c>
      <c r="T409" s="10">
        <v>0</v>
      </c>
      <c r="U409" s="10">
        <v>0</v>
      </c>
      <c r="V409" s="10">
        <v>0</v>
      </c>
      <c r="W409" s="10">
        <v>0</v>
      </c>
      <c r="X409" s="10"/>
      <c r="Y409" s="120">
        <v>51</v>
      </c>
      <c r="Z409" s="117" t="s">
        <v>677</v>
      </c>
      <c r="AA409" s="121">
        <v>51</v>
      </c>
      <c r="AB409" s="135"/>
      <c r="AC409" s="123">
        <v>1</v>
      </c>
      <c r="AD409" s="124">
        <v>26.5</v>
      </c>
      <c r="AE409" s="10"/>
      <c r="AF409" s="125" t="s">
        <v>1095</v>
      </c>
      <c r="AG409" s="125" t="s">
        <v>678</v>
      </c>
      <c r="AH409" s="126">
        <v>0</v>
      </c>
      <c r="AI409" s="117" t="s">
        <v>1961</v>
      </c>
      <c r="AJ409" s="2"/>
      <c r="AK409" s="2"/>
      <c r="AL409" s="2"/>
      <c r="AM409" s="2"/>
      <c r="AN409" s="2"/>
    </row>
    <row r="410" spans="1:40" ht="12.75" x14ac:dyDescent="0.2">
      <c r="A410" s="117" t="s">
        <v>1535</v>
      </c>
      <c r="B410" s="117" t="s">
        <v>678</v>
      </c>
      <c r="C410" s="117" t="s">
        <v>677</v>
      </c>
      <c r="D410" s="117" t="s">
        <v>677</v>
      </c>
      <c r="E410" s="117" t="s">
        <v>678</v>
      </c>
      <c r="F410" s="117" t="s">
        <v>677</v>
      </c>
      <c r="G410" s="117" t="s">
        <v>677</v>
      </c>
      <c r="H410" s="117" t="s">
        <v>677</v>
      </c>
      <c r="I410" s="117" t="s">
        <v>963</v>
      </c>
      <c r="J410" s="117" t="s">
        <v>678</v>
      </c>
      <c r="K410" s="118">
        <f>1507/30</f>
        <v>50.233333333333334</v>
      </c>
      <c r="L410" s="118">
        <v>0</v>
      </c>
      <c r="M410" s="117" t="s">
        <v>1243</v>
      </c>
      <c r="N410" s="10"/>
      <c r="O410" s="117" t="s">
        <v>991</v>
      </c>
      <c r="P410" s="117" t="s">
        <v>1302</v>
      </c>
      <c r="Q410" s="117" t="s">
        <v>893</v>
      </c>
      <c r="R410" s="119"/>
      <c r="S410" s="10">
        <v>0</v>
      </c>
      <c r="T410" s="10">
        <v>1</v>
      </c>
      <c r="U410" s="10">
        <v>0</v>
      </c>
      <c r="V410" s="10">
        <v>0</v>
      </c>
      <c r="W410" s="10">
        <v>0</v>
      </c>
      <c r="X410" s="10"/>
      <c r="Y410" s="120">
        <v>38.133333333333333</v>
      </c>
      <c r="Z410" s="117" t="s">
        <v>678</v>
      </c>
      <c r="AA410" s="121">
        <v>38.133333333333333</v>
      </c>
      <c r="AB410" s="135"/>
      <c r="AC410" s="123">
        <v>1</v>
      </c>
      <c r="AD410" s="124">
        <v>11.366666666666667</v>
      </c>
      <c r="AE410" s="10"/>
      <c r="AF410" s="125" t="s">
        <v>1536</v>
      </c>
      <c r="AG410" s="125" t="s">
        <v>677</v>
      </c>
      <c r="AH410" s="126">
        <v>0</v>
      </c>
      <c r="AI410" s="117" t="s">
        <v>1596</v>
      </c>
      <c r="AJ410" s="2"/>
      <c r="AK410" s="2"/>
      <c r="AL410" s="2"/>
      <c r="AM410" s="2"/>
      <c r="AN410" s="2"/>
    </row>
    <row r="411" spans="1:40" ht="12.75" x14ac:dyDescent="0.2">
      <c r="A411" s="136" t="s">
        <v>1180</v>
      </c>
      <c r="B411" s="137" t="s">
        <v>679</v>
      </c>
      <c r="C411" s="137" t="s">
        <v>677</v>
      </c>
      <c r="D411" s="137" t="s">
        <v>678</v>
      </c>
      <c r="E411" s="137" t="s">
        <v>677</v>
      </c>
      <c r="F411" s="137" t="s">
        <v>677</v>
      </c>
      <c r="G411" s="137" t="s">
        <v>677</v>
      </c>
      <c r="H411" s="137" t="s">
        <v>677</v>
      </c>
      <c r="I411" s="137" t="s">
        <v>1169</v>
      </c>
      <c r="J411" s="137" t="s">
        <v>677</v>
      </c>
      <c r="K411" s="138" t="s">
        <v>674</v>
      </c>
      <c r="L411" s="138">
        <v>2</v>
      </c>
      <c r="M411" s="137" t="s">
        <v>1181</v>
      </c>
      <c r="N411" s="94"/>
      <c r="O411" s="137" t="s">
        <v>994</v>
      </c>
      <c r="P411" s="137" t="s">
        <v>924</v>
      </c>
      <c r="Q411" s="137" t="s">
        <v>889</v>
      </c>
      <c r="R411" s="139"/>
      <c r="S411" s="94">
        <v>1</v>
      </c>
      <c r="T411" s="94">
        <v>0</v>
      </c>
      <c r="U411" s="94">
        <v>0</v>
      </c>
      <c r="V411" s="94">
        <v>0</v>
      </c>
      <c r="W411" s="94">
        <v>0</v>
      </c>
      <c r="X411" s="94"/>
      <c r="Y411" s="140">
        <v>37.466666666666669</v>
      </c>
      <c r="Z411" s="137" t="s">
        <v>677</v>
      </c>
      <c r="AA411" s="141">
        <v>37.466666666666669</v>
      </c>
      <c r="AB411" s="135"/>
      <c r="AC411" s="133">
        <v>0</v>
      </c>
      <c r="AD411" s="142">
        <v>45.3</v>
      </c>
      <c r="AE411" s="94"/>
      <c r="AF411" s="74" t="s">
        <v>1182</v>
      </c>
      <c r="AG411" s="143" t="s">
        <v>678</v>
      </c>
      <c r="AH411" s="144">
        <v>2</v>
      </c>
      <c r="AI411" s="145" t="s">
        <v>1994</v>
      </c>
      <c r="AJ411" s="2"/>
      <c r="AK411" s="2"/>
      <c r="AL411" s="2"/>
      <c r="AM411" s="2"/>
      <c r="AN411" s="2"/>
    </row>
    <row r="412" spans="1:40" ht="12.75" x14ac:dyDescent="0.2">
      <c r="A412" s="146" t="s">
        <v>1674</v>
      </c>
      <c r="B412" s="106">
        <v>2</v>
      </c>
      <c r="C412" s="147">
        <v>0</v>
      </c>
      <c r="D412" s="147">
        <v>0</v>
      </c>
      <c r="E412" s="147">
        <v>1</v>
      </c>
      <c r="F412" s="147">
        <v>1</v>
      </c>
      <c r="G412" s="147">
        <v>0</v>
      </c>
      <c r="H412" s="134">
        <v>1</v>
      </c>
      <c r="I412" s="148">
        <v>60</v>
      </c>
      <c r="J412" s="148">
        <v>0</v>
      </c>
      <c r="K412" s="149"/>
      <c r="L412" s="148">
        <v>1</v>
      </c>
      <c r="M412" s="148">
        <v>7.8</v>
      </c>
      <c r="N412" s="150">
        <v>0.7</v>
      </c>
      <c r="O412" s="150">
        <v>0.95555555555555605</v>
      </c>
      <c r="P412" s="150">
        <v>1.1153846153846201</v>
      </c>
      <c r="Q412" s="148">
        <v>136</v>
      </c>
      <c r="R412" s="107"/>
      <c r="S412" s="106">
        <v>0</v>
      </c>
      <c r="T412" s="106">
        <v>0</v>
      </c>
      <c r="U412" s="106">
        <v>0</v>
      </c>
      <c r="V412" s="106">
        <v>1</v>
      </c>
      <c r="W412" s="106">
        <v>0</v>
      </c>
      <c r="X412" s="106"/>
      <c r="Y412" s="151">
        <v>37.700000000000003</v>
      </c>
      <c r="Z412" s="152">
        <v>1</v>
      </c>
      <c r="AA412" s="151">
        <v>37.533333333333331</v>
      </c>
      <c r="AB412" s="135"/>
      <c r="AC412" s="134">
        <v>1</v>
      </c>
      <c r="AD412" s="151">
        <v>7.7666666666666666</v>
      </c>
      <c r="AE412" s="106"/>
      <c r="AF412" s="153">
        <v>-95</v>
      </c>
      <c r="AG412" s="154">
        <v>1</v>
      </c>
      <c r="AH412" s="155">
        <v>19.8</v>
      </c>
      <c r="AI412" s="156">
        <v>21.6</v>
      </c>
      <c r="AJ412" s="2"/>
      <c r="AK412" s="2"/>
      <c r="AL412" s="2"/>
      <c r="AM412" s="2"/>
      <c r="AN412" s="2"/>
    </row>
    <row r="413" spans="1:40" ht="12.75" x14ac:dyDescent="0.2">
      <c r="A413" s="146" t="s">
        <v>1639</v>
      </c>
      <c r="B413" s="106">
        <v>2</v>
      </c>
      <c r="C413" s="157">
        <v>0</v>
      </c>
      <c r="D413" s="157">
        <v>1</v>
      </c>
      <c r="E413" s="157">
        <v>0</v>
      </c>
      <c r="F413" s="157">
        <v>0</v>
      </c>
      <c r="G413" s="157">
        <v>0</v>
      </c>
      <c r="H413" s="135">
        <v>1</v>
      </c>
      <c r="I413" s="158">
        <v>69</v>
      </c>
      <c r="J413" s="158">
        <v>1</v>
      </c>
      <c r="K413" s="87"/>
      <c r="L413" s="158">
        <v>1</v>
      </c>
      <c r="M413" s="158">
        <v>25.5</v>
      </c>
      <c r="N413" s="159">
        <v>0.8</v>
      </c>
      <c r="O413" s="159">
        <v>0.66666666666666696</v>
      </c>
      <c r="P413" s="159">
        <v>0.66153846153846196</v>
      </c>
      <c r="Q413" s="158">
        <v>155</v>
      </c>
      <c r="R413" s="119"/>
      <c r="S413" s="10">
        <v>1</v>
      </c>
      <c r="T413" s="10">
        <v>0</v>
      </c>
      <c r="U413" s="10">
        <v>0</v>
      </c>
      <c r="V413" s="10">
        <v>0</v>
      </c>
      <c r="W413" s="10">
        <v>0</v>
      </c>
      <c r="X413" s="10"/>
      <c r="Y413" s="160">
        <v>8.1333333333333329</v>
      </c>
      <c r="Z413" s="161">
        <v>1</v>
      </c>
      <c r="AA413" s="160">
        <v>8.0666666666666664</v>
      </c>
      <c r="AB413" s="135"/>
      <c r="AC413" s="135">
        <v>1</v>
      </c>
      <c r="AD413" s="160">
        <v>2.6</v>
      </c>
      <c r="AE413" s="10"/>
      <c r="AF413" s="162">
        <v>-36.4</v>
      </c>
      <c r="AG413" s="163">
        <v>0</v>
      </c>
      <c r="AH413" s="157">
        <v>3.9</v>
      </c>
      <c r="AI413" s="135">
        <v>14.76</v>
      </c>
      <c r="AJ413" s="2"/>
      <c r="AK413" s="2"/>
      <c r="AL413" s="2"/>
      <c r="AM413" s="2"/>
      <c r="AN413" s="2"/>
    </row>
    <row r="414" spans="1:40" ht="12.75" x14ac:dyDescent="0.2">
      <c r="A414" s="146" t="s">
        <v>1640</v>
      </c>
      <c r="B414" s="106">
        <v>2</v>
      </c>
      <c r="C414" s="157">
        <v>1</v>
      </c>
      <c r="D414" s="157">
        <v>1</v>
      </c>
      <c r="E414" s="157">
        <v>1</v>
      </c>
      <c r="F414" s="157">
        <v>0</v>
      </c>
      <c r="G414" s="157">
        <v>0</v>
      </c>
      <c r="H414" s="135">
        <v>1</v>
      </c>
      <c r="I414" s="158">
        <v>69</v>
      </c>
      <c r="J414" s="158">
        <v>0</v>
      </c>
      <c r="K414" s="87"/>
      <c r="L414" s="158">
        <v>1</v>
      </c>
      <c r="M414" s="158">
        <v>76.8</v>
      </c>
      <c r="N414" s="159">
        <v>0.94</v>
      </c>
      <c r="O414" s="159">
        <v>0.72</v>
      </c>
      <c r="P414" s="159">
        <v>0.68461538461538496</v>
      </c>
      <c r="Q414" s="158">
        <v>148</v>
      </c>
      <c r="R414" s="119"/>
      <c r="S414" s="10">
        <v>0</v>
      </c>
      <c r="T414" s="10">
        <v>0</v>
      </c>
      <c r="U414" s="10">
        <v>0</v>
      </c>
      <c r="V414" s="10">
        <v>1</v>
      </c>
      <c r="W414" s="10">
        <v>0</v>
      </c>
      <c r="X414" s="10"/>
      <c r="Y414" s="160">
        <v>28.5</v>
      </c>
      <c r="Z414" s="161">
        <v>0</v>
      </c>
      <c r="AA414" s="160">
        <v>28.4</v>
      </c>
      <c r="AB414" s="135"/>
      <c r="AC414" s="135">
        <v>0</v>
      </c>
      <c r="AD414" s="160">
        <v>6.7</v>
      </c>
      <c r="AE414" s="10"/>
      <c r="AF414" s="164">
        <v>-89.7</v>
      </c>
      <c r="AG414" s="165">
        <v>1</v>
      </c>
      <c r="AH414" s="157">
        <v>4.9000000000000004</v>
      </c>
      <c r="AI414" s="135">
        <v>9.0299999999999994</v>
      </c>
      <c r="AJ414" s="2"/>
      <c r="AK414" s="2"/>
      <c r="AL414" s="2"/>
      <c r="AM414" s="2"/>
      <c r="AN414" s="2"/>
    </row>
    <row r="415" spans="1:40" ht="12.75" x14ac:dyDescent="0.2">
      <c r="A415" s="146" t="s">
        <v>1641</v>
      </c>
      <c r="B415" s="106">
        <v>2</v>
      </c>
      <c r="C415" s="157">
        <v>0</v>
      </c>
      <c r="D415" s="157">
        <v>1</v>
      </c>
      <c r="E415" s="157">
        <v>1</v>
      </c>
      <c r="F415" s="157">
        <v>0</v>
      </c>
      <c r="G415" s="157">
        <v>0</v>
      </c>
      <c r="H415" s="127">
        <v>1</v>
      </c>
      <c r="I415" s="158">
        <v>74</v>
      </c>
      <c r="J415" s="158">
        <v>1</v>
      </c>
      <c r="K415" s="87"/>
      <c r="L415" s="158">
        <v>1</v>
      </c>
      <c r="M415" s="158">
        <v>163</v>
      </c>
      <c r="N415" s="159">
        <v>0.74</v>
      </c>
      <c r="O415" s="159">
        <v>0.91555555555555601</v>
      </c>
      <c r="P415" s="159">
        <v>2.0769230769230802</v>
      </c>
      <c r="Q415" s="158">
        <v>132</v>
      </c>
      <c r="R415" s="119"/>
      <c r="S415" s="10">
        <v>1</v>
      </c>
      <c r="T415" s="10">
        <v>0</v>
      </c>
      <c r="U415" s="10">
        <v>0</v>
      </c>
      <c r="V415" s="10">
        <v>0</v>
      </c>
      <c r="W415" s="10">
        <v>0</v>
      </c>
      <c r="X415" s="10"/>
      <c r="Y415" s="160">
        <v>12.733333333333333</v>
      </c>
      <c r="Z415" s="161">
        <v>1</v>
      </c>
      <c r="AA415" s="160">
        <v>12.566666666666666</v>
      </c>
      <c r="AB415" s="135"/>
      <c r="AC415" s="135">
        <v>1</v>
      </c>
      <c r="AD415" s="160">
        <v>2.8</v>
      </c>
      <c r="AE415" s="10"/>
      <c r="AF415" s="162">
        <v>-66.3</v>
      </c>
      <c r="AG415" s="163">
        <v>1</v>
      </c>
      <c r="AH415" s="157">
        <v>33.299999999999997</v>
      </c>
      <c r="AI415" s="135" t="s">
        <v>674</v>
      </c>
      <c r="AJ415" s="2"/>
      <c r="AK415" s="2"/>
      <c r="AL415" s="2"/>
      <c r="AM415" s="2"/>
      <c r="AN415" s="2"/>
    </row>
    <row r="416" spans="1:40" ht="12.75" x14ac:dyDescent="0.2">
      <c r="A416" s="146" t="s">
        <v>1675</v>
      </c>
      <c r="B416" s="106">
        <v>2</v>
      </c>
      <c r="C416" s="157">
        <v>0</v>
      </c>
      <c r="D416" s="157">
        <v>0</v>
      </c>
      <c r="E416" s="157">
        <v>1</v>
      </c>
      <c r="F416" s="157">
        <v>0</v>
      </c>
      <c r="G416" s="157">
        <v>0</v>
      </c>
      <c r="H416" s="135">
        <v>0</v>
      </c>
      <c r="I416" s="158">
        <v>73</v>
      </c>
      <c r="J416" s="158">
        <v>1</v>
      </c>
      <c r="K416" s="87"/>
      <c r="L416" s="158">
        <v>1</v>
      </c>
      <c r="M416" s="158">
        <v>38</v>
      </c>
      <c r="N416" s="159">
        <v>0.76</v>
      </c>
      <c r="O416" s="159">
        <v>0.67500000000000004</v>
      </c>
      <c r="P416" s="159">
        <v>0.94814814814814796</v>
      </c>
      <c r="Q416" s="158">
        <v>124</v>
      </c>
      <c r="R416" s="119"/>
      <c r="S416" s="10">
        <v>0</v>
      </c>
      <c r="T416" s="10">
        <v>0</v>
      </c>
      <c r="U416" s="10">
        <v>0</v>
      </c>
      <c r="V416" s="10">
        <v>1</v>
      </c>
      <c r="W416" s="10">
        <v>0</v>
      </c>
      <c r="X416" s="10"/>
      <c r="Y416" s="160">
        <v>47.866666666666667</v>
      </c>
      <c r="Z416" s="161">
        <v>0</v>
      </c>
      <c r="AA416" s="160">
        <v>47.833333333333336</v>
      </c>
      <c r="AB416" s="135"/>
      <c r="AC416" s="135">
        <v>1</v>
      </c>
      <c r="AD416" s="160">
        <v>8.4</v>
      </c>
      <c r="AE416" s="10"/>
      <c r="AF416" s="164">
        <v>-96.1</v>
      </c>
      <c r="AG416" s="165">
        <v>1</v>
      </c>
      <c r="AH416" s="157">
        <v>8.6</v>
      </c>
      <c r="AI416" s="135">
        <v>20.04</v>
      </c>
      <c r="AJ416" s="2"/>
      <c r="AK416" s="2"/>
      <c r="AL416" s="2"/>
      <c r="AM416" s="2"/>
      <c r="AN416" s="2"/>
    </row>
    <row r="417" spans="1:40" ht="12.75" x14ac:dyDescent="0.2">
      <c r="A417" s="146" t="s">
        <v>1642</v>
      </c>
      <c r="B417" s="106">
        <v>2</v>
      </c>
      <c r="C417" s="157">
        <v>0</v>
      </c>
      <c r="D417" s="157">
        <v>0</v>
      </c>
      <c r="E417" s="157">
        <v>1</v>
      </c>
      <c r="F417" s="157">
        <v>0</v>
      </c>
      <c r="G417" s="157">
        <v>0</v>
      </c>
      <c r="H417" s="135">
        <v>0</v>
      </c>
      <c r="I417" s="158">
        <v>60</v>
      </c>
      <c r="J417" s="158">
        <v>1</v>
      </c>
      <c r="K417" s="87"/>
      <c r="L417" s="158">
        <v>1</v>
      </c>
      <c r="M417" s="158">
        <v>11</v>
      </c>
      <c r="N417" s="159">
        <v>0.8</v>
      </c>
      <c r="O417" s="159">
        <v>0.66249999999999998</v>
      </c>
      <c r="P417" s="159">
        <v>0.55555555555555602</v>
      </c>
      <c r="Q417" s="158">
        <v>131</v>
      </c>
      <c r="R417" s="119"/>
      <c r="S417" s="10">
        <v>0</v>
      </c>
      <c r="T417" s="10">
        <v>1</v>
      </c>
      <c r="U417" s="10">
        <v>0</v>
      </c>
      <c r="V417" s="10">
        <v>0</v>
      </c>
      <c r="W417" s="10">
        <v>0</v>
      </c>
      <c r="X417" s="10"/>
      <c r="Y417" s="160">
        <v>47.56666666666667</v>
      </c>
      <c r="Z417" s="161">
        <v>0</v>
      </c>
      <c r="AA417" s="160">
        <v>47.533333333333331</v>
      </c>
      <c r="AB417" s="135"/>
      <c r="AC417" s="135">
        <v>0</v>
      </c>
      <c r="AD417" s="160">
        <v>46.833333333333336</v>
      </c>
      <c r="AE417" s="10"/>
      <c r="AF417" s="164">
        <v>-99.3</v>
      </c>
      <c r="AG417" s="165">
        <v>1</v>
      </c>
      <c r="AH417" s="157">
        <v>0</v>
      </c>
      <c r="AI417" s="135">
        <v>30.87</v>
      </c>
      <c r="AJ417" s="2"/>
      <c r="AK417" s="2"/>
      <c r="AL417" s="2"/>
      <c r="AM417" s="2"/>
      <c r="AN417" s="2"/>
    </row>
    <row r="418" spans="1:40" ht="12.75" x14ac:dyDescent="0.2">
      <c r="A418" s="146" t="s">
        <v>1676</v>
      </c>
      <c r="B418" s="106">
        <v>2</v>
      </c>
      <c r="C418" s="157">
        <v>0</v>
      </c>
      <c r="D418" s="157">
        <v>0</v>
      </c>
      <c r="E418" s="157">
        <v>1</v>
      </c>
      <c r="F418" s="157">
        <v>0</v>
      </c>
      <c r="G418" s="157">
        <v>0</v>
      </c>
      <c r="H418" s="135">
        <v>0</v>
      </c>
      <c r="I418" s="158">
        <v>75</v>
      </c>
      <c r="J418" s="158">
        <v>1</v>
      </c>
      <c r="K418" s="87"/>
      <c r="L418" s="158">
        <v>1</v>
      </c>
      <c r="M418" s="158">
        <v>17</v>
      </c>
      <c r="N418" s="159">
        <v>0.76</v>
      </c>
      <c r="O418" s="159">
        <v>0.71666666666666701</v>
      </c>
      <c r="P418" s="159">
        <v>0.53333333333333299</v>
      </c>
      <c r="Q418" s="158">
        <v>143</v>
      </c>
      <c r="R418" s="119"/>
      <c r="S418" s="10">
        <v>0</v>
      </c>
      <c r="T418" s="10">
        <v>0</v>
      </c>
      <c r="U418" s="10">
        <v>0</v>
      </c>
      <c r="V418" s="10">
        <v>1</v>
      </c>
      <c r="W418" s="10">
        <v>0</v>
      </c>
      <c r="X418" s="10"/>
      <c r="Y418" s="160">
        <v>46.43333333333333</v>
      </c>
      <c r="Z418" s="161">
        <v>0</v>
      </c>
      <c r="AA418" s="160">
        <v>46.4</v>
      </c>
      <c r="AB418" s="135"/>
      <c r="AC418" s="135">
        <v>1</v>
      </c>
      <c r="AD418" s="160">
        <v>6.2666666666666666</v>
      </c>
      <c r="AE418" s="10"/>
      <c r="AF418" s="164">
        <v>-79.400000000000006</v>
      </c>
      <c r="AG418" s="165">
        <v>1</v>
      </c>
      <c r="AH418" s="157">
        <v>0</v>
      </c>
      <c r="AI418" s="135">
        <v>36.270000000000003</v>
      </c>
      <c r="AJ418" s="2"/>
      <c r="AK418" s="2"/>
      <c r="AL418" s="2"/>
      <c r="AM418" s="2"/>
      <c r="AN418" s="2"/>
    </row>
    <row r="419" spans="1:40" ht="12.75" x14ac:dyDescent="0.2">
      <c r="A419" s="146" t="s">
        <v>1941</v>
      </c>
      <c r="B419" s="106">
        <v>2</v>
      </c>
      <c r="C419" s="157">
        <v>1</v>
      </c>
      <c r="D419" s="157">
        <v>0</v>
      </c>
      <c r="E419" s="157">
        <v>1</v>
      </c>
      <c r="F419" s="157">
        <v>0</v>
      </c>
      <c r="G419" s="157">
        <v>0</v>
      </c>
      <c r="H419" s="135">
        <v>0</v>
      </c>
      <c r="I419" s="158">
        <v>69</v>
      </c>
      <c r="J419" s="158">
        <v>2</v>
      </c>
      <c r="K419" s="87"/>
      <c r="L419" s="158">
        <v>1</v>
      </c>
      <c r="M419" s="158">
        <v>24</v>
      </c>
      <c r="N419" s="159">
        <v>0.54</v>
      </c>
      <c r="O419" s="159">
        <v>2.68333333333333</v>
      </c>
      <c r="P419" s="159">
        <v>4.5925925925925899</v>
      </c>
      <c r="Q419" s="158">
        <v>123</v>
      </c>
      <c r="R419" s="119"/>
      <c r="S419" s="10">
        <v>0</v>
      </c>
      <c r="T419" s="10">
        <v>0</v>
      </c>
      <c r="U419" s="10">
        <v>0</v>
      </c>
      <c r="V419" s="10">
        <v>1</v>
      </c>
      <c r="W419" s="10">
        <v>0</v>
      </c>
      <c r="X419" s="10"/>
      <c r="Y419" s="160">
        <v>5.1333333333333337</v>
      </c>
      <c r="Z419" s="161">
        <v>1</v>
      </c>
      <c r="AA419" s="160">
        <v>5.0999999999999996</v>
      </c>
      <c r="AB419" s="135"/>
      <c r="AC419" s="135">
        <v>0</v>
      </c>
      <c r="AD419" s="160">
        <v>0</v>
      </c>
      <c r="AE419" s="10"/>
      <c r="AF419" s="166"/>
      <c r="AG419" s="167">
        <v>0</v>
      </c>
      <c r="AH419" s="157">
        <v>51.3</v>
      </c>
      <c r="AI419" s="135">
        <v>3748</v>
      </c>
      <c r="AJ419" s="2"/>
      <c r="AK419" s="2"/>
      <c r="AL419" s="2"/>
      <c r="AM419" s="2"/>
      <c r="AN419" s="2"/>
    </row>
    <row r="420" spans="1:40" ht="12.75" x14ac:dyDescent="0.2">
      <c r="A420" s="146" t="s">
        <v>1677</v>
      </c>
      <c r="B420" s="106">
        <v>2</v>
      </c>
      <c r="C420" s="157">
        <v>0</v>
      </c>
      <c r="D420" s="157">
        <v>1</v>
      </c>
      <c r="E420" s="157">
        <v>1</v>
      </c>
      <c r="F420" s="157">
        <v>0</v>
      </c>
      <c r="G420" s="157">
        <v>0</v>
      </c>
      <c r="H420" s="135">
        <v>0</v>
      </c>
      <c r="I420" s="158">
        <v>55</v>
      </c>
      <c r="J420" s="158">
        <v>0</v>
      </c>
      <c r="K420" s="87"/>
      <c r="L420" s="158">
        <v>1</v>
      </c>
      <c r="M420" s="158">
        <v>610</v>
      </c>
      <c r="N420" s="159">
        <v>0.66</v>
      </c>
      <c r="O420" s="159">
        <v>0.5625</v>
      </c>
      <c r="P420" s="159">
        <v>0.93333333333333302</v>
      </c>
      <c r="Q420" s="158">
        <v>96</v>
      </c>
      <c r="R420" s="119"/>
      <c r="S420" s="10">
        <v>0</v>
      </c>
      <c r="T420" s="10">
        <v>1</v>
      </c>
      <c r="U420" s="10">
        <v>0</v>
      </c>
      <c r="V420" s="10">
        <v>0</v>
      </c>
      <c r="W420" s="10">
        <v>0</v>
      </c>
      <c r="X420" s="10"/>
      <c r="Y420" s="160">
        <v>9.1333333333333329</v>
      </c>
      <c r="Z420" s="161">
        <v>1</v>
      </c>
      <c r="AA420" s="160">
        <v>9.1333333333333329</v>
      </c>
      <c r="AB420" s="135"/>
      <c r="AC420" s="135">
        <v>1</v>
      </c>
      <c r="AD420" s="160">
        <v>2.1333333333333333</v>
      </c>
      <c r="AE420" s="10"/>
      <c r="AF420" s="164">
        <v>-88.4</v>
      </c>
      <c r="AG420" s="165">
        <v>1</v>
      </c>
      <c r="AH420" s="157">
        <v>23.8</v>
      </c>
      <c r="AI420" s="135">
        <v>205</v>
      </c>
      <c r="AJ420" s="2"/>
      <c r="AK420" s="2"/>
      <c r="AL420" s="2"/>
      <c r="AM420" s="2"/>
      <c r="AN420" s="2"/>
    </row>
    <row r="421" spans="1:40" ht="12.75" x14ac:dyDescent="0.2">
      <c r="A421" s="146" t="s">
        <v>1678</v>
      </c>
      <c r="B421" s="106">
        <v>2</v>
      </c>
      <c r="C421" s="157">
        <v>0</v>
      </c>
      <c r="D421" s="157">
        <v>1</v>
      </c>
      <c r="E421" s="157">
        <v>1</v>
      </c>
      <c r="F421" s="157">
        <v>0</v>
      </c>
      <c r="G421" s="157">
        <v>0</v>
      </c>
      <c r="H421" s="135">
        <v>0</v>
      </c>
      <c r="I421" s="158">
        <v>63</v>
      </c>
      <c r="J421" s="158">
        <v>1</v>
      </c>
      <c r="K421" s="87"/>
      <c r="L421" s="158">
        <v>1</v>
      </c>
      <c r="M421" s="158">
        <v>9.4</v>
      </c>
      <c r="N421" s="159">
        <v>0.78</v>
      </c>
      <c r="O421" s="159">
        <v>0.77500000000000002</v>
      </c>
      <c r="P421" s="159">
        <v>0.61481481481481504</v>
      </c>
      <c r="Q421" s="158">
        <v>128</v>
      </c>
      <c r="R421" s="119"/>
      <c r="S421" s="10">
        <v>0</v>
      </c>
      <c r="T421" s="10">
        <v>0</v>
      </c>
      <c r="U421" s="10">
        <v>0</v>
      </c>
      <c r="V421" s="10">
        <v>1</v>
      </c>
      <c r="W421" s="10">
        <v>0</v>
      </c>
      <c r="X421" s="10"/>
      <c r="Y421" s="160">
        <v>24.366666666666667</v>
      </c>
      <c r="Z421" s="161">
        <v>1</v>
      </c>
      <c r="AA421" s="160">
        <v>24.333333333333332</v>
      </c>
      <c r="AB421" s="135"/>
      <c r="AC421" s="135">
        <v>1</v>
      </c>
      <c r="AD421" s="160">
        <v>9.2666666666666675</v>
      </c>
      <c r="AE421" s="10"/>
      <c r="AF421" s="164">
        <v>-74.5</v>
      </c>
      <c r="AG421" s="165">
        <v>1</v>
      </c>
      <c r="AH421" s="157">
        <v>7.7</v>
      </c>
      <c r="AI421" s="135">
        <v>14.53</v>
      </c>
      <c r="AJ421" s="2"/>
      <c r="AK421" s="2"/>
      <c r="AL421" s="2"/>
      <c r="AM421" s="2"/>
      <c r="AN421" s="2"/>
    </row>
    <row r="422" spans="1:40" ht="12.75" x14ac:dyDescent="0.2">
      <c r="A422" s="146" t="s">
        <v>1679</v>
      </c>
      <c r="B422" s="106">
        <v>2</v>
      </c>
      <c r="C422" s="157">
        <v>0</v>
      </c>
      <c r="D422" s="157">
        <v>1</v>
      </c>
      <c r="E422" s="157">
        <v>0</v>
      </c>
      <c r="F422" s="157">
        <v>0</v>
      </c>
      <c r="G422" s="157">
        <v>1</v>
      </c>
      <c r="H422" s="135">
        <v>0</v>
      </c>
      <c r="I422" s="158">
        <v>70</v>
      </c>
      <c r="J422" s="158">
        <v>1</v>
      </c>
      <c r="K422" s="87"/>
      <c r="L422" s="158">
        <v>1</v>
      </c>
      <c r="M422" s="158">
        <v>110</v>
      </c>
      <c r="N422" s="159">
        <v>0.68</v>
      </c>
      <c r="O422" s="159">
        <v>1.5249999999999999</v>
      </c>
      <c r="P422" s="159">
        <v>1.5925925925925899</v>
      </c>
      <c r="Q422" s="158">
        <v>116</v>
      </c>
      <c r="R422" s="119"/>
      <c r="S422" s="10">
        <v>1</v>
      </c>
      <c r="T422" s="10">
        <v>0</v>
      </c>
      <c r="U422" s="10">
        <v>0</v>
      </c>
      <c r="V422" s="10">
        <v>0</v>
      </c>
      <c r="W422" s="10">
        <v>0</v>
      </c>
      <c r="X422" s="10"/>
      <c r="Y422" s="160">
        <v>10.233333333333333</v>
      </c>
      <c r="Z422" s="161">
        <v>1</v>
      </c>
      <c r="AA422" s="160">
        <v>10.199999999999999</v>
      </c>
      <c r="AB422" s="135"/>
      <c r="AC422" s="135">
        <v>1</v>
      </c>
      <c r="AD422" s="160">
        <v>2.8</v>
      </c>
      <c r="AE422" s="10"/>
      <c r="AF422" s="164">
        <v>-56.4</v>
      </c>
      <c r="AG422" s="163">
        <v>1</v>
      </c>
      <c r="AH422" s="157">
        <v>78</v>
      </c>
      <c r="AI422" s="135">
        <v>254</v>
      </c>
      <c r="AJ422" s="2"/>
      <c r="AK422" s="2"/>
      <c r="AL422" s="2"/>
      <c r="AM422" s="2"/>
      <c r="AN422" s="2"/>
    </row>
    <row r="423" spans="1:40" ht="12.75" x14ac:dyDescent="0.2">
      <c r="A423" s="146" t="s">
        <v>1680</v>
      </c>
      <c r="B423" s="106">
        <v>2</v>
      </c>
      <c r="C423" s="157">
        <v>0</v>
      </c>
      <c r="D423" s="157">
        <v>0</v>
      </c>
      <c r="E423" s="157">
        <v>1</v>
      </c>
      <c r="F423" s="157">
        <v>0</v>
      </c>
      <c r="G423" s="157">
        <v>0</v>
      </c>
      <c r="H423" s="127">
        <v>1</v>
      </c>
      <c r="I423" s="158">
        <v>77</v>
      </c>
      <c r="J423" s="158">
        <v>0</v>
      </c>
      <c r="K423" s="87"/>
      <c r="L423" s="158">
        <v>1</v>
      </c>
      <c r="M423" s="158">
        <v>17</v>
      </c>
      <c r="N423" s="159">
        <v>0.66</v>
      </c>
      <c r="O423" s="159">
        <v>3.3833333333333302</v>
      </c>
      <c r="P423" s="159">
        <v>1.3259259259259299</v>
      </c>
      <c r="Q423" s="158">
        <v>116</v>
      </c>
      <c r="R423" s="119"/>
      <c r="S423" s="10">
        <v>0</v>
      </c>
      <c r="T423" s="10">
        <v>0</v>
      </c>
      <c r="U423" s="10">
        <v>0</v>
      </c>
      <c r="V423" s="10">
        <v>1</v>
      </c>
      <c r="W423" s="10">
        <v>0</v>
      </c>
      <c r="X423" s="10"/>
      <c r="Y423" s="160">
        <v>19.066666666666666</v>
      </c>
      <c r="Z423" s="161">
        <v>0</v>
      </c>
      <c r="AA423" s="160">
        <v>19.033333333333335</v>
      </c>
      <c r="AB423" s="135"/>
      <c r="AC423" s="135">
        <v>1</v>
      </c>
      <c r="AD423" s="160">
        <v>9.9666666666666668</v>
      </c>
      <c r="AE423" s="10"/>
      <c r="AF423" s="164">
        <v>-91.2</v>
      </c>
      <c r="AG423" s="165">
        <v>1</v>
      </c>
      <c r="AH423" s="157">
        <v>27.6</v>
      </c>
      <c r="AI423" s="135" t="s">
        <v>674</v>
      </c>
      <c r="AJ423" s="2"/>
      <c r="AK423" s="2"/>
      <c r="AL423" s="2"/>
      <c r="AM423" s="2"/>
      <c r="AN423" s="2"/>
    </row>
    <row r="424" spans="1:40" ht="12.75" x14ac:dyDescent="0.2">
      <c r="A424" s="146" t="s">
        <v>1643</v>
      </c>
      <c r="B424" s="106">
        <v>2</v>
      </c>
      <c r="C424" s="157">
        <v>1</v>
      </c>
      <c r="D424" s="157">
        <v>1</v>
      </c>
      <c r="E424" s="157">
        <v>1</v>
      </c>
      <c r="F424" s="157">
        <v>1</v>
      </c>
      <c r="G424" s="157">
        <v>1</v>
      </c>
      <c r="H424" s="127">
        <v>1</v>
      </c>
      <c r="I424" s="158">
        <v>60</v>
      </c>
      <c r="J424" s="158">
        <v>1</v>
      </c>
      <c r="K424" s="87"/>
      <c r="L424" s="158">
        <v>0</v>
      </c>
      <c r="M424" s="158">
        <v>72</v>
      </c>
      <c r="N424" s="159">
        <v>0.54</v>
      </c>
      <c r="O424" s="159">
        <v>6.7166666666666703</v>
      </c>
      <c r="P424" s="159">
        <v>2.1555555555555599</v>
      </c>
      <c r="Q424" s="158">
        <v>91</v>
      </c>
      <c r="R424" s="119"/>
      <c r="S424" s="10">
        <v>0</v>
      </c>
      <c r="T424" s="10">
        <v>1</v>
      </c>
      <c r="U424" s="10">
        <v>0</v>
      </c>
      <c r="V424" s="10">
        <v>0</v>
      </c>
      <c r="W424" s="10">
        <v>0</v>
      </c>
      <c r="X424" s="10"/>
      <c r="Y424" s="160">
        <v>5.8</v>
      </c>
      <c r="Z424" s="161">
        <v>1</v>
      </c>
      <c r="AA424" s="160">
        <v>5.7666666666666666</v>
      </c>
      <c r="AB424" s="135"/>
      <c r="AC424" s="135">
        <v>0</v>
      </c>
      <c r="AD424" s="160">
        <v>3.2333333333333334</v>
      </c>
      <c r="AE424" s="10"/>
      <c r="AF424" s="164">
        <v>0</v>
      </c>
      <c r="AG424" s="165">
        <v>0</v>
      </c>
      <c r="AH424" s="157">
        <v>64.400000000000006</v>
      </c>
      <c r="AI424" s="135" t="s">
        <v>674</v>
      </c>
      <c r="AJ424" s="2"/>
      <c r="AK424" s="2"/>
      <c r="AL424" s="2"/>
      <c r="AM424" s="2"/>
      <c r="AN424" s="2"/>
    </row>
    <row r="425" spans="1:40" ht="12.75" x14ac:dyDescent="0.2">
      <c r="A425" s="146" t="s">
        <v>1644</v>
      </c>
      <c r="B425" s="106">
        <v>2</v>
      </c>
      <c r="C425" s="157">
        <v>0</v>
      </c>
      <c r="D425" s="157">
        <v>1</v>
      </c>
      <c r="E425" s="157">
        <v>1</v>
      </c>
      <c r="F425" s="157">
        <v>0</v>
      </c>
      <c r="G425" s="157">
        <v>0</v>
      </c>
      <c r="H425" s="135">
        <v>0</v>
      </c>
      <c r="I425" s="158">
        <v>67</v>
      </c>
      <c r="J425" s="158">
        <v>0</v>
      </c>
      <c r="K425" s="87"/>
      <c r="L425" s="158">
        <v>1</v>
      </c>
      <c r="M425" s="158">
        <v>2.94</v>
      </c>
      <c r="N425" s="159">
        <v>0.88888888888888895</v>
      </c>
      <c r="O425" s="159">
        <v>0.56956521739130395</v>
      </c>
      <c r="P425" s="159">
        <v>0.55000000000000004</v>
      </c>
      <c r="Q425" s="158">
        <v>132</v>
      </c>
      <c r="R425" s="119"/>
      <c r="S425" s="10">
        <v>0</v>
      </c>
      <c r="T425" s="10">
        <v>0</v>
      </c>
      <c r="U425" s="10">
        <v>0</v>
      </c>
      <c r="V425" s="10">
        <v>1</v>
      </c>
      <c r="W425" s="10">
        <v>0</v>
      </c>
      <c r="X425" s="10"/>
      <c r="Y425" s="160">
        <v>29.166666666666668</v>
      </c>
      <c r="Z425" s="161">
        <v>0</v>
      </c>
      <c r="AA425" s="160">
        <v>29.1</v>
      </c>
      <c r="AB425" s="135"/>
      <c r="AC425" s="135">
        <v>0</v>
      </c>
      <c r="AD425" s="160">
        <v>19.633333333333333</v>
      </c>
      <c r="AE425" s="10"/>
      <c r="AF425" s="164">
        <v>-99.7</v>
      </c>
      <c r="AG425" s="165">
        <v>1</v>
      </c>
      <c r="AH425" s="157">
        <v>0</v>
      </c>
      <c r="AI425" s="135">
        <v>10.7</v>
      </c>
      <c r="AJ425" s="2"/>
      <c r="AK425" s="2"/>
      <c r="AL425" s="2"/>
      <c r="AM425" s="2"/>
      <c r="AN425" s="2"/>
    </row>
    <row r="426" spans="1:40" ht="12.75" x14ac:dyDescent="0.2">
      <c r="A426" s="146" t="s">
        <v>1681</v>
      </c>
      <c r="B426" s="106">
        <v>2</v>
      </c>
      <c r="C426" s="157">
        <v>0</v>
      </c>
      <c r="D426" s="157">
        <v>1</v>
      </c>
      <c r="E426" s="157">
        <v>0</v>
      </c>
      <c r="F426" s="157">
        <v>0</v>
      </c>
      <c r="G426" s="157">
        <v>1</v>
      </c>
      <c r="H426" s="127">
        <v>1</v>
      </c>
      <c r="I426" s="158">
        <v>65</v>
      </c>
      <c r="J426" s="158">
        <v>1</v>
      </c>
      <c r="K426" s="87"/>
      <c r="L426" s="158">
        <v>0</v>
      </c>
      <c r="M426" s="158">
        <v>42.76</v>
      </c>
      <c r="N426" s="159">
        <v>0.88888888888888895</v>
      </c>
      <c r="O426" s="159">
        <v>1.2869565217391301</v>
      </c>
      <c r="P426" s="159">
        <v>0.63333333333333297</v>
      </c>
      <c r="Q426" s="158">
        <v>128</v>
      </c>
      <c r="R426" s="119"/>
      <c r="S426" s="10">
        <v>0</v>
      </c>
      <c r="T426" s="10">
        <v>1</v>
      </c>
      <c r="U426" s="10">
        <v>0</v>
      </c>
      <c r="V426" s="10">
        <v>0</v>
      </c>
      <c r="W426" s="10">
        <v>0</v>
      </c>
      <c r="X426" s="10"/>
      <c r="Y426" s="160">
        <v>17.366666666666667</v>
      </c>
      <c r="Z426" s="161">
        <v>0</v>
      </c>
      <c r="AA426" s="160">
        <v>16.866666666666667</v>
      </c>
      <c r="AB426" s="135"/>
      <c r="AC426" s="135">
        <v>0</v>
      </c>
      <c r="AD426" s="160">
        <v>2</v>
      </c>
      <c r="AE426" s="10"/>
      <c r="AF426" s="164">
        <v>-79.8</v>
      </c>
      <c r="AG426" s="165">
        <v>1</v>
      </c>
      <c r="AH426" s="157">
        <v>13.1</v>
      </c>
      <c r="AI426" s="135" t="s">
        <v>674</v>
      </c>
      <c r="AJ426" s="2"/>
      <c r="AK426" s="2"/>
      <c r="AL426" s="2"/>
      <c r="AM426" s="2"/>
      <c r="AN426" s="2"/>
    </row>
    <row r="427" spans="1:40" ht="12.75" x14ac:dyDescent="0.2">
      <c r="A427" s="146" t="s">
        <v>1645</v>
      </c>
      <c r="B427" s="106">
        <v>2</v>
      </c>
      <c r="C427" s="157">
        <v>1</v>
      </c>
      <c r="D427" s="157">
        <v>1</v>
      </c>
      <c r="E427" s="157">
        <v>1</v>
      </c>
      <c r="F427" s="157">
        <v>0</v>
      </c>
      <c r="G427" s="157">
        <v>0</v>
      </c>
      <c r="H427" s="135">
        <v>0</v>
      </c>
      <c r="I427" s="158">
        <v>59</v>
      </c>
      <c r="J427" s="158">
        <v>1</v>
      </c>
      <c r="K427" s="87"/>
      <c r="L427" s="158">
        <v>1</v>
      </c>
      <c r="M427" s="158">
        <v>12</v>
      </c>
      <c r="N427" s="159">
        <v>0.8</v>
      </c>
      <c r="O427" s="159">
        <v>0.69090909090909103</v>
      </c>
      <c r="P427" s="159">
        <v>1.18333333333333</v>
      </c>
      <c r="Q427" s="158">
        <v>136</v>
      </c>
      <c r="R427" s="119"/>
      <c r="S427" s="10">
        <v>0</v>
      </c>
      <c r="T427" s="10">
        <v>0</v>
      </c>
      <c r="U427" s="10">
        <v>0</v>
      </c>
      <c r="V427" s="10">
        <v>1</v>
      </c>
      <c r="W427" s="10">
        <v>0</v>
      </c>
      <c r="X427" s="10"/>
      <c r="Y427" s="160">
        <v>33.766666666666666</v>
      </c>
      <c r="Z427" s="161">
        <v>0</v>
      </c>
      <c r="AA427" s="160">
        <v>33.6</v>
      </c>
      <c r="AB427" s="135"/>
      <c r="AC427" s="135">
        <v>1</v>
      </c>
      <c r="AD427" s="160">
        <v>10</v>
      </c>
      <c r="AE427" s="10"/>
      <c r="AF427" s="164">
        <v>-90</v>
      </c>
      <c r="AG427" s="165">
        <v>1</v>
      </c>
      <c r="AH427" s="157">
        <v>0</v>
      </c>
      <c r="AI427" s="135">
        <v>15.72</v>
      </c>
      <c r="AJ427" s="2"/>
      <c r="AK427" s="2"/>
      <c r="AL427" s="2"/>
      <c r="AM427" s="2"/>
      <c r="AN427" s="2"/>
    </row>
    <row r="428" spans="1:40" ht="12.75" x14ac:dyDescent="0.2">
      <c r="A428" s="146" t="s">
        <v>1646</v>
      </c>
      <c r="B428" s="106">
        <v>2</v>
      </c>
      <c r="C428" s="157">
        <v>0</v>
      </c>
      <c r="D428" s="157">
        <v>1</v>
      </c>
      <c r="E428" s="157">
        <v>1</v>
      </c>
      <c r="F428" s="157">
        <v>0</v>
      </c>
      <c r="G428" s="157">
        <v>0</v>
      </c>
      <c r="H428" s="135">
        <v>0</v>
      </c>
      <c r="I428" s="158">
        <v>62</v>
      </c>
      <c r="J428" s="158">
        <v>1</v>
      </c>
      <c r="K428" s="87"/>
      <c r="L428" s="158">
        <v>0</v>
      </c>
      <c r="M428" s="158">
        <v>92</v>
      </c>
      <c r="N428" s="159">
        <v>0.74</v>
      </c>
      <c r="O428" s="159">
        <v>0.76818181818181797</v>
      </c>
      <c r="P428" s="159">
        <v>0.58333333333333304</v>
      </c>
      <c r="Q428" s="158">
        <v>128</v>
      </c>
      <c r="R428" s="119"/>
      <c r="S428" s="10">
        <v>0</v>
      </c>
      <c r="T428" s="10">
        <v>0</v>
      </c>
      <c r="U428" s="10">
        <v>0</v>
      </c>
      <c r="V428" s="10">
        <v>1</v>
      </c>
      <c r="W428" s="10">
        <v>0</v>
      </c>
      <c r="X428" s="10"/>
      <c r="Y428" s="160">
        <v>24.666666666666668</v>
      </c>
      <c r="Z428" s="161">
        <v>0</v>
      </c>
      <c r="AA428" s="160">
        <v>24.466666666666665</v>
      </c>
      <c r="AB428" s="135"/>
      <c r="AC428" s="135">
        <v>1</v>
      </c>
      <c r="AD428" s="160">
        <v>15.6</v>
      </c>
      <c r="AE428" s="10"/>
      <c r="AF428" s="164">
        <v>-99.9</v>
      </c>
      <c r="AG428" s="165">
        <v>1</v>
      </c>
      <c r="AH428" s="157">
        <v>2</v>
      </c>
      <c r="AI428" s="135">
        <v>9.75</v>
      </c>
      <c r="AJ428" s="2"/>
      <c r="AK428" s="2"/>
      <c r="AL428" s="2"/>
      <c r="AM428" s="2"/>
      <c r="AN428" s="2"/>
    </row>
    <row r="429" spans="1:40" ht="12.75" x14ac:dyDescent="0.2">
      <c r="A429" s="146" t="s">
        <v>1682</v>
      </c>
      <c r="B429" s="106">
        <v>2</v>
      </c>
      <c r="C429" s="157">
        <v>1</v>
      </c>
      <c r="D429" s="157">
        <v>1</v>
      </c>
      <c r="E429" s="157">
        <v>1</v>
      </c>
      <c r="F429" s="157">
        <v>0</v>
      </c>
      <c r="G429" s="157">
        <v>0</v>
      </c>
      <c r="H429" s="127">
        <v>0</v>
      </c>
      <c r="I429" s="158">
        <v>51</v>
      </c>
      <c r="J429" s="158">
        <v>1</v>
      </c>
      <c r="K429" s="87"/>
      <c r="L429" s="158">
        <v>1</v>
      </c>
      <c r="M429" s="158">
        <v>18</v>
      </c>
      <c r="N429" s="159">
        <v>0.7</v>
      </c>
      <c r="O429" s="159">
        <v>0.71818181818181803</v>
      </c>
      <c r="P429" s="159">
        <v>2.93333333333333</v>
      </c>
      <c r="Q429" s="158">
        <v>134</v>
      </c>
      <c r="R429" s="119"/>
      <c r="S429" s="10">
        <v>1</v>
      </c>
      <c r="T429" s="10">
        <v>0</v>
      </c>
      <c r="U429" s="10">
        <v>0</v>
      </c>
      <c r="V429" s="10">
        <v>0</v>
      </c>
      <c r="W429" s="10">
        <v>0</v>
      </c>
      <c r="X429" s="10"/>
      <c r="Y429" s="160">
        <v>14.5</v>
      </c>
      <c r="Z429" s="161">
        <v>1</v>
      </c>
      <c r="AA429" s="160">
        <v>13.933333333333334</v>
      </c>
      <c r="AB429" s="135"/>
      <c r="AC429" s="135">
        <v>1</v>
      </c>
      <c r="AD429" s="160">
        <v>1.6333333333333333</v>
      </c>
      <c r="AE429" s="10"/>
      <c r="AF429" s="164">
        <v>0</v>
      </c>
      <c r="AG429" s="165">
        <v>0</v>
      </c>
      <c r="AH429" s="157">
        <v>42.5</v>
      </c>
      <c r="AI429" s="135" t="s">
        <v>674</v>
      </c>
      <c r="AJ429" s="2"/>
      <c r="AK429" s="2"/>
      <c r="AL429" s="2"/>
      <c r="AM429" s="2"/>
      <c r="AN429" s="2"/>
    </row>
    <row r="430" spans="1:40" ht="12.75" x14ac:dyDescent="0.2">
      <c r="A430" s="146" t="s">
        <v>1647</v>
      </c>
      <c r="B430" s="106">
        <v>2</v>
      </c>
      <c r="C430" s="157">
        <v>0</v>
      </c>
      <c r="D430" s="157">
        <v>1</v>
      </c>
      <c r="E430" s="157">
        <v>1</v>
      </c>
      <c r="F430" s="157">
        <v>0</v>
      </c>
      <c r="G430" s="157">
        <v>1</v>
      </c>
      <c r="H430" s="127">
        <v>0</v>
      </c>
      <c r="I430" s="158">
        <v>62</v>
      </c>
      <c r="J430" s="158">
        <v>0</v>
      </c>
      <c r="K430" s="87"/>
      <c r="L430" s="158">
        <v>0</v>
      </c>
      <c r="M430" s="158">
        <v>181</v>
      </c>
      <c r="N430" s="159">
        <v>0.76</v>
      </c>
      <c r="O430" s="159">
        <v>0.62727272727272698</v>
      </c>
      <c r="P430" s="159">
        <v>0.86666666666666703</v>
      </c>
      <c r="Q430" s="158">
        <v>146</v>
      </c>
      <c r="R430" s="119"/>
      <c r="S430" s="10">
        <v>1</v>
      </c>
      <c r="T430" s="10">
        <v>0</v>
      </c>
      <c r="U430" s="10">
        <v>0</v>
      </c>
      <c r="V430" s="10">
        <v>0</v>
      </c>
      <c r="W430" s="10">
        <v>0</v>
      </c>
      <c r="X430" s="10"/>
      <c r="Y430" s="160">
        <v>19.766666666666666</v>
      </c>
      <c r="Z430" s="161">
        <v>0</v>
      </c>
      <c r="AA430" s="160">
        <v>19.266666666666666</v>
      </c>
      <c r="AB430" s="135"/>
      <c r="AC430" s="135">
        <v>1</v>
      </c>
      <c r="AD430" s="160">
        <v>14.133333333333333</v>
      </c>
      <c r="AE430" s="10"/>
      <c r="AF430" s="168">
        <v>-99.4</v>
      </c>
      <c r="AG430" s="169">
        <v>1</v>
      </c>
      <c r="AH430" s="157">
        <v>8.5</v>
      </c>
      <c r="AI430" s="135" t="s">
        <v>674</v>
      </c>
      <c r="AJ430" s="2"/>
      <c r="AK430" s="2"/>
      <c r="AL430" s="2"/>
      <c r="AM430" s="2"/>
      <c r="AN430" s="2"/>
    </row>
    <row r="431" spans="1:40" ht="12.75" x14ac:dyDescent="0.2">
      <c r="A431" s="146" t="s">
        <v>1683</v>
      </c>
      <c r="B431" s="106">
        <v>2</v>
      </c>
      <c r="C431" s="157">
        <v>0</v>
      </c>
      <c r="D431" s="157">
        <v>1</v>
      </c>
      <c r="E431" s="157">
        <v>1</v>
      </c>
      <c r="F431" s="157">
        <v>0</v>
      </c>
      <c r="G431" s="157">
        <v>0</v>
      </c>
      <c r="H431" s="127">
        <v>1</v>
      </c>
      <c r="I431" s="158">
        <v>71</v>
      </c>
      <c r="J431" s="158">
        <v>0</v>
      </c>
      <c r="K431" s="87"/>
      <c r="L431" s="158">
        <v>1</v>
      </c>
      <c r="M431" s="158">
        <v>33</v>
      </c>
      <c r="N431" s="159">
        <v>0.72</v>
      </c>
      <c r="O431" s="159">
        <v>0.75</v>
      </c>
      <c r="P431" s="159">
        <v>0.74166666666666703</v>
      </c>
      <c r="Q431" s="158">
        <v>128</v>
      </c>
      <c r="R431" s="119"/>
      <c r="S431" s="10">
        <v>1</v>
      </c>
      <c r="T431" s="10">
        <v>0</v>
      </c>
      <c r="U431" s="10">
        <v>0</v>
      </c>
      <c r="V431" s="10">
        <v>0</v>
      </c>
      <c r="W431" s="10">
        <v>0</v>
      </c>
      <c r="X431" s="10"/>
      <c r="Y431" s="160">
        <v>6.833333333333333</v>
      </c>
      <c r="Z431" s="161">
        <v>1</v>
      </c>
      <c r="AA431" s="160">
        <v>6.6</v>
      </c>
      <c r="AB431" s="135"/>
      <c r="AC431" s="135">
        <v>1</v>
      </c>
      <c r="AD431" s="160">
        <v>1.5333333333333334</v>
      </c>
      <c r="AE431" s="10"/>
      <c r="AF431" s="164">
        <v>0</v>
      </c>
      <c r="AG431" s="165">
        <v>0</v>
      </c>
      <c r="AH431" s="157">
        <v>10.4</v>
      </c>
      <c r="AI431" s="135" t="s">
        <v>674</v>
      </c>
      <c r="AJ431" s="2"/>
      <c r="AK431" s="2"/>
      <c r="AL431" s="2"/>
      <c r="AM431" s="2"/>
      <c r="AN431" s="2"/>
    </row>
    <row r="432" spans="1:40" ht="12.75" x14ac:dyDescent="0.2">
      <c r="A432" s="146" t="s">
        <v>1684</v>
      </c>
      <c r="B432" s="106">
        <v>2</v>
      </c>
      <c r="C432" s="157">
        <v>1</v>
      </c>
      <c r="D432" s="157">
        <v>1</v>
      </c>
      <c r="E432" s="157">
        <v>1</v>
      </c>
      <c r="F432" s="157">
        <v>1</v>
      </c>
      <c r="G432" s="157">
        <v>0</v>
      </c>
      <c r="H432" s="135">
        <v>0</v>
      </c>
      <c r="I432" s="158">
        <v>76</v>
      </c>
      <c r="J432" s="158">
        <v>1</v>
      </c>
      <c r="K432" s="87"/>
      <c r="L432" s="158">
        <v>1</v>
      </c>
      <c r="M432" s="158">
        <v>152.19999999999999</v>
      </c>
      <c r="N432" s="159">
        <v>0.66</v>
      </c>
      <c r="O432" s="159">
        <v>0.98695652173912995</v>
      </c>
      <c r="P432" s="159">
        <v>3.37333333333333</v>
      </c>
      <c r="Q432" s="158">
        <v>93</v>
      </c>
      <c r="R432" s="119"/>
      <c r="S432" s="10">
        <v>1</v>
      </c>
      <c r="T432" s="10">
        <v>0</v>
      </c>
      <c r="U432" s="10">
        <v>0</v>
      </c>
      <c r="V432" s="10">
        <v>0</v>
      </c>
      <c r="W432" s="10">
        <v>0</v>
      </c>
      <c r="X432" s="10"/>
      <c r="Y432" s="160">
        <v>7.8666666666666663</v>
      </c>
      <c r="Z432" s="161">
        <v>1</v>
      </c>
      <c r="AA432" s="160">
        <v>7.7333333333333334</v>
      </c>
      <c r="AB432" s="135"/>
      <c r="AC432" s="135">
        <v>1</v>
      </c>
      <c r="AD432" s="160">
        <v>2.8</v>
      </c>
      <c r="AE432" s="10"/>
      <c r="AF432" s="164">
        <v>-93.7</v>
      </c>
      <c r="AG432" s="165">
        <v>1</v>
      </c>
      <c r="AH432" s="157">
        <v>37.4</v>
      </c>
      <c r="AI432" s="135">
        <v>33.479999999999997</v>
      </c>
      <c r="AJ432" s="2"/>
      <c r="AK432" s="2"/>
      <c r="AL432" s="2"/>
      <c r="AM432" s="2"/>
      <c r="AN432" s="2"/>
    </row>
    <row r="433" spans="1:40" ht="12.75" x14ac:dyDescent="0.2">
      <c r="A433" s="146" t="s">
        <v>1648</v>
      </c>
      <c r="B433" s="106">
        <v>2</v>
      </c>
      <c r="C433" s="157">
        <v>0</v>
      </c>
      <c r="D433" s="157">
        <v>1</v>
      </c>
      <c r="E433" s="157">
        <v>0</v>
      </c>
      <c r="F433" s="157">
        <v>0</v>
      </c>
      <c r="G433" s="157">
        <v>0</v>
      </c>
      <c r="H433" s="135">
        <v>0</v>
      </c>
      <c r="I433" s="158">
        <v>69</v>
      </c>
      <c r="J433" s="158">
        <v>0</v>
      </c>
      <c r="K433" s="87"/>
      <c r="L433" s="158">
        <v>1</v>
      </c>
      <c r="M433" s="158">
        <v>29.02</v>
      </c>
      <c r="N433" s="159">
        <v>0.76</v>
      </c>
      <c r="O433" s="159">
        <v>1.0260869565217401</v>
      </c>
      <c r="P433" s="159">
        <v>0.88</v>
      </c>
      <c r="Q433" s="158">
        <v>143</v>
      </c>
      <c r="R433" s="119"/>
      <c r="S433" s="10">
        <v>0</v>
      </c>
      <c r="T433" s="10">
        <v>1</v>
      </c>
      <c r="U433" s="10">
        <v>0</v>
      </c>
      <c r="V433" s="10">
        <v>0</v>
      </c>
      <c r="W433" s="10">
        <v>0</v>
      </c>
      <c r="X433" s="10"/>
      <c r="Y433" s="160">
        <v>25.566666666666666</v>
      </c>
      <c r="Z433" s="161">
        <v>0</v>
      </c>
      <c r="AA433" s="160">
        <v>25.5</v>
      </c>
      <c r="AB433" s="135"/>
      <c r="AC433" s="135">
        <v>1</v>
      </c>
      <c r="AD433" s="160">
        <v>4.833333333333333</v>
      </c>
      <c r="AE433" s="10"/>
      <c r="AF433" s="164">
        <v>-95.4</v>
      </c>
      <c r="AG433" s="165">
        <v>1</v>
      </c>
      <c r="AH433" s="157">
        <v>29.1</v>
      </c>
      <c r="AI433" s="135">
        <v>20.399999999999999</v>
      </c>
      <c r="AJ433" s="2"/>
      <c r="AK433" s="2"/>
      <c r="AL433" s="2"/>
      <c r="AM433" s="2"/>
      <c r="AN433" s="2"/>
    </row>
    <row r="434" spans="1:40" ht="12.75" x14ac:dyDescent="0.2">
      <c r="A434" s="146" t="s">
        <v>1649</v>
      </c>
      <c r="B434" s="106">
        <v>2</v>
      </c>
      <c r="C434" s="157">
        <v>0</v>
      </c>
      <c r="D434" s="157">
        <v>1</v>
      </c>
      <c r="E434" s="157">
        <v>1</v>
      </c>
      <c r="F434" s="157">
        <v>0</v>
      </c>
      <c r="G434" s="157">
        <v>0</v>
      </c>
      <c r="H434" s="135">
        <v>0</v>
      </c>
      <c r="I434" s="158">
        <v>70</v>
      </c>
      <c r="J434" s="158">
        <v>1</v>
      </c>
      <c r="K434" s="87"/>
      <c r="L434" s="158">
        <v>1</v>
      </c>
      <c r="M434" s="158">
        <v>37.799999999999997</v>
      </c>
      <c r="N434" s="159">
        <v>0.78</v>
      </c>
      <c r="O434" s="159">
        <v>0.97391304347826102</v>
      </c>
      <c r="P434" s="159">
        <v>1.28</v>
      </c>
      <c r="Q434" s="158">
        <v>136</v>
      </c>
      <c r="R434" s="119"/>
      <c r="S434" s="10">
        <v>1</v>
      </c>
      <c r="T434" s="10">
        <v>0</v>
      </c>
      <c r="U434" s="10">
        <v>0</v>
      </c>
      <c r="V434" s="10">
        <v>0</v>
      </c>
      <c r="W434" s="10">
        <v>0</v>
      </c>
      <c r="X434" s="10"/>
      <c r="Y434" s="160">
        <v>15.6</v>
      </c>
      <c r="Z434" s="161">
        <v>1</v>
      </c>
      <c r="AA434" s="160">
        <v>15.533333333333333</v>
      </c>
      <c r="AB434" s="135"/>
      <c r="AC434" s="135">
        <v>1</v>
      </c>
      <c r="AD434" s="160">
        <v>4.7333333333333334</v>
      </c>
      <c r="AE434" s="10"/>
      <c r="AF434" s="164">
        <v>-83.4</v>
      </c>
      <c r="AG434" s="165">
        <v>1</v>
      </c>
      <c r="AH434" s="157">
        <v>24.6</v>
      </c>
      <c r="AI434" s="135">
        <v>34.46</v>
      </c>
      <c r="AJ434" s="2"/>
      <c r="AK434" s="2"/>
      <c r="AL434" s="2"/>
      <c r="AM434" s="2"/>
      <c r="AN434" s="2"/>
    </row>
    <row r="435" spans="1:40" ht="12.75" x14ac:dyDescent="0.2">
      <c r="A435" s="146" t="s">
        <v>1650</v>
      </c>
      <c r="B435" s="106">
        <v>2</v>
      </c>
      <c r="C435" s="157">
        <v>0</v>
      </c>
      <c r="D435" s="157">
        <v>1</v>
      </c>
      <c r="E435" s="157">
        <v>1</v>
      </c>
      <c r="F435" s="157">
        <v>0</v>
      </c>
      <c r="G435" s="157">
        <v>0</v>
      </c>
      <c r="H435" s="127">
        <v>1</v>
      </c>
      <c r="I435" s="158">
        <v>78</v>
      </c>
      <c r="J435" s="158">
        <v>1</v>
      </c>
      <c r="K435" s="87"/>
      <c r="L435" s="158">
        <v>1</v>
      </c>
      <c r="M435" s="158">
        <v>279.24</v>
      </c>
      <c r="N435" s="159">
        <v>0.72</v>
      </c>
      <c r="O435" s="159">
        <v>1.0652173913043499</v>
      </c>
      <c r="P435" s="159">
        <v>0.5</v>
      </c>
      <c r="Q435" s="158">
        <v>136</v>
      </c>
      <c r="R435" s="119"/>
      <c r="S435" s="10">
        <v>0</v>
      </c>
      <c r="T435" s="10">
        <v>0</v>
      </c>
      <c r="U435" s="10">
        <v>0</v>
      </c>
      <c r="V435" s="10">
        <v>1</v>
      </c>
      <c r="W435" s="10">
        <v>0</v>
      </c>
      <c r="X435" s="10"/>
      <c r="Y435" s="160">
        <v>15.266666666666667</v>
      </c>
      <c r="Z435" s="161">
        <v>1</v>
      </c>
      <c r="AA435" s="160">
        <v>15.2</v>
      </c>
      <c r="AB435" s="135"/>
      <c r="AC435" s="135">
        <v>1</v>
      </c>
      <c r="AD435" s="160">
        <v>5.333333333333333</v>
      </c>
      <c r="AE435" s="10"/>
      <c r="AF435" s="164">
        <v>-37.4</v>
      </c>
      <c r="AG435" s="165">
        <v>0</v>
      </c>
      <c r="AH435" s="157">
        <v>16.5</v>
      </c>
      <c r="AI435" s="135" t="s">
        <v>674</v>
      </c>
      <c r="AJ435" s="2"/>
      <c r="AK435" s="2"/>
      <c r="AL435" s="2"/>
      <c r="AM435" s="2"/>
      <c r="AN435" s="2"/>
    </row>
    <row r="436" spans="1:40" ht="12.75" x14ac:dyDescent="0.2">
      <c r="A436" s="146" t="s">
        <v>1685</v>
      </c>
      <c r="B436" s="106">
        <v>2</v>
      </c>
      <c r="C436" s="157">
        <v>0</v>
      </c>
      <c r="D436" s="157">
        <v>0</v>
      </c>
      <c r="E436" s="157">
        <v>1</v>
      </c>
      <c r="F436" s="157">
        <v>0</v>
      </c>
      <c r="G436" s="157">
        <v>0</v>
      </c>
      <c r="H436" s="135">
        <v>0</v>
      </c>
      <c r="I436" s="158">
        <v>71</v>
      </c>
      <c r="J436" s="158">
        <v>1</v>
      </c>
      <c r="K436" s="87"/>
      <c r="L436" s="158">
        <v>1</v>
      </c>
      <c r="M436" s="158">
        <v>114.57</v>
      </c>
      <c r="N436" s="159">
        <v>0.72</v>
      </c>
      <c r="O436" s="159">
        <v>0.84666666666666701</v>
      </c>
      <c r="P436" s="159">
        <v>0.65833333333333299</v>
      </c>
      <c r="Q436" s="158">
        <v>147</v>
      </c>
      <c r="R436" s="119"/>
      <c r="S436" s="10">
        <v>1</v>
      </c>
      <c r="T436" s="10">
        <v>0</v>
      </c>
      <c r="U436" s="10">
        <v>0</v>
      </c>
      <c r="V436" s="10">
        <v>0</v>
      </c>
      <c r="W436" s="10">
        <v>0</v>
      </c>
      <c r="X436" s="10"/>
      <c r="Y436" s="160">
        <v>15.5</v>
      </c>
      <c r="Z436" s="161">
        <v>1</v>
      </c>
      <c r="AA436" s="160">
        <v>15.466666666666667</v>
      </c>
      <c r="AB436" s="135"/>
      <c r="AC436" s="135">
        <v>1</v>
      </c>
      <c r="AD436" s="160">
        <v>1.3666666666666667</v>
      </c>
      <c r="AE436" s="10"/>
      <c r="AF436" s="164">
        <v>0</v>
      </c>
      <c r="AG436" s="165">
        <v>0</v>
      </c>
      <c r="AH436" s="157">
        <v>36.700000000000003</v>
      </c>
      <c r="AI436" s="135">
        <v>24</v>
      </c>
      <c r="AJ436" s="2"/>
      <c r="AK436" s="2"/>
      <c r="AL436" s="2"/>
      <c r="AM436" s="2"/>
      <c r="AN436" s="2"/>
    </row>
    <row r="437" spans="1:40" ht="12.75" x14ac:dyDescent="0.2">
      <c r="A437" s="146" t="s">
        <v>1686</v>
      </c>
      <c r="B437" s="106">
        <v>2</v>
      </c>
      <c r="C437" s="157">
        <v>0</v>
      </c>
      <c r="D437" s="157">
        <v>1</v>
      </c>
      <c r="E437" s="157">
        <v>1</v>
      </c>
      <c r="F437" s="157">
        <v>1</v>
      </c>
      <c r="G437" s="157">
        <v>1</v>
      </c>
      <c r="H437" s="127">
        <v>1</v>
      </c>
      <c r="I437" s="158">
        <v>76</v>
      </c>
      <c r="J437" s="158">
        <v>0</v>
      </c>
      <c r="K437" s="87"/>
      <c r="L437" s="158">
        <v>1</v>
      </c>
      <c r="M437" s="158">
        <v>14.25</v>
      </c>
      <c r="N437" s="159">
        <v>0.92</v>
      </c>
      <c r="O437" s="159">
        <v>0.78500000000000003</v>
      </c>
      <c r="P437" s="159">
        <v>1.19166666666667</v>
      </c>
      <c r="Q437" s="158">
        <v>123</v>
      </c>
      <c r="R437" s="119"/>
      <c r="S437" s="10">
        <v>0</v>
      </c>
      <c r="T437" s="10">
        <v>0</v>
      </c>
      <c r="U437" s="10">
        <v>0</v>
      </c>
      <c r="V437" s="10">
        <v>1</v>
      </c>
      <c r="W437" s="10">
        <v>0</v>
      </c>
      <c r="X437" s="10"/>
      <c r="Y437" s="160">
        <v>19.2</v>
      </c>
      <c r="Z437" s="161">
        <v>1</v>
      </c>
      <c r="AA437" s="160">
        <v>19.166666666666668</v>
      </c>
      <c r="AB437" s="135"/>
      <c r="AC437" s="135">
        <v>1</v>
      </c>
      <c r="AD437" s="160">
        <v>4.166666666666667</v>
      </c>
      <c r="AE437" s="10"/>
      <c r="AF437" s="164">
        <v>-45.7</v>
      </c>
      <c r="AG437" s="165">
        <v>0</v>
      </c>
      <c r="AH437" s="157">
        <v>13.1</v>
      </c>
      <c r="AI437" s="135">
        <v>13.9</v>
      </c>
      <c r="AJ437" s="2"/>
      <c r="AK437" s="2"/>
      <c r="AL437" s="2"/>
      <c r="AM437" s="2"/>
      <c r="AN437" s="2"/>
    </row>
    <row r="438" spans="1:40" ht="12.75" x14ac:dyDescent="0.2">
      <c r="A438" s="146" t="s">
        <v>1687</v>
      </c>
      <c r="B438" s="106">
        <v>2</v>
      </c>
      <c r="C438" s="157">
        <v>0</v>
      </c>
      <c r="D438" s="157">
        <v>0</v>
      </c>
      <c r="E438" s="157">
        <v>1</v>
      </c>
      <c r="F438" s="157">
        <v>1</v>
      </c>
      <c r="G438" s="157">
        <v>1</v>
      </c>
      <c r="H438" s="135">
        <v>0</v>
      </c>
      <c r="I438" s="158">
        <v>53</v>
      </c>
      <c r="J438" s="158">
        <v>2</v>
      </c>
      <c r="K438" s="87"/>
      <c r="L438" s="158">
        <v>1</v>
      </c>
      <c r="M438" s="158">
        <v>6.7</v>
      </c>
      <c r="N438" s="159">
        <v>0.84</v>
      </c>
      <c r="O438" s="159">
        <v>0.78666666666666696</v>
      </c>
      <c r="P438" s="159">
        <v>1.3</v>
      </c>
      <c r="Q438" s="158">
        <v>134</v>
      </c>
      <c r="R438" s="119"/>
      <c r="S438" s="10">
        <v>1</v>
      </c>
      <c r="T438" s="10">
        <v>0</v>
      </c>
      <c r="U438" s="10">
        <v>0</v>
      </c>
      <c r="V438" s="10">
        <v>0</v>
      </c>
      <c r="W438" s="10">
        <v>0</v>
      </c>
      <c r="X438" s="10"/>
      <c r="Y438" s="160">
        <v>27.566666666666666</v>
      </c>
      <c r="Z438" s="161">
        <v>1</v>
      </c>
      <c r="AA438" s="160">
        <v>27.5</v>
      </c>
      <c r="AB438" s="135"/>
      <c r="AC438" s="135">
        <v>1</v>
      </c>
      <c r="AD438" s="160">
        <v>4.1333333333333337</v>
      </c>
      <c r="AE438" s="10"/>
      <c r="AF438" s="164">
        <v>-80.400000000000006</v>
      </c>
      <c r="AG438" s="165">
        <v>1</v>
      </c>
      <c r="AH438" s="157">
        <v>3</v>
      </c>
      <c r="AI438" s="135">
        <v>18.399999999999999</v>
      </c>
      <c r="AJ438" s="2"/>
      <c r="AK438" s="2"/>
      <c r="AL438" s="2"/>
      <c r="AM438" s="2"/>
      <c r="AN438" s="2"/>
    </row>
    <row r="439" spans="1:40" ht="12.75" x14ac:dyDescent="0.2">
      <c r="A439" s="146" t="s">
        <v>1688</v>
      </c>
      <c r="B439" s="106">
        <v>2</v>
      </c>
      <c r="C439" s="157">
        <v>1</v>
      </c>
      <c r="D439" s="157">
        <v>1</v>
      </c>
      <c r="E439" s="157">
        <v>1</v>
      </c>
      <c r="F439" s="157">
        <v>0</v>
      </c>
      <c r="G439" s="157">
        <v>0</v>
      </c>
      <c r="H439" s="135">
        <v>0</v>
      </c>
      <c r="I439" s="158">
        <v>69</v>
      </c>
      <c r="J439" s="158">
        <v>0</v>
      </c>
      <c r="K439" s="87"/>
      <c r="L439" s="158">
        <v>1</v>
      </c>
      <c r="M439" s="158">
        <v>9.33</v>
      </c>
      <c r="N439" s="159">
        <v>0.84</v>
      </c>
      <c r="O439" s="159">
        <v>0.77166666666666694</v>
      </c>
      <c r="P439" s="159">
        <v>1.75</v>
      </c>
      <c r="Q439" s="158">
        <v>139</v>
      </c>
      <c r="R439" s="119"/>
      <c r="S439" s="10">
        <v>0</v>
      </c>
      <c r="T439" s="10">
        <v>1</v>
      </c>
      <c r="U439" s="10">
        <v>0</v>
      </c>
      <c r="V439" s="10">
        <v>0</v>
      </c>
      <c r="W439" s="10">
        <v>0</v>
      </c>
      <c r="X439" s="10"/>
      <c r="Y439" s="160">
        <v>21.5</v>
      </c>
      <c r="Z439" s="161">
        <v>0</v>
      </c>
      <c r="AA439" s="160">
        <v>21.466666666666665</v>
      </c>
      <c r="AB439" s="135"/>
      <c r="AC439" s="135">
        <v>1</v>
      </c>
      <c r="AD439" s="160">
        <v>11.866666666666667</v>
      </c>
      <c r="AE439" s="10"/>
      <c r="AF439" s="164">
        <v>-98.6</v>
      </c>
      <c r="AG439" s="165">
        <v>1</v>
      </c>
      <c r="AH439" s="157">
        <v>7.7</v>
      </c>
      <c r="AI439" s="135">
        <v>75</v>
      </c>
      <c r="AJ439" s="2"/>
      <c r="AK439" s="2"/>
      <c r="AL439" s="2"/>
      <c r="AM439" s="2"/>
      <c r="AN439" s="2"/>
    </row>
    <row r="440" spans="1:40" ht="12.75" x14ac:dyDescent="0.2">
      <c r="A440" s="146" t="s">
        <v>1689</v>
      </c>
      <c r="B440" s="106">
        <v>2</v>
      </c>
      <c r="C440" s="157">
        <v>1</v>
      </c>
      <c r="D440" s="157">
        <v>0</v>
      </c>
      <c r="E440" s="157">
        <v>1</v>
      </c>
      <c r="F440" s="157">
        <v>1</v>
      </c>
      <c r="G440" s="157">
        <v>1</v>
      </c>
      <c r="H440" s="135">
        <v>0</v>
      </c>
      <c r="I440" s="158">
        <v>74</v>
      </c>
      <c r="J440" s="158">
        <v>1</v>
      </c>
      <c r="K440" s="87"/>
      <c r="L440" s="158">
        <v>1</v>
      </c>
      <c r="M440" s="158">
        <v>110.49</v>
      </c>
      <c r="N440" s="159">
        <v>0.72</v>
      </c>
      <c r="O440" s="159">
        <v>2.7983333333333298</v>
      </c>
      <c r="P440" s="159">
        <v>2.0916666666666699</v>
      </c>
      <c r="Q440" s="158">
        <v>110</v>
      </c>
      <c r="R440" s="119"/>
      <c r="S440" s="10">
        <v>0</v>
      </c>
      <c r="T440" s="10">
        <v>0</v>
      </c>
      <c r="U440" s="10">
        <v>0</v>
      </c>
      <c r="V440" s="10">
        <v>1</v>
      </c>
      <c r="W440" s="10">
        <v>0</v>
      </c>
      <c r="X440" s="10"/>
      <c r="Y440" s="160">
        <v>8.1333333333333329</v>
      </c>
      <c r="Z440" s="161">
        <v>1</v>
      </c>
      <c r="AA440" s="160">
        <v>7.9666666666666668</v>
      </c>
      <c r="AB440" s="135"/>
      <c r="AC440" s="135">
        <v>0</v>
      </c>
      <c r="AD440" s="160">
        <v>2.8333333333333335</v>
      </c>
      <c r="AE440" s="10"/>
      <c r="AF440" s="164">
        <v>0</v>
      </c>
      <c r="AG440" s="165">
        <v>0</v>
      </c>
      <c r="AH440" s="157">
        <v>55.1</v>
      </c>
      <c r="AI440" s="135" t="s">
        <v>674</v>
      </c>
      <c r="AJ440" s="2"/>
      <c r="AK440" s="2"/>
      <c r="AL440" s="2"/>
      <c r="AM440" s="2"/>
      <c r="AN440" s="2"/>
    </row>
    <row r="441" spans="1:40" ht="12.75" x14ac:dyDescent="0.2">
      <c r="A441" s="146" t="s">
        <v>1651</v>
      </c>
      <c r="B441" s="106">
        <v>2</v>
      </c>
      <c r="C441" s="157">
        <v>1</v>
      </c>
      <c r="D441" s="157">
        <v>0</v>
      </c>
      <c r="E441" s="157">
        <v>1</v>
      </c>
      <c r="F441" s="157">
        <v>1</v>
      </c>
      <c r="G441" s="157">
        <v>0</v>
      </c>
      <c r="H441" s="127">
        <v>1</v>
      </c>
      <c r="I441" s="158">
        <v>84</v>
      </c>
      <c r="J441" s="158">
        <v>0</v>
      </c>
      <c r="K441" s="87"/>
      <c r="L441" s="158">
        <v>1</v>
      </c>
      <c r="M441" s="158">
        <v>56.85</v>
      </c>
      <c r="N441" s="159">
        <v>0.9</v>
      </c>
      <c r="O441" s="159">
        <v>1.44166666666667</v>
      </c>
      <c r="P441" s="159">
        <v>1.5833333333333299</v>
      </c>
      <c r="Q441" s="158">
        <v>127</v>
      </c>
      <c r="R441" s="119"/>
      <c r="S441" s="10">
        <v>0</v>
      </c>
      <c r="T441" s="10">
        <v>1</v>
      </c>
      <c r="U441" s="10">
        <v>0</v>
      </c>
      <c r="V441" s="10">
        <v>0</v>
      </c>
      <c r="W441" s="10">
        <v>0</v>
      </c>
      <c r="X441" s="10"/>
      <c r="Y441" s="160">
        <v>5.4666666666666668</v>
      </c>
      <c r="Z441" s="161">
        <v>1</v>
      </c>
      <c r="AA441" s="160">
        <v>5.4333333333333336</v>
      </c>
      <c r="AB441" s="135"/>
      <c r="AC441" s="135">
        <v>1</v>
      </c>
      <c r="AD441" s="160">
        <v>1.3666666666666667</v>
      </c>
      <c r="AE441" s="10"/>
      <c r="AF441" s="164">
        <v>0</v>
      </c>
      <c r="AG441" s="165">
        <v>0</v>
      </c>
      <c r="AH441" s="157">
        <v>46.7</v>
      </c>
      <c r="AI441" s="135" t="s">
        <v>674</v>
      </c>
      <c r="AJ441" s="2"/>
      <c r="AK441" s="2"/>
      <c r="AL441" s="2"/>
      <c r="AM441" s="2"/>
      <c r="AN441" s="2"/>
    </row>
    <row r="442" spans="1:40" ht="12.75" x14ac:dyDescent="0.2">
      <c r="A442" s="146" t="s">
        <v>1652</v>
      </c>
      <c r="B442" s="106">
        <v>2</v>
      </c>
      <c r="C442" s="157">
        <v>0</v>
      </c>
      <c r="D442" s="157">
        <v>1</v>
      </c>
      <c r="E442" s="157">
        <v>1</v>
      </c>
      <c r="F442" s="157">
        <v>1</v>
      </c>
      <c r="G442" s="157">
        <v>1</v>
      </c>
      <c r="H442" s="135">
        <v>0</v>
      </c>
      <c r="I442" s="158">
        <v>82</v>
      </c>
      <c r="J442" s="158">
        <v>0</v>
      </c>
      <c r="K442" s="87"/>
      <c r="L442" s="158">
        <v>0</v>
      </c>
      <c r="M442" s="158">
        <v>17.7</v>
      </c>
      <c r="N442" s="159">
        <v>0.78431372549019596</v>
      </c>
      <c r="O442" s="159">
        <v>1.33636363636364</v>
      </c>
      <c r="P442" s="159">
        <v>0.57599999999999996</v>
      </c>
      <c r="Q442" s="158">
        <v>154</v>
      </c>
      <c r="R442" s="119"/>
      <c r="S442" s="10">
        <v>1</v>
      </c>
      <c r="T442" s="10">
        <v>0</v>
      </c>
      <c r="U442" s="10">
        <v>0</v>
      </c>
      <c r="V442" s="10">
        <v>0</v>
      </c>
      <c r="W442" s="10">
        <v>0</v>
      </c>
      <c r="X442" s="10"/>
      <c r="Y442" s="160">
        <v>3.2</v>
      </c>
      <c r="Z442" s="161">
        <v>1</v>
      </c>
      <c r="AA442" s="160">
        <v>3</v>
      </c>
      <c r="AB442" s="135"/>
      <c r="AC442" s="135">
        <v>0</v>
      </c>
      <c r="AD442" s="160">
        <v>2.8666666666666667</v>
      </c>
      <c r="AE442" s="10"/>
      <c r="AF442" s="164">
        <v>-21.5</v>
      </c>
      <c r="AG442" s="165">
        <v>0</v>
      </c>
      <c r="AH442" s="157">
        <v>54</v>
      </c>
      <c r="AI442" s="135">
        <v>105.6</v>
      </c>
      <c r="AJ442" s="2"/>
      <c r="AK442" s="2"/>
      <c r="AL442" s="2"/>
      <c r="AM442" s="2"/>
      <c r="AN442" s="2"/>
    </row>
    <row r="443" spans="1:40" ht="12.75" x14ac:dyDescent="0.2">
      <c r="A443" s="146" t="s">
        <v>1690</v>
      </c>
      <c r="B443" s="106">
        <v>2</v>
      </c>
      <c r="C443" s="157">
        <v>0</v>
      </c>
      <c r="D443" s="157">
        <v>0</v>
      </c>
      <c r="E443" s="157">
        <v>1</v>
      </c>
      <c r="F443" s="157">
        <v>1</v>
      </c>
      <c r="G443" s="157">
        <v>1</v>
      </c>
      <c r="H443" s="127">
        <v>1</v>
      </c>
      <c r="I443" s="158">
        <v>78</v>
      </c>
      <c r="J443" s="158">
        <v>1</v>
      </c>
      <c r="K443" s="87"/>
      <c r="L443" s="158">
        <v>1</v>
      </c>
      <c r="M443" s="158">
        <v>51.9</v>
      </c>
      <c r="N443" s="159">
        <v>0.68627450980392202</v>
      </c>
      <c r="O443" s="159">
        <v>2.5909090909090899</v>
      </c>
      <c r="P443" s="159">
        <v>1.8480000000000001</v>
      </c>
      <c r="Q443" s="158">
        <v>112</v>
      </c>
      <c r="R443" s="119"/>
      <c r="S443" s="10">
        <v>0</v>
      </c>
      <c r="T443" s="10">
        <v>0</v>
      </c>
      <c r="U443" s="10">
        <v>0</v>
      </c>
      <c r="V443" s="10">
        <v>1</v>
      </c>
      <c r="W443" s="10">
        <v>0</v>
      </c>
      <c r="X443" s="10"/>
      <c r="Y443" s="160">
        <v>16</v>
      </c>
      <c r="Z443" s="161">
        <v>1</v>
      </c>
      <c r="AA443" s="160">
        <v>15.933333333333334</v>
      </c>
      <c r="AB443" s="135"/>
      <c r="AC443" s="135">
        <v>1</v>
      </c>
      <c r="AD443" s="160">
        <v>6.7333333333333334</v>
      </c>
      <c r="AE443" s="10"/>
      <c r="AF443" s="164">
        <v>-88.6</v>
      </c>
      <c r="AG443" s="165">
        <v>1</v>
      </c>
      <c r="AH443" s="157">
        <v>78.8</v>
      </c>
      <c r="AI443" s="135">
        <v>228</v>
      </c>
      <c r="AJ443" s="2"/>
      <c r="AK443" s="2"/>
      <c r="AL443" s="2"/>
      <c r="AM443" s="2"/>
      <c r="AN443" s="2"/>
    </row>
    <row r="444" spans="1:40" ht="12.75" x14ac:dyDescent="0.2">
      <c r="A444" s="146" t="s">
        <v>1691</v>
      </c>
      <c r="B444" s="106">
        <v>2</v>
      </c>
      <c r="C444" s="157">
        <v>0</v>
      </c>
      <c r="D444" s="157">
        <v>1</v>
      </c>
      <c r="E444" s="157">
        <v>1</v>
      </c>
      <c r="F444" s="157">
        <v>0</v>
      </c>
      <c r="G444" s="157">
        <v>0</v>
      </c>
      <c r="H444" s="135">
        <v>0</v>
      </c>
      <c r="I444" s="158">
        <v>81</v>
      </c>
      <c r="J444" s="158">
        <v>0</v>
      </c>
      <c r="K444" s="87"/>
      <c r="L444" s="158">
        <v>1</v>
      </c>
      <c r="M444" s="158">
        <v>40.4</v>
      </c>
      <c r="N444" s="159">
        <v>0.74509803921568596</v>
      </c>
      <c r="O444" s="159">
        <v>0.78181818181818197</v>
      </c>
      <c r="P444" s="159">
        <v>0.752</v>
      </c>
      <c r="Q444" s="158">
        <v>115</v>
      </c>
      <c r="R444" s="119"/>
      <c r="S444" s="10">
        <v>1</v>
      </c>
      <c r="T444" s="10">
        <v>0</v>
      </c>
      <c r="U444" s="10">
        <v>0</v>
      </c>
      <c r="V444" s="10">
        <v>0</v>
      </c>
      <c r="W444" s="10">
        <v>0</v>
      </c>
      <c r="X444" s="10"/>
      <c r="Y444" s="160">
        <v>38.166666666666664</v>
      </c>
      <c r="Z444" s="161">
        <v>0</v>
      </c>
      <c r="AA444" s="160">
        <v>37.966666666666669</v>
      </c>
      <c r="AB444" s="135"/>
      <c r="AC444" s="135">
        <v>1</v>
      </c>
      <c r="AD444" s="160">
        <v>5.0333333333333332</v>
      </c>
      <c r="AE444" s="10"/>
      <c r="AF444" s="164">
        <v>-79.7</v>
      </c>
      <c r="AG444" s="165">
        <v>1</v>
      </c>
      <c r="AH444" s="157">
        <v>0</v>
      </c>
      <c r="AI444" s="135">
        <v>15.15</v>
      </c>
      <c r="AJ444" s="2"/>
      <c r="AK444" s="2"/>
      <c r="AL444" s="2"/>
      <c r="AM444" s="2"/>
      <c r="AN444" s="2"/>
    </row>
    <row r="445" spans="1:40" ht="12.75" x14ac:dyDescent="0.2">
      <c r="A445" s="146" t="s">
        <v>1653</v>
      </c>
      <c r="B445" s="106">
        <v>2</v>
      </c>
      <c r="C445" s="157">
        <v>0</v>
      </c>
      <c r="D445" s="157">
        <v>1</v>
      </c>
      <c r="E445" s="157">
        <v>1</v>
      </c>
      <c r="F445" s="157">
        <v>0</v>
      </c>
      <c r="G445" s="157">
        <v>0</v>
      </c>
      <c r="H445" s="135">
        <v>0</v>
      </c>
      <c r="I445" s="158">
        <v>73</v>
      </c>
      <c r="J445" s="158">
        <v>0</v>
      </c>
      <c r="K445" s="87"/>
      <c r="L445" s="158">
        <v>1</v>
      </c>
      <c r="M445" s="158">
        <v>65</v>
      </c>
      <c r="N445" s="159">
        <v>0.88235294117647101</v>
      </c>
      <c r="O445" s="159">
        <v>0.90909090909090895</v>
      </c>
      <c r="P445" s="159">
        <v>1.3839999999999999</v>
      </c>
      <c r="Q445" s="158">
        <v>141</v>
      </c>
      <c r="R445" s="119"/>
      <c r="S445" s="10">
        <v>0</v>
      </c>
      <c r="T445" s="10">
        <v>0</v>
      </c>
      <c r="U445" s="10">
        <v>0</v>
      </c>
      <c r="V445" s="10">
        <v>1</v>
      </c>
      <c r="W445" s="10">
        <v>0</v>
      </c>
      <c r="X445" s="10"/>
      <c r="Y445" s="160">
        <v>23.133333333333333</v>
      </c>
      <c r="Z445" s="161">
        <v>0</v>
      </c>
      <c r="AA445" s="160">
        <v>23.066666666666666</v>
      </c>
      <c r="AB445" s="135"/>
      <c r="AC445" s="135">
        <v>1</v>
      </c>
      <c r="AD445" s="160">
        <v>15.4</v>
      </c>
      <c r="AE445" s="10"/>
      <c r="AF445" s="164">
        <v>-99.7</v>
      </c>
      <c r="AG445" s="165">
        <v>1</v>
      </c>
      <c r="AH445" s="157">
        <v>9.5</v>
      </c>
      <c r="AI445" s="135">
        <v>11.2</v>
      </c>
      <c r="AJ445" s="2"/>
      <c r="AK445" s="2"/>
      <c r="AL445" s="2"/>
      <c r="AM445" s="2"/>
      <c r="AN445" s="2"/>
    </row>
    <row r="446" spans="1:40" ht="12.75" x14ac:dyDescent="0.2">
      <c r="A446" s="146" t="s">
        <v>1654</v>
      </c>
      <c r="B446" s="106">
        <v>2</v>
      </c>
      <c r="C446" s="157">
        <v>0</v>
      </c>
      <c r="D446" s="157">
        <v>0</v>
      </c>
      <c r="E446" s="157">
        <v>1</v>
      </c>
      <c r="F446" s="157">
        <v>0</v>
      </c>
      <c r="G446" s="157">
        <v>0</v>
      </c>
      <c r="H446" s="127">
        <v>0</v>
      </c>
      <c r="I446" s="158">
        <v>51</v>
      </c>
      <c r="J446" s="158">
        <v>0</v>
      </c>
      <c r="K446" s="87"/>
      <c r="L446" s="158">
        <v>1</v>
      </c>
      <c r="M446" s="158">
        <v>21.1</v>
      </c>
      <c r="N446" s="159">
        <v>0.80392156862745101</v>
      </c>
      <c r="O446" s="159">
        <v>0.75</v>
      </c>
      <c r="P446" s="159">
        <v>0.432</v>
      </c>
      <c r="Q446" s="158">
        <v>128</v>
      </c>
      <c r="R446" s="119"/>
      <c r="S446" s="10">
        <v>0</v>
      </c>
      <c r="T446" s="10">
        <v>0</v>
      </c>
      <c r="U446" s="10">
        <v>0</v>
      </c>
      <c r="V446" s="10">
        <v>1</v>
      </c>
      <c r="W446" s="10">
        <v>0</v>
      </c>
      <c r="X446" s="10"/>
      <c r="Y446" s="160">
        <v>17.8</v>
      </c>
      <c r="Z446" s="161">
        <v>0</v>
      </c>
      <c r="AA446" s="160">
        <v>17.733333333333334</v>
      </c>
      <c r="AB446" s="135"/>
      <c r="AC446" s="135">
        <v>1</v>
      </c>
      <c r="AD446" s="160">
        <v>9.0333333333333332</v>
      </c>
      <c r="AE446" s="10"/>
      <c r="AF446" s="164">
        <v>-99.5</v>
      </c>
      <c r="AG446" s="165">
        <v>1</v>
      </c>
      <c r="AH446" s="157">
        <v>13.1</v>
      </c>
      <c r="AI446" s="135" t="s">
        <v>674</v>
      </c>
      <c r="AJ446" s="2"/>
      <c r="AK446" s="2"/>
      <c r="AL446" s="2"/>
      <c r="AM446" s="2"/>
      <c r="AN446" s="2"/>
    </row>
    <row r="447" spans="1:40" ht="12.75" x14ac:dyDescent="0.2">
      <c r="A447" s="146" t="s">
        <v>1692</v>
      </c>
      <c r="B447" s="106">
        <v>2</v>
      </c>
      <c r="C447" s="157">
        <v>1</v>
      </c>
      <c r="D447" s="157">
        <v>1</v>
      </c>
      <c r="E447" s="157">
        <v>1</v>
      </c>
      <c r="F447" s="157">
        <v>0</v>
      </c>
      <c r="G447" s="157">
        <v>0</v>
      </c>
      <c r="H447" s="127">
        <v>0</v>
      </c>
      <c r="I447" s="158">
        <v>73</v>
      </c>
      <c r="J447" s="158">
        <v>1</v>
      </c>
      <c r="K447" s="87"/>
      <c r="L447" s="158">
        <v>0</v>
      </c>
      <c r="M447" s="158">
        <v>33</v>
      </c>
      <c r="N447" s="159">
        <v>0.74509803921568596</v>
      </c>
      <c r="O447" s="159">
        <v>1.0363636363636399</v>
      </c>
      <c r="P447" s="159">
        <v>1.208</v>
      </c>
      <c r="Q447" s="158">
        <v>139</v>
      </c>
      <c r="R447" s="119"/>
      <c r="S447" s="10">
        <v>1</v>
      </c>
      <c r="T447" s="10">
        <v>0</v>
      </c>
      <c r="U447" s="10">
        <v>0</v>
      </c>
      <c r="V447" s="10">
        <v>0</v>
      </c>
      <c r="W447" s="10">
        <v>0</v>
      </c>
      <c r="X447" s="10"/>
      <c r="Y447" s="160">
        <v>17.2</v>
      </c>
      <c r="Z447" s="161">
        <v>0</v>
      </c>
      <c r="AA447" s="160">
        <v>17.033333333333335</v>
      </c>
      <c r="AB447" s="135"/>
      <c r="AC447" s="135">
        <v>1</v>
      </c>
      <c r="AD447" s="160">
        <v>1.5</v>
      </c>
      <c r="AE447" s="10"/>
      <c r="AF447" s="164">
        <v>-0.9</v>
      </c>
      <c r="AG447" s="165">
        <v>0</v>
      </c>
      <c r="AH447" s="157">
        <v>31.2</v>
      </c>
      <c r="AI447" s="135" t="s">
        <v>674</v>
      </c>
      <c r="AJ447" s="2"/>
      <c r="AK447" s="2"/>
      <c r="AL447" s="2"/>
      <c r="AM447" s="2"/>
      <c r="AN447" s="2"/>
    </row>
    <row r="448" spans="1:40" ht="12.75" x14ac:dyDescent="0.2">
      <c r="A448" s="146" t="s">
        <v>1693</v>
      </c>
      <c r="B448" s="106">
        <v>2</v>
      </c>
      <c r="C448" s="157">
        <v>0</v>
      </c>
      <c r="D448" s="157">
        <v>1</v>
      </c>
      <c r="E448" s="157">
        <v>1</v>
      </c>
      <c r="F448" s="157">
        <v>1</v>
      </c>
      <c r="G448" s="157">
        <v>1</v>
      </c>
      <c r="H448" s="135">
        <v>0</v>
      </c>
      <c r="I448" s="158">
        <v>57</v>
      </c>
      <c r="J448" s="158">
        <v>1</v>
      </c>
      <c r="K448" s="87"/>
      <c r="L448" s="158">
        <v>0</v>
      </c>
      <c r="M448" s="158">
        <v>23.14</v>
      </c>
      <c r="N448" s="159">
        <v>0.8</v>
      </c>
      <c r="O448" s="159">
        <v>0.97500000203125003</v>
      </c>
      <c r="P448" s="159">
        <v>1.2615384712426001</v>
      </c>
      <c r="Q448" s="158">
        <v>135</v>
      </c>
      <c r="R448" s="119"/>
      <c r="S448" s="10">
        <v>1</v>
      </c>
      <c r="T448" s="10">
        <v>0</v>
      </c>
      <c r="U448" s="10">
        <v>0</v>
      </c>
      <c r="V448" s="10">
        <v>0</v>
      </c>
      <c r="W448" s="10">
        <v>0</v>
      </c>
      <c r="X448" s="10"/>
      <c r="Y448" s="160">
        <v>7.9333333333333336</v>
      </c>
      <c r="Z448" s="161">
        <v>1</v>
      </c>
      <c r="AA448" s="160">
        <v>7.9</v>
      </c>
      <c r="AB448" s="135"/>
      <c r="AC448" s="135">
        <v>0</v>
      </c>
      <c r="AD448" s="160">
        <v>0.83333333333333337</v>
      </c>
      <c r="AE448" s="10"/>
      <c r="AF448" s="164">
        <v>0</v>
      </c>
      <c r="AG448" s="165">
        <v>0</v>
      </c>
      <c r="AH448" s="157">
        <v>78</v>
      </c>
      <c r="AI448" s="135">
        <v>38.799999999999997</v>
      </c>
      <c r="AJ448" s="2"/>
      <c r="AK448" s="2"/>
      <c r="AL448" s="2"/>
      <c r="AM448" s="2"/>
      <c r="AN448" s="2"/>
    </row>
    <row r="449" spans="1:40" ht="12.75" x14ac:dyDescent="0.2">
      <c r="A449" s="146" t="s">
        <v>1694</v>
      </c>
      <c r="B449" s="106">
        <v>2</v>
      </c>
      <c r="C449" s="157">
        <v>1</v>
      </c>
      <c r="D449" s="157">
        <v>1</v>
      </c>
      <c r="E449" s="157">
        <v>1</v>
      </c>
      <c r="F449" s="157">
        <v>1</v>
      </c>
      <c r="G449" s="157">
        <v>0</v>
      </c>
      <c r="H449" s="135">
        <v>0</v>
      </c>
      <c r="I449" s="158">
        <v>53</v>
      </c>
      <c r="J449" s="158">
        <v>1</v>
      </c>
      <c r="K449" s="87"/>
      <c r="L449" s="158">
        <v>1</v>
      </c>
      <c r="M449" s="158">
        <v>23.95</v>
      </c>
      <c r="N449" s="159">
        <v>0.76</v>
      </c>
      <c r="O449" s="159">
        <v>0.38750000080729202</v>
      </c>
      <c r="P449" s="159">
        <v>4.0230769540236704</v>
      </c>
      <c r="Q449" s="158">
        <v>125</v>
      </c>
      <c r="R449" s="119"/>
      <c r="S449" s="10">
        <v>0</v>
      </c>
      <c r="T449" s="10">
        <v>0</v>
      </c>
      <c r="U449" s="10">
        <v>0</v>
      </c>
      <c r="V449" s="10">
        <v>1</v>
      </c>
      <c r="W449" s="10">
        <v>0</v>
      </c>
      <c r="X449" s="10"/>
      <c r="Y449" s="160">
        <v>19.766666666666666</v>
      </c>
      <c r="Z449" s="161">
        <v>1</v>
      </c>
      <c r="AA449" s="160">
        <v>19.733333333333334</v>
      </c>
      <c r="AB449" s="135"/>
      <c r="AC449" s="135">
        <v>1</v>
      </c>
      <c r="AD449" s="160">
        <v>4.3666666666666663</v>
      </c>
      <c r="AE449" s="10"/>
      <c r="AF449" s="164">
        <v>-58.1</v>
      </c>
      <c r="AG449" s="165">
        <v>1</v>
      </c>
      <c r="AH449" s="157">
        <v>15.7</v>
      </c>
      <c r="AI449" s="135">
        <v>63.3</v>
      </c>
      <c r="AJ449" s="2"/>
      <c r="AK449" s="2"/>
      <c r="AL449" s="2"/>
      <c r="AM449" s="2"/>
      <c r="AN449" s="2"/>
    </row>
    <row r="450" spans="1:40" ht="12.75" x14ac:dyDescent="0.2">
      <c r="A450" s="146" t="s">
        <v>1695</v>
      </c>
      <c r="B450" s="106">
        <v>2</v>
      </c>
      <c r="C450" s="157">
        <v>0</v>
      </c>
      <c r="D450" s="157">
        <v>0</v>
      </c>
      <c r="E450" s="157">
        <v>1</v>
      </c>
      <c r="F450" s="157">
        <v>0</v>
      </c>
      <c r="G450" s="157">
        <v>1</v>
      </c>
      <c r="H450" s="127">
        <v>1</v>
      </c>
      <c r="I450" s="158">
        <v>58</v>
      </c>
      <c r="J450" s="158">
        <v>1</v>
      </c>
      <c r="K450" s="87"/>
      <c r="L450" s="158">
        <v>1</v>
      </c>
      <c r="M450" s="158">
        <v>33.04</v>
      </c>
      <c r="N450" s="159">
        <v>0.86</v>
      </c>
      <c r="O450" s="159">
        <v>1.0416666688368099</v>
      </c>
      <c r="P450" s="159">
        <v>0.54615385035502995</v>
      </c>
      <c r="Q450" s="158">
        <v>147</v>
      </c>
      <c r="R450" s="119"/>
      <c r="S450" s="10">
        <v>0</v>
      </c>
      <c r="T450" s="10">
        <v>0</v>
      </c>
      <c r="U450" s="10">
        <v>0</v>
      </c>
      <c r="V450" s="10">
        <v>1</v>
      </c>
      <c r="W450" s="10">
        <v>0</v>
      </c>
      <c r="X450" s="10"/>
      <c r="Y450" s="160">
        <v>5.166666666666667</v>
      </c>
      <c r="Z450" s="161">
        <v>1</v>
      </c>
      <c r="AA450" s="160">
        <v>5.1333333333333337</v>
      </c>
      <c r="AB450" s="135"/>
      <c r="AC450" s="135">
        <v>1</v>
      </c>
      <c r="AD450" s="160">
        <v>2.0666666666666669</v>
      </c>
      <c r="AE450" s="10"/>
      <c r="AF450" s="164">
        <v>-35.1</v>
      </c>
      <c r="AG450" s="165">
        <v>0</v>
      </c>
      <c r="AH450" s="157">
        <v>50.2</v>
      </c>
      <c r="AI450" s="135">
        <v>20.399999999999999</v>
      </c>
      <c r="AJ450" s="2"/>
      <c r="AK450" s="2"/>
      <c r="AL450" s="2"/>
      <c r="AM450" s="2"/>
      <c r="AN450" s="2"/>
    </row>
    <row r="451" spans="1:40" ht="12.75" x14ac:dyDescent="0.2">
      <c r="A451" s="146" t="s">
        <v>1696</v>
      </c>
      <c r="B451" s="106">
        <v>2</v>
      </c>
      <c r="C451" s="157">
        <v>0</v>
      </c>
      <c r="D451" s="157">
        <v>0</v>
      </c>
      <c r="E451" s="157">
        <v>0</v>
      </c>
      <c r="F451" s="157">
        <v>0</v>
      </c>
      <c r="G451" s="157">
        <v>1</v>
      </c>
      <c r="H451" s="127">
        <v>0</v>
      </c>
      <c r="I451" s="158">
        <v>65</v>
      </c>
      <c r="J451" s="158">
        <v>1</v>
      </c>
      <c r="K451" s="87"/>
      <c r="L451" s="158">
        <v>0</v>
      </c>
      <c r="M451" s="158">
        <v>26.58</v>
      </c>
      <c r="N451" s="159">
        <v>0.84</v>
      </c>
      <c r="O451" s="159">
        <v>0.37500000078125001</v>
      </c>
      <c r="P451" s="159">
        <v>0.84615385266272203</v>
      </c>
      <c r="Q451" s="158">
        <v>122</v>
      </c>
      <c r="R451" s="119"/>
      <c r="S451" s="10">
        <v>0</v>
      </c>
      <c r="T451" s="10">
        <v>1</v>
      </c>
      <c r="U451" s="10">
        <v>0</v>
      </c>
      <c r="V451" s="10">
        <v>0</v>
      </c>
      <c r="W451" s="10">
        <v>0</v>
      </c>
      <c r="X451" s="10"/>
      <c r="Y451" s="160">
        <v>15.6</v>
      </c>
      <c r="Z451" s="161">
        <v>0</v>
      </c>
      <c r="AA451" s="160">
        <v>15.566666666666666</v>
      </c>
      <c r="AB451" s="135"/>
      <c r="AC451" s="135">
        <v>1</v>
      </c>
      <c r="AD451" s="160">
        <v>5.6333333333333337</v>
      </c>
      <c r="AE451" s="10"/>
      <c r="AF451" s="164">
        <v>-99.9</v>
      </c>
      <c r="AG451" s="165">
        <v>1</v>
      </c>
      <c r="AH451" s="157">
        <v>41.3</v>
      </c>
      <c r="AI451" s="135" t="s">
        <v>674</v>
      </c>
      <c r="AJ451" s="2"/>
      <c r="AK451" s="2"/>
      <c r="AL451" s="2"/>
      <c r="AM451" s="2"/>
      <c r="AN451" s="2"/>
    </row>
    <row r="452" spans="1:40" ht="12.75" x14ac:dyDescent="0.2">
      <c r="A452" s="146" t="s">
        <v>1655</v>
      </c>
      <c r="B452" s="106">
        <v>2</v>
      </c>
      <c r="C452" s="157">
        <v>1</v>
      </c>
      <c r="D452" s="157">
        <v>0</v>
      </c>
      <c r="E452" s="157">
        <v>1</v>
      </c>
      <c r="F452" s="157">
        <v>0</v>
      </c>
      <c r="G452" s="157">
        <v>0</v>
      </c>
      <c r="H452" s="127">
        <v>0</v>
      </c>
      <c r="I452" s="158">
        <v>56</v>
      </c>
      <c r="J452" s="158">
        <v>0</v>
      </c>
      <c r="K452" s="87"/>
      <c r="L452" s="158">
        <v>1</v>
      </c>
      <c r="M452" s="158">
        <v>31.62</v>
      </c>
      <c r="N452" s="159">
        <v>0.96</v>
      </c>
      <c r="O452" s="159">
        <v>0.36458333409288202</v>
      </c>
      <c r="P452" s="159">
        <v>0.50000000384615395</v>
      </c>
      <c r="Q452" s="158">
        <v>139</v>
      </c>
      <c r="R452" s="119"/>
      <c r="S452" s="10">
        <v>1</v>
      </c>
      <c r="T452" s="10">
        <v>0</v>
      </c>
      <c r="U452" s="10">
        <v>0</v>
      </c>
      <c r="V452" s="10">
        <v>0</v>
      </c>
      <c r="W452" s="10">
        <v>0</v>
      </c>
      <c r="X452" s="10"/>
      <c r="Y452" s="160">
        <v>11.7</v>
      </c>
      <c r="Z452" s="161">
        <v>0</v>
      </c>
      <c r="AA452" s="160">
        <v>11.5</v>
      </c>
      <c r="AB452" s="135"/>
      <c r="AC452" s="135">
        <v>1</v>
      </c>
      <c r="AD452" s="160">
        <v>7.0333333333333332</v>
      </c>
      <c r="AE452" s="10"/>
      <c r="AF452" s="164">
        <v>-96.1</v>
      </c>
      <c r="AG452" s="165">
        <v>1</v>
      </c>
      <c r="AH452" s="157">
        <v>5.8</v>
      </c>
      <c r="AI452" s="135" t="s">
        <v>674</v>
      </c>
      <c r="AJ452" s="2"/>
      <c r="AK452" s="2"/>
      <c r="AL452" s="2"/>
      <c r="AM452" s="2"/>
      <c r="AN452" s="2"/>
    </row>
    <row r="453" spans="1:40" ht="12.75" x14ac:dyDescent="0.2">
      <c r="A453" s="146" t="s">
        <v>1697</v>
      </c>
      <c r="B453" s="106">
        <v>2</v>
      </c>
      <c r="C453" s="157">
        <v>0</v>
      </c>
      <c r="D453" s="157">
        <v>0</v>
      </c>
      <c r="E453" s="157">
        <v>1</v>
      </c>
      <c r="F453" s="157">
        <v>0</v>
      </c>
      <c r="G453" s="157">
        <v>0</v>
      </c>
      <c r="H453" s="127">
        <v>1</v>
      </c>
      <c r="I453" s="158">
        <v>75</v>
      </c>
      <c r="J453" s="158">
        <v>1</v>
      </c>
      <c r="K453" s="87"/>
      <c r="L453" s="158">
        <v>1</v>
      </c>
      <c r="M453" s="158">
        <v>4.4000000000000004</v>
      </c>
      <c r="N453" s="159">
        <v>0.76</v>
      </c>
      <c r="O453" s="159">
        <v>0.34791666739149302</v>
      </c>
      <c r="P453" s="159">
        <v>2.2615384789349098</v>
      </c>
      <c r="Q453" s="158">
        <v>142</v>
      </c>
      <c r="R453" s="119"/>
      <c r="S453" s="10">
        <v>0</v>
      </c>
      <c r="T453" s="10">
        <v>0</v>
      </c>
      <c r="U453" s="10">
        <v>0</v>
      </c>
      <c r="V453" s="10">
        <v>1</v>
      </c>
      <c r="W453" s="10">
        <v>0</v>
      </c>
      <c r="X453" s="10"/>
      <c r="Y453" s="160">
        <v>10.166666666666666</v>
      </c>
      <c r="Z453" s="161">
        <v>0</v>
      </c>
      <c r="AA453" s="160">
        <v>9.9666666666666668</v>
      </c>
      <c r="AB453" s="135"/>
      <c r="AC453" s="135">
        <v>0</v>
      </c>
      <c r="AD453" s="160">
        <v>1.8666666666666667</v>
      </c>
      <c r="AE453" s="10"/>
      <c r="AF453" s="164">
        <v>-72.8</v>
      </c>
      <c r="AG453" s="165">
        <v>1</v>
      </c>
      <c r="AH453" s="157">
        <v>49.1</v>
      </c>
      <c r="AI453" s="135" t="s">
        <v>674</v>
      </c>
      <c r="AJ453" s="2"/>
      <c r="AK453" s="2"/>
      <c r="AL453" s="2"/>
      <c r="AM453" s="2"/>
      <c r="AN453" s="2"/>
    </row>
    <row r="454" spans="1:40" ht="12.75" x14ac:dyDescent="0.2">
      <c r="A454" s="146" t="s">
        <v>1656</v>
      </c>
      <c r="B454" s="106">
        <v>2</v>
      </c>
      <c r="C454" s="157">
        <v>0</v>
      </c>
      <c r="D454" s="157">
        <v>1</v>
      </c>
      <c r="E454" s="157">
        <v>1</v>
      </c>
      <c r="F454" s="157">
        <v>1</v>
      </c>
      <c r="G454" s="157">
        <v>0</v>
      </c>
      <c r="H454" s="127">
        <v>0</v>
      </c>
      <c r="I454" s="158">
        <v>63</v>
      </c>
      <c r="J454" s="158">
        <v>1</v>
      </c>
      <c r="K454" s="87"/>
      <c r="L454" s="158">
        <v>1</v>
      </c>
      <c r="M454" s="158">
        <v>34</v>
      </c>
      <c r="N454" s="159">
        <v>0.78846153846153799</v>
      </c>
      <c r="O454" s="159">
        <v>1.24347826086957</v>
      </c>
      <c r="P454" s="159">
        <v>1.94545454545455</v>
      </c>
      <c r="Q454" s="158">
        <v>125</v>
      </c>
      <c r="R454" s="119"/>
      <c r="S454" s="10">
        <v>1</v>
      </c>
      <c r="T454" s="10">
        <v>0</v>
      </c>
      <c r="U454" s="10">
        <v>0</v>
      </c>
      <c r="V454" s="10">
        <v>0</v>
      </c>
      <c r="W454" s="10">
        <v>0</v>
      </c>
      <c r="X454" s="10"/>
      <c r="Y454" s="160">
        <v>42.56666666666667</v>
      </c>
      <c r="Z454" s="161">
        <v>0</v>
      </c>
      <c r="AA454" s="160">
        <v>42.533333333333331</v>
      </c>
      <c r="AB454" s="135"/>
      <c r="AC454" s="135">
        <v>1</v>
      </c>
      <c r="AD454" s="160">
        <v>25.2</v>
      </c>
      <c r="AE454" s="10"/>
      <c r="AF454" s="164">
        <v>-99.2</v>
      </c>
      <c r="AG454" s="165">
        <v>1</v>
      </c>
      <c r="AH454" s="157">
        <v>22.2</v>
      </c>
      <c r="AI454" s="135" t="s">
        <v>674</v>
      </c>
      <c r="AJ454" s="2"/>
      <c r="AK454" s="2"/>
      <c r="AL454" s="2"/>
      <c r="AM454" s="2"/>
      <c r="AN454" s="2"/>
    </row>
    <row r="455" spans="1:40" ht="12.75" x14ac:dyDescent="0.2">
      <c r="A455" s="146" t="s">
        <v>1698</v>
      </c>
      <c r="B455" s="106">
        <v>2</v>
      </c>
      <c r="C455" s="157">
        <v>0</v>
      </c>
      <c r="D455" s="157">
        <v>1</v>
      </c>
      <c r="E455" s="157">
        <v>1</v>
      </c>
      <c r="F455" s="157">
        <v>0</v>
      </c>
      <c r="G455" s="157">
        <v>0</v>
      </c>
      <c r="H455" s="135">
        <v>0</v>
      </c>
      <c r="I455" s="158">
        <v>63</v>
      </c>
      <c r="J455" s="158">
        <v>0</v>
      </c>
      <c r="K455" s="87"/>
      <c r="L455" s="158">
        <v>1</v>
      </c>
      <c r="M455" s="158">
        <v>27.19</v>
      </c>
      <c r="N455" s="159">
        <v>0.78846153846153799</v>
      </c>
      <c r="O455" s="159">
        <v>1</v>
      </c>
      <c r="P455" s="159">
        <v>0.61818181818181805</v>
      </c>
      <c r="Q455" s="158">
        <v>137</v>
      </c>
      <c r="R455" s="119"/>
      <c r="S455" s="10">
        <v>0</v>
      </c>
      <c r="T455" s="10">
        <v>1</v>
      </c>
      <c r="U455" s="10">
        <v>0</v>
      </c>
      <c r="V455" s="10">
        <v>0</v>
      </c>
      <c r="W455" s="10">
        <v>0</v>
      </c>
      <c r="X455" s="10"/>
      <c r="Y455" s="160">
        <v>22.366666666666667</v>
      </c>
      <c r="Z455" s="161">
        <v>1</v>
      </c>
      <c r="AA455" s="160">
        <v>22.3</v>
      </c>
      <c r="AB455" s="135"/>
      <c r="AC455" s="135">
        <v>1</v>
      </c>
      <c r="AD455" s="160">
        <v>4.833333333333333</v>
      </c>
      <c r="AE455" s="10"/>
      <c r="AF455" s="164">
        <v>-57</v>
      </c>
      <c r="AG455" s="165">
        <v>1</v>
      </c>
      <c r="AH455" s="157">
        <v>11.3</v>
      </c>
      <c r="AI455" s="135">
        <v>90.1</v>
      </c>
      <c r="AJ455" s="2"/>
      <c r="AK455" s="2"/>
      <c r="AL455" s="2"/>
      <c r="AM455" s="2"/>
      <c r="AN455" s="2"/>
    </row>
    <row r="456" spans="1:40" ht="12.75" x14ac:dyDescent="0.2">
      <c r="A456" s="146" t="s">
        <v>1699</v>
      </c>
      <c r="B456" s="106">
        <v>2</v>
      </c>
      <c r="C456" s="157">
        <v>0</v>
      </c>
      <c r="D456" s="157">
        <v>1</v>
      </c>
      <c r="E456" s="157">
        <v>1</v>
      </c>
      <c r="F456" s="157">
        <v>1</v>
      </c>
      <c r="G456" s="157">
        <v>0</v>
      </c>
      <c r="H456" s="135">
        <v>1</v>
      </c>
      <c r="I456" s="158">
        <v>63</v>
      </c>
      <c r="J456" s="158">
        <v>0</v>
      </c>
      <c r="K456" s="87"/>
      <c r="L456" s="158">
        <v>1</v>
      </c>
      <c r="M456" s="158">
        <v>152.69999999999999</v>
      </c>
      <c r="N456" s="159">
        <v>0.73076923076923095</v>
      </c>
      <c r="O456" s="159">
        <v>1.2869565217391301</v>
      </c>
      <c r="P456" s="159">
        <v>2.3454545454545501</v>
      </c>
      <c r="Q456" s="158">
        <v>116</v>
      </c>
      <c r="R456" s="119"/>
      <c r="S456" s="10">
        <v>0</v>
      </c>
      <c r="T456" s="10">
        <v>1</v>
      </c>
      <c r="U456" s="10">
        <v>0</v>
      </c>
      <c r="V456" s="10">
        <v>0</v>
      </c>
      <c r="W456" s="10">
        <v>0</v>
      </c>
      <c r="X456" s="10"/>
      <c r="Y456" s="160">
        <v>15.766666666666667</v>
      </c>
      <c r="Z456" s="161">
        <v>1</v>
      </c>
      <c r="AA456" s="160">
        <v>15.7</v>
      </c>
      <c r="AB456" s="135"/>
      <c r="AC456" s="135">
        <v>0</v>
      </c>
      <c r="AD456" s="160">
        <v>5.7</v>
      </c>
      <c r="AE456" s="10"/>
      <c r="AF456" s="164">
        <v>-73.900000000000006</v>
      </c>
      <c r="AG456" s="165">
        <v>1</v>
      </c>
      <c r="AH456" s="157">
        <v>56.6</v>
      </c>
      <c r="AI456" s="135">
        <v>2.5299999999999998</v>
      </c>
      <c r="AJ456" s="2"/>
      <c r="AK456" s="2"/>
      <c r="AL456" s="2"/>
      <c r="AM456" s="2"/>
      <c r="AN456" s="2"/>
    </row>
    <row r="457" spans="1:40" ht="12.75" x14ac:dyDescent="0.2">
      <c r="A457" s="146" t="s">
        <v>1700</v>
      </c>
      <c r="B457" s="106">
        <v>2</v>
      </c>
      <c r="C457" s="157">
        <v>0</v>
      </c>
      <c r="D457" s="157">
        <v>1</v>
      </c>
      <c r="E457" s="157">
        <v>0</v>
      </c>
      <c r="F457" s="157">
        <v>0</v>
      </c>
      <c r="G457" s="157">
        <v>0</v>
      </c>
      <c r="H457" s="135">
        <v>0</v>
      </c>
      <c r="I457" s="158">
        <v>57</v>
      </c>
      <c r="J457" s="158">
        <v>0</v>
      </c>
      <c r="K457" s="87"/>
      <c r="L457" s="158">
        <v>1</v>
      </c>
      <c r="M457" s="158">
        <v>38.450000000000003</v>
      </c>
      <c r="N457" s="159">
        <v>0.75</v>
      </c>
      <c r="O457" s="159">
        <v>0.78695652173913</v>
      </c>
      <c r="P457" s="159">
        <v>0.736363636363636</v>
      </c>
      <c r="Q457" s="158">
        <v>142</v>
      </c>
      <c r="R457" s="119"/>
      <c r="S457" s="10">
        <v>0</v>
      </c>
      <c r="T457" s="10">
        <v>0</v>
      </c>
      <c r="U457" s="10">
        <v>0</v>
      </c>
      <c r="V457" s="10">
        <v>1</v>
      </c>
      <c r="W457" s="10">
        <v>0</v>
      </c>
      <c r="X457" s="10"/>
      <c r="Y457" s="160">
        <v>26.7</v>
      </c>
      <c r="Z457" s="161">
        <v>0</v>
      </c>
      <c r="AA457" s="160">
        <v>26.533333333333335</v>
      </c>
      <c r="AB457" s="135"/>
      <c r="AC457" s="135">
        <v>1</v>
      </c>
      <c r="AD457" s="160">
        <v>14.633333333333333</v>
      </c>
      <c r="AE457" s="10"/>
      <c r="AF457" s="164">
        <v>-97.2</v>
      </c>
      <c r="AG457" s="165">
        <v>1</v>
      </c>
      <c r="AH457" s="157">
        <v>0</v>
      </c>
      <c r="AI457" s="135">
        <v>4.7</v>
      </c>
      <c r="AJ457" s="2"/>
      <c r="AK457" s="2"/>
      <c r="AL457" s="2"/>
      <c r="AM457" s="2"/>
      <c r="AN457" s="2"/>
    </row>
    <row r="458" spans="1:40" ht="12.75" x14ac:dyDescent="0.2">
      <c r="A458" s="146" t="s">
        <v>1657</v>
      </c>
      <c r="B458" s="106">
        <v>2</v>
      </c>
      <c r="C458" s="157">
        <v>0</v>
      </c>
      <c r="D458" s="157">
        <v>1</v>
      </c>
      <c r="E458" s="157">
        <v>1</v>
      </c>
      <c r="F458" s="157">
        <v>1</v>
      </c>
      <c r="G458" s="157">
        <v>1</v>
      </c>
      <c r="H458" s="135">
        <v>0</v>
      </c>
      <c r="I458" s="158">
        <v>68</v>
      </c>
      <c r="J458" s="158">
        <v>1</v>
      </c>
      <c r="K458" s="87"/>
      <c r="L458" s="158">
        <v>1</v>
      </c>
      <c r="M458" s="158">
        <v>4765</v>
      </c>
      <c r="N458" s="159">
        <v>0.71153846153846201</v>
      </c>
      <c r="O458" s="159">
        <v>2.14782608695652</v>
      </c>
      <c r="P458" s="159">
        <v>2.0454545454545499</v>
      </c>
      <c r="Q458" s="158">
        <v>130</v>
      </c>
      <c r="R458" s="119"/>
      <c r="S458" s="10">
        <v>0</v>
      </c>
      <c r="T458" s="10">
        <v>1</v>
      </c>
      <c r="U458" s="10">
        <v>0</v>
      </c>
      <c r="V458" s="10">
        <v>0</v>
      </c>
      <c r="W458" s="10">
        <v>0</v>
      </c>
      <c r="X458" s="10"/>
      <c r="Y458" s="160">
        <v>8.8333333333333339</v>
      </c>
      <c r="Z458" s="161">
        <v>1</v>
      </c>
      <c r="AA458" s="160">
        <v>8.7666666666666675</v>
      </c>
      <c r="AB458" s="135"/>
      <c r="AC458" s="135">
        <v>0</v>
      </c>
      <c r="AD458" s="160">
        <v>17.066666666666666</v>
      </c>
      <c r="AE458" s="10"/>
      <c r="AF458" s="164">
        <v>-98.5</v>
      </c>
      <c r="AG458" s="165">
        <v>1</v>
      </c>
      <c r="AH458" s="157">
        <v>8.6</v>
      </c>
      <c r="AI458" s="135">
        <v>9.7100000000000009</v>
      </c>
      <c r="AJ458" s="2"/>
      <c r="AK458" s="2"/>
      <c r="AL458" s="2"/>
      <c r="AM458" s="2"/>
      <c r="AN458" s="2"/>
    </row>
    <row r="459" spans="1:40" ht="12.75" x14ac:dyDescent="0.2">
      <c r="A459" s="146" t="s">
        <v>1658</v>
      </c>
      <c r="B459" s="106">
        <v>2</v>
      </c>
      <c r="C459" s="157">
        <v>0</v>
      </c>
      <c r="D459" s="157">
        <v>1</v>
      </c>
      <c r="E459" s="157">
        <v>1</v>
      </c>
      <c r="F459" s="157">
        <v>0</v>
      </c>
      <c r="G459" s="157">
        <v>0</v>
      </c>
      <c r="H459" s="127">
        <v>1</v>
      </c>
      <c r="I459" s="158">
        <v>78</v>
      </c>
      <c r="J459" s="158">
        <v>0</v>
      </c>
      <c r="K459" s="87"/>
      <c r="L459" s="158">
        <v>1</v>
      </c>
      <c r="M459" s="158">
        <v>78.08</v>
      </c>
      <c r="N459" s="159">
        <v>0.71153846153846201</v>
      </c>
      <c r="O459" s="159">
        <v>1.0086956521739101</v>
      </c>
      <c r="P459" s="159">
        <v>4.4454545454545498</v>
      </c>
      <c r="Q459" s="158">
        <v>147</v>
      </c>
      <c r="R459" s="119"/>
      <c r="S459" s="10">
        <v>0</v>
      </c>
      <c r="T459" s="10">
        <v>1</v>
      </c>
      <c r="U459" s="10">
        <v>0</v>
      </c>
      <c r="V459" s="10">
        <v>0</v>
      </c>
      <c r="W459" s="10">
        <v>0</v>
      </c>
      <c r="X459" s="10"/>
      <c r="Y459" s="160">
        <v>20.833333333333332</v>
      </c>
      <c r="Z459" s="161">
        <v>0</v>
      </c>
      <c r="AA459" s="160">
        <v>20.8</v>
      </c>
      <c r="AB459" s="135"/>
      <c r="AC459" s="135">
        <v>1</v>
      </c>
      <c r="AD459" s="160">
        <v>7.7</v>
      </c>
      <c r="AE459" s="10"/>
      <c r="AF459" s="164">
        <v>-96.8</v>
      </c>
      <c r="AG459" s="165">
        <v>1</v>
      </c>
      <c r="AH459" s="157">
        <v>26.5</v>
      </c>
      <c r="AI459" s="135">
        <v>25.44</v>
      </c>
      <c r="AJ459" s="2"/>
      <c r="AK459" s="2"/>
      <c r="AL459" s="2"/>
      <c r="AM459" s="2"/>
      <c r="AN459" s="2"/>
    </row>
    <row r="460" spans="1:40" ht="12.75" x14ac:dyDescent="0.2">
      <c r="A460" s="146" t="s">
        <v>1659</v>
      </c>
      <c r="B460" s="106">
        <v>2</v>
      </c>
      <c r="C460" s="157">
        <v>0</v>
      </c>
      <c r="D460" s="157">
        <v>0</v>
      </c>
      <c r="E460" s="157">
        <v>0</v>
      </c>
      <c r="F460" s="157">
        <v>1</v>
      </c>
      <c r="G460" s="157">
        <v>0</v>
      </c>
      <c r="H460" s="135">
        <v>0</v>
      </c>
      <c r="I460" s="158">
        <v>81</v>
      </c>
      <c r="J460" s="158">
        <v>2</v>
      </c>
      <c r="K460" s="87"/>
      <c r="L460" s="158">
        <v>0</v>
      </c>
      <c r="M460" s="158">
        <v>20.72</v>
      </c>
      <c r="N460" s="159">
        <v>0.65384615384615397</v>
      </c>
      <c r="O460" s="159">
        <v>0.73478260869565204</v>
      </c>
      <c r="P460" s="159">
        <v>1.0727272727272701</v>
      </c>
      <c r="Q460" s="158">
        <v>145</v>
      </c>
      <c r="R460" s="119"/>
      <c r="S460" s="10">
        <v>0</v>
      </c>
      <c r="T460" s="10">
        <v>0</v>
      </c>
      <c r="U460" s="10">
        <v>0</v>
      </c>
      <c r="V460" s="10">
        <v>1</v>
      </c>
      <c r="W460" s="10">
        <v>0</v>
      </c>
      <c r="X460" s="10"/>
      <c r="Y460" s="160">
        <v>18.966666666666665</v>
      </c>
      <c r="Z460" s="161">
        <v>0</v>
      </c>
      <c r="AA460" s="160">
        <v>18.933333333333334</v>
      </c>
      <c r="AB460" s="135"/>
      <c r="AC460" s="135">
        <v>0</v>
      </c>
      <c r="AD460" s="160">
        <v>18.966666666666665</v>
      </c>
      <c r="AE460" s="10"/>
      <c r="AF460" s="164">
        <v>-49.3</v>
      </c>
      <c r="AG460" s="165">
        <v>0</v>
      </c>
      <c r="AH460" s="157">
        <v>0</v>
      </c>
      <c r="AI460" s="135">
        <v>38.299999999999997</v>
      </c>
      <c r="AJ460" s="2"/>
      <c r="AK460" s="2"/>
      <c r="AL460" s="2"/>
      <c r="AM460" s="2"/>
      <c r="AN460" s="2"/>
    </row>
    <row r="461" spans="1:40" ht="12.75" x14ac:dyDescent="0.2">
      <c r="A461" s="146" t="s">
        <v>1660</v>
      </c>
      <c r="B461" s="106">
        <v>2</v>
      </c>
      <c r="C461" s="157">
        <v>0</v>
      </c>
      <c r="D461" s="157">
        <v>0</v>
      </c>
      <c r="E461" s="157">
        <v>1</v>
      </c>
      <c r="F461" s="157">
        <v>0</v>
      </c>
      <c r="G461" s="157">
        <v>0</v>
      </c>
      <c r="H461" s="127">
        <v>0</v>
      </c>
      <c r="I461" s="158">
        <v>70</v>
      </c>
      <c r="J461" s="158">
        <v>0</v>
      </c>
      <c r="K461" s="87"/>
      <c r="L461" s="158">
        <v>1</v>
      </c>
      <c r="M461" s="158">
        <v>2.74</v>
      </c>
      <c r="N461" s="159">
        <v>0.71153846153846201</v>
      </c>
      <c r="O461" s="159">
        <v>0.76956521739130401</v>
      </c>
      <c r="P461" s="159">
        <v>0.79090909090909101</v>
      </c>
      <c r="Q461" s="158">
        <v>156</v>
      </c>
      <c r="R461" s="119"/>
      <c r="S461" s="10">
        <v>0</v>
      </c>
      <c r="T461" s="10">
        <v>1</v>
      </c>
      <c r="U461" s="10">
        <v>0</v>
      </c>
      <c r="V461" s="10">
        <v>0</v>
      </c>
      <c r="W461" s="10">
        <v>0</v>
      </c>
      <c r="X461" s="10"/>
      <c r="Y461" s="160">
        <v>16.966666666666665</v>
      </c>
      <c r="Z461" s="161">
        <v>0</v>
      </c>
      <c r="AA461" s="160">
        <v>16.833333333333332</v>
      </c>
      <c r="AB461" s="135"/>
      <c r="AC461" s="135">
        <v>1</v>
      </c>
      <c r="AD461" s="160">
        <v>12.666666666666666</v>
      </c>
      <c r="AE461" s="10"/>
      <c r="AF461" s="164">
        <v>-36.5</v>
      </c>
      <c r="AG461" s="165">
        <v>0</v>
      </c>
      <c r="AH461" s="157">
        <v>0</v>
      </c>
      <c r="AI461" s="135" t="s">
        <v>674</v>
      </c>
      <c r="AJ461" s="2"/>
      <c r="AK461" s="2"/>
      <c r="AL461" s="2"/>
      <c r="AM461" s="2"/>
      <c r="AN461" s="2"/>
    </row>
    <row r="462" spans="1:40" ht="12.75" x14ac:dyDescent="0.2">
      <c r="A462" s="146" t="s">
        <v>1661</v>
      </c>
      <c r="B462" s="106">
        <v>2</v>
      </c>
      <c r="C462" s="157">
        <v>0</v>
      </c>
      <c r="D462" s="157">
        <v>1</v>
      </c>
      <c r="E462" s="157">
        <v>1</v>
      </c>
      <c r="F462" s="157">
        <v>1</v>
      </c>
      <c r="G462" s="157">
        <v>0</v>
      </c>
      <c r="H462" s="127">
        <v>0</v>
      </c>
      <c r="I462" s="158">
        <v>58</v>
      </c>
      <c r="J462" s="158">
        <v>0</v>
      </c>
      <c r="K462" s="87"/>
      <c r="L462" s="158">
        <v>0</v>
      </c>
      <c r="M462" s="158">
        <v>93.73</v>
      </c>
      <c r="N462" s="159">
        <v>0.65384615384615397</v>
      </c>
      <c r="O462" s="159">
        <v>2.5956521739130398</v>
      </c>
      <c r="P462" s="159">
        <v>7.8090909090909104</v>
      </c>
      <c r="Q462" s="158">
        <v>133</v>
      </c>
      <c r="R462" s="119"/>
      <c r="S462" s="10">
        <v>0</v>
      </c>
      <c r="T462" s="10">
        <v>0</v>
      </c>
      <c r="U462" s="10">
        <v>0</v>
      </c>
      <c r="V462" s="10">
        <v>1</v>
      </c>
      <c r="W462" s="10">
        <v>0</v>
      </c>
      <c r="X462" s="10"/>
      <c r="Y462" s="160">
        <v>11.433333333333334</v>
      </c>
      <c r="Z462" s="161">
        <v>0</v>
      </c>
      <c r="AA462" s="160">
        <v>11.4</v>
      </c>
      <c r="AB462" s="135"/>
      <c r="AC462" s="135">
        <v>1</v>
      </c>
      <c r="AD462" s="160">
        <v>5.833333333333333</v>
      </c>
      <c r="AE462" s="10"/>
      <c r="AF462" s="164">
        <v>-96.3</v>
      </c>
      <c r="AG462" s="165">
        <v>1</v>
      </c>
      <c r="AH462" s="157">
        <v>52.9</v>
      </c>
      <c r="AI462" s="135" t="s">
        <v>674</v>
      </c>
      <c r="AJ462" s="2"/>
      <c r="AK462" s="2"/>
      <c r="AL462" s="2"/>
      <c r="AM462" s="2"/>
      <c r="AN462" s="2"/>
    </row>
    <row r="463" spans="1:40" ht="12.75" x14ac:dyDescent="0.2">
      <c r="A463" s="146" t="s">
        <v>1662</v>
      </c>
      <c r="B463" s="106">
        <v>2</v>
      </c>
      <c r="C463" s="157">
        <v>0</v>
      </c>
      <c r="D463" s="157">
        <v>1</v>
      </c>
      <c r="E463" s="157">
        <v>1</v>
      </c>
      <c r="F463" s="157">
        <v>1</v>
      </c>
      <c r="G463" s="157">
        <v>0</v>
      </c>
      <c r="H463" s="127">
        <v>0</v>
      </c>
      <c r="I463" s="158">
        <v>69</v>
      </c>
      <c r="J463" s="158">
        <v>0</v>
      </c>
      <c r="K463" s="87"/>
      <c r="L463" s="158">
        <v>1</v>
      </c>
      <c r="M463" s="158">
        <v>7.44</v>
      </c>
      <c r="N463" s="159"/>
      <c r="O463" s="159">
        <v>0.59565217391304304</v>
      </c>
      <c r="P463" s="159">
        <v>0.69090909090909103</v>
      </c>
      <c r="Q463" s="158">
        <v>131</v>
      </c>
      <c r="R463" s="119"/>
      <c r="S463" s="10">
        <v>0</v>
      </c>
      <c r="T463" s="10">
        <v>1</v>
      </c>
      <c r="U463" s="10">
        <v>0</v>
      </c>
      <c r="V463" s="10">
        <v>0</v>
      </c>
      <c r="W463" s="10">
        <v>0</v>
      </c>
      <c r="X463" s="10"/>
      <c r="Y463" s="160">
        <v>12.633333333333333</v>
      </c>
      <c r="Z463" s="161">
        <v>0</v>
      </c>
      <c r="AA463" s="160">
        <v>12.633333333333333</v>
      </c>
      <c r="AB463" s="135"/>
      <c r="AC463" s="135">
        <v>0</v>
      </c>
      <c r="AD463" s="160">
        <v>12.633333333333333</v>
      </c>
      <c r="AE463" s="10"/>
      <c r="AF463" s="164">
        <v>-93.8</v>
      </c>
      <c r="AG463" s="165">
        <v>1</v>
      </c>
      <c r="AH463" s="157">
        <v>29.1</v>
      </c>
      <c r="AI463" s="135" t="s">
        <v>674</v>
      </c>
      <c r="AJ463" s="2"/>
      <c r="AK463" s="2"/>
      <c r="AL463" s="2"/>
      <c r="AM463" s="2"/>
      <c r="AN463" s="2"/>
    </row>
    <row r="464" spans="1:40" ht="12.75" x14ac:dyDescent="0.2">
      <c r="A464" s="146" t="s">
        <v>1663</v>
      </c>
      <c r="B464" s="106">
        <v>2</v>
      </c>
      <c r="C464" s="157">
        <v>0</v>
      </c>
      <c r="D464" s="157">
        <v>1</v>
      </c>
      <c r="E464" s="157">
        <v>1</v>
      </c>
      <c r="F464" s="157">
        <v>0</v>
      </c>
      <c r="G464" s="157">
        <v>0</v>
      </c>
      <c r="H464" s="127">
        <v>0</v>
      </c>
      <c r="I464" s="158">
        <v>58</v>
      </c>
      <c r="J464" s="158">
        <v>1</v>
      </c>
      <c r="K464" s="87"/>
      <c r="L464" s="158">
        <v>1</v>
      </c>
      <c r="M464" s="158">
        <v>59.58</v>
      </c>
      <c r="N464" s="159">
        <v>0.75</v>
      </c>
      <c r="O464" s="159">
        <v>1.55217391304348</v>
      </c>
      <c r="P464" s="159">
        <v>0.62727272727272698</v>
      </c>
      <c r="Q464" s="158">
        <v>128</v>
      </c>
      <c r="R464" s="119"/>
      <c r="S464" s="10">
        <v>0</v>
      </c>
      <c r="T464" s="10">
        <v>0</v>
      </c>
      <c r="U464" s="10">
        <v>0</v>
      </c>
      <c r="V464" s="10">
        <v>1</v>
      </c>
      <c r="W464" s="10">
        <v>0</v>
      </c>
      <c r="X464" s="10"/>
      <c r="Y464" s="160">
        <v>7.1333333333333337</v>
      </c>
      <c r="Z464" s="161">
        <v>0</v>
      </c>
      <c r="AA464" s="160">
        <v>7.1</v>
      </c>
      <c r="AB464" s="135"/>
      <c r="AC464" s="135">
        <v>0</v>
      </c>
      <c r="AD464" s="160">
        <v>6.3666666666666663</v>
      </c>
      <c r="AE464" s="10"/>
      <c r="AF464" s="164">
        <v>-62.8</v>
      </c>
      <c r="AG464" s="165">
        <v>1</v>
      </c>
      <c r="AH464" s="157">
        <v>26.8</v>
      </c>
      <c r="AI464" s="135" t="s">
        <v>674</v>
      </c>
      <c r="AJ464" s="2"/>
      <c r="AK464" s="2"/>
      <c r="AL464" s="2"/>
      <c r="AM464" s="2"/>
      <c r="AN464" s="2"/>
    </row>
    <row r="465" spans="1:40" ht="12.75" x14ac:dyDescent="0.2">
      <c r="A465" s="146" t="s">
        <v>1664</v>
      </c>
      <c r="B465" s="106">
        <v>2</v>
      </c>
      <c r="C465" s="157">
        <v>0</v>
      </c>
      <c r="D465" s="157">
        <v>0</v>
      </c>
      <c r="E465" s="157">
        <v>1</v>
      </c>
      <c r="F465" s="157">
        <v>0</v>
      </c>
      <c r="G465" s="157">
        <v>0</v>
      </c>
      <c r="H465" s="135">
        <v>0</v>
      </c>
      <c r="I465" s="158">
        <v>65</v>
      </c>
      <c r="J465" s="158">
        <v>2</v>
      </c>
      <c r="K465" s="87"/>
      <c r="L465" s="158">
        <v>0</v>
      </c>
      <c r="M465" s="158">
        <v>315</v>
      </c>
      <c r="N465" s="159">
        <v>0.66</v>
      </c>
      <c r="O465" s="159">
        <v>2.0526315789473699</v>
      </c>
      <c r="P465" s="159">
        <v>1.76470588235294</v>
      </c>
      <c r="Q465" s="158">
        <v>92</v>
      </c>
      <c r="R465" s="119"/>
      <c r="S465" s="10">
        <v>0</v>
      </c>
      <c r="T465" s="10">
        <v>0</v>
      </c>
      <c r="U465" s="10">
        <v>0</v>
      </c>
      <c r="V465" s="10">
        <v>1</v>
      </c>
      <c r="W465" s="10">
        <v>0</v>
      </c>
      <c r="X465" s="10"/>
      <c r="Y465" s="160">
        <v>8.2666666666666675</v>
      </c>
      <c r="Z465" s="161">
        <v>1</v>
      </c>
      <c r="AA465" s="160">
        <v>8.1999999999999993</v>
      </c>
      <c r="AB465" s="135"/>
      <c r="AC465" s="135">
        <v>1</v>
      </c>
      <c r="AD465" s="160">
        <v>3.0333333333333332</v>
      </c>
      <c r="AE465" s="10"/>
      <c r="AF465" s="164">
        <v>-37.700000000000003</v>
      </c>
      <c r="AG465" s="165">
        <v>0</v>
      </c>
      <c r="AH465" s="157">
        <v>82.7</v>
      </c>
      <c r="AI465" s="135">
        <v>453</v>
      </c>
      <c r="AJ465" s="2"/>
      <c r="AK465" s="2"/>
      <c r="AL465" s="2"/>
      <c r="AM465" s="2"/>
      <c r="AN465" s="2"/>
    </row>
    <row r="466" spans="1:40" ht="12.75" x14ac:dyDescent="0.2">
      <c r="A466" s="146" t="s">
        <v>1665</v>
      </c>
      <c r="B466" s="106">
        <v>2</v>
      </c>
      <c r="C466" s="157">
        <v>0</v>
      </c>
      <c r="D466" s="157">
        <v>1</v>
      </c>
      <c r="E466" s="157">
        <v>1</v>
      </c>
      <c r="F466" s="157">
        <v>0</v>
      </c>
      <c r="G466" s="157">
        <v>0</v>
      </c>
      <c r="H466" s="135">
        <v>0</v>
      </c>
      <c r="I466" s="158">
        <v>77</v>
      </c>
      <c r="J466" s="158">
        <v>1</v>
      </c>
      <c r="K466" s="87"/>
      <c r="L466" s="158">
        <v>1</v>
      </c>
      <c r="M466" s="158">
        <v>233.8</v>
      </c>
      <c r="N466" s="159">
        <v>0.84782608695652195</v>
      </c>
      <c r="O466" s="159">
        <v>1.4926829268292701</v>
      </c>
      <c r="P466" s="159">
        <v>0.71323529411764697</v>
      </c>
      <c r="Q466" s="158">
        <v>121</v>
      </c>
      <c r="R466" s="119"/>
      <c r="S466" s="10">
        <v>0</v>
      </c>
      <c r="T466" s="10">
        <v>1</v>
      </c>
      <c r="U466" s="10">
        <v>0</v>
      </c>
      <c r="V466" s="10">
        <v>0</v>
      </c>
      <c r="W466" s="10">
        <v>0</v>
      </c>
      <c r="X466" s="10"/>
      <c r="Y466" s="160">
        <v>32.56666666666667</v>
      </c>
      <c r="Z466" s="161">
        <v>0</v>
      </c>
      <c r="AA466" s="160">
        <v>32.366666666666667</v>
      </c>
      <c r="AB466" s="135"/>
      <c r="AC466" s="135">
        <v>0</v>
      </c>
      <c r="AD466" s="160">
        <v>17</v>
      </c>
      <c r="AE466" s="10"/>
      <c r="AF466" s="164">
        <v>-95.9</v>
      </c>
      <c r="AG466" s="165">
        <v>1</v>
      </c>
      <c r="AH466" s="157">
        <v>2</v>
      </c>
      <c r="AI466" s="135">
        <v>23</v>
      </c>
      <c r="AJ466" s="2"/>
      <c r="AK466" s="2"/>
      <c r="AL466" s="2"/>
      <c r="AM466" s="2"/>
      <c r="AN466" s="2"/>
    </row>
    <row r="467" spans="1:40" ht="12.75" x14ac:dyDescent="0.2">
      <c r="A467" s="146" t="s">
        <v>1666</v>
      </c>
      <c r="B467" s="106">
        <v>2</v>
      </c>
      <c r="C467" s="157">
        <v>1</v>
      </c>
      <c r="D467" s="157">
        <v>1</v>
      </c>
      <c r="E467" s="157">
        <v>1</v>
      </c>
      <c r="F467" s="157">
        <v>0</v>
      </c>
      <c r="G467" s="157">
        <v>0</v>
      </c>
      <c r="H467" s="135">
        <v>1</v>
      </c>
      <c r="I467" s="158">
        <v>68</v>
      </c>
      <c r="J467" s="158">
        <v>1</v>
      </c>
      <c r="K467" s="87"/>
      <c r="L467" s="158">
        <v>1</v>
      </c>
      <c r="M467" s="158">
        <v>9.89</v>
      </c>
      <c r="N467" s="159">
        <v>0.78260869565217395</v>
      </c>
      <c r="O467" s="159">
        <v>0.99024390243902405</v>
      </c>
      <c r="P467" s="159">
        <v>0.73529411764705899</v>
      </c>
      <c r="Q467" s="158">
        <v>125</v>
      </c>
      <c r="R467" s="119"/>
      <c r="S467" s="10">
        <v>0</v>
      </c>
      <c r="T467" s="10">
        <v>1</v>
      </c>
      <c r="U467" s="10">
        <v>0</v>
      </c>
      <c r="V467" s="10">
        <v>0</v>
      </c>
      <c r="W467" s="10">
        <v>0</v>
      </c>
      <c r="X467" s="10"/>
      <c r="Y467" s="160">
        <v>13.033333333333333</v>
      </c>
      <c r="Z467" s="161">
        <v>1</v>
      </c>
      <c r="AA467" s="160">
        <v>12.8</v>
      </c>
      <c r="AB467" s="135"/>
      <c r="AC467" s="135">
        <v>0</v>
      </c>
      <c r="AD467" s="160">
        <v>1.4</v>
      </c>
      <c r="AE467" s="10"/>
      <c r="AF467" s="164">
        <v>-16.5</v>
      </c>
      <c r="AG467" s="165">
        <v>0</v>
      </c>
      <c r="AH467" s="157">
        <v>6.8</v>
      </c>
      <c r="AI467" s="135">
        <v>45.8</v>
      </c>
      <c r="AJ467" s="2"/>
      <c r="AK467" s="2"/>
      <c r="AL467" s="2"/>
      <c r="AM467" s="2"/>
      <c r="AN467" s="2"/>
    </row>
    <row r="468" spans="1:40" ht="12.75" x14ac:dyDescent="0.2">
      <c r="A468" s="146" t="s">
        <v>1667</v>
      </c>
      <c r="B468" s="106">
        <v>2</v>
      </c>
      <c r="C468" s="157">
        <v>1</v>
      </c>
      <c r="D468" s="157">
        <v>0</v>
      </c>
      <c r="E468" s="157">
        <v>1</v>
      </c>
      <c r="F468" s="157">
        <v>0</v>
      </c>
      <c r="G468" s="157">
        <v>0</v>
      </c>
      <c r="H468" s="135">
        <v>0</v>
      </c>
      <c r="I468" s="158">
        <v>73</v>
      </c>
      <c r="J468" s="158">
        <v>1</v>
      </c>
      <c r="K468" s="87"/>
      <c r="L468" s="158">
        <v>1</v>
      </c>
      <c r="M468" s="158">
        <v>1.9</v>
      </c>
      <c r="N468" s="159">
        <v>0.91304347826086996</v>
      </c>
      <c r="O468" s="159">
        <v>0.53658536585365901</v>
      </c>
      <c r="P468" s="159">
        <v>0.41911764705882398</v>
      </c>
      <c r="Q468" s="158">
        <v>121</v>
      </c>
      <c r="R468" s="119"/>
      <c r="S468" s="10">
        <v>0</v>
      </c>
      <c r="T468" s="10">
        <v>0</v>
      </c>
      <c r="U468" s="10">
        <v>0</v>
      </c>
      <c r="V468" s="10">
        <v>1</v>
      </c>
      <c r="W468" s="10">
        <v>0</v>
      </c>
      <c r="X468" s="10"/>
      <c r="Y468" s="160">
        <v>14.6</v>
      </c>
      <c r="Z468" s="161">
        <v>1</v>
      </c>
      <c r="AA468" s="160">
        <v>14.5</v>
      </c>
      <c r="AB468" s="2"/>
      <c r="AC468" s="135">
        <v>1</v>
      </c>
      <c r="AD468" s="160">
        <v>5</v>
      </c>
      <c r="AE468" s="10"/>
      <c r="AF468" s="164">
        <v>-95.8</v>
      </c>
      <c r="AG468" s="165">
        <v>1</v>
      </c>
      <c r="AH468" s="157">
        <v>7.7</v>
      </c>
      <c r="AI468" s="135">
        <v>14.6</v>
      </c>
      <c r="AJ468" s="2"/>
      <c r="AK468" s="2"/>
      <c r="AL468" s="2"/>
      <c r="AM468" s="2"/>
      <c r="AN468" s="2"/>
    </row>
    <row r="469" spans="1:40" ht="12.75" x14ac:dyDescent="0.2">
      <c r="A469" s="146" t="s">
        <v>1668</v>
      </c>
      <c r="B469" s="106">
        <v>2</v>
      </c>
      <c r="C469" s="157">
        <v>0</v>
      </c>
      <c r="D469" s="157">
        <v>0</v>
      </c>
      <c r="E469" s="157">
        <v>1</v>
      </c>
      <c r="F469" s="157">
        <v>0</v>
      </c>
      <c r="G469" s="157">
        <v>0</v>
      </c>
      <c r="H469" s="127">
        <v>0</v>
      </c>
      <c r="I469" s="158">
        <v>68</v>
      </c>
      <c r="J469" s="158">
        <v>0</v>
      </c>
      <c r="K469" s="87"/>
      <c r="L469" s="158">
        <v>1</v>
      </c>
      <c r="M469" s="158">
        <v>6.32</v>
      </c>
      <c r="N469" s="159">
        <v>0.86956521739130399</v>
      </c>
      <c r="O469" s="159">
        <v>0.88292682926829302</v>
      </c>
      <c r="P469" s="159">
        <v>0.82352941176470595</v>
      </c>
      <c r="Q469" s="158">
        <v>148</v>
      </c>
      <c r="R469" s="119"/>
      <c r="S469" s="10">
        <v>0</v>
      </c>
      <c r="T469" s="10">
        <v>0</v>
      </c>
      <c r="U469" s="10">
        <v>0</v>
      </c>
      <c r="V469" s="10">
        <v>1</v>
      </c>
      <c r="W469" s="10">
        <v>0</v>
      </c>
      <c r="X469" s="10"/>
      <c r="Y469" s="160">
        <v>16.3</v>
      </c>
      <c r="Z469" s="161">
        <v>0</v>
      </c>
      <c r="AA469" s="160">
        <v>16.2</v>
      </c>
      <c r="AB469" s="2"/>
      <c r="AC469" s="135">
        <v>1</v>
      </c>
      <c r="AD469" s="160">
        <v>5</v>
      </c>
      <c r="AE469" s="10"/>
      <c r="AF469" s="164">
        <v>-3.9</v>
      </c>
      <c r="AG469" s="165">
        <v>0</v>
      </c>
      <c r="AH469" s="157">
        <v>0</v>
      </c>
      <c r="AI469" s="135" t="s">
        <v>674</v>
      </c>
      <c r="AJ469" s="2"/>
      <c r="AK469" s="2"/>
      <c r="AL469" s="2"/>
      <c r="AM469" s="2"/>
      <c r="AN469" s="2"/>
    </row>
    <row r="470" spans="1:40" ht="12.75" x14ac:dyDescent="0.2">
      <c r="A470" s="146" t="s">
        <v>1669</v>
      </c>
      <c r="B470" s="106">
        <v>2</v>
      </c>
      <c r="C470" s="157">
        <v>1</v>
      </c>
      <c r="D470" s="157">
        <v>0</v>
      </c>
      <c r="E470" s="157">
        <v>1</v>
      </c>
      <c r="F470" s="157">
        <v>0</v>
      </c>
      <c r="G470" s="157">
        <v>0</v>
      </c>
      <c r="H470" s="127">
        <v>0</v>
      </c>
      <c r="I470" s="158">
        <v>58</v>
      </c>
      <c r="J470" s="158">
        <v>0</v>
      </c>
      <c r="K470" s="87"/>
      <c r="L470" s="158">
        <v>1</v>
      </c>
      <c r="M470" s="158">
        <v>19.82</v>
      </c>
      <c r="N470" s="159">
        <v>0.80434782608695699</v>
      </c>
      <c r="O470" s="159">
        <v>1.24878048780488</v>
      </c>
      <c r="P470" s="159">
        <v>0.86029411764705899</v>
      </c>
      <c r="Q470" s="158">
        <v>135</v>
      </c>
      <c r="R470" s="119"/>
      <c r="S470" s="10">
        <v>1</v>
      </c>
      <c r="T470" s="10">
        <v>0</v>
      </c>
      <c r="U470" s="10">
        <v>0</v>
      </c>
      <c r="V470" s="10">
        <v>0</v>
      </c>
      <c r="W470" s="10">
        <v>0</v>
      </c>
      <c r="X470" s="10"/>
      <c r="Y470" s="160">
        <v>12.133333333333333</v>
      </c>
      <c r="Z470" s="161">
        <v>0</v>
      </c>
      <c r="AA470" s="160">
        <v>12.033333333333333</v>
      </c>
      <c r="AB470" s="2"/>
      <c r="AC470" s="135">
        <v>0</v>
      </c>
      <c r="AD470" s="160">
        <v>12.033333333333333</v>
      </c>
      <c r="AE470" s="10"/>
      <c r="AF470" s="164">
        <v>-99.4</v>
      </c>
      <c r="AG470" s="165">
        <v>1</v>
      </c>
      <c r="AH470" s="157">
        <v>0</v>
      </c>
      <c r="AI470" s="135" t="s">
        <v>674</v>
      </c>
      <c r="AJ470" s="2"/>
      <c r="AK470" s="2"/>
      <c r="AL470" s="2"/>
      <c r="AM470" s="2"/>
      <c r="AN470" s="2"/>
    </row>
    <row r="471" spans="1:40" ht="12.75" x14ac:dyDescent="0.2">
      <c r="A471" s="146" t="s">
        <v>1701</v>
      </c>
      <c r="B471" s="106">
        <v>2</v>
      </c>
      <c r="C471" s="157">
        <v>1</v>
      </c>
      <c r="D471" s="157">
        <v>0</v>
      </c>
      <c r="E471" s="157">
        <v>1</v>
      </c>
      <c r="F471" s="157">
        <v>0</v>
      </c>
      <c r="G471" s="157">
        <v>0</v>
      </c>
      <c r="H471" s="127">
        <v>0</v>
      </c>
      <c r="I471" s="158">
        <v>61</v>
      </c>
      <c r="J471" s="158">
        <v>1</v>
      </c>
      <c r="K471" s="87"/>
      <c r="L471" s="158">
        <v>1</v>
      </c>
      <c r="M471" s="158">
        <v>13.3</v>
      </c>
      <c r="N471" s="159">
        <v>0.89361702127659604</v>
      </c>
      <c r="O471" s="159">
        <v>1.9590909090909101</v>
      </c>
      <c r="P471" s="159">
        <v>4.1416666666666702</v>
      </c>
      <c r="Q471" s="158">
        <v>123</v>
      </c>
      <c r="R471" s="119"/>
      <c r="S471" s="10">
        <v>1</v>
      </c>
      <c r="T471" s="10">
        <v>0</v>
      </c>
      <c r="U471" s="10">
        <v>0</v>
      </c>
      <c r="V471" s="10">
        <v>0</v>
      </c>
      <c r="W471" s="10">
        <v>0</v>
      </c>
      <c r="X471" s="10"/>
      <c r="Y471" s="160">
        <v>8.4333333333333336</v>
      </c>
      <c r="Z471" s="161">
        <v>1</v>
      </c>
      <c r="AA471" s="160">
        <v>8.3000000000000007</v>
      </c>
      <c r="AB471" s="2"/>
      <c r="AC471" s="135">
        <v>0</v>
      </c>
      <c r="AD471" s="160">
        <v>1.8333333333333333</v>
      </c>
      <c r="AE471" s="10"/>
      <c r="AF471" s="164">
        <v>0</v>
      </c>
      <c r="AG471" s="165">
        <v>0</v>
      </c>
      <c r="AH471" s="157">
        <v>25.3</v>
      </c>
      <c r="AI471" s="135" t="s">
        <v>674</v>
      </c>
      <c r="AJ471" s="2"/>
      <c r="AK471" s="2"/>
      <c r="AL471" s="2"/>
      <c r="AM471" s="2"/>
      <c r="AN471" s="2"/>
    </row>
    <row r="472" spans="1:40" ht="12.75" x14ac:dyDescent="0.2">
      <c r="A472" s="146" t="s">
        <v>1670</v>
      </c>
      <c r="B472" s="106">
        <v>2</v>
      </c>
      <c r="C472" s="157">
        <v>1</v>
      </c>
      <c r="D472" s="157">
        <v>1</v>
      </c>
      <c r="E472" s="157">
        <v>0</v>
      </c>
      <c r="F472" s="157">
        <v>1</v>
      </c>
      <c r="G472" s="157">
        <v>0</v>
      </c>
      <c r="H472" s="127">
        <v>0</v>
      </c>
      <c r="I472" s="158">
        <v>60</v>
      </c>
      <c r="J472" s="158">
        <v>0</v>
      </c>
      <c r="K472" s="87"/>
      <c r="L472" s="158">
        <v>1</v>
      </c>
      <c r="M472" s="158">
        <v>3.2</v>
      </c>
      <c r="N472" s="159">
        <v>0.95744680851063801</v>
      </c>
      <c r="O472" s="159">
        <v>0.90909090909090895</v>
      </c>
      <c r="P472" s="159">
        <v>0.53333333333333299</v>
      </c>
      <c r="Q472" s="158">
        <v>126</v>
      </c>
      <c r="R472" s="119"/>
      <c r="S472" s="10">
        <v>0</v>
      </c>
      <c r="T472" s="10">
        <v>0</v>
      </c>
      <c r="U472" s="10">
        <v>0</v>
      </c>
      <c r="V472" s="10">
        <v>1</v>
      </c>
      <c r="W472" s="10">
        <v>0</v>
      </c>
      <c r="X472" s="10"/>
      <c r="Y472" s="160">
        <v>21</v>
      </c>
      <c r="Z472" s="161">
        <v>0</v>
      </c>
      <c r="AA472" s="160">
        <v>20.933333333333334</v>
      </c>
      <c r="AB472" s="2"/>
      <c r="AC472" s="135">
        <v>1</v>
      </c>
      <c r="AD472" s="160">
        <v>9.0666666666666664</v>
      </c>
      <c r="AE472" s="10"/>
      <c r="AF472" s="164">
        <v>-72.400000000000006</v>
      </c>
      <c r="AG472" s="165">
        <v>1</v>
      </c>
      <c r="AH472" s="157">
        <v>0</v>
      </c>
      <c r="AI472" s="135" t="s">
        <v>674</v>
      </c>
      <c r="AJ472" s="2"/>
      <c r="AK472" s="2"/>
      <c r="AL472" s="2"/>
      <c r="AM472" s="2"/>
      <c r="AN472" s="2"/>
    </row>
    <row r="473" spans="1:40" ht="12.75" x14ac:dyDescent="0.2">
      <c r="A473" s="146" t="s">
        <v>1702</v>
      </c>
      <c r="B473" s="106">
        <v>2</v>
      </c>
      <c r="C473" s="157">
        <v>1</v>
      </c>
      <c r="D473" s="157">
        <v>0</v>
      </c>
      <c r="E473" s="157">
        <v>0</v>
      </c>
      <c r="F473" s="157">
        <v>0</v>
      </c>
      <c r="G473" s="157">
        <v>0</v>
      </c>
      <c r="H473" s="127">
        <v>1</v>
      </c>
      <c r="I473" s="158">
        <v>59</v>
      </c>
      <c r="J473" s="158">
        <v>0</v>
      </c>
      <c r="K473" s="87"/>
      <c r="L473" s="158">
        <v>1</v>
      </c>
      <c r="M473" s="158">
        <v>2.06</v>
      </c>
      <c r="N473" s="159">
        <v>0.80851063829787195</v>
      </c>
      <c r="O473" s="159">
        <v>1.05</v>
      </c>
      <c r="P473" s="159">
        <v>0.88333333333333297</v>
      </c>
      <c r="Q473" s="158">
        <v>131</v>
      </c>
      <c r="R473" s="119"/>
      <c r="S473" s="10">
        <v>0</v>
      </c>
      <c r="T473" s="10">
        <v>0</v>
      </c>
      <c r="U473" s="10">
        <v>0</v>
      </c>
      <c r="V473" s="10">
        <v>1</v>
      </c>
      <c r="W473" s="10">
        <v>0</v>
      </c>
      <c r="X473" s="10"/>
      <c r="Y473" s="160">
        <v>15.366666666666667</v>
      </c>
      <c r="Z473" s="161">
        <v>0</v>
      </c>
      <c r="AA473" s="160">
        <v>15.233333333333333</v>
      </c>
      <c r="AB473" s="2"/>
      <c r="AC473" s="135">
        <v>0</v>
      </c>
      <c r="AD473" s="160">
        <v>2.8</v>
      </c>
      <c r="AE473" s="10"/>
      <c r="AF473" s="164">
        <v>-64</v>
      </c>
      <c r="AG473" s="165">
        <v>1</v>
      </c>
      <c r="AH473" s="157">
        <v>0</v>
      </c>
      <c r="AI473" s="135" t="s">
        <v>674</v>
      </c>
      <c r="AJ473" s="2"/>
      <c r="AK473" s="2"/>
      <c r="AL473" s="2"/>
      <c r="AM473" s="2"/>
      <c r="AN473" s="2"/>
    </row>
    <row r="474" spans="1:40" ht="12.75" x14ac:dyDescent="0.2">
      <c r="A474" s="146" t="s">
        <v>1703</v>
      </c>
      <c r="B474" s="106">
        <v>2</v>
      </c>
      <c r="C474" s="157">
        <v>1</v>
      </c>
      <c r="D474" s="157">
        <v>1</v>
      </c>
      <c r="E474" s="157">
        <v>0</v>
      </c>
      <c r="F474" s="157">
        <v>0</v>
      </c>
      <c r="G474" s="157">
        <v>0</v>
      </c>
      <c r="H474" s="127">
        <v>0</v>
      </c>
      <c r="I474" s="158">
        <v>69</v>
      </c>
      <c r="J474" s="158">
        <v>1</v>
      </c>
      <c r="K474" s="87"/>
      <c r="L474" s="158">
        <v>1</v>
      </c>
      <c r="M474" s="158">
        <v>5.32</v>
      </c>
      <c r="N474" s="159">
        <v>0.7</v>
      </c>
      <c r="O474" s="159">
        <v>1.4045454545454501</v>
      </c>
      <c r="P474" s="159">
        <v>0.72727272727272696</v>
      </c>
      <c r="Q474" s="158">
        <v>126</v>
      </c>
      <c r="R474" s="119"/>
      <c r="S474" s="10">
        <v>0</v>
      </c>
      <c r="T474" s="10">
        <v>0</v>
      </c>
      <c r="U474" s="10">
        <v>0</v>
      </c>
      <c r="V474" s="10">
        <v>1</v>
      </c>
      <c r="W474" s="10">
        <v>0</v>
      </c>
      <c r="X474" s="10"/>
      <c r="Y474" s="160">
        <v>11.466666666666667</v>
      </c>
      <c r="Z474" s="161">
        <v>0</v>
      </c>
      <c r="AA474" s="160">
        <v>11.3</v>
      </c>
      <c r="AB474" s="2"/>
      <c r="AC474" s="135">
        <v>1</v>
      </c>
      <c r="AD474" s="160">
        <v>3.4</v>
      </c>
      <c r="AE474" s="10"/>
      <c r="AF474" s="164">
        <v>-40.9</v>
      </c>
      <c r="AG474" s="165">
        <v>0</v>
      </c>
      <c r="AH474" s="157">
        <v>14</v>
      </c>
      <c r="AI474" s="135" t="s">
        <v>674</v>
      </c>
      <c r="AJ474" s="2"/>
      <c r="AK474" s="2"/>
      <c r="AL474" s="2"/>
      <c r="AM474" s="2"/>
      <c r="AN474" s="2"/>
    </row>
    <row r="475" spans="1:40" ht="12.75" x14ac:dyDescent="0.2">
      <c r="A475" s="146" t="s">
        <v>1671</v>
      </c>
      <c r="B475" s="106">
        <v>2</v>
      </c>
      <c r="C475" s="157">
        <v>1</v>
      </c>
      <c r="D475" s="157">
        <v>0</v>
      </c>
      <c r="E475" s="157">
        <v>1</v>
      </c>
      <c r="F475" s="157">
        <v>0</v>
      </c>
      <c r="G475" s="157">
        <v>0</v>
      </c>
      <c r="H475" s="127">
        <v>0</v>
      </c>
      <c r="I475" s="158">
        <v>77</v>
      </c>
      <c r="J475" s="158">
        <v>0</v>
      </c>
      <c r="K475" s="87"/>
      <c r="L475" s="158">
        <v>1</v>
      </c>
      <c r="M475" s="158">
        <v>87.4</v>
      </c>
      <c r="N475" s="159">
        <v>0.62</v>
      </c>
      <c r="O475" s="159">
        <v>1</v>
      </c>
      <c r="P475" s="159">
        <v>0.72727272727272696</v>
      </c>
      <c r="Q475" s="158">
        <v>128</v>
      </c>
      <c r="R475" s="119"/>
      <c r="S475" s="10">
        <v>0</v>
      </c>
      <c r="T475" s="10">
        <v>1</v>
      </c>
      <c r="U475" s="10">
        <v>0</v>
      </c>
      <c r="V475" s="10">
        <v>0</v>
      </c>
      <c r="W475" s="10">
        <v>0</v>
      </c>
      <c r="X475" s="10"/>
      <c r="Y475" s="160">
        <v>12.833333333333334</v>
      </c>
      <c r="Z475" s="161">
        <v>0</v>
      </c>
      <c r="AA475" s="160">
        <v>12.733333333333333</v>
      </c>
      <c r="AB475" s="2"/>
      <c r="AC475" s="135">
        <v>0</v>
      </c>
      <c r="AD475" s="160">
        <v>12.066666666666666</v>
      </c>
      <c r="AE475" s="10"/>
      <c r="AF475" s="164">
        <v>-100</v>
      </c>
      <c r="AG475" s="165">
        <v>1</v>
      </c>
      <c r="AH475" s="157">
        <v>15.7</v>
      </c>
      <c r="AI475" s="135" t="s">
        <v>674</v>
      </c>
      <c r="AJ475" s="2"/>
      <c r="AK475" s="2"/>
      <c r="AL475" s="2"/>
      <c r="AM475" s="2"/>
      <c r="AN475" s="2"/>
    </row>
    <row r="476" spans="1:40" ht="12.75" x14ac:dyDescent="0.2">
      <c r="A476" s="146" t="s">
        <v>1672</v>
      </c>
      <c r="B476" s="106">
        <v>2</v>
      </c>
      <c r="C476" s="157">
        <v>1</v>
      </c>
      <c r="D476" s="157">
        <v>1</v>
      </c>
      <c r="E476" s="157">
        <v>1</v>
      </c>
      <c r="F476" s="157">
        <v>0</v>
      </c>
      <c r="G476" s="157">
        <v>0</v>
      </c>
      <c r="H476" s="127">
        <v>0</v>
      </c>
      <c r="I476" s="158">
        <v>65</v>
      </c>
      <c r="J476" s="158">
        <v>1</v>
      </c>
      <c r="K476" s="87"/>
      <c r="L476" s="158">
        <v>1</v>
      </c>
      <c r="M476" s="158">
        <v>7.9</v>
      </c>
      <c r="N476" s="159">
        <v>0.91111111111111098</v>
      </c>
      <c r="O476" s="159">
        <v>0.94</v>
      </c>
      <c r="P476" s="159">
        <v>1.6272727272727301</v>
      </c>
      <c r="Q476" s="158">
        <v>146</v>
      </c>
      <c r="R476" s="119"/>
      <c r="S476" s="10">
        <v>0</v>
      </c>
      <c r="T476" s="10">
        <v>0</v>
      </c>
      <c r="U476" s="10">
        <v>0</v>
      </c>
      <c r="V476" s="10">
        <v>1</v>
      </c>
      <c r="W476" s="10">
        <v>0</v>
      </c>
      <c r="X476" s="10"/>
      <c r="Y476" s="160">
        <v>1.6666666666666667</v>
      </c>
      <c r="Z476" s="161">
        <v>0</v>
      </c>
      <c r="AA476" s="160">
        <v>1.6333333333333333</v>
      </c>
      <c r="AB476" s="2"/>
      <c r="AC476" s="135">
        <v>0</v>
      </c>
      <c r="AD476" s="160">
        <v>0.96666666666666667</v>
      </c>
      <c r="AE476" s="10"/>
      <c r="AF476" s="162">
        <v>0</v>
      </c>
      <c r="AG476" s="163">
        <v>0</v>
      </c>
      <c r="AH476" s="157">
        <v>9.5</v>
      </c>
      <c r="AI476" s="135" t="s">
        <v>674</v>
      </c>
      <c r="AJ476" s="2"/>
      <c r="AK476" s="2"/>
      <c r="AL476" s="2"/>
      <c r="AM476" s="2"/>
      <c r="AN476" s="2"/>
    </row>
    <row r="477" spans="1:40" ht="12.75" x14ac:dyDescent="0.2">
      <c r="A477" s="146" t="s">
        <v>1704</v>
      </c>
      <c r="B477" s="106">
        <v>2</v>
      </c>
      <c r="C477" s="157">
        <v>1</v>
      </c>
      <c r="D477" s="157">
        <v>1</v>
      </c>
      <c r="E477" s="157">
        <v>0</v>
      </c>
      <c r="F477" s="157">
        <v>0</v>
      </c>
      <c r="G477" s="157">
        <v>1</v>
      </c>
      <c r="H477" s="127">
        <v>0</v>
      </c>
      <c r="I477" s="158">
        <v>63</v>
      </c>
      <c r="J477" s="158">
        <v>1</v>
      </c>
      <c r="K477" s="87"/>
      <c r="L477" s="158">
        <v>1</v>
      </c>
      <c r="M477" s="158">
        <v>66.2</v>
      </c>
      <c r="N477" s="159">
        <v>0.77777777777777801</v>
      </c>
      <c r="O477" s="159">
        <v>1.32</v>
      </c>
      <c r="P477" s="159">
        <v>1.25454545454545</v>
      </c>
      <c r="Q477" s="158">
        <v>131</v>
      </c>
      <c r="R477" s="119"/>
      <c r="S477" s="10">
        <v>0</v>
      </c>
      <c r="T477" s="10">
        <v>1</v>
      </c>
      <c r="U477" s="10">
        <v>0</v>
      </c>
      <c r="V477" s="10">
        <v>0</v>
      </c>
      <c r="W477" s="10">
        <v>0</v>
      </c>
      <c r="X477" s="10"/>
      <c r="Y477" s="160">
        <v>19.666666666666668</v>
      </c>
      <c r="Z477" s="161">
        <v>1</v>
      </c>
      <c r="AA477" s="160">
        <v>19.566666666666666</v>
      </c>
      <c r="AB477" s="2"/>
      <c r="AC477" s="135">
        <v>0</v>
      </c>
      <c r="AD477" s="160">
        <v>2.1</v>
      </c>
      <c r="AE477" s="10"/>
      <c r="AF477" s="164">
        <v>0</v>
      </c>
      <c r="AG477" s="165">
        <v>0</v>
      </c>
      <c r="AH477" s="157">
        <v>0</v>
      </c>
      <c r="AI477" s="135" t="s">
        <v>674</v>
      </c>
      <c r="AJ477" s="2"/>
      <c r="AK477" s="2"/>
      <c r="AL477" s="2"/>
      <c r="AM477" s="2"/>
      <c r="AN477" s="2"/>
    </row>
    <row r="478" spans="1:40" ht="12.75" x14ac:dyDescent="0.2">
      <c r="A478" s="146" t="s">
        <v>1673</v>
      </c>
      <c r="B478" s="106">
        <v>2</v>
      </c>
      <c r="C478" s="157">
        <v>1</v>
      </c>
      <c r="D478" s="157">
        <v>1</v>
      </c>
      <c r="E478" s="157">
        <v>0</v>
      </c>
      <c r="F478" s="157">
        <v>0</v>
      </c>
      <c r="G478" s="157">
        <v>0</v>
      </c>
      <c r="H478" s="127">
        <v>0</v>
      </c>
      <c r="I478" s="158">
        <v>59</v>
      </c>
      <c r="J478" s="158">
        <v>1</v>
      </c>
      <c r="K478" s="87"/>
      <c r="L478" s="158">
        <v>1</v>
      </c>
      <c r="M478" s="158">
        <v>38.4</v>
      </c>
      <c r="N478" s="159">
        <v>0.86666666666666703</v>
      </c>
      <c r="O478" s="159">
        <v>1.0349999999999999</v>
      </c>
      <c r="P478" s="159">
        <v>1.0090909090909099</v>
      </c>
      <c r="Q478" s="158">
        <v>134</v>
      </c>
      <c r="R478" s="119"/>
      <c r="S478" s="10">
        <v>0</v>
      </c>
      <c r="T478" s="10">
        <v>0</v>
      </c>
      <c r="U478" s="10">
        <v>0</v>
      </c>
      <c r="V478" s="10">
        <v>1</v>
      </c>
      <c r="W478" s="10">
        <v>0</v>
      </c>
      <c r="X478" s="10"/>
      <c r="Y478" s="160">
        <v>13.133333333333333</v>
      </c>
      <c r="Z478" s="161">
        <v>0</v>
      </c>
      <c r="AA478" s="160">
        <v>13.1</v>
      </c>
      <c r="AB478" s="2"/>
      <c r="AC478" s="135">
        <v>0</v>
      </c>
      <c r="AD478" s="160">
        <v>3.4666666666666668</v>
      </c>
      <c r="AE478" s="10"/>
      <c r="AF478" s="164">
        <v>-87.9</v>
      </c>
      <c r="AG478" s="165">
        <v>1</v>
      </c>
      <c r="AH478" s="157">
        <v>0</v>
      </c>
      <c r="AI478" s="135" t="s">
        <v>674</v>
      </c>
      <c r="AJ478" s="2"/>
      <c r="AK478" s="2"/>
      <c r="AL478" s="2"/>
      <c r="AM478" s="2"/>
      <c r="AN478" s="2"/>
    </row>
    <row r="479" spans="1:40" ht="12.75" x14ac:dyDescent="0.2">
      <c r="A479" s="2"/>
      <c r="B479" s="2"/>
      <c r="C479" s="2"/>
      <c r="D479" s="2"/>
      <c r="E479" s="2"/>
      <c r="F479" s="2"/>
      <c r="G479" s="2"/>
      <c r="H479" s="2"/>
      <c r="I479" s="170">
        <f>AVERAGE(I3:I478)</f>
        <v>72.191140885911409</v>
      </c>
      <c r="J479" s="2"/>
      <c r="K479" s="170"/>
      <c r="L479" s="170"/>
      <c r="M479" s="171">
        <f>AVERAGE(M3:M478)</f>
        <v>109.44386861313873</v>
      </c>
      <c r="N479" s="2"/>
      <c r="O479" s="171"/>
      <c r="P479" s="171"/>
      <c r="Q479" s="2"/>
      <c r="R479" s="6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171"/>
      <c r="AG479" s="2"/>
      <c r="AH479" s="2"/>
      <c r="AI479" s="2"/>
      <c r="AJ479" s="2"/>
      <c r="AK479" s="2"/>
      <c r="AL479" s="2"/>
      <c r="AM479" s="2"/>
      <c r="AN479" s="2"/>
    </row>
    <row r="480" spans="1:40" ht="12.75" x14ac:dyDescent="0.2">
      <c r="A480" s="2"/>
      <c r="B480" s="2"/>
      <c r="C480" s="2"/>
      <c r="D480" s="2"/>
      <c r="E480" s="2"/>
      <c r="F480" s="2"/>
      <c r="G480" s="2"/>
      <c r="H480" s="2"/>
      <c r="I480" s="170">
        <f>MAX(I3:I478)</f>
        <v>97.539726027397265</v>
      </c>
      <c r="J480" s="2"/>
      <c r="K480" s="170"/>
      <c r="L480" s="170"/>
      <c r="M480" s="2">
        <f>MIN(M3:M478)</f>
        <v>0.02</v>
      </c>
      <c r="N480" s="2"/>
      <c r="O480" s="171"/>
      <c r="P480" s="171"/>
      <c r="Q480" s="2"/>
      <c r="R480" s="6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171"/>
      <c r="AG480" s="2"/>
      <c r="AH480" s="2"/>
      <c r="AI480" s="2"/>
      <c r="AJ480" s="2"/>
      <c r="AK480" s="2"/>
      <c r="AL480" s="2"/>
      <c r="AM480" s="2"/>
      <c r="AN480" s="2"/>
    </row>
    <row r="481" spans="1:40" ht="12.75" x14ac:dyDescent="0.2">
      <c r="A481" s="2"/>
      <c r="B481" s="2"/>
      <c r="C481" s="2"/>
      <c r="D481" s="2"/>
      <c r="E481" s="2"/>
      <c r="F481" s="2"/>
      <c r="G481" s="2"/>
      <c r="H481" s="2"/>
      <c r="I481" s="170">
        <f>MIN(I3:I478)</f>
        <v>45.087671232876716</v>
      </c>
      <c r="J481" s="2"/>
      <c r="K481" s="170"/>
      <c r="L481" s="170"/>
      <c r="M481" s="2">
        <f>MAX(M3:M478)</f>
        <v>5800</v>
      </c>
      <c r="N481" s="2"/>
      <c r="O481" s="171"/>
      <c r="P481" s="171"/>
      <c r="Q481" s="2"/>
      <c r="R481" s="6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171"/>
      <c r="AG481" s="2"/>
      <c r="AH481" s="2"/>
      <c r="AI481" s="2"/>
      <c r="AJ481" s="2"/>
      <c r="AK481" s="2"/>
      <c r="AL481" s="2"/>
      <c r="AM481" s="2"/>
      <c r="AN481" s="2"/>
    </row>
    <row r="482" spans="1:40" ht="12.75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170"/>
      <c r="L482" s="170"/>
      <c r="M482" s="2"/>
      <c r="N482" s="2"/>
      <c r="O482" s="171"/>
      <c r="P482" s="171"/>
      <c r="Q482" s="2"/>
      <c r="R482" s="6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171"/>
      <c r="AG482" s="2"/>
      <c r="AH482" s="2"/>
      <c r="AI482" s="2"/>
      <c r="AJ482" s="2"/>
      <c r="AK482" s="2"/>
      <c r="AL482" s="2"/>
      <c r="AM482" s="2"/>
      <c r="AN482" s="2"/>
    </row>
    <row r="483" spans="1:40" ht="12.75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170"/>
      <c r="L483" s="170"/>
      <c r="M483" s="2"/>
      <c r="N483" s="2"/>
      <c r="O483" s="171"/>
      <c r="P483" s="171"/>
      <c r="Q483" s="2"/>
      <c r="R483" s="6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171"/>
      <c r="AG483" s="2"/>
      <c r="AH483" s="2"/>
      <c r="AI483" s="2"/>
      <c r="AJ483" s="2"/>
      <c r="AK483" s="2"/>
      <c r="AL483" s="2"/>
      <c r="AM483" s="2"/>
      <c r="AN483" s="2"/>
    </row>
    <row r="484" spans="1:40" ht="12.75" x14ac:dyDescent="0.2">
      <c r="A484" s="2"/>
      <c r="B484" s="172" t="s">
        <v>2062</v>
      </c>
      <c r="C484" s="2"/>
      <c r="D484" s="2"/>
      <c r="E484" s="2"/>
      <c r="F484" s="2"/>
      <c r="G484" s="2"/>
      <c r="H484" s="2"/>
      <c r="I484" s="2"/>
      <c r="J484" s="2"/>
      <c r="K484" s="170"/>
      <c r="L484" s="170"/>
      <c r="M484" s="2"/>
      <c r="N484" s="2"/>
      <c r="O484" s="171"/>
      <c r="P484" s="171"/>
      <c r="Q484" s="2"/>
      <c r="R484" s="6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171"/>
      <c r="AG484" s="2"/>
      <c r="AH484" s="2"/>
      <c r="AI484" s="2"/>
      <c r="AJ484" s="2"/>
      <c r="AK484" s="2"/>
      <c r="AL484" s="2"/>
      <c r="AM484" s="2"/>
      <c r="AN484" s="2"/>
    </row>
    <row r="485" spans="1:40" ht="38.25" x14ac:dyDescent="0.2">
      <c r="A485" s="2"/>
      <c r="B485" s="173" t="s">
        <v>2063</v>
      </c>
      <c r="C485" s="10" t="s">
        <v>2064</v>
      </c>
      <c r="D485" s="2" t="s">
        <v>2065</v>
      </c>
      <c r="E485" s="2"/>
      <c r="F485" s="2"/>
      <c r="G485" s="2"/>
      <c r="H485" s="2"/>
      <c r="I485" s="2"/>
      <c r="J485" s="2"/>
      <c r="K485" s="170"/>
      <c r="L485" s="170"/>
      <c r="M485" s="2"/>
      <c r="N485" s="2"/>
      <c r="O485" s="171"/>
      <c r="P485" s="171"/>
      <c r="Q485" s="2"/>
      <c r="R485" s="6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171"/>
      <c r="AG485" s="2"/>
      <c r="AH485" s="2"/>
      <c r="AI485" s="2"/>
      <c r="AJ485" s="2"/>
      <c r="AK485" s="2"/>
      <c r="AL485" s="2"/>
      <c r="AM485" s="2"/>
      <c r="AN485" s="2"/>
    </row>
    <row r="486" spans="1:40" ht="38.25" x14ac:dyDescent="0.2">
      <c r="A486" s="2"/>
      <c r="B486" s="173" t="s">
        <v>2066</v>
      </c>
      <c r="C486" s="83" t="s">
        <v>2067</v>
      </c>
      <c r="D486" s="2"/>
      <c r="E486" s="2"/>
      <c r="F486" s="2"/>
      <c r="G486" s="2"/>
      <c r="H486" s="2"/>
      <c r="I486" s="2"/>
      <c r="J486" s="2"/>
      <c r="K486" s="170"/>
      <c r="L486" s="170"/>
      <c r="M486" s="2"/>
      <c r="N486" s="2"/>
      <c r="O486" s="171"/>
      <c r="P486" s="171"/>
      <c r="Q486" s="2"/>
      <c r="R486" s="6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171"/>
      <c r="AG486" s="2"/>
      <c r="AH486" s="2"/>
      <c r="AI486" s="2"/>
      <c r="AJ486" s="2"/>
      <c r="AK486" s="2"/>
      <c r="AL486" s="2"/>
      <c r="AM486" s="2"/>
      <c r="AN486" s="2"/>
    </row>
    <row r="487" spans="1:40" ht="38.25" x14ac:dyDescent="0.2">
      <c r="A487" s="2"/>
      <c r="B487" s="173" t="s">
        <v>2068</v>
      </c>
      <c r="C487" s="174">
        <v>0.18</v>
      </c>
      <c r="D487" s="2"/>
      <c r="E487" s="2"/>
      <c r="F487" s="2"/>
      <c r="G487" s="2"/>
      <c r="H487" s="2"/>
      <c r="I487" s="2"/>
      <c r="J487" s="2"/>
      <c r="K487" s="170"/>
      <c r="L487" s="170"/>
      <c r="M487" s="2"/>
      <c r="N487" s="2"/>
      <c r="O487" s="171"/>
      <c r="P487" s="171"/>
      <c r="Q487" s="2"/>
      <c r="R487" s="6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171"/>
      <c r="AG487" s="2"/>
      <c r="AH487" s="2"/>
      <c r="AI487" s="2"/>
      <c r="AJ487" s="2"/>
      <c r="AK487" s="2"/>
      <c r="AL487" s="2"/>
      <c r="AM487" s="2"/>
      <c r="AN487" s="2"/>
    </row>
    <row r="488" spans="1:40" ht="25.5" x14ac:dyDescent="0.2">
      <c r="A488" s="2"/>
      <c r="B488" s="175" t="s">
        <v>2069</v>
      </c>
      <c r="C488" s="174">
        <v>0.74</v>
      </c>
      <c r="D488" s="2"/>
      <c r="E488" s="2"/>
      <c r="F488" s="2"/>
      <c r="G488" s="2"/>
      <c r="H488" s="2"/>
      <c r="I488" s="2"/>
      <c r="J488" s="2"/>
      <c r="K488" s="170"/>
      <c r="L488" s="170"/>
      <c r="M488" s="2"/>
      <c r="N488" s="2"/>
      <c r="O488" s="171"/>
      <c r="P488" s="171"/>
      <c r="Q488" s="2"/>
      <c r="R488" s="6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171"/>
      <c r="AG488" s="2"/>
      <c r="AH488" s="2"/>
      <c r="AI488" s="2"/>
      <c r="AJ488" s="2"/>
      <c r="AK488" s="2"/>
      <c r="AL488" s="2"/>
      <c r="AM488" s="2"/>
      <c r="AN488" s="2"/>
    </row>
    <row r="489" spans="1:40" ht="12.75" x14ac:dyDescent="0.2">
      <c r="A489" s="2"/>
      <c r="B489" s="176">
        <v>44257</v>
      </c>
      <c r="C489" s="174">
        <f>58/476</f>
        <v>0.12184873949579832</v>
      </c>
      <c r="D489" s="2"/>
      <c r="E489" s="2"/>
      <c r="F489" s="2"/>
      <c r="G489" s="2"/>
      <c r="H489" s="2"/>
      <c r="I489" s="2"/>
      <c r="J489" s="2"/>
      <c r="K489" s="170"/>
      <c r="L489" s="170"/>
      <c r="M489" s="2"/>
      <c r="N489" s="2"/>
      <c r="O489" s="171"/>
      <c r="P489" s="171"/>
      <c r="Q489" s="2"/>
      <c r="R489" s="6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171"/>
      <c r="AG489" s="2"/>
      <c r="AH489" s="2"/>
      <c r="AI489" s="2"/>
      <c r="AJ489" s="2"/>
      <c r="AK489" s="2"/>
      <c r="AL489" s="2"/>
      <c r="AM489" s="2"/>
      <c r="AN489" s="2"/>
    </row>
    <row r="490" spans="1:40" ht="12.75" x14ac:dyDescent="0.2">
      <c r="A490" s="2"/>
      <c r="B490" s="173" t="s">
        <v>701</v>
      </c>
      <c r="C490" s="174">
        <v>0.14000000000000001</v>
      </c>
      <c r="D490" s="2"/>
      <c r="E490" s="2"/>
      <c r="F490" s="2"/>
      <c r="G490" s="2"/>
      <c r="H490" s="2"/>
      <c r="I490" s="2"/>
      <c r="J490" s="2"/>
      <c r="K490" s="170"/>
      <c r="L490" s="170"/>
      <c r="M490" s="2"/>
      <c r="N490" s="2"/>
      <c r="O490" s="171"/>
      <c r="P490" s="171"/>
      <c r="Q490" s="2"/>
      <c r="R490" s="6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171"/>
      <c r="AG490" s="2"/>
      <c r="AH490" s="2"/>
      <c r="AI490" s="2"/>
      <c r="AJ490" s="2"/>
      <c r="AK490" s="2"/>
      <c r="AL490" s="2"/>
      <c r="AM490" s="2"/>
      <c r="AN490" s="2"/>
    </row>
    <row r="491" spans="1:40" ht="63.75" x14ac:dyDescent="0.2">
      <c r="A491" s="2"/>
      <c r="B491" s="173" t="s">
        <v>2070</v>
      </c>
      <c r="C491" s="83" t="s">
        <v>2071</v>
      </c>
      <c r="D491" s="2"/>
      <c r="E491" s="2"/>
      <c r="F491" s="2"/>
      <c r="G491" s="2"/>
      <c r="H491" s="2"/>
      <c r="I491" s="2"/>
      <c r="J491" s="2"/>
      <c r="K491" s="170"/>
      <c r="L491" s="170"/>
      <c r="M491" s="2"/>
      <c r="N491" s="2"/>
      <c r="O491" s="171"/>
      <c r="P491" s="171"/>
      <c r="Q491" s="2"/>
      <c r="R491" s="6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171"/>
      <c r="AG491" s="2"/>
      <c r="AH491" s="2"/>
      <c r="AI491" s="2"/>
      <c r="AJ491" s="2"/>
      <c r="AK491" s="2"/>
      <c r="AL491" s="2"/>
      <c r="AM491" s="2"/>
      <c r="AN491" s="2"/>
    </row>
    <row r="492" spans="1:40" ht="25.5" x14ac:dyDescent="0.2">
      <c r="A492" s="2"/>
      <c r="B492" s="173" t="s">
        <v>2072</v>
      </c>
      <c r="C492" s="174">
        <v>0.38</v>
      </c>
      <c r="D492" s="2"/>
      <c r="E492" s="2"/>
      <c r="F492" s="2"/>
      <c r="G492" s="2"/>
      <c r="H492" s="2"/>
      <c r="I492" s="2"/>
      <c r="J492" s="2"/>
      <c r="K492" s="170"/>
      <c r="L492" s="170"/>
      <c r="M492" s="2"/>
      <c r="N492" s="2"/>
      <c r="O492" s="171"/>
      <c r="P492" s="171"/>
      <c r="Q492" s="2"/>
      <c r="R492" s="6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171"/>
      <c r="AG492" s="2"/>
      <c r="AH492" s="2"/>
      <c r="AI492" s="2"/>
      <c r="AJ492" s="2"/>
      <c r="AK492" s="2"/>
      <c r="AL492" s="2"/>
      <c r="AM492" s="2"/>
      <c r="AN492" s="2"/>
    </row>
    <row r="493" spans="1:40" ht="25.5" x14ac:dyDescent="0.2">
      <c r="A493" s="2"/>
      <c r="B493" s="177" t="s">
        <v>2073</v>
      </c>
      <c r="C493" s="174">
        <v>0.47</v>
      </c>
      <c r="D493" s="2"/>
      <c r="E493" s="2"/>
      <c r="F493" s="2"/>
      <c r="G493" s="2"/>
      <c r="H493" s="2"/>
      <c r="I493" s="2"/>
      <c r="J493" s="2"/>
      <c r="K493" s="170"/>
      <c r="L493" s="170"/>
      <c r="M493" s="2"/>
      <c r="N493" s="2"/>
      <c r="O493" s="171"/>
      <c r="P493" s="171"/>
      <c r="Q493" s="2"/>
      <c r="R493" s="6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171"/>
      <c r="AG493" s="2"/>
      <c r="AH493" s="2"/>
      <c r="AI493" s="2"/>
      <c r="AJ493" s="2"/>
      <c r="AK493" s="2"/>
      <c r="AL493" s="2"/>
      <c r="AM493" s="2"/>
      <c r="AN493" s="2"/>
    </row>
    <row r="494" spans="1:40" ht="25.5" x14ac:dyDescent="0.2">
      <c r="A494" s="2"/>
      <c r="B494" s="177" t="s">
        <v>570</v>
      </c>
      <c r="C494" s="174">
        <v>0.82</v>
      </c>
      <c r="D494" s="2"/>
      <c r="E494" s="2"/>
      <c r="F494" s="2"/>
      <c r="G494" s="2"/>
      <c r="H494" s="2"/>
      <c r="I494" s="2"/>
      <c r="J494" s="2"/>
      <c r="K494" s="170"/>
      <c r="L494" s="170"/>
      <c r="M494" s="2"/>
      <c r="N494" s="2"/>
      <c r="O494" s="171"/>
      <c r="P494" s="171"/>
      <c r="Q494" s="2"/>
      <c r="R494" s="6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171"/>
      <c r="AG494" s="2"/>
      <c r="AH494" s="2"/>
      <c r="AI494" s="2"/>
      <c r="AJ494" s="2"/>
      <c r="AK494" s="2"/>
      <c r="AL494" s="2"/>
      <c r="AM494" s="2"/>
      <c r="AN494" s="2"/>
    </row>
    <row r="495" spans="1:40" ht="25.5" x14ac:dyDescent="0.2">
      <c r="A495" s="2"/>
      <c r="B495" s="177" t="s">
        <v>630</v>
      </c>
      <c r="C495" s="174">
        <v>0.11</v>
      </c>
      <c r="D495" s="2"/>
      <c r="E495" s="2"/>
      <c r="F495" s="2"/>
      <c r="G495" s="2"/>
      <c r="H495" s="2"/>
      <c r="I495" s="2"/>
      <c r="J495" s="2"/>
      <c r="K495" s="170"/>
      <c r="L495" s="170"/>
      <c r="M495" s="2"/>
      <c r="N495" s="2"/>
      <c r="O495" s="171"/>
      <c r="P495" s="171"/>
      <c r="Q495" s="2"/>
      <c r="R495" s="6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171"/>
      <c r="AG495" s="2"/>
      <c r="AH495" s="2"/>
      <c r="AI495" s="2"/>
      <c r="AJ495" s="2"/>
      <c r="AK495" s="2"/>
      <c r="AL495" s="2"/>
      <c r="AM495" s="2"/>
      <c r="AN495" s="2"/>
    </row>
    <row r="496" spans="1:40" ht="25.5" x14ac:dyDescent="0.2">
      <c r="A496" s="2"/>
      <c r="B496" s="175" t="s">
        <v>629</v>
      </c>
      <c r="C496" s="174">
        <v>0.09</v>
      </c>
      <c r="D496" s="2"/>
      <c r="E496" s="2"/>
      <c r="F496" s="2"/>
      <c r="G496" s="2"/>
      <c r="H496" s="2"/>
      <c r="I496" s="2"/>
      <c r="J496" s="2"/>
      <c r="K496" s="170"/>
      <c r="L496" s="170"/>
      <c r="M496" s="2"/>
      <c r="N496" s="2"/>
      <c r="O496" s="171"/>
      <c r="P496" s="171"/>
      <c r="Q496" s="2"/>
      <c r="R496" s="6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171"/>
      <c r="AG496" s="2"/>
      <c r="AH496" s="2"/>
      <c r="AI496" s="2"/>
      <c r="AJ496" s="2"/>
      <c r="AK496" s="2"/>
      <c r="AL496" s="2"/>
      <c r="AM496" s="2"/>
      <c r="AN496" s="2"/>
    </row>
    <row r="497" spans="1:40" ht="25.5" x14ac:dyDescent="0.2">
      <c r="A497" s="2"/>
      <c r="B497" s="178" t="s">
        <v>2074</v>
      </c>
      <c r="C497" s="174">
        <v>0.11</v>
      </c>
      <c r="D497" s="2"/>
      <c r="E497" s="2"/>
      <c r="F497" s="2"/>
      <c r="G497" s="2"/>
      <c r="H497" s="2"/>
      <c r="I497" s="2"/>
      <c r="J497" s="2"/>
      <c r="K497" s="170"/>
      <c r="L497" s="170"/>
      <c r="M497" s="2"/>
      <c r="N497" s="2"/>
      <c r="O497" s="171"/>
      <c r="P497" s="171"/>
      <c r="Q497" s="2"/>
      <c r="R497" s="6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171"/>
      <c r="AG497" s="2"/>
      <c r="AH497" s="2"/>
      <c r="AI497" s="2"/>
      <c r="AJ497" s="2"/>
      <c r="AK497" s="2"/>
      <c r="AL497" s="2"/>
      <c r="AM497" s="2"/>
      <c r="AN497" s="2"/>
    </row>
    <row r="498" spans="1:40" ht="25.5" x14ac:dyDescent="0.2">
      <c r="A498" s="2"/>
      <c r="B498" s="177" t="s">
        <v>2075</v>
      </c>
      <c r="C498" s="83" t="s">
        <v>2076</v>
      </c>
      <c r="D498" s="2"/>
      <c r="E498" s="2"/>
      <c r="F498" s="2"/>
      <c r="G498" s="2"/>
      <c r="H498" s="2"/>
      <c r="I498" s="2"/>
      <c r="J498" s="2"/>
      <c r="K498" s="170"/>
      <c r="L498" s="170"/>
      <c r="M498" s="2"/>
      <c r="N498" s="2"/>
      <c r="O498" s="171"/>
      <c r="P498" s="171"/>
      <c r="Q498" s="2"/>
      <c r="R498" s="6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171"/>
      <c r="AG498" s="2"/>
      <c r="AH498" s="2"/>
      <c r="AI498" s="2"/>
      <c r="AJ498" s="2"/>
      <c r="AK498" s="2"/>
      <c r="AL498" s="2"/>
      <c r="AM498" s="2"/>
      <c r="AN498" s="2"/>
    </row>
    <row r="499" spans="1:40" ht="12.75" x14ac:dyDescent="0.2">
      <c r="A499" s="2"/>
      <c r="B499" s="177" t="s">
        <v>1946</v>
      </c>
      <c r="C499" s="174">
        <v>0.33</v>
      </c>
      <c r="D499" s="2"/>
      <c r="E499" s="2"/>
      <c r="F499" s="2"/>
      <c r="G499" s="2"/>
      <c r="H499" s="2"/>
      <c r="I499" s="2"/>
      <c r="J499" s="2"/>
      <c r="K499" s="170"/>
      <c r="L499" s="170"/>
      <c r="M499" s="2"/>
      <c r="N499" s="2"/>
      <c r="O499" s="171"/>
      <c r="P499" s="171"/>
      <c r="Q499" s="2"/>
      <c r="R499" s="6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171"/>
      <c r="AG499" s="2"/>
      <c r="AH499" s="2"/>
      <c r="AI499" s="2"/>
      <c r="AJ499" s="2"/>
      <c r="AK499" s="2"/>
      <c r="AL499" s="2"/>
      <c r="AM499" s="2"/>
      <c r="AN499" s="2"/>
    </row>
    <row r="500" spans="1:40" ht="12.75" x14ac:dyDescent="0.2">
      <c r="A500" s="2"/>
      <c r="B500" s="177" t="s">
        <v>1945</v>
      </c>
      <c r="C500" s="174">
        <v>0.21</v>
      </c>
      <c r="D500" s="2"/>
      <c r="E500" s="2"/>
      <c r="F500" s="2"/>
      <c r="G500" s="2"/>
      <c r="H500" s="2"/>
      <c r="I500" s="2"/>
      <c r="J500" s="2"/>
      <c r="K500" s="170"/>
      <c r="L500" s="170"/>
      <c r="M500" s="2"/>
      <c r="N500" s="2"/>
      <c r="O500" s="171"/>
      <c r="P500" s="171"/>
      <c r="Q500" s="2"/>
      <c r="R500" s="6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171"/>
      <c r="AG500" s="2"/>
      <c r="AH500" s="2"/>
      <c r="AI500" s="2"/>
      <c r="AJ500" s="2"/>
      <c r="AK500" s="2"/>
      <c r="AL500" s="2"/>
      <c r="AM500" s="2"/>
      <c r="AN500" s="2"/>
    </row>
    <row r="501" spans="1:40" ht="25.5" x14ac:dyDescent="0.2">
      <c r="A501" s="2"/>
      <c r="B501" s="177" t="s">
        <v>2077</v>
      </c>
      <c r="C501" s="10"/>
      <c r="D501" s="2"/>
      <c r="E501" s="2"/>
      <c r="F501" s="2"/>
      <c r="G501" s="2"/>
      <c r="H501" s="2"/>
      <c r="I501" s="2"/>
      <c r="J501" s="2"/>
      <c r="K501" s="170"/>
      <c r="L501" s="170"/>
      <c r="M501" s="2"/>
      <c r="N501" s="2"/>
      <c r="O501" s="171"/>
      <c r="P501" s="171"/>
      <c r="Q501" s="2"/>
      <c r="R501" s="6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171"/>
      <c r="AG501" s="2"/>
      <c r="AH501" s="2"/>
      <c r="AI501" s="2"/>
      <c r="AJ501" s="2"/>
      <c r="AK501" s="2"/>
      <c r="AL501" s="2"/>
      <c r="AM501" s="2"/>
      <c r="AN501" s="2"/>
    </row>
    <row r="502" spans="1:40" ht="25.5" x14ac:dyDescent="0.2">
      <c r="A502" s="2"/>
      <c r="B502" s="178" t="s">
        <v>2078</v>
      </c>
      <c r="C502" s="10"/>
      <c r="D502" s="2"/>
      <c r="E502" s="2"/>
      <c r="F502" s="2"/>
      <c r="G502" s="2"/>
      <c r="H502" s="2"/>
      <c r="I502" s="2"/>
      <c r="J502" s="2"/>
      <c r="K502" s="170"/>
      <c r="L502" s="170"/>
      <c r="M502" s="2"/>
      <c r="N502" s="2"/>
      <c r="O502" s="171"/>
      <c r="P502" s="171"/>
      <c r="Q502" s="2"/>
      <c r="R502" s="6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171"/>
      <c r="AG502" s="2"/>
      <c r="AH502" s="2"/>
      <c r="AI502" s="2"/>
      <c r="AJ502" s="2"/>
      <c r="AK502" s="2"/>
      <c r="AL502" s="2"/>
      <c r="AM502" s="2"/>
      <c r="AN502" s="2"/>
    </row>
    <row r="503" spans="1:40" ht="12.75" x14ac:dyDescent="0.2">
      <c r="A503" s="2"/>
      <c r="B503" s="7" t="s">
        <v>2079</v>
      </c>
      <c r="C503" s="10"/>
      <c r="D503" s="2"/>
      <c r="E503" s="2"/>
      <c r="F503" s="2"/>
      <c r="G503" s="2"/>
      <c r="H503" s="2"/>
      <c r="I503" s="2"/>
      <c r="J503" s="2"/>
      <c r="K503" s="170"/>
      <c r="L503" s="170"/>
      <c r="M503" s="2"/>
      <c r="N503" s="2"/>
      <c r="O503" s="171"/>
      <c r="P503" s="171"/>
      <c r="Q503" s="2"/>
      <c r="R503" s="6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171"/>
      <c r="AG503" s="2"/>
      <c r="AH503" s="2"/>
      <c r="AI503" s="2"/>
      <c r="AJ503" s="2"/>
      <c r="AK503" s="2"/>
      <c r="AL503" s="2"/>
      <c r="AM503" s="2"/>
      <c r="AN503" s="2"/>
    </row>
    <row r="504" spans="1:40" ht="12.75" x14ac:dyDescent="0.2">
      <c r="A504" s="2"/>
      <c r="B504" s="7" t="s">
        <v>671</v>
      </c>
      <c r="C504" s="174">
        <v>0.4</v>
      </c>
      <c r="D504" s="2"/>
      <c r="E504" s="2"/>
      <c r="F504" s="2"/>
      <c r="G504" s="2"/>
      <c r="H504" s="2"/>
      <c r="I504" s="2"/>
      <c r="J504" s="2"/>
      <c r="K504" s="170"/>
      <c r="L504" s="170"/>
      <c r="M504" s="2"/>
      <c r="N504" s="2"/>
      <c r="O504" s="171"/>
      <c r="P504" s="171"/>
      <c r="Q504" s="2"/>
      <c r="R504" s="6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171"/>
      <c r="AG504" s="2"/>
      <c r="AH504" s="2"/>
      <c r="AI504" s="2"/>
      <c r="AJ504" s="2"/>
      <c r="AK504" s="2"/>
      <c r="AL504" s="2"/>
      <c r="AM504" s="2"/>
      <c r="AN504" s="2"/>
    </row>
    <row r="505" spans="1:40" ht="12.75" x14ac:dyDescent="0.2">
      <c r="A505" s="2"/>
      <c r="B505" s="7" t="s">
        <v>672</v>
      </c>
      <c r="C505" s="174">
        <v>0.51</v>
      </c>
      <c r="D505" s="2"/>
      <c r="E505" s="2"/>
      <c r="F505" s="2"/>
      <c r="G505" s="2"/>
      <c r="H505" s="2"/>
      <c r="I505" s="2"/>
      <c r="J505" s="2"/>
      <c r="K505" s="170"/>
      <c r="L505" s="170"/>
      <c r="M505" s="2"/>
      <c r="N505" s="2"/>
      <c r="O505" s="171"/>
      <c r="P505" s="171"/>
      <c r="Q505" s="2"/>
      <c r="R505" s="6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171"/>
      <c r="AG505" s="2"/>
      <c r="AH505" s="2"/>
      <c r="AI505" s="2"/>
      <c r="AJ505" s="2"/>
      <c r="AK505" s="2"/>
      <c r="AL505" s="2"/>
      <c r="AM505" s="2"/>
      <c r="AN505" s="2"/>
    </row>
    <row r="506" spans="1:40" ht="12.75" x14ac:dyDescent="0.2">
      <c r="A506" s="2"/>
      <c r="B506" s="7" t="s">
        <v>2080</v>
      </c>
      <c r="C506" s="179">
        <v>1.4999999999999999E-2</v>
      </c>
      <c r="D506" s="2"/>
      <c r="E506" s="2"/>
      <c r="F506" s="2"/>
      <c r="G506" s="2"/>
      <c r="H506" s="2"/>
      <c r="I506" s="2"/>
      <c r="J506" s="2"/>
      <c r="K506" s="170"/>
      <c r="L506" s="170"/>
      <c r="M506" s="2"/>
      <c r="N506" s="2"/>
      <c r="O506" s="171"/>
      <c r="P506" s="171"/>
      <c r="Q506" s="2"/>
      <c r="R506" s="6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171"/>
      <c r="AG506" s="2"/>
      <c r="AH506" s="2"/>
      <c r="AI506" s="2"/>
      <c r="AJ506" s="2"/>
      <c r="AK506" s="2"/>
      <c r="AL506" s="2"/>
      <c r="AM506" s="2"/>
      <c r="AN506" s="2"/>
    </row>
    <row r="507" spans="1:40" ht="12.75" x14ac:dyDescent="0.2">
      <c r="A507" s="2"/>
      <c r="B507" s="7" t="s">
        <v>675</v>
      </c>
      <c r="C507" s="179">
        <v>6.5000000000000002E-2</v>
      </c>
      <c r="D507" s="2"/>
      <c r="E507" s="2"/>
      <c r="F507" s="2"/>
      <c r="G507" s="2"/>
      <c r="H507" s="2"/>
      <c r="I507" s="2"/>
      <c r="J507" s="2"/>
      <c r="K507" s="170"/>
      <c r="L507" s="170"/>
      <c r="M507" s="2"/>
      <c r="N507" s="2"/>
      <c r="O507" s="171"/>
      <c r="P507" s="171"/>
      <c r="Q507" s="2"/>
      <c r="R507" s="6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171"/>
      <c r="AG507" s="2"/>
      <c r="AH507" s="2"/>
      <c r="AI507" s="2"/>
      <c r="AJ507" s="2"/>
      <c r="AK507" s="2"/>
      <c r="AL507" s="2"/>
      <c r="AM507" s="2"/>
      <c r="AN507" s="2"/>
    </row>
    <row r="508" spans="1:40" ht="12.75" x14ac:dyDescent="0.2">
      <c r="A508" s="2"/>
      <c r="B508" s="7" t="s">
        <v>2081</v>
      </c>
      <c r="C508" s="179">
        <v>1.7000000000000001E-2</v>
      </c>
      <c r="D508" s="2"/>
      <c r="E508" s="2"/>
      <c r="F508" s="2"/>
      <c r="G508" s="2"/>
      <c r="H508" s="2"/>
      <c r="I508" s="2"/>
      <c r="J508" s="2"/>
      <c r="K508" s="170"/>
      <c r="L508" s="170"/>
      <c r="M508" s="2"/>
      <c r="N508" s="2"/>
      <c r="O508" s="171"/>
      <c r="P508" s="171"/>
      <c r="Q508" s="2"/>
      <c r="R508" s="6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171"/>
      <c r="AG508" s="2"/>
      <c r="AH508" s="2"/>
      <c r="AI508" s="2"/>
      <c r="AJ508" s="2"/>
      <c r="AK508" s="2"/>
      <c r="AL508" s="2"/>
      <c r="AM508" s="2"/>
      <c r="AN508" s="2"/>
    </row>
    <row r="509" spans="1:40" ht="38.25" x14ac:dyDescent="0.2">
      <c r="A509" s="2"/>
      <c r="B509" s="180" t="s">
        <v>2082</v>
      </c>
      <c r="C509" s="10" t="s">
        <v>2083</v>
      </c>
      <c r="D509" s="2"/>
      <c r="E509" s="2"/>
      <c r="F509" s="2"/>
      <c r="G509" s="2"/>
      <c r="H509" s="2"/>
      <c r="I509" s="2"/>
      <c r="J509" s="2"/>
      <c r="K509" s="170"/>
      <c r="L509" s="170"/>
      <c r="M509" s="2"/>
      <c r="N509" s="2"/>
      <c r="O509" s="171"/>
      <c r="P509" s="171"/>
      <c r="Q509" s="2"/>
      <c r="R509" s="6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171"/>
      <c r="AG509" s="2"/>
      <c r="AH509" s="2"/>
      <c r="AI509" s="2"/>
      <c r="AJ509" s="2"/>
      <c r="AK509" s="2"/>
      <c r="AL509" s="2"/>
      <c r="AM509" s="2"/>
      <c r="AN509" s="2"/>
    </row>
    <row r="510" spans="1:40" ht="12.75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170"/>
      <c r="L510" s="170"/>
      <c r="M510" s="2"/>
      <c r="N510" s="2"/>
      <c r="O510" s="171"/>
      <c r="P510" s="171"/>
      <c r="Q510" s="2"/>
      <c r="R510" s="6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171"/>
      <c r="AG510" s="2"/>
      <c r="AH510" s="2"/>
      <c r="AI510" s="2"/>
      <c r="AJ510" s="2"/>
      <c r="AK510" s="2"/>
      <c r="AL510" s="2"/>
      <c r="AM510" s="2"/>
      <c r="AN510" s="2"/>
    </row>
    <row r="511" spans="1:40" ht="12.75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170"/>
      <c r="L511" s="170"/>
      <c r="M511" s="2"/>
      <c r="N511" s="2"/>
      <c r="O511" s="171"/>
      <c r="P511" s="171"/>
      <c r="Q511" s="2"/>
      <c r="R511" s="6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171"/>
      <c r="AG511" s="2"/>
      <c r="AH511" s="2"/>
      <c r="AI511" s="2"/>
      <c r="AJ511" s="2"/>
      <c r="AK511" s="2"/>
      <c r="AL511" s="2"/>
      <c r="AM511" s="2"/>
      <c r="AN511" s="2"/>
    </row>
    <row r="512" spans="1:40" ht="12.75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170"/>
      <c r="L512" s="170"/>
      <c r="M512" s="2"/>
      <c r="N512" s="2"/>
      <c r="O512" s="171"/>
      <c r="P512" s="171"/>
      <c r="Q512" s="2"/>
      <c r="R512" s="6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171"/>
      <c r="AG512" s="2"/>
      <c r="AH512" s="2"/>
      <c r="AI512" s="2"/>
      <c r="AJ512" s="2"/>
      <c r="AK512" s="2"/>
      <c r="AL512" s="2"/>
      <c r="AM512" s="2"/>
      <c r="AN512" s="2"/>
    </row>
    <row r="513" spans="1:40" ht="12.75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170"/>
      <c r="L513" s="170"/>
      <c r="M513" s="2"/>
      <c r="N513" s="2"/>
      <c r="O513" s="171"/>
      <c r="P513" s="171"/>
      <c r="Q513" s="2"/>
      <c r="R513" s="6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171"/>
      <c r="AG513" s="2"/>
      <c r="AH513" s="2"/>
      <c r="AI513" s="2"/>
      <c r="AJ513" s="2"/>
      <c r="AK513" s="2"/>
      <c r="AL513" s="2"/>
      <c r="AM513" s="2"/>
      <c r="AN513" s="2"/>
    </row>
    <row r="514" spans="1:40" ht="12.75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170"/>
      <c r="L514" s="170"/>
      <c r="M514" s="2"/>
      <c r="N514" s="2"/>
      <c r="O514" s="171"/>
      <c r="P514" s="171"/>
      <c r="Q514" s="2"/>
      <c r="R514" s="6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171"/>
      <c r="AG514" s="2"/>
      <c r="AH514" s="2"/>
      <c r="AI514" s="2"/>
      <c r="AJ514" s="2"/>
      <c r="AK514" s="2"/>
      <c r="AL514" s="2"/>
      <c r="AM514" s="2"/>
      <c r="AN514" s="2"/>
    </row>
    <row r="515" spans="1:40" ht="12.75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170"/>
      <c r="L515" s="170"/>
      <c r="M515" s="2"/>
      <c r="N515" s="2"/>
      <c r="O515" s="171"/>
      <c r="P515" s="171"/>
      <c r="Q515" s="2"/>
      <c r="R515" s="6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171"/>
      <c r="AG515" s="2"/>
      <c r="AH515" s="2"/>
      <c r="AI515" s="2"/>
      <c r="AJ515" s="2"/>
      <c r="AK515" s="2"/>
      <c r="AL515" s="2"/>
      <c r="AM515" s="2"/>
      <c r="AN515" s="2"/>
    </row>
    <row r="516" spans="1:40" ht="12.75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170"/>
      <c r="L516" s="170"/>
      <c r="M516" s="2"/>
      <c r="N516" s="2"/>
      <c r="O516" s="171"/>
      <c r="P516" s="171"/>
      <c r="Q516" s="2"/>
      <c r="R516" s="6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171"/>
      <c r="AG516" s="2"/>
      <c r="AH516" s="2"/>
      <c r="AI516" s="2"/>
      <c r="AJ516" s="2"/>
      <c r="AK516" s="2"/>
      <c r="AL516" s="2"/>
      <c r="AM516" s="2"/>
      <c r="AN516" s="2"/>
    </row>
    <row r="517" spans="1:40" ht="12.75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170"/>
      <c r="L517" s="170"/>
      <c r="M517" s="2"/>
      <c r="N517" s="2"/>
      <c r="O517" s="171"/>
      <c r="P517" s="171"/>
      <c r="Q517" s="2"/>
      <c r="R517" s="6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171"/>
      <c r="AG517" s="2"/>
      <c r="AH517" s="2"/>
      <c r="AI517" s="2"/>
      <c r="AJ517" s="2"/>
      <c r="AK517" s="2"/>
      <c r="AL517" s="2"/>
      <c r="AM517" s="2"/>
      <c r="AN517" s="2"/>
    </row>
    <row r="518" spans="1:40" ht="12.75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170"/>
      <c r="L518" s="170"/>
      <c r="M518" s="2"/>
      <c r="N518" s="2"/>
      <c r="O518" s="171"/>
      <c r="P518" s="171"/>
      <c r="Q518" s="2"/>
      <c r="R518" s="6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171"/>
      <c r="AG518" s="2"/>
      <c r="AH518" s="2"/>
      <c r="AI518" s="2"/>
      <c r="AJ518" s="2"/>
      <c r="AK518" s="2"/>
      <c r="AL518" s="2"/>
      <c r="AM518" s="2"/>
      <c r="AN518" s="2"/>
    </row>
    <row r="519" spans="1:40" ht="12.75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170"/>
      <c r="L519" s="170"/>
      <c r="M519" s="2"/>
      <c r="N519" s="2"/>
      <c r="O519" s="171"/>
      <c r="P519" s="171"/>
      <c r="Q519" s="2"/>
      <c r="R519" s="6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171"/>
      <c r="AG519" s="2"/>
      <c r="AH519" s="2"/>
      <c r="AI519" s="2"/>
      <c r="AJ519" s="2"/>
      <c r="AK519" s="2"/>
      <c r="AL519" s="2"/>
      <c r="AM519" s="2"/>
      <c r="AN519" s="2"/>
    </row>
    <row r="520" spans="1:40" ht="12.75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170"/>
      <c r="L520" s="170"/>
      <c r="M520" s="2"/>
      <c r="N520" s="2"/>
      <c r="O520" s="171"/>
      <c r="P520" s="171"/>
      <c r="Q520" s="2"/>
      <c r="R520" s="6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171"/>
      <c r="AG520" s="2"/>
      <c r="AH520" s="2"/>
      <c r="AI520" s="2"/>
      <c r="AJ520" s="2"/>
      <c r="AK520" s="2"/>
      <c r="AL520" s="2"/>
      <c r="AM520" s="2"/>
      <c r="AN520" s="2"/>
    </row>
    <row r="521" spans="1:40" ht="12.75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170"/>
      <c r="L521" s="170"/>
      <c r="M521" s="2"/>
      <c r="N521" s="2"/>
      <c r="O521" s="171"/>
      <c r="P521" s="171"/>
      <c r="Q521" s="2"/>
      <c r="R521" s="6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171"/>
      <c r="AG521" s="2"/>
      <c r="AH521" s="2"/>
      <c r="AI521" s="2"/>
      <c r="AJ521" s="2"/>
      <c r="AK521" s="2"/>
      <c r="AL521" s="2"/>
      <c r="AM521" s="2"/>
      <c r="AN521" s="2"/>
    </row>
    <row r="522" spans="1:40" ht="12.75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170"/>
      <c r="L522" s="170"/>
      <c r="M522" s="2"/>
      <c r="N522" s="2"/>
      <c r="O522" s="171"/>
      <c r="P522" s="171"/>
      <c r="Q522" s="2"/>
      <c r="R522" s="6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171"/>
      <c r="AG522" s="2"/>
      <c r="AH522" s="2"/>
      <c r="AI522" s="2"/>
      <c r="AJ522" s="2"/>
      <c r="AK522" s="2"/>
      <c r="AL522" s="2"/>
      <c r="AM522" s="2"/>
      <c r="AN522" s="2"/>
    </row>
    <row r="523" spans="1:40" ht="12.75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170"/>
      <c r="L523" s="170"/>
      <c r="M523" s="2"/>
      <c r="N523" s="2"/>
      <c r="O523" s="171"/>
      <c r="P523" s="171"/>
      <c r="Q523" s="2"/>
      <c r="R523" s="6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171"/>
      <c r="AG523" s="2"/>
      <c r="AH523" s="2"/>
      <c r="AI523" s="2"/>
      <c r="AJ523" s="2"/>
      <c r="AK523" s="2"/>
      <c r="AL523" s="2"/>
      <c r="AM523" s="2"/>
      <c r="AN523" s="2"/>
    </row>
    <row r="524" spans="1:40" ht="12.75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170"/>
      <c r="L524" s="170"/>
      <c r="M524" s="2"/>
      <c r="N524" s="2"/>
      <c r="O524" s="171"/>
      <c r="P524" s="171"/>
      <c r="Q524" s="2"/>
      <c r="R524" s="6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171"/>
      <c r="AG524" s="2"/>
      <c r="AH524" s="2"/>
      <c r="AI524" s="2"/>
      <c r="AJ524" s="2"/>
      <c r="AK524" s="2"/>
      <c r="AL524" s="2"/>
      <c r="AM524" s="2"/>
      <c r="AN524" s="2"/>
    </row>
    <row r="525" spans="1:40" ht="12.75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170"/>
      <c r="L525" s="170"/>
      <c r="M525" s="2"/>
      <c r="N525" s="2"/>
      <c r="O525" s="171"/>
      <c r="P525" s="171"/>
      <c r="Q525" s="2"/>
      <c r="R525" s="6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171"/>
      <c r="AG525" s="2"/>
      <c r="AH525" s="2"/>
      <c r="AI525" s="2"/>
      <c r="AJ525" s="2"/>
      <c r="AK525" s="2"/>
      <c r="AL525" s="2"/>
      <c r="AM525" s="2"/>
      <c r="AN525" s="2"/>
    </row>
    <row r="526" spans="1:40" ht="12.75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170"/>
      <c r="L526" s="170"/>
      <c r="M526" s="2"/>
      <c r="N526" s="2"/>
      <c r="O526" s="171"/>
      <c r="P526" s="171"/>
      <c r="Q526" s="2"/>
      <c r="R526" s="6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171"/>
      <c r="AG526" s="2"/>
      <c r="AH526" s="2"/>
      <c r="AI526" s="2"/>
      <c r="AJ526" s="2"/>
      <c r="AK526" s="2"/>
      <c r="AL526" s="2"/>
      <c r="AM526" s="2"/>
      <c r="AN526" s="2"/>
    </row>
    <row r="527" spans="1:40" ht="12.75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170"/>
      <c r="L527" s="170"/>
      <c r="M527" s="2"/>
      <c r="N527" s="2"/>
      <c r="O527" s="171"/>
      <c r="P527" s="171"/>
      <c r="Q527" s="2"/>
      <c r="R527" s="6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171"/>
      <c r="AG527" s="2"/>
      <c r="AH527" s="2"/>
      <c r="AI527" s="2"/>
      <c r="AJ527" s="2"/>
      <c r="AK527" s="2"/>
      <c r="AL527" s="2"/>
      <c r="AM527" s="2"/>
      <c r="AN527" s="2"/>
    </row>
    <row r="528" spans="1:40" ht="12.75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170"/>
      <c r="L528" s="170"/>
      <c r="M528" s="2"/>
      <c r="N528" s="2"/>
      <c r="O528" s="171"/>
      <c r="P528" s="171"/>
      <c r="Q528" s="2"/>
      <c r="R528" s="6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171"/>
      <c r="AG528" s="2"/>
      <c r="AH528" s="2"/>
      <c r="AI528" s="2"/>
      <c r="AJ528" s="2"/>
      <c r="AK528" s="2"/>
      <c r="AL528" s="2"/>
      <c r="AM528" s="2"/>
      <c r="AN528" s="2"/>
    </row>
    <row r="529" spans="1:40" ht="12.75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170"/>
      <c r="L529" s="170"/>
      <c r="M529" s="2"/>
      <c r="N529" s="2"/>
      <c r="O529" s="171"/>
      <c r="P529" s="171"/>
      <c r="Q529" s="2"/>
      <c r="R529" s="6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171"/>
      <c r="AG529" s="2"/>
      <c r="AH529" s="2"/>
      <c r="AI529" s="2"/>
      <c r="AJ529" s="2"/>
      <c r="AK529" s="2"/>
      <c r="AL529" s="2"/>
      <c r="AM529" s="2"/>
      <c r="AN529" s="2"/>
    </row>
    <row r="530" spans="1:40" ht="12.75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170"/>
      <c r="L530" s="170"/>
      <c r="M530" s="2"/>
      <c r="N530" s="2"/>
      <c r="O530" s="171"/>
      <c r="P530" s="171"/>
      <c r="Q530" s="2"/>
      <c r="R530" s="6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171"/>
      <c r="AG530" s="2"/>
      <c r="AH530" s="2"/>
      <c r="AI530" s="2"/>
      <c r="AJ530" s="2"/>
      <c r="AK530" s="2"/>
      <c r="AL530" s="2"/>
      <c r="AM530" s="2"/>
      <c r="AN530" s="2"/>
    </row>
    <row r="531" spans="1:40" ht="12.75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170"/>
      <c r="L531" s="170"/>
      <c r="M531" s="2"/>
      <c r="N531" s="2"/>
      <c r="O531" s="171"/>
      <c r="P531" s="171"/>
      <c r="Q531" s="2"/>
      <c r="R531" s="6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171"/>
      <c r="AG531" s="2"/>
      <c r="AH531" s="2"/>
      <c r="AI531" s="2"/>
      <c r="AJ531" s="2"/>
      <c r="AK531" s="2"/>
      <c r="AL531" s="2"/>
      <c r="AM531" s="2"/>
      <c r="AN531" s="2"/>
    </row>
    <row r="532" spans="1:40" ht="12.75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170"/>
      <c r="L532" s="170"/>
      <c r="M532" s="2"/>
      <c r="N532" s="2"/>
      <c r="O532" s="171"/>
      <c r="P532" s="171"/>
      <c r="Q532" s="2"/>
      <c r="R532" s="6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171"/>
      <c r="AG532" s="2"/>
      <c r="AH532" s="2"/>
      <c r="AI532" s="2"/>
      <c r="AJ532" s="2"/>
      <c r="AK532" s="2"/>
      <c r="AL532" s="2"/>
      <c r="AM532" s="2"/>
      <c r="AN532" s="2"/>
    </row>
    <row r="533" spans="1:40" ht="12.75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170"/>
      <c r="L533" s="170"/>
      <c r="M533" s="2"/>
      <c r="N533" s="2"/>
      <c r="O533" s="171"/>
      <c r="P533" s="171"/>
      <c r="Q533" s="2"/>
      <c r="R533" s="6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171"/>
      <c r="AG533" s="2"/>
      <c r="AH533" s="2"/>
      <c r="AI533" s="2"/>
      <c r="AJ533" s="2"/>
      <c r="AK533" s="2"/>
      <c r="AL533" s="2"/>
      <c r="AM533" s="2"/>
      <c r="AN533" s="2"/>
    </row>
    <row r="534" spans="1:40" ht="12.75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170"/>
      <c r="L534" s="170"/>
      <c r="M534" s="2"/>
      <c r="N534" s="2"/>
      <c r="O534" s="171"/>
      <c r="P534" s="171"/>
      <c r="Q534" s="2"/>
      <c r="R534" s="6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171"/>
      <c r="AG534" s="2"/>
      <c r="AH534" s="2"/>
      <c r="AI534" s="2"/>
      <c r="AJ534" s="2"/>
      <c r="AK534" s="2"/>
      <c r="AL534" s="2"/>
      <c r="AM534" s="2"/>
      <c r="AN534" s="2"/>
    </row>
    <row r="535" spans="1:40" ht="12.75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170"/>
      <c r="L535" s="170"/>
      <c r="M535" s="2"/>
      <c r="N535" s="2"/>
      <c r="O535" s="171"/>
      <c r="P535" s="171"/>
      <c r="Q535" s="2"/>
      <c r="R535" s="6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171"/>
      <c r="AG535" s="2"/>
      <c r="AH535" s="2"/>
      <c r="AI535" s="2"/>
      <c r="AJ535" s="2"/>
      <c r="AK535" s="2"/>
      <c r="AL535" s="2"/>
      <c r="AM535" s="2"/>
      <c r="AN535" s="2"/>
    </row>
    <row r="536" spans="1:40" ht="12.75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170"/>
      <c r="L536" s="170"/>
      <c r="M536" s="2"/>
      <c r="N536" s="2"/>
      <c r="O536" s="171"/>
      <c r="P536" s="171"/>
      <c r="Q536" s="2"/>
      <c r="R536" s="6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171"/>
      <c r="AG536" s="2"/>
      <c r="AH536" s="2"/>
      <c r="AI536" s="2"/>
      <c r="AJ536" s="2"/>
      <c r="AK536" s="2"/>
      <c r="AL536" s="2"/>
      <c r="AM536" s="2"/>
      <c r="AN536" s="2"/>
    </row>
    <row r="537" spans="1:40" ht="12.75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170"/>
      <c r="L537" s="170"/>
      <c r="M537" s="2"/>
      <c r="N537" s="2"/>
      <c r="O537" s="171"/>
      <c r="P537" s="171"/>
      <c r="Q537" s="2"/>
      <c r="R537" s="6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171"/>
      <c r="AG537" s="2"/>
      <c r="AH537" s="2"/>
      <c r="AI537" s="2"/>
      <c r="AJ537" s="2"/>
      <c r="AK537" s="2"/>
      <c r="AL537" s="2"/>
      <c r="AM537" s="2"/>
      <c r="AN537" s="2"/>
    </row>
    <row r="538" spans="1:40" ht="12.75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170"/>
      <c r="L538" s="170"/>
      <c r="M538" s="2"/>
      <c r="N538" s="2"/>
      <c r="O538" s="171"/>
      <c r="P538" s="171"/>
      <c r="Q538" s="2"/>
      <c r="R538" s="6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171"/>
      <c r="AG538" s="2"/>
      <c r="AH538" s="2"/>
      <c r="AI538" s="2"/>
      <c r="AJ538" s="2"/>
      <c r="AK538" s="2"/>
      <c r="AL538" s="2"/>
      <c r="AM538" s="2"/>
      <c r="AN538" s="2"/>
    </row>
    <row r="539" spans="1:40" ht="12.75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170"/>
      <c r="L539" s="170"/>
      <c r="M539" s="2"/>
      <c r="N539" s="2"/>
      <c r="O539" s="171"/>
      <c r="P539" s="171"/>
      <c r="Q539" s="2"/>
      <c r="R539" s="6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171"/>
      <c r="AG539" s="2"/>
      <c r="AH539" s="2"/>
      <c r="AI539" s="2"/>
      <c r="AJ539" s="2"/>
      <c r="AK539" s="2"/>
      <c r="AL539" s="2"/>
      <c r="AM539" s="2"/>
      <c r="AN539" s="2"/>
    </row>
    <row r="540" spans="1:40" ht="12.75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170"/>
      <c r="L540" s="170"/>
      <c r="M540" s="2"/>
      <c r="N540" s="2"/>
      <c r="O540" s="171"/>
      <c r="P540" s="171"/>
      <c r="Q540" s="2"/>
      <c r="R540" s="6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171"/>
      <c r="AG540" s="2"/>
      <c r="AH540" s="2"/>
      <c r="AI540" s="2"/>
      <c r="AJ540" s="2"/>
      <c r="AK540" s="2"/>
      <c r="AL540" s="2"/>
      <c r="AM540" s="2"/>
      <c r="AN540" s="2"/>
    </row>
    <row r="541" spans="1:40" ht="12.75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170"/>
      <c r="L541" s="170"/>
      <c r="M541" s="2"/>
      <c r="N541" s="2"/>
      <c r="O541" s="171"/>
      <c r="P541" s="171"/>
      <c r="Q541" s="2"/>
      <c r="R541" s="6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171"/>
      <c r="AG541" s="2"/>
      <c r="AH541" s="2"/>
      <c r="AI541" s="2"/>
      <c r="AJ541" s="2"/>
      <c r="AK541" s="2"/>
      <c r="AL541" s="2"/>
      <c r="AM541" s="2"/>
      <c r="AN541" s="2"/>
    </row>
    <row r="542" spans="1:40" ht="12.75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170"/>
      <c r="L542" s="170"/>
      <c r="M542" s="2"/>
      <c r="N542" s="2"/>
      <c r="O542" s="171"/>
      <c r="P542" s="171"/>
      <c r="Q542" s="2"/>
      <c r="R542" s="6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171"/>
      <c r="AG542" s="2"/>
      <c r="AH542" s="2"/>
      <c r="AI542" s="2"/>
      <c r="AJ542" s="2"/>
      <c r="AK542" s="2"/>
      <c r="AL542" s="2"/>
      <c r="AM542" s="2"/>
      <c r="AN542" s="2"/>
    </row>
    <row r="543" spans="1:40" ht="12.75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170"/>
      <c r="L543" s="170"/>
      <c r="M543" s="2"/>
      <c r="N543" s="2"/>
      <c r="O543" s="171"/>
      <c r="P543" s="171"/>
      <c r="Q543" s="2"/>
      <c r="R543" s="6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171"/>
      <c r="AG543" s="2"/>
      <c r="AH543" s="2"/>
      <c r="AI543" s="2"/>
      <c r="AJ543" s="2"/>
      <c r="AK543" s="2"/>
      <c r="AL543" s="2"/>
      <c r="AM543" s="2"/>
      <c r="AN543" s="2"/>
    </row>
    <row r="544" spans="1:40" ht="12.75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170"/>
      <c r="L544" s="170"/>
      <c r="M544" s="2"/>
      <c r="N544" s="2"/>
      <c r="O544" s="171"/>
      <c r="P544" s="171"/>
      <c r="Q544" s="2"/>
      <c r="R544" s="6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171"/>
      <c r="AG544" s="2"/>
      <c r="AH544" s="2"/>
      <c r="AI544" s="2"/>
      <c r="AJ544" s="2"/>
      <c r="AK544" s="2"/>
      <c r="AL544" s="2"/>
      <c r="AM544" s="2"/>
      <c r="AN544" s="2"/>
    </row>
    <row r="545" spans="1:40" ht="12.75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170"/>
      <c r="L545" s="170"/>
      <c r="M545" s="2"/>
      <c r="N545" s="2"/>
      <c r="O545" s="171"/>
      <c r="P545" s="171"/>
      <c r="Q545" s="2"/>
      <c r="R545" s="6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171"/>
      <c r="AG545" s="2"/>
      <c r="AH545" s="2"/>
      <c r="AI545" s="2"/>
      <c r="AJ545" s="2"/>
      <c r="AK545" s="2"/>
      <c r="AL545" s="2"/>
      <c r="AM545" s="2"/>
      <c r="AN545" s="2"/>
    </row>
    <row r="546" spans="1:40" ht="12.75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170"/>
      <c r="L546" s="170"/>
      <c r="M546" s="2"/>
      <c r="N546" s="2"/>
      <c r="O546" s="171"/>
      <c r="P546" s="171"/>
      <c r="Q546" s="2"/>
      <c r="R546" s="6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171"/>
      <c r="AG546" s="2"/>
      <c r="AH546" s="2"/>
      <c r="AI546" s="2"/>
      <c r="AJ546" s="2"/>
      <c r="AK546" s="2"/>
      <c r="AL546" s="2"/>
      <c r="AM546" s="2"/>
      <c r="AN546" s="2"/>
    </row>
    <row r="547" spans="1:40" ht="12.75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170"/>
      <c r="L547" s="170"/>
      <c r="M547" s="2"/>
      <c r="N547" s="2"/>
      <c r="O547" s="171"/>
      <c r="P547" s="171"/>
      <c r="Q547" s="2"/>
      <c r="R547" s="6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171"/>
      <c r="AG547" s="2"/>
      <c r="AH547" s="2"/>
      <c r="AI547" s="2"/>
      <c r="AJ547" s="2"/>
      <c r="AK547" s="2"/>
      <c r="AL547" s="2"/>
      <c r="AM547" s="2"/>
      <c r="AN547" s="2"/>
    </row>
    <row r="548" spans="1:40" ht="12.75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170"/>
      <c r="L548" s="170"/>
      <c r="M548" s="2"/>
      <c r="N548" s="2"/>
      <c r="O548" s="171"/>
      <c r="P548" s="171"/>
      <c r="Q548" s="2"/>
      <c r="R548" s="6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171"/>
      <c r="AG548" s="2"/>
      <c r="AH548" s="2"/>
      <c r="AI548" s="2"/>
      <c r="AJ548" s="2"/>
      <c r="AK548" s="2"/>
      <c r="AL548" s="2"/>
      <c r="AM548" s="2"/>
      <c r="AN548" s="2"/>
    </row>
    <row r="549" spans="1:40" ht="12.75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170"/>
      <c r="L549" s="170"/>
      <c r="M549" s="2"/>
      <c r="N549" s="2"/>
      <c r="O549" s="171"/>
      <c r="P549" s="171"/>
      <c r="Q549" s="2"/>
      <c r="R549" s="6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171"/>
      <c r="AG549" s="2"/>
      <c r="AH549" s="2"/>
      <c r="AI549" s="2"/>
      <c r="AJ549" s="2"/>
      <c r="AK549" s="2"/>
      <c r="AL549" s="2"/>
      <c r="AM549" s="2"/>
      <c r="AN549" s="2"/>
    </row>
    <row r="550" spans="1:40" ht="12.75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170"/>
      <c r="L550" s="170"/>
      <c r="M550" s="2"/>
      <c r="N550" s="2"/>
      <c r="O550" s="171"/>
      <c r="P550" s="171"/>
      <c r="Q550" s="2"/>
      <c r="R550" s="6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171"/>
      <c r="AG550" s="2"/>
      <c r="AH550" s="2"/>
      <c r="AI550" s="2"/>
      <c r="AJ550" s="2"/>
      <c r="AK550" s="2"/>
      <c r="AL550" s="2"/>
      <c r="AM550" s="2"/>
      <c r="AN550" s="2"/>
    </row>
    <row r="551" spans="1:40" ht="12.75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170"/>
      <c r="L551" s="170"/>
      <c r="M551" s="2"/>
      <c r="N551" s="2"/>
      <c r="O551" s="171"/>
      <c r="P551" s="171"/>
      <c r="Q551" s="2"/>
      <c r="R551" s="6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171"/>
      <c r="AG551" s="2"/>
      <c r="AH551" s="2"/>
      <c r="AI551" s="2"/>
      <c r="AJ551" s="2"/>
      <c r="AK551" s="2"/>
      <c r="AL551" s="2"/>
      <c r="AM551" s="2"/>
      <c r="AN551" s="2"/>
    </row>
    <row r="552" spans="1:40" ht="12.75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170"/>
      <c r="L552" s="170"/>
      <c r="M552" s="2"/>
      <c r="N552" s="2"/>
      <c r="O552" s="171"/>
      <c r="P552" s="171"/>
      <c r="Q552" s="2"/>
      <c r="R552" s="6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171"/>
      <c r="AG552" s="2"/>
      <c r="AH552" s="2"/>
      <c r="AI552" s="2"/>
      <c r="AJ552" s="2"/>
      <c r="AK552" s="2"/>
      <c r="AL552" s="2"/>
      <c r="AM552" s="2"/>
      <c r="AN552" s="2"/>
    </row>
    <row r="553" spans="1:40" ht="12.75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170"/>
      <c r="L553" s="170"/>
      <c r="M553" s="2"/>
      <c r="N553" s="2"/>
      <c r="O553" s="171"/>
      <c r="P553" s="171"/>
      <c r="Q553" s="2"/>
      <c r="R553" s="6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171"/>
      <c r="AG553" s="2"/>
      <c r="AH553" s="2"/>
      <c r="AI553" s="2"/>
      <c r="AJ553" s="2"/>
      <c r="AK553" s="2"/>
      <c r="AL553" s="2"/>
      <c r="AM553" s="2"/>
      <c r="AN553" s="2"/>
    </row>
    <row r="554" spans="1:40" ht="12.75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170"/>
      <c r="L554" s="170"/>
      <c r="M554" s="2"/>
      <c r="N554" s="2"/>
      <c r="O554" s="171"/>
      <c r="P554" s="171"/>
      <c r="Q554" s="2"/>
      <c r="R554" s="6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171"/>
      <c r="AG554" s="2"/>
      <c r="AH554" s="2"/>
      <c r="AI554" s="2"/>
      <c r="AJ554" s="2"/>
      <c r="AK554" s="2"/>
      <c r="AL554" s="2"/>
      <c r="AM554" s="2"/>
      <c r="AN554" s="2"/>
    </row>
    <row r="555" spans="1:40" ht="12.75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170"/>
      <c r="L555" s="170"/>
      <c r="M555" s="2"/>
      <c r="N555" s="2"/>
      <c r="O555" s="171"/>
      <c r="P555" s="171"/>
      <c r="Q555" s="2"/>
      <c r="R555" s="6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171"/>
      <c r="AG555" s="2"/>
      <c r="AH555" s="2"/>
      <c r="AI555" s="2"/>
      <c r="AJ555" s="2"/>
      <c r="AK555" s="2"/>
      <c r="AL555" s="2"/>
      <c r="AM555" s="2"/>
      <c r="AN555" s="2"/>
    </row>
    <row r="556" spans="1:40" ht="12.75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170"/>
      <c r="L556" s="170"/>
      <c r="M556" s="2"/>
      <c r="N556" s="2"/>
      <c r="O556" s="171"/>
      <c r="P556" s="171"/>
      <c r="Q556" s="2"/>
      <c r="R556" s="6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171"/>
      <c r="AG556" s="2"/>
      <c r="AH556" s="2"/>
      <c r="AI556" s="2"/>
      <c r="AJ556" s="2"/>
      <c r="AK556" s="2"/>
      <c r="AL556" s="2"/>
      <c r="AM556" s="2"/>
      <c r="AN556" s="2"/>
    </row>
    <row r="557" spans="1:40" ht="12.75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170"/>
      <c r="L557" s="170"/>
      <c r="M557" s="2"/>
      <c r="N557" s="2"/>
      <c r="O557" s="171"/>
      <c r="P557" s="171"/>
      <c r="Q557" s="2"/>
      <c r="R557" s="6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171"/>
      <c r="AG557" s="2"/>
      <c r="AH557" s="2"/>
      <c r="AI557" s="2"/>
      <c r="AJ557" s="2"/>
      <c r="AK557" s="2"/>
      <c r="AL557" s="2"/>
      <c r="AM557" s="2"/>
      <c r="AN557" s="2"/>
    </row>
    <row r="558" spans="1:40" ht="12.75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170"/>
      <c r="L558" s="170"/>
      <c r="M558" s="2"/>
      <c r="N558" s="2"/>
      <c r="O558" s="171"/>
      <c r="P558" s="171"/>
      <c r="Q558" s="2"/>
      <c r="R558" s="6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171"/>
      <c r="AG558" s="2"/>
      <c r="AH558" s="2"/>
      <c r="AI558" s="2"/>
      <c r="AJ558" s="2"/>
      <c r="AK558" s="2"/>
      <c r="AL558" s="2"/>
      <c r="AM558" s="2"/>
      <c r="AN558" s="2"/>
    </row>
    <row r="559" spans="1:40" ht="12.75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170"/>
      <c r="L559" s="170"/>
      <c r="M559" s="2"/>
      <c r="N559" s="2"/>
      <c r="O559" s="171"/>
      <c r="P559" s="171"/>
      <c r="Q559" s="2"/>
      <c r="R559" s="6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171"/>
      <c r="AG559" s="2"/>
      <c r="AH559" s="2"/>
      <c r="AI559" s="2"/>
      <c r="AJ559" s="2"/>
      <c r="AK559" s="2"/>
      <c r="AL559" s="2"/>
      <c r="AM559" s="2"/>
      <c r="AN559" s="2"/>
    </row>
    <row r="560" spans="1:40" ht="12.75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170"/>
      <c r="L560" s="170"/>
      <c r="M560" s="2"/>
      <c r="N560" s="2"/>
      <c r="O560" s="171"/>
      <c r="P560" s="171"/>
      <c r="Q560" s="2"/>
      <c r="R560" s="6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171"/>
      <c r="AG560" s="2"/>
      <c r="AH560" s="2"/>
      <c r="AI560" s="2"/>
      <c r="AJ560" s="2"/>
      <c r="AK560" s="2"/>
      <c r="AL560" s="2"/>
      <c r="AM560" s="2"/>
      <c r="AN560" s="2"/>
    </row>
    <row r="561" spans="1:40" ht="12.75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170"/>
      <c r="L561" s="170"/>
      <c r="M561" s="2"/>
      <c r="N561" s="2"/>
      <c r="O561" s="171"/>
      <c r="P561" s="171"/>
      <c r="Q561" s="2"/>
      <c r="R561" s="6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171"/>
      <c r="AG561" s="2"/>
      <c r="AH561" s="2"/>
      <c r="AI561" s="2"/>
      <c r="AJ561" s="2"/>
      <c r="AK561" s="2"/>
      <c r="AL561" s="2"/>
      <c r="AM561" s="2"/>
      <c r="AN561" s="2"/>
    </row>
    <row r="562" spans="1:40" ht="12.75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170"/>
      <c r="L562" s="170"/>
      <c r="M562" s="2"/>
      <c r="N562" s="2"/>
      <c r="O562" s="171"/>
      <c r="P562" s="171"/>
      <c r="Q562" s="2"/>
      <c r="R562" s="6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171"/>
      <c r="AG562" s="2"/>
      <c r="AH562" s="2"/>
      <c r="AI562" s="2"/>
      <c r="AJ562" s="2"/>
      <c r="AK562" s="2"/>
      <c r="AL562" s="2"/>
      <c r="AM562" s="2"/>
      <c r="AN562" s="2"/>
    </row>
    <row r="563" spans="1:40" ht="12.75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170"/>
      <c r="L563" s="170"/>
      <c r="M563" s="2"/>
      <c r="N563" s="2"/>
      <c r="O563" s="171"/>
      <c r="P563" s="171"/>
      <c r="Q563" s="2"/>
      <c r="R563" s="6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171"/>
      <c r="AG563" s="2"/>
      <c r="AH563" s="2"/>
      <c r="AI563" s="2"/>
      <c r="AJ563" s="2"/>
      <c r="AK563" s="2"/>
      <c r="AL563" s="2"/>
      <c r="AM563" s="2"/>
      <c r="AN563" s="2"/>
    </row>
    <row r="564" spans="1:40" ht="12.75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170"/>
      <c r="L564" s="170"/>
      <c r="M564" s="2"/>
      <c r="N564" s="2"/>
      <c r="O564" s="171"/>
      <c r="P564" s="171"/>
      <c r="Q564" s="2"/>
      <c r="R564" s="6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171"/>
      <c r="AG564" s="2"/>
      <c r="AH564" s="2"/>
      <c r="AI564" s="2"/>
      <c r="AJ564" s="2"/>
      <c r="AK564" s="2"/>
      <c r="AL564" s="2"/>
      <c r="AM564" s="2"/>
      <c r="AN564" s="2"/>
    </row>
    <row r="565" spans="1:40" ht="12.75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170"/>
      <c r="L565" s="170"/>
      <c r="M565" s="2"/>
      <c r="N565" s="2"/>
      <c r="O565" s="171"/>
      <c r="P565" s="171"/>
      <c r="Q565" s="2"/>
      <c r="R565" s="6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171"/>
      <c r="AG565" s="2"/>
      <c r="AH565" s="2"/>
      <c r="AI565" s="2"/>
      <c r="AJ565" s="2"/>
      <c r="AK565" s="2"/>
      <c r="AL565" s="2"/>
      <c r="AM565" s="2"/>
      <c r="AN565" s="2"/>
    </row>
    <row r="566" spans="1:40" ht="12.75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170"/>
      <c r="L566" s="170"/>
      <c r="M566" s="2"/>
      <c r="N566" s="2"/>
      <c r="O566" s="171"/>
      <c r="P566" s="171"/>
      <c r="Q566" s="2"/>
      <c r="R566" s="6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171"/>
      <c r="AG566" s="2"/>
      <c r="AH566" s="2"/>
      <c r="AI566" s="2"/>
      <c r="AJ566" s="2"/>
      <c r="AK566" s="2"/>
      <c r="AL566" s="2"/>
      <c r="AM566" s="2"/>
      <c r="AN566" s="2"/>
    </row>
    <row r="567" spans="1:40" ht="12.75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170"/>
      <c r="L567" s="170"/>
      <c r="M567" s="2"/>
      <c r="N567" s="2"/>
      <c r="O567" s="171"/>
      <c r="P567" s="171"/>
      <c r="Q567" s="2"/>
      <c r="R567" s="6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171"/>
      <c r="AG567" s="2"/>
      <c r="AH567" s="2"/>
      <c r="AI567" s="2"/>
      <c r="AJ567" s="2"/>
      <c r="AK567" s="2"/>
      <c r="AL567" s="2"/>
      <c r="AM567" s="2"/>
      <c r="AN567" s="2"/>
    </row>
    <row r="568" spans="1:40" ht="12.75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170"/>
      <c r="L568" s="170"/>
      <c r="M568" s="2"/>
      <c r="N568" s="2"/>
      <c r="O568" s="171"/>
      <c r="P568" s="171"/>
      <c r="Q568" s="2"/>
      <c r="R568" s="6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171"/>
      <c r="AG568" s="2"/>
      <c r="AH568" s="2"/>
      <c r="AI568" s="2"/>
      <c r="AJ568" s="2"/>
      <c r="AK568" s="2"/>
      <c r="AL568" s="2"/>
      <c r="AM568" s="2"/>
      <c r="AN568" s="2"/>
    </row>
    <row r="569" spans="1:40" ht="12.75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170"/>
      <c r="L569" s="170"/>
      <c r="M569" s="2"/>
      <c r="N569" s="2"/>
      <c r="O569" s="171"/>
      <c r="P569" s="171"/>
      <c r="Q569" s="2"/>
      <c r="R569" s="6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171"/>
      <c r="AG569" s="2"/>
      <c r="AH569" s="2"/>
      <c r="AI569" s="2"/>
      <c r="AJ569" s="2"/>
      <c r="AK569" s="2"/>
      <c r="AL569" s="2"/>
      <c r="AM569" s="2"/>
      <c r="AN569" s="2"/>
    </row>
    <row r="570" spans="1:40" ht="12.75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170"/>
      <c r="L570" s="170"/>
      <c r="M570" s="2"/>
      <c r="N570" s="2"/>
      <c r="O570" s="171"/>
      <c r="P570" s="171"/>
      <c r="Q570" s="2"/>
      <c r="R570" s="6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171"/>
      <c r="AG570" s="2"/>
      <c r="AH570" s="2"/>
      <c r="AI570" s="2"/>
      <c r="AJ570" s="2"/>
      <c r="AK570" s="2"/>
      <c r="AL570" s="2"/>
      <c r="AM570" s="2"/>
      <c r="AN570" s="2"/>
    </row>
    <row r="571" spans="1:40" ht="12.75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170"/>
      <c r="L571" s="170"/>
      <c r="M571" s="2"/>
      <c r="N571" s="2"/>
      <c r="O571" s="171"/>
      <c r="P571" s="171"/>
      <c r="Q571" s="2"/>
      <c r="R571" s="6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171"/>
      <c r="AG571" s="2"/>
      <c r="AH571" s="2"/>
      <c r="AI571" s="2"/>
      <c r="AJ571" s="2"/>
      <c r="AK571" s="2"/>
      <c r="AL571" s="2"/>
      <c r="AM571" s="2"/>
      <c r="AN571" s="2"/>
    </row>
    <row r="572" spans="1:40" ht="12.75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170"/>
      <c r="L572" s="170"/>
      <c r="M572" s="2"/>
      <c r="N572" s="2"/>
      <c r="O572" s="171"/>
      <c r="P572" s="171"/>
      <c r="Q572" s="2"/>
      <c r="R572" s="6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171"/>
      <c r="AG572" s="2"/>
      <c r="AH572" s="2"/>
      <c r="AI572" s="2"/>
      <c r="AJ572" s="2"/>
      <c r="AK572" s="2"/>
      <c r="AL572" s="2"/>
      <c r="AM572" s="2"/>
      <c r="AN572" s="2"/>
    </row>
    <row r="573" spans="1:40" ht="12.75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170"/>
      <c r="L573" s="170"/>
      <c r="M573" s="2"/>
      <c r="N573" s="2"/>
      <c r="O573" s="171"/>
      <c r="P573" s="171"/>
      <c r="Q573" s="2"/>
      <c r="R573" s="6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171"/>
      <c r="AG573" s="2"/>
      <c r="AH573" s="2"/>
      <c r="AI573" s="2"/>
      <c r="AJ573" s="2"/>
      <c r="AK573" s="2"/>
      <c r="AL573" s="2"/>
      <c r="AM573" s="2"/>
      <c r="AN573" s="2"/>
    </row>
    <row r="574" spans="1:40" ht="12.75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170"/>
      <c r="L574" s="170"/>
      <c r="M574" s="2"/>
      <c r="N574" s="2"/>
      <c r="O574" s="171"/>
      <c r="P574" s="171"/>
      <c r="Q574" s="2"/>
      <c r="R574" s="6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171"/>
      <c r="AG574" s="2"/>
      <c r="AH574" s="2"/>
      <c r="AI574" s="2"/>
      <c r="AJ574" s="2"/>
      <c r="AK574" s="2"/>
      <c r="AL574" s="2"/>
      <c r="AM574" s="2"/>
      <c r="AN574" s="2"/>
    </row>
    <row r="575" spans="1:40" ht="12.75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170"/>
      <c r="L575" s="170"/>
      <c r="M575" s="2"/>
      <c r="N575" s="2"/>
      <c r="O575" s="171"/>
      <c r="P575" s="171"/>
      <c r="Q575" s="2"/>
      <c r="R575" s="6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171"/>
      <c r="AG575" s="2"/>
      <c r="AH575" s="2"/>
      <c r="AI575" s="2"/>
      <c r="AJ575" s="2"/>
      <c r="AK575" s="2"/>
      <c r="AL575" s="2"/>
      <c r="AM575" s="2"/>
      <c r="AN575" s="2"/>
    </row>
    <row r="576" spans="1:40" ht="12.75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170"/>
      <c r="L576" s="170"/>
      <c r="M576" s="2"/>
      <c r="N576" s="2"/>
      <c r="O576" s="171"/>
      <c r="P576" s="171"/>
      <c r="Q576" s="2"/>
      <c r="R576" s="6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171"/>
      <c r="AG576" s="2"/>
      <c r="AH576" s="2"/>
      <c r="AI576" s="2"/>
      <c r="AJ576" s="2"/>
      <c r="AK576" s="2"/>
      <c r="AL576" s="2"/>
      <c r="AM576" s="2"/>
      <c r="AN576" s="2"/>
    </row>
    <row r="577" spans="1:40" ht="12.75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170"/>
      <c r="L577" s="170"/>
      <c r="M577" s="2"/>
      <c r="N577" s="2"/>
      <c r="O577" s="171"/>
      <c r="P577" s="171"/>
      <c r="Q577" s="2"/>
      <c r="R577" s="6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171"/>
      <c r="AG577" s="2"/>
      <c r="AH577" s="2"/>
      <c r="AI577" s="2"/>
      <c r="AJ577" s="2"/>
      <c r="AK577" s="2"/>
      <c r="AL577" s="2"/>
      <c r="AM577" s="2"/>
      <c r="AN577" s="2"/>
    </row>
    <row r="578" spans="1:40" ht="12.75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170"/>
      <c r="L578" s="170"/>
      <c r="M578" s="2"/>
      <c r="N578" s="2"/>
      <c r="O578" s="171"/>
      <c r="P578" s="171"/>
      <c r="Q578" s="2"/>
      <c r="R578" s="6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171"/>
      <c r="AG578" s="2"/>
      <c r="AH578" s="2"/>
      <c r="AI578" s="2"/>
      <c r="AJ578" s="2"/>
      <c r="AK578" s="2"/>
      <c r="AL578" s="2"/>
      <c r="AM578" s="2"/>
      <c r="AN578" s="2"/>
    </row>
    <row r="579" spans="1:40" ht="12.75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170"/>
      <c r="L579" s="170"/>
      <c r="M579" s="2"/>
      <c r="N579" s="2"/>
      <c r="O579" s="171"/>
      <c r="P579" s="171"/>
      <c r="Q579" s="2"/>
      <c r="R579" s="6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171"/>
      <c r="AG579" s="2"/>
      <c r="AH579" s="2"/>
      <c r="AI579" s="2"/>
      <c r="AJ579" s="2"/>
      <c r="AK579" s="2"/>
      <c r="AL579" s="2"/>
      <c r="AM579" s="2"/>
      <c r="AN579" s="2"/>
    </row>
    <row r="580" spans="1:40" ht="12.75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170"/>
      <c r="L580" s="170"/>
      <c r="M580" s="2"/>
      <c r="N580" s="2"/>
      <c r="O580" s="171"/>
      <c r="P580" s="171"/>
      <c r="Q580" s="2"/>
      <c r="R580" s="6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171"/>
      <c r="AG580" s="2"/>
      <c r="AH580" s="2"/>
      <c r="AI580" s="2"/>
      <c r="AJ580" s="2"/>
      <c r="AK580" s="2"/>
      <c r="AL580" s="2"/>
      <c r="AM580" s="2"/>
      <c r="AN580" s="2"/>
    </row>
    <row r="581" spans="1:40" ht="12.75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170"/>
      <c r="L581" s="170"/>
      <c r="M581" s="2"/>
      <c r="N581" s="2"/>
      <c r="O581" s="171"/>
      <c r="P581" s="171"/>
      <c r="Q581" s="2"/>
      <c r="R581" s="6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171"/>
      <c r="AG581" s="2"/>
      <c r="AH581" s="2"/>
      <c r="AI581" s="2"/>
      <c r="AJ581" s="2"/>
      <c r="AK581" s="2"/>
      <c r="AL581" s="2"/>
      <c r="AM581" s="2"/>
      <c r="AN581" s="2"/>
    </row>
    <row r="582" spans="1:40" ht="12.75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170"/>
      <c r="L582" s="170"/>
      <c r="M582" s="2"/>
      <c r="N582" s="2"/>
      <c r="O582" s="171"/>
      <c r="P582" s="171"/>
      <c r="Q582" s="2"/>
      <c r="R582" s="6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171"/>
      <c r="AG582" s="2"/>
      <c r="AH582" s="2"/>
      <c r="AI582" s="2"/>
      <c r="AJ582" s="2"/>
      <c r="AK582" s="2"/>
      <c r="AL582" s="2"/>
      <c r="AM582" s="2"/>
      <c r="AN582" s="2"/>
    </row>
    <row r="583" spans="1:40" ht="12.75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170"/>
      <c r="L583" s="170"/>
      <c r="M583" s="2"/>
      <c r="N583" s="2"/>
      <c r="O583" s="171"/>
      <c r="P583" s="171"/>
      <c r="Q583" s="2"/>
      <c r="R583" s="6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171"/>
      <c r="AG583" s="2"/>
      <c r="AH583" s="2"/>
      <c r="AI583" s="2"/>
      <c r="AJ583" s="2"/>
      <c r="AK583" s="2"/>
      <c r="AL583" s="2"/>
      <c r="AM583" s="2"/>
      <c r="AN583" s="2"/>
    </row>
    <row r="584" spans="1:40" ht="12.75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170"/>
      <c r="L584" s="170"/>
      <c r="M584" s="2"/>
      <c r="N584" s="2"/>
      <c r="O584" s="171"/>
      <c r="P584" s="171"/>
      <c r="Q584" s="2"/>
      <c r="R584" s="6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171"/>
      <c r="AG584" s="2"/>
      <c r="AH584" s="2"/>
      <c r="AI584" s="2"/>
      <c r="AJ584" s="2"/>
      <c r="AK584" s="2"/>
      <c r="AL584" s="2"/>
      <c r="AM584" s="2"/>
      <c r="AN584" s="2"/>
    </row>
    <row r="585" spans="1:40" ht="12.75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170"/>
      <c r="L585" s="170"/>
      <c r="M585" s="2"/>
      <c r="N585" s="2"/>
      <c r="O585" s="171"/>
      <c r="P585" s="171"/>
      <c r="Q585" s="2"/>
      <c r="R585" s="6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171"/>
      <c r="AG585" s="2"/>
      <c r="AH585" s="2"/>
      <c r="AI585" s="2"/>
      <c r="AJ585" s="2"/>
      <c r="AK585" s="2"/>
      <c r="AL585" s="2"/>
      <c r="AM585" s="2"/>
      <c r="AN585" s="2"/>
    </row>
    <row r="586" spans="1:40" ht="12.75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170"/>
      <c r="L586" s="170"/>
      <c r="M586" s="2"/>
      <c r="N586" s="2"/>
      <c r="O586" s="171"/>
      <c r="P586" s="171"/>
      <c r="Q586" s="2"/>
      <c r="R586" s="6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171"/>
      <c r="AG586" s="2"/>
      <c r="AH586" s="2"/>
      <c r="AI586" s="2"/>
      <c r="AJ586" s="2"/>
      <c r="AK586" s="2"/>
      <c r="AL586" s="2"/>
      <c r="AM586" s="2"/>
      <c r="AN586" s="2"/>
    </row>
    <row r="587" spans="1:40" ht="12.75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170"/>
      <c r="L587" s="170"/>
      <c r="M587" s="2"/>
      <c r="N587" s="2"/>
      <c r="O587" s="171"/>
      <c r="P587" s="171"/>
      <c r="Q587" s="2"/>
      <c r="R587" s="6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171"/>
      <c r="AG587" s="2"/>
      <c r="AH587" s="2"/>
      <c r="AI587" s="2"/>
      <c r="AJ587" s="2"/>
      <c r="AK587" s="2"/>
      <c r="AL587" s="2"/>
      <c r="AM587" s="2"/>
      <c r="AN587" s="2"/>
    </row>
    <row r="588" spans="1:40" ht="12.75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170"/>
      <c r="L588" s="170"/>
      <c r="M588" s="2"/>
      <c r="N588" s="2"/>
      <c r="O588" s="171"/>
      <c r="P588" s="171"/>
      <c r="Q588" s="2"/>
      <c r="R588" s="6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171"/>
      <c r="AG588" s="2"/>
      <c r="AH588" s="2"/>
      <c r="AI588" s="2"/>
      <c r="AJ588" s="2"/>
      <c r="AK588" s="2"/>
      <c r="AL588" s="2"/>
      <c r="AM588" s="2"/>
      <c r="AN588" s="2"/>
    </row>
    <row r="589" spans="1:40" ht="12.75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170"/>
      <c r="L589" s="170"/>
      <c r="M589" s="2"/>
      <c r="N589" s="2"/>
      <c r="O589" s="171"/>
      <c r="P589" s="171"/>
      <c r="Q589" s="2"/>
      <c r="R589" s="6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171"/>
      <c r="AG589" s="2"/>
      <c r="AH589" s="2"/>
      <c r="AI589" s="2"/>
      <c r="AJ589" s="2"/>
      <c r="AK589" s="2"/>
      <c r="AL589" s="2"/>
      <c r="AM589" s="2"/>
      <c r="AN589" s="2"/>
    </row>
    <row r="590" spans="1:40" ht="12.75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170"/>
      <c r="L590" s="170"/>
      <c r="M590" s="2"/>
      <c r="N590" s="2"/>
      <c r="O590" s="171"/>
      <c r="P590" s="171"/>
      <c r="Q590" s="2"/>
      <c r="R590" s="6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171"/>
      <c r="AG590" s="2"/>
      <c r="AH590" s="2"/>
      <c r="AI590" s="2"/>
      <c r="AJ590" s="2"/>
      <c r="AK590" s="2"/>
      <c r="AL590" s="2"/>
      <c r="AM590" s="2"/>
      <c r="AN590" s="2"/>
    </row>
    <row r="591" spans="1:40" ht="12.75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170"/>
      <c r="L591" s="170"/>
      <c r="M591" s="2"/>
      <c r="N591" s="2"/>
      <c r="O591" s="171"/>
      <c r="P591" s="171"/>
      <c r="Q591" s="2"/>
      <c r="R591" s="6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171"/>
      <c r="AG591" s="2"/>
      <c r="AH591" s="2"/>
      <c r="AI591" s="2"/>
      <c r="AJ591" s="2"/>
      <c r="AK591" s="2"/>
      <c r="AL591" s="2"/>
      <c r="AM591" s="2"/>
      <c r="AN591" s="2"/>
    </row>
    <row r="592" spans="1:40" ht="12.75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170"/>
      <c r="L592" s="170"/>
      <c r="M592" s="2"/>
      <c r="N592" s="2"/>
      <c r="O592" s="171"/>
      <c r="P592" s="171"/>
      <c r="Q592" s="2"/>
      <c r="R592" s="6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171"/>
      <c r="AG592" s="2"/>
      <c r="AH592" s="2"/>
      <c r="AI592" s="2"/>
      <c r="AJ592" s="2"/>
      <c r="AK592" s="2"/>
      <c r="AL592" s="2"/>
      <c r="AM592" s="2"/>
      <c r="AN592" s="2"/>
    </row>
    <row r="593" spans="1:40" ht="12.75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170"/>
      <c r="L593" s="170"/>
      <c r="M593" s="2"/>
      <c r="N593" s="2"/>
      <c r="O593" s="171"/>
      <c r="P593" s="171"/>
      <c r="Q593" s="2"/>
      <c r="R593" s="6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171"/>
      <c r="AG593" s="2"/>
      <c r="AH593" s="2"/>
      <c r="AI593" s="2"/>
      <c r="AJ593" s="2"/>
      <c r="AK593" s="2"/>
      <c r="AL593" s="2"/>
      <c r="AM593" s="2"/>
      <c r="AN593" s="2"/>
    </row>
    <row r="594" spans="1:40" ht="12.75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170"/>
      <c r="L594" s="170"/>
      <c r="M594" s="2"/>
      <c r="N594" s="2"/>
      <c r="O594" s="171"/>
      <c r="P594" s="171"/>
      <c r="Q594" s="2"/>
      <c r="R594" s="6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171"/>
      <c r="AG594" s="2"/>
      <c r="AH594" s="2"/>
      <c r="AI594" s="2"/>
      <c r="AJ594" s="2"/>
      <c r="AK594" s="2"/>
      <c r="AL594" s="2"/>
      <c r="AM594" s="2"/>
      <c r="AN594" s="2"/>
    </row>
    <row r="595" spans="1:40" ht="12.75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170"/>
      <c r="L595" s="170"/>
      <c r="M595" s="2"/>
      <c r="N595" s="2"/>
      <c r="O595" s="171"/>
      <c r="P595" s="171"/>
      <c r="Q595" s="2"/>
      <c r="R595" s="6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171"/>
      <c r="AG595" s="2"/>
      <c r="AH595" s="2"/>
      <c r="AI595" s="2"/>
      <c r="AJ595" s="2"/>
      <c r="AK595" s="2"/>
      <c r="AL595" s="2"/>
      <c r="AM595" s="2"/>
      <c r="AN595" s="2"/>
    </row>
    <row r="596" spans="1:40" ht="12.75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170"/>
      <c r="L596" s="170"/>
      <c r="M596" s="2"/>
      <c r="N596" s="2"/>
      <c r="O596" s="171"/>
      <c r="P596" s="171"/>
      <c r="Q596" s="2"/>
      <c r="R596" s="6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171"/>
      <c r="AG596" s="2"/>
      <c r="AH596" s="2"/>
      <c r="AI596" s="2"/>
      <c r="AJ596" s="2"/>
      <c r="AK596" s="2"/>
      <c r="AL596" s="2"/>
      <c r="AM596" s="2"/>
      <c r="AN596" s="2"/>
    </row>
    <row r="597" spans="1:40" ht="12.75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170"/>
      <c r="L597" s="170"/>
      <c r="M597" s="2"/>
      <c r="N597" s="2"/>
      <c r="O597" s="171"/>
      <c r="P597" s="171"/>
      <c r="Q597" s="2"/>
      <c r="R597" s="6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171"/>
      <c r="AG597" s="2"/>
      <c r="AH597" s="2"/>
      <c r="AI597" s="2"/>
      <c r="AJ597" s="2"/>
      <c r="AK597" s="2"/>
      <c r="AL597" s="2"/>
      <c r="AM597" s="2"/>
      <c r="AN597" s="2"/>
    </row>
    <row r="598" spans="1:40" ht="12.75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170"/>
      <c r="L598" s="170"/>
      <c r="M598" s="2"/>
      <c r="N598" s="2"/>
      <c r="O598" s="171"/>
      <c r="P598" s="171"/>
      <c r="Q598" s="2"/>
      <c r="R598" s="6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171"/>
      <c r="AG598" s="2"/>
      <c r="AH598" s="2"/>
      <c r="AI598" s="2"/>
      <c r="AJ598" s="2"/>
      <c r="AK598" s="2"/>
      <c r="AL598" s="2"/>
      <c r="AM598" s="2"/>
      <c r="AN598" s="2"/>
    </row>
    <row r="599" spans="1:40" ht="12.75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170"/>
      <c r="L599" s="170"/>
      <c r="M599" s="2"/>
      <c r="N599" s="2"/>
      <c r="O599" s="171"/>
      <c r="P599" s="171"/>
      <c r="Q599" s="2"/>
      <c r="R599" s="6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171"/>
      <c r="AG599" s="2"/>
      <c r="AH599" s="2"/>
      <c r="AI599" s="2"/>
      <c r="AJ599" s="2"/>
      <c r="AK599" s="2"/>
      <c r="AL599" s="2"/>
      <c r="AM599" s="2"/>
      <c r="AN599" s="2"/>
    </row>
    <row r="600" spans="1:40" ht="12.75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170"/>
      <c r="L600" s="170"/>
      <c r="M600" s="2"/>
      <c r="N600" s="2"/>
      <c r="O600" s="171"/>
      <c r="P600" s="171"/>
      <c r="Q600" s="2"/>
      <c r="R600" s="6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171"/>
      <c r="AG600" s="2"/>
      <c r="AH600" s="2"/>
      <c r="AI600" s="2"/>
      <c r="AJ600" s="2"/>
      <c r="AK600" s="2"/>
      <c r="AL600" s="2"/>
      <c r="AM600" s="2"/>
      <c r="AN600" s="2"/>
    </row>
    <row r="601" spans="1:40" ht="12.75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170"/>
      <c r="L601" s="170"/>
      <c r="M601" s="2"/>
      <c r="N601" s="2"/>
      <c r="O601" s="171"/>
      <c r="P601" s="171"/>
      <c r="Q601" s="2"/>
      <c r="R601" s="6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171"/>
      <c r="AG601" s="2"/>
      <c r="AH601" s="2"/>
      <c r="AI601" s="2"/>
      <c r="AJ601" s="2"/>
      <c r="AK601" s="2"/>
      <c r="AL601" s="2"/>
      <c r="AM601" s="2"/>
      <c r="AN601" s="2"/>
    </row>
    <row r="602" spans="1:40" ht="12.75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170"/>
      <c r="L602" s="170"/>
      <c r="M602" s="2"/>
      <c r="N602" s="2"/>
      <c r="O602" s="171"/>
      <c r="P602" s="171"/>
      <c r="Q602" s="2"/>
      <c r="R602" s="6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171"/>
      <c r="AG602" s="2"/>
      <c r="AH602" s="2"/>
      <c r="AI602" s="2"/>
      <c r="AJ602" s="2"/>
      <c r="AK602" s="2"/>
      <c r="AL602" s="2"/>
      <c r="AM602" s="2"/>
      <c r="AN602" s="2"/>
    </row>
    <row r="603" spans="1:40" ht="12.75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170"/>
      <c r="L603" s="170"/>
      <c r="M603" s="2"/>
      <c r="N603" s="2"/>
      <c r="O603" s="171"/>
      <c r="P603" s="171"/>
      <c r="Q603" s="2"/>
      <c r="R603" s="6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171"/>
      <c r="AG603" s="2"/>
      <c r="AH603" s="2"/>
      <c r="AI603" s="2"/>
      <c r="AJ603" s="2"/>
      <c r="AK603" s="2"/>
      <c r="AL603" s="2"/>
      <c r="AM603" s="2"/>
      <c r="AN603" s="2"/>
    </row>
    <row r="604" spans="1:40" ht="12.75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170"/>
      <c r="L604" s="170"/>
      <c r="M604" s="2"/>
      <c r="N604" s="2"/>
      <c r="O604" s="171"/>
      <c r="P604" s="171"/>
      <c r="Q604" s="2"/>
      <c r="R604" s="6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171"/>
      <c r="AG604" s="2"/>
      <c r="AH604" s="2"/>
      <c r="AI604" s="2"/>
      <c r="AJ604" s="2"/>
      <c r="AK604" s="2"/>
      <c r="AL604" s="2"/>
      <c r="AM604" s="2"/>
      <c r="AN604" s="2"/>
    </row>
    <row r="605" spans="1:40" ht="12.75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170"/>
      <c r="L605" s="170"/>
      <c r="M605" s="2"/>
      <c r="N605" s="2"/>
      <c r="O605" s="171"/>
      <c r="P605" s="171"/>
      <c r="Q605" s="2"/>
      <c r="R605" s="6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171"/>
      <c r="AG605" s="2"/>
      <c r="AH605" s="2"/>
      <c r="AI605" s="2"/>
      <c r="AJ605" s="2"/>
      <c r="AK605" s="2"/>
      <c r="AL605" s="2"/>
      <c r="AM605" s="2"/>
      <c r="AN605" s="2"/>
    </row>
    <row r="606" spans="1:40" ht="12.75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170"/>
      <c r="L606" s="170"/>
      <c r="M606" s="2"/>
      <c r="N606" s="2"/>
      <c r="O606" s="171"/>
      <c r="P606" s="171"/>
      <c r="Q606" s="2"/>
      <c r="R606" s="6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171"/>
      <c r="AG606" s="2"/>
      <c r="AH606" s="2"/>
      <c r="AI606" s="2"/>
      <c r="AJ606" s="2"/>
      <c r="AK606" s="2"/>
      <c r="AL606" s="2"/>
      <c r="AM606" s="2"/>
      <c r="AN606" s="2"/>
    </row>
    <row r="607" spans="1:40" ht="12.75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170"/>
      <c r="L607" s="170"/>
      <c r="M607" s="2"/>
      <c r="N607" s="2"/>
      <c r="O607" s="171"/>
      <c r="P607" s="171"/>
      <c r="Q607" s="2"/>
      <c r="R607" s="6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171"/>
      <c r="AG607" s="2"/>
      <c r="AH607" s="2"/>
      <c r="AI607" s="2"/>
      <c r="AJ607" s="2"/>
      <c r="AK607" s="2"/>
      <c r="AL607" s="2"/>
      <c r="AM607" s="2"/>
      <c r="AN607" s="2"/>
    </row>
    <row r="608" spans="1:40" ht="12.75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170"/>
      <c r="L608" s="170"/>
      <c r="M608" s="2"/>
      <c r="N608" s="2"/>
      <c r="O608" s="171"/>
      <c r="P608" s="171"/>
      <c r="Q608" s="2"/>
      <c r="R608" s="6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171"/>
      <c r="AG608" s="2"/>
      <c r="AH608" s="2"/>
      <c r="AI608" s="2"/>
      <c r="AJ608" s="2"/>
      <c r="AK608" s="2"/>
      <c r="AL608" s="2"/>
      <c r="AM608" s="2"/>
      <c r="AN608" s="2"/>
    </row>
    <row r="609" spans="1:40" ht="12.75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170"/>
      <c r="L609" s="170"/>
      <c r="M609" s="2"/>
      <c r="N609" s="2"/>
      <c r="O609" s="171"/>
      <c r="P609" s="171"/>
      <c r="Q609" s="2"/>
      <c r="R609" s="6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171"/>
      <c r="AG609" s="2"/>
      <c r="AH609" s="2"/>
      <c r="AI609" s="2"/>
      <c r="AJ609" s="2"/>
      <c r="AK609" s="2"/>
      <c r="AL609" s="2"/>
      <c r="AM609" s="2"/>
      <c r="AN609" s="2"/>
    </row>
    <row r="610" spans="1:40" ht="12.75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170"/>
      <c r="L610" s="170"/>
      <c r="M610" s="2"/>
      <c r="N610" s="2"/>
      <c r="O610" s="171"/>
      <c r="P610" s="171"/>
      <c r="Q610" s="2"/>
      <c r="R610" s="6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171"/>
      <c r="AG610" s="2"/>
      <c r="AH610" s="2"/>
      <c r="AI610" s="2"/>
      <c r="AJ610" s="2"/>
      <c r="AK610" s="2"/>
      <c r="AL610" s="2"/>
      <c r="AM610" s="2"/>
      <c r="AN610" s="2"/>
    </row>
    <row r="611" spans="1:40" ht="12.75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170"/>
      <c r="L611" s="170"/>
      <c r="M611" s="2"/>
      <c r="N611" s="2"/>
      <c r="O611" s="171"/>
      <c r="P611" s="171"/>
      <c r="Q611" s="2"/>
      <c r="R611" s="6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171"/>
      <c r="AG611" s="2"/>
      <c r="AH611" s="2"/>
      <c r="AI611" s="2"/>
      <c r="AJ611" s="2"/>
      <c r="AK611" s="2"/>
      <c r="AL611" s="2"/>
      <c r="AM611" s="2"/>
      <c r="AN611" s="2"/>
    </row>
    <row r="612" spans="1:40" ht="12.75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170"/>
      <c r="L612" s="170"/>
      <c r="M612" s="2"/>
      <c r="N612" s="2"/>
      <c r="O612" s="171"/>
      <c r="P612" s="171"/>
      <c r="Q612" s="2"/>
      <c r="R612" s="6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171"/>
      <c r="AG612" s="2"/>
      <c r="AH612" s="2"/>
      <c r="AI612" s="2"/>
      <c r="AJ612" s="2"/>
      <c r="AK612" s="2"/>
      <c r="AL612" s="2"/>
      <c r="AM612" s="2"/>
      <c r="AN612" s="2"/>
    </row>
    <row r="613" spans="1:40" ht="12.75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170"/>
      <c r="L613" s="170"/>
      <c r="M613" s="2"/>
      <c r="N613" s="2"/>
      <c r="O613" s="171"/>
      <c r="P613" s="171"/>
      <c r="Q613" s="2"/>
      <c r="R613" s="6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171"/>
      <c r="AG613" s="2"/>
      <c r="AH613" s="2"/>
      <c r="AI613" s="2"/>
      <c r="AJ613" s="2"/>
      <c r="AK613" s="2"/>
      <c r="AL613" s="2"/>
      <c r="AM613" s="2"/>
      <c r="AN613" s="2"/>
    </row>
    <row r="614" spans="1:40" ht="12.75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170"/>
      <c r="L614" s="170"/>
      <c r="M614" s="2"/>
      <c r="N614" s="2"/>
      <c r="O614" s="171"/>
      <c r="P614" s="171"/>
      <c r="Q614" s="2"/>
      <c r="R614" s="6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171"/>
      <c r="AG614" s="2"/>
      <c r="AH614" s="2"/>
      <c r="AI614" s="2"/>
      <c r="AJ614" s="2"/>
      <c r="AK614" s="2"/>
      <c r="AL614" s="2"/>
      <c r="AM614" s="2"/>
      <c r="AN614" s="2"/>
    </row>
    <row r="615" spans="1:40" ht="12.75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170"/>
      <c r="L615" s="170"/>
      <c r="M615" s="2"/>
      <c r="N615" s="2"/>
      <c r="O615" s="171"/>
      <c r="P615" s="171"/>
      <c r="Q615" s="2"/>
      <c r="R615" s="6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171"/>
      <c r="AG615" s="2"/>
      <c r="AH615" s="2"/>
      <c r="AI615" s="2"/>
      <c r="AJ615" s="2"/>
      <c r="AK615" s="2"/>
      <c r="AL615" s="2"/>
      <c r="AM615" s="2"/>
      <c r="AN615" s="2"/>
    </row>
    <row r="616" spans="1:40" ht="12.75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170"/>
      <c r="L616" s="170"/>
      <c r="M616" s="2"/>
      <c r="N616" s="2"/>
      <c r="O616" s="171"/>
      <c r="P616" s="171"/>
      <c r="Q616" s="2"/>
      <c r="R616" s="6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171"/>
      <c r="AG616" s="2"/>
      <c r="AH616" s="2"/>
      <c r="AI616" s="2"/>
      <c r="AJ616" s="2"/>
      <c r="AK616" s="2"/>
      <c r="AL616" s="2"/>
      <c r="AM616" s="2"/>
      <c r="AN616" s="2"/>
    </row>
    <row r="617" spans="1:40" ht="12.75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170"/>
      <c r="L617" s="170"/>
      <c r="M617" s="2"/>
      <c r="N617" s="2"/>
      <c r="O617" s="171"/>
      <c r="P617" s="171"/>
      <c r="Q617" s="2"/>
      <c r="R617" s="6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171"/>
      <c r="AG617" s="2"/>
      <c r="AH617" s="2"/>
      <c r="AI617" s="2"/>
      <c r="AJ617" s="2"/>
      <c r="AK617" s="2"/>
      <c r="AL617" s="2"/>
      <c r="AM617" s="2"/>
      <c r="AN617" s="2"/>
    </row>
    <row r="618" spans="1:40" ht="12.75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170"/>
      <c r="L618" s="170"/>
      <c r="M618" s="2"/>
      <c r="N618" s="2"/>
      <c r="O618" s="171"/>
      <c r="P618" s="171"/>
      <c r="Q618" s="2"/>
      <c r="R618" s="6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171"/>
      <c r="AG618" s="2"/>
      <c r="AH618" s="2"/>
      <c r="AI618" s="2"/>
      <c r="AJ618" s="2"/>
      <c r="AK618" s="2"/>
      <c r="AL618" s="2"/>
      <c r="AM618" s="2"/>
      <c r="AN618" s="2"/>
    </row>
    <row r="619" spans="1:40" ht="12.75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170"/>
      <c r="L619" s="170"/>
      <c r="M619" s="2"/>
      <c r="N619" s="2"/>
      <c r="O619" s="171"/>
      <c r="P619" s="171"/>
      <c r="Q619" s="2"/>
      <c r="R619" s="6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171"/>
      <c r="AG619" s="2"/>
      <c r="AH619" s="2"/>
      <c r="AI619" s="2"/>
      <c r="AJ619" s="2"/>
      <c r="AK619" s="2"/>
      <c r="AL619" s="2"/>
      <c r="AM619" s="2"/>
      <c r="AN619" s="2"/>
    </row>
    <row r="620" spans="1:40" ht="12.75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170"/>
      <c r="L620" s="170"/>
      <c r="M620" s="2"/>
      <c r="N620" s="2"/>
      <c r="O620" s="171"/>
      <c r="P620" s="171"/>
      <c r="Q620" s="2"/>
      <c r="R620" s="6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171"/>
      <c r="AG620" s="2"/>
      <c r="AH620" s="2"/>
      <c r="AI620" s="2"/>
      <c r="AJ620" s="2"/>
      <c r="AK620" s="2"/>
      <c r="AL620" s="2"/>
      <c r="AM620" s="2"/>
      <c r="AN620" s="2"/>
    </row>
    <row r="621" spans="1:40" ht="12.75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170"/>
      <c r="L621" s="170"/>
      <c r="M621" s="2"/>
      <c r="N621" s="2"/>
      <c r="O621" s="171"/>
      <c r="P621" s="171"/>
      <c r="Q621" s="2"/>
      <c r="R621" s="6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171"/>
      <c r="AG621" s="2"/>
      <c r="AH621" s="2"/>
      <c r="AI621" s="2"/>
      <c r="AJ621" s="2"/>
      <c r="AK621" s="2"/>
      <c r="AL621" s="2"/>
      <c r="AM621" s="2"/>
      <c r="AN621" s="2"/>
    </row>
    <row r="622" spans="1:40" ht="12.75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170"/>
      <c r="L622" s="170"/>
      <c r="M622" s="2"/>
      <c r="N622" s="2"/>
      <c r="O622" s="171"/>
      <c r="P622" s="171"/>
      <c r="Q622" s="2"/>
      <c r="R622" s="6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171"/>
      <c r="AG622" s="2"/>
      <c r="AH622" s="2"/>
      <c r="AI622" s="2"/>
      <c r="AJ622" s="2"/>
      <c r="AK622" s="2"/>
      <c r="AL622" s="2"/>
      <c r="AM622" s="2"/>
      <c r="AN622" s="2"/>
    </row>
    <row r="623" spans="1:40" ht="12.75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170"/>
      <c r="L623" s="170"/>
      <c r="M623" s="2"/>
      <c r="N623" s="2"/>
      <c r="O623" s="171"/>
      <c r="P623" s="171"/>
      <c r="Q623" s="2"/>
      <c r="R623" s="6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171"/>
      <c r="AG623" s="2"/>
      <c r="AH623" s="2"/>
      <c r="AI623" s="2"/>
      <c r="AJ623" s="2"/>
      <c r="AK623" s="2"/>
      <c r="AL623" s="2"/>
      <c r="AM623" s="2"/>
      <c r="AN623" s="2"/>
    </row>
    <row r="624" spans="1:40" ht="12.75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170"/>
      <c r="L624" s="170"/>
      <c r="M624" s="2"/>
      <c r="N624" s="2"/>
      <c r="O624" s="171"/>
      <c r="P624" s="171"/>
      <c r="Q624" s="2"/>
      <c r="R624" s="6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171"/>
      <c r="AG624" s="2"/>
      <c r="AH624" s="2"/>
      <c r="AI624" s="2"/>
      <c r="AJ624" s="2"/>
      <c r="AK624" s="2"/>
      <c r="AL624" s="2"/>
      <c r="AM624" s="2"/>
      <c r="AN624" s="2"/>
    </row>
    <row r="625" spans="1:40" ht="12.75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170"/>
      <c r="L625" s="170"/>
      <c r="M625" s="2"/>
      <c r="N625" s="2"/>
      <c r="O625" s="171"/>
      <c r="P625" s="171"/>
      <c r="Q625" s="2"/>
      <c r="R625" s="6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171"/>
      <c r="AG625" s="2"/>
      <c r="AH625" s="2"/>
      <c r="AI625" s="2"/>
      <c r="AJ625" s="2"/>
      <c r="AK625" s="2"/>
      <c r="AL625" s="2"/>
      <c r="AM625" s="2"/>
      <c r="AN625" s="2"/>
    </row>
    <row r="626" spans="1:40" ht="12.75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170"/>
      <c r="L626" s="170"/>
      <c r="M626" s="2"/>
      <c r="N626" s="2"/>
      <c r="O626" s="171"/>
      <c r="P626" s="171"/>
      <c r="Q626" s="2"/>
      <c r="R626" s="6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171"/>
      <c r="AG626" s="2"/>
      <c r="AH626" s="2"/>
      <c r="AI626" s="2"/>
      <c r="AJ626" s="2"/>
      <c r="AK626" s="2"/>
      <c r="AL626" s="2"/>
      <c r="AM626" s="2"/>
      <c r="AN626" s="2"/>
    </row>
    <row r="627" spans="1:40" ht="12.75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170"/>
      <c r="L627" s="170"/>
      <c r="M627" s="2"/>
      <c r="N627" s="2"/>
      <c r="O627" s="171"/>
      <c r="P627" s="171"/>
      <c r="Q627" s="2"/>
      <c r="R627" s="6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171"/>
      <c r="AG627" s="2"/>
      <c r="AH627" s="2"/>
      <c r="AI627" s="2"/>
      <c r="AJ627" s="2"/>
      <c r="AK627" s="2"/>
      <c r="AL627" s="2"/>
      <c r="AM627" s="2"/>
      <c r="AN627" s="2"/>
    </row>
    <row r="628" spans="1:40" ht="12.75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170"/>
      <c r="L628" s="170"/>
      <c r="M628" s="2"/>
      <c r="N628" s="2"/>
      <c r="O628" s="171"/>
      <c r="P628" s="171"/>
      <c r="Q628" s="2"/>
      <c r="R628" s="6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171"/>
      <c r="AG628" s="2"/>
      <c r="AH628" s="2"/>
      <c r="AI628" s="2"/>
      <c r="AJ628" s="2"/>
      <c r="AK628" s="2"/>
      <c r="AL628" s="2"/>
      <c r="AM628" s="2"/>
      <c r="AN628" s="2"/>
    </row>
    <row r="629" spans="1:40" ht="12.75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170"/>
      <c r="L629" s="170"/>
      <c r="M629" s="2"/>
      <c r="N629" s="2"/>
      <c r="O629" s="171"/>
      <c r="P629" s="171"/>
      <c r="Q629" s="2"/>
      <c r="R629" s="6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171"/>
      <c r="AG629" s="2"/>
      <c r="AH629" s="2"/>
      <c r="AI629" s="2"/>
      <c r="AJ629" s="2"/>
      <c r="AK629" s="2"/>
      <c r="AL629" s="2"/>
      <c r="AM629" s="2"/>
      <c r="AN629" s="2"/>
    </row>
    <row r="630" spans="1:40" ht="12.75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170"/>
      <c r="L630" s="170"/>
      <c r="M630" s="2"/>
      <c r="N630" s="2"/>
      <c r="O630" s="171"/>
      <c r="P630" s="171"/>
      <c r="Q630" s="2"/>
      <c r="R630" s="6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171"/>
      <c r="AG630" s="2"/>
      <c r="AH630" s="2"/>
      <c r="AI630" s="2"/>
      <c r="AJ630" s="2"/>
      <c r="AK630" s="2"/>
      <c r="AL630" s="2"/>
      <c r="AM630" s="2"/>
      <c r="AN630" s="2"/>
    </row>
    <row r="631" spans="1:40" ht="12.75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170"/>
      <c r="L631" s="170"/>
      <c r="M631" s="2"/>
      <c r="N631" s="2"/>
      <c r="O631" s="171"/>
      <c r="P631" s="171"/>
      <c r="Q631" s="2"/>
      <c r="R631" s="6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171"/>
      <c r="AG631" s="2"/>
      <c r="AH631" s="2"/>
      <c r="AI631" s="2"/>
      <c r="AJ631" s="2"/>
      <c r="AK631" s="2"/>
      <c r="AL631" s="2"/>
      <c r="AM631" s="2"/>
      <c r="AN631" s="2"/>
    </row>
    <row r="632" spans="1:40" ht="12.75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170"/>
      <c r="L632" s="170"/>
      <c r="M632" s="2"/>
      <c r="N632" s="2"/>
      <c r="O632" s="171"/>
      <c r="P632" s="171"/>
      <c r="Q632" s="2"/>
      <c r="R632" s="6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171"/>
      <c r="AG632" s="2"/>
      <c r="AH632" s="2"/>
      <c r="AI632" s="2"/>
      <c r="AJ632" s="2"/>
      <c r="AK632" s="2"/>
      <c r="AL632" s="2"/>
      <c r="AM632" s="2"/>
      <c r="AN632" s="2"/>
    </row>
    <row r="633" spans="1:40" ht="12.75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170"/>
      <c r="L633" s="170"/>
      <c r="M633" s="2"/>
      <c r="N633" s="2"/>
      <c r="O633" s="171"/>
      <c r="P633" s="171"/>
      <c r="Q633" s="2"/>
      <c r="R633" s="6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171"/>
      <c r="AG633" s="2"/>
      <c r="AH633" s="2"/>
      <c r="AI633" s="2"/>
      <c r="AJ633" s="2"/>
      <c r="AK633" s="2"/>
      <c r="AL633" s="2"/>
      <c r="AM633" s="2"/>
      <c r="AN633" s="2"/>
    </row>
    <row r="634" spans="1:40" ht="12.75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170"/>
      <c r="L634" s="170"/>
      <c r="M634" s="2"/>
      <c r="N634" s="2"/>
      <c r="O634" s="171"/>
      <c r="P634" s="171"/>
      <c r="Q634" s="2"/>
      <c r="R634" s="6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171"/>
      <c r="AG634" s="2"/>
      <c r="AH634" s="2"/>
      <c r="AI634" s="2"/>
      <c r="AJ634" s="2"/>
      <c r="AK634" s="2"/>
      <c r="AL634" s="2"/>
      <c r="AM634" s="2"/>
      <c r="AN634" s="2"/>
    </row>
    <row r="635" spans="1:40" ht="12.75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170"/>
      <c r="L635" s="170"/>
      <c r="M635" s="2"/>
      <c r="N635" s="2"/>
      <c r="O635" s="171"/>
      <c r="P635" s="171"/>
      <c r="Q635" s="2"/>
      <c r="R635" s="6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171"/>
      <c r="AG635" s="2"/>
      <c r="AH635" s="2"/>
      <c r="AI635" s="2"/>
      <c r="AJ635" s="2"/>
      <c r="AK635" s="2"/>
      <c r="AL635" s="2"/>
      <c r="AM635" s="2"/>
      <c r="AN635" s="2"/>
    </row>
    <row r="636" spans="1:40" ht="12.75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170"/>
      <c r="L636" s="170"/>
      <c r="M636" s="2"/>
      <c r="N636" s="2"/>
      <c r="O636" s="171"/>
      <c r="P636" s="171"/>
      <c r="Q636" s="2"/>
      <c r="R636" s="6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171"/>
      <c r="AG636" s="2"/>
      <c r="AH636" s="2"/>
      <c r="AI636" s="2"/>
      <c r="AJ636" s="2"/>
      <c r="AK636" s="2"/>
      <c r="AL636" s="2"/>
      <c r="AM636" s="2"/>
      <c r="AN636" s="2"/>
    </row>
    <row r="637" spans="1:40" ht="12.75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170"/>
      <c r="L637" s="170"/>
      <c r="M637" s="2"/>
      <c r="N637" s="2"/>
      <c r="O637" s="171"/>
      <c r="P637" s="171"/>
      <c r="Q637" s="2"/>
      <c r="R637" s="6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171"/>
      <c r="AG637" s="2"/>
      <c r="AH637" s="2"/>
      <c r="AI637" s="2"/>
      <c r="AJ637" s="2"/>
      <c r="AK637" s="2"/>
      <c r="AL637" s="2"/>
      <c r="AM637" s="2"/>
      <c r="AN637" s="2"/>
    </row>
    <row r="638" spans="1:40" ht="12.75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170"/>
      <c r="L638" s="170"/>
      <c r="M638" s="2"/>
      <c r="N638" s="2"/>
      <c r="O638" s="171"/>
      <c r="P638" s="171"/>
      <c r="Q638" s="2"/>
      <c r="R638" s="6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171"/>
      <c r="AG638" s="2"/>
      <c r="AH638" s="2"/>
      <c r="AI638" s="2"/>
      <c r="AJ638" s="2"/>
      <c r="AK638" s="2"/>
      <c r="AL638" s="2"/>
      <c r="AM638" s="2"/>
      <c r="AN638" s="2"/>
    </row>
    <row r="639" spans="1:40" ht="12.75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170"/>
      <c r="L639" s="170"/>
      <c r="M639" s="2"/>
      <c r="N639" s="2"/>
      <c r="O639" s="171"/>
      <c r="P639" s="171"/>
      <c r="Q639" s="2"/>
      <c r="R639" s="6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171"/>
      <c r="AG639" s="2"/>
      <c r="AH639" s="2"/>
      <c r="AI639" s="2"/>
      <c r="AJ639" s="2"/>
      <c r="AK639" s="2"/>
      <c r="AL639" s="2"/>
      <c r="AM639" s="2"/>
      <c r="AN639" s="2"/>
    </row>
    <row r="640" spans="1:40" ht="12.75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170"/>
      <c r="L640" s="170"/>
      <c r="M640" s="2"/>
      <c r="N640" s="2"/>
      <c r="O640" s="171"/>
      <c r="P640" s="171"/>
      <c r="Q640" s="2"/>
      <c r="R640" s="6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171"/>
      <c r="AG640" s="2"/>
      <c r="AH640" s="2"/>
      <c r="AI640" s="2"/>
      <c r="AJ640" s="2"/>
      <c r="AK640" s="2"/>
      <c r="AL640" s="2"/>
      <c r="AM640" s="2"/>
      <c r="AN640" s="2"/>
    </row>
    <row r="641" spans="1:40" ht="12.75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170"/>
      <c r="L641" s="170"/>
      <c r="M641" s="2"/>
      <c r="N641" s="2"/>
      <c r="O641" s="171"/>
      <c r="P641" s="171"/>
      <c r="Q641" s="2"/>
      <c r="R641" s="6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171"/>
      <c r="AG641" s="2"/>
      <c r="AH641" s="2"/>
      <c r="AI641" s="2"/>
      <c r="AJ641" s="2"/>
      <c r="AK641" s="2"/>
      <c r="AL641" s="2"/>
      <c r="AM641" s="2"/>
      <c r="AN641" s="2"/>
    </row>
    <row r="642" spans="1:40" ht="12.75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170"/>
      <c r="L642" s="170"/>
      <c r="M642" s="2"/>
      <c r="N642" s="2"/>
      <c r="O642" s="171"/>
      <c r="P642" s="171"/>
      <c r="Q642" s="2"/>
      <c r="R642" s="6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171"/>
      <c r="AG642" s="2"/>
      <c r="AH642" s="2"/>
      <c r="AI642" s="2"/>
      <c r="AJ642" s="2"/>
      <c r="AK642" s="2"/>
      <c r="AL642" s="2"/>
      <c r="AM642" s="2"/>
      <c r="AN642" s="2"/>
    </row>
    <row r="643" spans="1:40" ht="12.75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170"/>
      <c r="L643" s="170"/>
      <c r="M643" s="2"/>
      <c r="N643" s="2"/>
      <c r="O643" s="171"/>
      <c r="P643" s="171"/>
      <c r="Q643" s="2"/>
      <c r="R643" s="6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171"/>
      <c r="AG643" s="2"/>
      <c r="AH643" s="2"/>
      <c r="AI643" s="2"/>
      <c r="AJ643" s="2"/>
      <c r="AK643" s="2"/>
      <c r="AL643" s="2"/>
      <c r="AM643" s="2"/>
      <c r="AN643" s="2"/>
    </row>
    <row r="644" spans="1:40" ht="12.75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170"/>
      <c r="L644" s="170"/>
      <c r="M644" s="2"/>
      <c r="N644" s="2"/>
      <c r="O644" s="171"/>
      <c r="P644" s="171"/>
      <c r="Q644" s="2"/>
      <c r="R644" s="6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171"/>
      <c r="AG644" s="2"/>
      <c r="AH644" s="2"/>
      <c r="AI644" s="2"/>
      <c r="AJ644" s="2"/>
      <c r="AK644" s="2"/>
      <c r="AL644" s="2"/>
      <c r="AM644" s="2"/>
      <c r="AN644" s="2"/>
    </row>
    <row r="645" spans="1:40" ht="12.75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170"/>
      <c r="L645" s="170"/>
      <c r="M645" s="2"/>
      <c r="N645" s="2"/>
      <c r="O645" s="171"/>
      <c r="P645" s="171"/>
      <c r="Q645" s="2"/>
      <c r="R645" s="6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171"/>
      <c r="AG645" s="2"/>
      <c r="AH645" s="2"/>
      <c r="AI645" s="2"/>
      <c r="AJ645" s="2"/>
      <c r="AK645" s="2"/>
      <c r="AL645" s="2"/>
      <c r="AM645" s="2"/>
      <c r="AN645" s="2"/>
    </row>
    <row r="646" spans="1:40" ht="12.75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170"/>
      <c r="L646" s="170"/>
      <c r="M646" s="2"/>
      <c r="N646" s="2"/>
      <c r="O646" s="171"/>
      <c r="P646" s="171"/>
      <c r="Q646" s="2"/>
      <c r="R646" s="6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171"/>
      <c r="AG646" s="2"/>
      <c r="AH646" s="2"/>
      <c r="AI646" s="2"/>
      <c r="AJ646" s="2"/>
      <c r="AK646" s="2"/>
      <c r="AL646" s="2"/>
      <c r="AM646" s="2"/>
      <c r="AN646" s="2"/>
    </row>
    <row r="647" spans="1:40" ht="12.75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170"/>
      <c r="L647" s="170"/>
      <c r="M647" s="2"/>
      <c r="N647" s="2"/>
      <c r="O647" s="171"/>
      <c r="P647" s="171"/>
      <c r="Q647" s="2"/>
      <c r="R647" s="6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171"/>
      <c r="AG647" s="2"/>
      <c r="AH647" s="2"/>
      <c r="AI647" s="2"/>
      <c r="AJ647" s="2"/>
      <c r="AK647" s="2"/>
      <c r="AL647" s="2"/>
      <c r="AM647" s="2"/>
      <c r="AN647" s="2"/>
    </row>
    <row r="648" spans="1:40" ht="12.75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170"/>
      <c r="L648" s="170"/>
      <c r="M648" s="2"/>
      <c r="N648" s="2"/>
      <c r="O648" s="171"/>
      <c r="P648" s="171"/>
      <c r="Q648" s="2"/>
      <c r="R648" s="6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171"/>
      <c r="AG648" s="2"/>
      <c r="AH648" s="2"/>
      <c r="AI648" s="2"/>
      <c r="AJ648" s="2"/>
      <c r="AK648" s="2"/>
      <c r="AL648" s="2"/>
      <c r="AM648" s="2"/>
      <c r="AN648" s="2"/>
    </row>
    <row r="649" spans="1:40" ht="12.75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170"/>
      <c r="L649" s="170"/>
      <c r="M649" s="2"/>
      <c r="N649" s="2"/>
      <c r="O649" s="171"/>
      <c r="P649" s="171"/>
      <c r="Q649" s="2"/>
      <c r="R649" s="6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171"/>
      <c r="AG649" s="2"/>
      <c r="AH649" s="2"/>
      <c r="AI649" s="2"/>
      <c r="AJ649" s="2"/>
      <c r="AK649" s="2"/>
      <c r="AL649" s="2"/>
      <c r="AM649" s="2"/>
      <c r="AN649" s="2"/>
    </row>
    <row r="650" spans="1:40" ht="12.75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170"/>
      <c r="L650" s="170"/>
      <c r="M650" s="2"/>
      <c r="N650" s="2"/>
      <c r="O650" s="171"/>
      <c r="P650" s="171"/>
      <c r="Q650" s="2"/>
      <c r="R650" s="6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171"/>
      <c r="AG650" s="2"/>
      <c r="AH650" s="2"/>
      <c r="AI650" s="2"/>
      <c r="AJ650" s="2"/>
      <c r="AK650" s="2"/>
      <c r="AL650" s="2"/>
      <c r="AM650" s="2"/>
      <c r="AN650" s="2"/>
    </row>
    <row r="651" spans="1:40" ht="12.75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170"/>
      <c r="L651" s="170"/>
      <c r="M651" s="2"/>
      <c r="N651" s="2"/>
      <c r="O651" s="171"/>
      <c r="P651" s="171"/>
      <c r="Q651" s="2"/>
      <c r="R651" s="6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171"/>
      <c r="AG651" s="2"/>
      <c r="AH651" s="2"/>
      <c r="AI651" s="2"/>
      <c r="AJ651" s="2"/>
      <c r="AK651" s="2"/>
      <c r="AL651" s="2"/>
      <c r="AM651" s="2"/>
      <c r="AN651" s="2"/>
    </row>
    <row r="652" spans="1:40" ht="12.75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170"/>
      <c r="L652" s="170"/>
      <c r="M652" s="2"/>
      <c r="N652" s="2"/>
      <c r="O652" s="171"/>
      <c r="P652" s="171"/>
      <c r="Q652" s="2"/>
      <c r="R652" s="6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171"/>
      <c r="AG652" s="2"/>
      <c r="AH652" s="2"/>
      <c r="AI652" s="2"/>
      <c r="AJ652" s="2"/>
      <c r="AK652" s="2"/>
      <c r="AL652" s="2"/>
      <c r="AM652" s="2"/>
      <c r="AN652" s="2"/>
    </row>
    <row r="653" spans="1:40" ht="12.75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170"/>
      <c r="L653" s="170"/>
      <c r="M653" s="2"/>
      <c r="N653" s="2"/>
      <c r="O653" s="171"/>
      <c r="P653" s="171"/>
      <c r="Q653" s="2"/>
      <c r="R653" s="6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171"/>
      <c r="AG653" s="2"/>
      <c r="AH653" s="2"/>
      <c r="AI653" s="2"/>
      <c r="AJ653" s="2"/>
      <c r="AK653" s="2"/>
      <c r="AL653" s="2"/>
      <c r="AM653" s="2"/>
      <c r="AN653" s="2"/>
    </row>
    <row r="654" spans="1:40" ht="12.75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170"/>
      <c r="L654" s="170"/>
      <c r="M654" s="2"/>
      <c r="N654" s="2"/>
      <c r="O654" s="171"/>
      <c r="P654" s="171"/>
      <c r="Q654" s="2"/>
      <c r="R654" s="6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171"/>
      <c r="AG654" s="2"/>
      <c r="AH654" s="2"/>
      <c r="AI654" s="2"/>
      <c r="AJ654" s="2"/>
      <c r="AK654" s="2"/>
      <c r="AL654" s="2"/>
      <c r="AM654" s="2"/>
      <c r="AN654" s="2"/>
    </row>
    <row r="655" spans="1:40" ht="12.75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170"/>
      <c r="L655" s="170"/>
      <c r="M655" s="2"/>
      <c r="N655" s="2"/>
      <c r="O655" s="171"/>
      <c r="P655" s="171"/>
      <c r="Q655" s="2"/>
      <c r="R655" s="6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171"/>
      <c r="AG655" s="2"/>
      <c r="AH655" s="2"/>
      <c r="AI655" s="2"/>
      <c r="AJ655" s="2"/>
      <c r="AK655" s="2"/>
      <c r="AL655" s="2"/>
      <c r="AM655" s="2"/>
      <c r="AN655" s="2"/>
    </row>
    <row r="656" spans="1:40" ht="12.75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170"/>
      <c r="L656" s="170"/>
      <c r="M656" s="2"/>
      <c r="N656" s="2"/>
      <c r="O656" s="171"/>
      <c r="P656" s="171"/>
      <c r="Q656" s="2"/>
      <c r="R656" s="6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171"/>
      <c r="AG656" s="2"/>
      <c r="AH656" s="2"/>
      <c r="AI656" s="2"/>
      <c r="AJ656" s="2"/>
      <c r="AK656" s="2"/>
      <c r="AL656" s="2"/>
      <c r="AM656" s="2"/>
      <c r="AN656" s="2"/>
    </row>
    <row r="657" spans="1:40" ht="12.75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170"/>
      <c r="L657" s="170"/>
      <c r="M657" s="2"/>
      <c r="N657" s="2"/>
      <c r="O657" s="171"/>
      <c r="P657" s="171"/>
      <c r="Q657" s="2"/>
      <c r="R657" s="6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171"/>
      <c r="AG657" s="2"/>
      <c r="AH657" s="2"/>
      <c r="AI657" s="2"/>
      <c r="AJ657" s="2"/>
      <c r="AK657" s="2"/>
      <c r="AL657" s="2"/>
      <c r="AM657" s="2"/>
      <c r="AN657" s="2"/>
    </row>
    <row r="658" spans="1:40" ht="12.75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170"/>
      <c r="L658" s="170"/>
      <c r="M658" s="2"/>
      <c r="N658" s="2"/>
      <c r="O658" s="171"/>
      <c r="P658" s="171"/>
      <c r="Q658" s="2"/>
      <c r="R658" s="6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171"/>
      <c r="AG658" s="2"/>
      <c r="AH658" s="2"/>
      <c r="AI658" s="2"/>
      <c r="AJ658" s="2"/>
      <c r="AK658" s="2"/>
      <c r="AL658" s="2"/>
      <c r="AM658" s="2"/>
      <c r="AN658" s="2"/>
    </row>
    <row r="659" spans="1:40" ht="12.75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170"/>
      <c r="L659" s="170"/>
      <c r="M659" s="2"/>
      <c r="N659" s="2"/>
      <c r="O659" s="171"/>
      <c r="P659" s="171"/>
      <c r="Q659" s="2"/>
      <c r="R659" s="6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171"/>
      <c r="AG659" s="2"/>
      <c r="AH659" s="2"/>
      <c r="AI659" s="2"/>
      <c r="AJ659" s="2"/>
      <c r="AK659" s="2"/>
      <c r="AL659" s="2"/>
      <c r="AM659" s="2"/>
      <c r="AN659" s="2"/>
    </row>
    <row r="660" spans="1:40" ht="12.75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170"/>
      <c r="L660" s="170"/>
      <c r="M660" s="2"/>
      <c r="N660" s="2"/>
      <c r="O660" s="171"/>
      <c r="P660" s="171"/>
      <c r="Q660" s="2"/>
      <c r="R660" s="6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171"/>
      <c r="AG660" s="2"/>
      <c r="AH660" s="2"/>
      <c r="AI660" s="2"/>
      <c r="AJ660" s="2"/>
      <c r="AK660" s="2"/>
      <c r="AL660" s="2"/>
      <c r="AM660" s="2"/>
      <c r="AN660" s="2"/>
    </row>
    <row r="661" spans="1:40" ht="12.75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170"/>
      <c r="L661" s="170"/>
      <c r="M661" s="2"/>
      <c r="N661" s="2"/>
      <c r="O661" s="171"/>
      <c r="P661" s="171"/>
      <c r="Q661" s="2"/>
      <c r="R661" s="6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171"/>
      <c r="AG661" s="2"/>
      <c r="AH661" s="2"/>
      <c r="AI661" s="2"/>
      <c r="AJ661" s="2"/>
      <c r="AK661" s="2"/>
      <c r="AL661" s="2"/>
      <c r="AM661" s="2"/>
      <c r="AN661" s="2"/>
    </row>
    <row r="662" spans="1:40" ht="12.75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170"/>
      <c r="L662" s="170"/>
      <c r="M662" s="2"/>
      <c r="N662" s="2"/>
      <c r="O662" s="171"/>
      <c r="P662" s="171"/>
      <c r="Q662" s="2"/>
      <c r="R662" s="6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171"/>
      <c r="AG662" s="2"/>
      <c r="AH662" s="2"/>
      <c r="AI662" s="2"/>
      <c r="AJ662" s="2"/>
      <c r="AK662" s="2"/>
      <c r="AL662" s="2"/>
      <c r="AM662" s="2"/>
      <c r="AN662" s="2"/>
    </row>
    <row r="663" spans="1:40" ht="12.75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170"/>
      <c r="L663" s="170"/>
      <c r="M663" s="2"/>
      <c r="N663" s="2"/>
      <c r="O663" s="171"/>
      <c r="P663" s="171"/>
      <c r="Q663" s="2"/>
      <c r="R663" s="6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171"/>
      <c r="AG663" s="2"/>
      <c r="AH663" s="2"/>
      <c r="AI663" s="2"/>
      <c r="AJ663" s="2"/>
      <c r="AK663" s="2"/>
      <c r="AL663" s="2"/>
      <c r="AM663" s="2"/>
      <c r="AN663" s="2"/>
    </row>
    <row r="664" spans="1:40" ht="12.75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170"/>
      <c r="L664" s="170"/>
      <c r="M664" s="2"/>
      <c r="N664" s="2"/>
      <c r="O664" s="171"/>
      <c r="P664" s="171"/>
      <c r="Q664" s="2"/>
      <c r="R664" s="6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171"/>
      <c r="AG664" s="2"/>
      <c r="AH664" s="2"/>
      <c r="AI664" s="2"/>
      <c r="AJ664" s="2"/>
      <c r="AK664" s="2"/>
      <c r="AL664" s="2"/>
      <c r="AM664" s="2"/>
      <c r="AN664" s="2"/>
    </row>
    <row r="665" spans="1:40" ht="12.75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170"/>
      <c r="L665" s="170"/>
      <c r="M665" s="2"/>
      <c r="N665" s="2"/>
      <c r="O665" s="171"/>
      <c r="P665" s="171"/>
      <c r="Q665" s="2"/>
      <c r="R665" s="6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171"/>
      <c r="AG665" s="2"/>
      <c r="AH665" s="2"/>
      <c r="AI665" s="2"/>
      <c r="AJ665" s="2"/>
      <c r="AK665" s="2"/>
      <c r="AL665" s="2"/>
      <c r="AM665" s="2"/>
      <c r="AN665" s="2"/>
    </row>
    <row r="666" spans="1:40" ht="12.75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170"/>
      <c r="L666" s="170"/>
      <c r="M666" s="2"/>
      <c r="N666" s="2"/>
      <c r="O666" s="171"/>
      <c r="P666" s="171"/>
      <c r="Q666" s="2"/>
      <c r="R666" s="6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171"/>
      <c r="AG666" s="2"/>
      <c r="AH666" s="2"/>
      <c r="AI666" s="2"/>
      <c r="AJ666" s="2"/>
      <c r="AK666" s="2"/>
      <c r="AL666" s="2"/>
      <c r="AM666" s="2"/>
      <c r="AN666" s="2"/>
    </row>
    <row r="667" spans="1:40" ht="12.75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170"/>
      <c r="L667" s="170"/>
      <c r="M667" s="2"/>
      <c r="N667" s="2"/>
      <c r="O667" s="171"/>
      <c r="P667" s="171"/>
      <c r="Q667" s="2"/>
      <c r="R667" s="6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171"/>
      <c r="AG667" s="2"/>
      <c r="AH667" s="2"/>
      <c r="AI667" s="2"/>
      <c r="AJ667" s="2"/>
      <c r="AK667" s="2"/>
      <c r="AL667" s="2"/>
      <c r="AM667" s="2"/>
      <c r="AN667" s="2"/>
    </row>
    <row r="668" spans="1:40" ht="12.75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170"/>
      <c r="L668" s="170"/>
      <c r="M668" s="2"/>
      <c r="N668" s="2"/>
      <c r="O668" s="171"/>
      <c r="P668" s="171"/>
      <c r="Q668" s="2"/>
      <c r="R668" s="6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171"/>
      <c r="AG668" s="2"/>
      <c r="AH668" s="2"/>
      <c r="AI668" s="2"/>
      <c r="AJ668" s="2"/>
      <c r="AK668" s="2"/>
      <c r="AL668" s="2"/>
      <c r="AM668" s="2"/>
      <c r="AN668" s="2"/>
    </row>
    <row r="669" spans="1:40" ht="12.75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170"/>
      <c r="L669" s="170"/>
      <c r="M669" s="2"/>
      <c r="N669" s="2"/>
      <c r="O669" s="171"/>
      <c r="P669" s="171"/>
      <c r="Q669" s="2"/>
      <c r="R669" s="6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171"/>
      <c r="AG669" s="2"/>
      <c r="AH669" s="2"/>
      <c r="AI669" s="2"/>
      <c r="AJ669" s="2"/>
      <c r="AK669" s="2"/>
      <c r="AL669" s="2"/>
      <c r="AM669" s="2"/>
      <c r="AN669" s="2"/>
    </row>
    <row r="670" spans="1:40" ht="12.75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170"/>
      <c r="L670" s="170"/>
      <c r="M670" s="2"/>
      <c r="N670" s="2"/>
      <c r="O670" s="171"/>
      <c r="P670" s="171"/>
      <c r="Q670" s="2"/>
      <c r="R670" s="6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171"/>
      <c r="AG670" s="2"/>
      <c r="AH670" s="2"/>
      <c r="AI670" s="2"/>
      <c r="AJ670" s="2"/>
      <c r="AK670" s="2"/>
      <c r="AL670" s="2"/>
      <c r="AM670" s="2"/>
      <c r="AN670" s="2"/>
    </row>
    <row r="671" spans="1:40" ht="12.75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170"/>
      <c r="L671" s="170"/>
      <c r="M671" s="2"/>
      <c r="N671" s="2"/>
      <c r="O671" s="171"/>
      <c r="P671" s="171"/>
      <c r="Q671" s="2"/>
      <c r="R671" s="6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171"/>
      <c r="AG671" s="2"/>
      <c r="AH671" s="2"/>
      <c r="AI671" s="2"/>
      <c r="AJ671" s="2"/>
      <c r="AK671" s="2"/>
      <c r="AL671" s="2"/>
      <c r="AM671" s="2"/>
      <c r="AN671" s="2"/>
    </row>
    <row r="672" spans="1:40" ht="12.75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170"/>
      <c r="L672" s="170"/>
      <c r="M672" s="2"/>
      <c r="N672" s="2"/>
      <c r="O672" s="171"/>
      <c r="P672" s="171"/>
      <c r="Q672" s="2"/>
      <c r="R672" s="6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171"/>
      <c r="AG672" s="2"/>
      <c r="AH672" s="2"/>
      <c r="AI672" s="2"/>
      <c r="AJ672" s="2"/>
      <c r="AK672" s="2"/>
      <c r="AL672" s="2"/>
      <c r="AM672" s="2"/>
      <c r="AN672" s="2"/>
    </row>
    <row r="673" spans="1:40" ht="12.75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170"/>
      <c r="L673" s="170"/>
      <c r="M673" s="2"/>
      <c r="N673" s="2"/>
      <c r="O673" s="171"/>
      <c r="P673" s="171"/>
      <c r="Q673" s="2"/>
      <c r="R673" s="6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171"/>
      <c r="AG673" s="2"/>
      <c r="AH673" s="2"/>
      <c r="AI673" s="2"/>
      <c r="AJ673" s="2"/>
      <c r="AK673" s="2"/>
      <c r="AL673" s="2"/>
      <c r="AM673" s="2"/>
      <c r="AN673" s="2"/>
    </row>
    <row r="674" spans="1:40" ht="12.75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170"/>
      <c r="L674" s="170"/>
      <c r="M674" s="2"/>
      <c r="N674" s="2"/>
      <c r="O674" s="171"/>
      <c r="P674" s="171"/>
      <c r="Q674" s="2"/>
      <c r="R674" s="6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171"/>
      <c r="AG674" s="2"/>
      <c r="AH674" s="2"/>
      <c r="AI674" s="2"/>
      <c r="AJ674" s="2"/>
      <c r="AK674" s="2"/>
      <c r="AL674" s="2"/>
      <c r="AM674" s="2"/>
      <c r="AN674" s="2"/>
    </row>
    <row r="675" spans="1:40" ht="12.75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170"/>
      <c r="L675" s="170"/>
      <c r="M675" s="2"/>
      <c r="N675" s="2"/>
      <c r="O675" s="171"/>
      <c r="P675" s="171"/>
      <c r="Q675" s="2"/>
      <c r="R675" s="6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171"/>
      <c r="AG675" s="2"/>
      <c r="AH675" s="2"/>
      <c r="AI675" s="2"/>
      <c r="AJ675" s="2"/>
      <c r="AK675" s="2"/>
      <c r="AL675" s="2"/>
      <c r="AM675" s="2"/>
      <c r="AN675" s="2"/>
    </row>
    <row r="676" spans="1:40" ht="12.75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170"/>
      <c r="L676" s="170"/>
      <c r="M676" s="2"/>
      <c r="N676" s="2"/>
      <c r="O676" s="171"/>
      <c r="P676" s="171"/>
      <c r="Q676" s="2"/>
      <c r="R676" s="6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171"/>
      <c r="AG676" s="2"/>
      <c r="AH676" s="2"/>
      <c r="AI676" s="2"/>
      <c r="AJ676" s="2"/>
      <c r="AK676" s="2"/>
      <c r="AL676" s="2"/>
      <c r="AM676" s="2"/>
      <c r="AN676" s="2"/>
    </row>
    <row r="677" spans="1:40" ht="12.75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170"/>
      <c r="L677" s="170"/>
      <c r="M677" s="2"/>
      <c r="N677" s="2"/>
      <c r="O677" s="171"/>
      <c r="P677" s="171"/>
      <c r="Q677" s="2"/>
      <c r="R677" s="6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171"/>
      <c r="AG677" s="2"/>
      <c r="AH677" s="2"/>
      <c r="AI677" s="2"/>
      <c r="AJ677" s="2"/>
      <c r="AK677" s="2"/>
      <c r="AL677" s="2"/>
      <c r="AM677" s="2"/>
      <c r="AN677" s="2"/>
    </row>
    <row r="678" spans="1:40" ht="12.75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170"/>
      <c r="L678" s="170"/>
      <c r="M678" s="2"/>
      <c r="N678" s="2"/>
      <c r="O678" s="171"/>
      <c r="P678" s="171"/>
      <c r="Q678" s="2"/>
      <c r="R678" s="6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171"/>
      <c r="AG678" s="2"/>
      <c r="AH678" s="2"/>
      <c r="AI678" s="2"/>
      <c r="AJ678" s="2"/>
      <c r="AK678" s="2"/>
      <c r="AL678" s="2"/>
      <c r="AM678" s="2"/>
      <c r="AN678" s="2"/>
    </row>
    <row r="679" spans="1:40" ht="12.75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170"/>
      <c r="L679" s="170"/>
      <c r="M679" s="2"/>
      <c r="N679" s="2"/>
      <c r="O679" s="171"/>
      <c r="P679" s="171"/>
      <c r="Q679" s="2"/>
      <c r="R679" s="6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171"/>
      <c r="AG679" s="2"/>
      <c r="AH679" s="2"/>
      <c r="AI679" s="2"/>
      <c r="AJ679" s="2"/>
      <c r="AK679" s="2"/>
      <c r="AL679" s="2"/>
      <c r="AM679" s="2"/>
      <c r="AN679" s="2"/>
    </row>
    <row r="680" spans="1:40" ht="12.75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170"/>
      <c r="L680" s="170"/>
      <c r="M680" s="2"/>
      <c r="N680" s="2"/>
      <c r="O680" s="171"/>
      <c r="P680" s="171"/>
      <c r="Q680" s="2"/>
      <c r="R680" s="6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171"/>
      <c r="AG680" s="2"/>
      <c r="AH680" s="2"/>
      <c r="AI680" s="2"/>
      <c r="AJ680" s="2"/>
      <c r="AK680" s="2"/>
      <c r="AL680" s="2"/>
      <c r="AM680" s="2"/>
      <c r="AN680" s="2"/>
    </row>
    <row r="681" spans="1:40" ht="12.75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170"/>
      <c r="L681" s="170"/>
      <c r="M681" s="2"/>
      <c r="N681" s="2"/>
      <c r="O681" s="171"/>
      <c r="P681" s="171"/>
      <c r="Q681" s="2"/>
      <c r="R681" s="6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171"/>
      <c r="AG681" s="2"/>
      <c r="AH681" s="2"/>
      <c r="AI681" s="2"/>
      <c r="AJ681" s="2"/>
      <c r="AK681" s="2"/>
      <c r="AL681" s="2"/>
      <c r="AM681" s="2"/>
      <c r="AN681" s="2"/>
    </row>
    <row r="682" spans="1:40" ht="12.75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170"/>
      <c r="L682" s="170"/>
      <c r="M682" s="2"/>
      <c r="N682" s="2"/>
      <c r="O682" s="171"/>
      <c r="P682" s="171"/>
      <c r="Q682" s="2"/>
      <c r="R682" s="6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171"/>
      <c r="AG682" s="2"/>
      <c r="AH682" s="2"/>
      <c r="AI682" s="2"/>
      <c r="AJ682" s="2"/>
      <c r="AK682" s="2"/>
      <c r="AL682" s="2"/>
      <c r="AM682" s="2"/>
      <c r="AN682" s="2"/>
    </row>
    <row r="683" spans="1:40" ht="12.75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170"/>
      <c r="L683" s="170"/>
      <c r="M683" s="2"/>
      <c r="N683" s="2"/>
      <c r="O683" s="171"/>
      <c r="P683" s="171"/>
      <c r="Q683" s="2"/>
      <c r="R683" s="6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171"/>
      <c r="AG683" s="2"/>
      <c r="AH683" s="2"/>
      <c r="AI683" s="2"/>
      <c r="AJ683" s="2"/>
      <c r="AK683" s="2"/>
      <c r="AL683" s="2"/>
      <c r="AM683" s="2"/>
      <c r="AN683" s="2"/>
    </row>
    <row r="684" spans="1:40" ht="12.75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170"/>
      <c r="L684" s="170"/>
      <c r="M684" s="2"/>
      <c r="N684" s="2"/>
      <c r="O684" s="171"/>
      <c r="P684" s="171"/>
      <c r="Q684" s="2"/>
      <c r="R684" s="6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171"/>
      <c r="AG684" s="2"/>
      <c r="AH684" s="2"/>
      <c r="AI684" s="2"/>
      <c r="AJ684" s="2"/>
      <c r="AK684" s="2"/>
      <c r="AL684" s="2"/>
      <c r="AM684" s="2"/>
      <c r="AN684" s="2"/>
    </row>
    <row r="685" spans="1:40" ht="12.75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170"/>
      <c r="L685" s="170"/>
      <c r="M685" s="2"/>
      <c r="N685" s="2"/>
      <c r="O685" s="171"/>
      <c r="P685" s="171"/>
      <c r="Q685" s="2"/>
      <c r="R685" s="6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171"/>
      <c r="AG685" s="2"/>
      <c r="AH685" s="2"/>
      <c r="AI685" s="2"/>
      <c r="AJ685" s="2"/>
      <c r="AK685" s="2"/>
      <c r="AL685" s="2"/>
      <c r="AM685" s="2"/>
      <c r="AN685" s="2"/>
    </row>
    <row r="686" spans="1:40" ht="12.75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170"/>
      <c r="L686" s="170"/>
      <c r="M686" s="2"/>
      <c r="N686" s="2"/>
      <c r="O686" s="171"/>
      <c r="P686" s="171"/>
      <c r="Q686" s="2"/>
      <c r="R686" s="6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171"/>
      <c r="AG686" s="2"/>
      <c r="AH686" s="2"/>
      <c r="AI686" s="2"/>
      <c r="AJ686" s="2"/>
      <c r="AK686" s="2"/>
      <c r="AL686" s="2"/>
      <c r="AM686" s="2"/>
      <c r="AN686" s="2"/>
    </row>
    <row r="687" spans="1:40" ht="12.75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170"/>
      <c r="L687" s="170"/>
      <c r="M687" s="2"/>
      <c r="N687" s="2"/>
      <c r="O687" s="171"/>
      <c r="P687" s="171"/>
      <c r="Q687" s="2"/>
      <c r="R687" s="6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171"/>
      <c r="AG687" s="2"/>
      <c r="AH687" s="2"/>
      <c r="AI687" s="2"/>
      <c r="AJ687" s="2"/>
      <c r="AK687" s="2"/>
      <c r="AL687" s="2"/>
      <c r="AM687" s="2"/>
      <c r="AN687" s="2"/>
    </row>
    <row r="688" spans="1:40" ht="12.75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170"/>
      <c r="L688" s="170"/>
      <c r="M688" s="2"/>
      <c r="N688" s="2"/>
      <c r="O688" s="171"/>
      <c r="P688" s="171"/>
      <c r="Q688" s="2"/>
      <c r="R688" s="6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171"/>
      <c r="AG688" s="2"/>
      <c r="AH688" s="2"/>
      <c r="AI688" s="2"/>
      <c r="AJ688" s="2"/>
      <c r="AK688" s="2"/>
      <c r="AL688" s="2"/>
      <c r="AM688" s="2"/>
      <c r="AN688" s="2"/>
    </row>
    <row r="689" spans="1:40" ht="12.75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170"/>
      <c r="L689" s="170"/>
      <c r="M689" s="2"/>
      <c r="N689" s="2"/>
      <c r="O689" s="171"/>
      <c r="P689" s="171"/>
      <c r="Q689" s="2"/>
      <c r="R689" s="6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171"/>
      <c r="AG689" s="2"/>
      <c r="AH689" s="2"/>
      <c r="AI689" s="2"/>
      <c r="AJ689" s="2"/>
      <c r="AK689" s="2"/>
      <c r="AL689" s="2"/>
      <c r="AM689" s="2"/>
      <c r="AN689" s="2"/>
    </row>
    <row r="690" spans="1:40" ht="12.75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170"/>
      <c r="L690" s="170"/>
      <c r="M690" s="2"/>
      <c r="N690" s="2"/>
      <c r="O690" s="171"/>
      <c r="P690" s="171"/>
      <c r="Q690" s="2"/>
      <c r="R690" s="6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171"/>
      <c r="AG690" s="2"/>
      <c r="AH690" s="2"/>
      <c r="AI690" s="2"/>
      <c r="AJ690" s="2"/>
      <c r="AK690" s="2"/>
      <c r="AL690" s="2"/>
      <c r="AM690" s="2"/>
      <c r="AN690" s="2"/>
    </row>
    <row r="691" spans="1:40" ht="12.75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170"/>
      <c r="L691" s="170"/>
      <c r="M691" s="2"/>
      <c r="N691" s="2"/>
      <c r="O691" s="171"/>
      <c r="P691" s="171"/>
      <c r="Q691" s="2"/>
      <c r="R691" s="6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171"/>
      <c r="AG691" s="2"/>
      <c r="AH691" s="2"/>
      <c r="AI691" s="2"/>
      <c r="AJ691" s="2"/>
      <c r="AK691" s="2"/>
      <c r="AL691" s="2"/>
      <c r="AM691" s="2"/>
      <c r="AN691" s="2"/>
    </row>
    <row r="692" spans="1:40" ht="12.75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170"/>
      <c r="L692" s="170"/>
      <c r="M692" s="2"/>
      <c r="N692" s="2"/>
      <c r="O692" s="171"/>
      <c r="P692" s="171"/>
      <c r="Q692" s="2"/>
      <c r="R692" s="6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171"/>
      <c r="AG692" s="2"/>
      <c r="AH692" s="2"/>
      <c r="AI692" s="2"/>
      <c r="AJ692" s="2"/>
      <c r="AK692" s="2"/>
      <c r="AL692" s="2"/>
      <c r="AM692" s="2"/>
      <c r="AN692" s="2"/>
    </row>
    <row r="693" spans="1:40" ht="12.75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170"/>
      <c r="L693" s="170"/>
      <c r="M693" s="2"/>
      <c r="N693" s="2"/>
      <c r="O693" s="171"/>
      <c r="P693" s="171"/>
      <c r="Q693" s="2"/>
      <c r="R693" s="6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171"/>
      <c r="AG693" s="2"/>
      <c r="AH693" s="2"/>
      <c r="AI693" s="2"/>
      <c r="AJ693" s="2"/>
      <c r="AK693" s="2"/>
      <c r="AL693" s="2"/>
      <c r="AM693" s="2"/>
      <c r="AN693" s="2"/>
    </row>
    <row r="694" spans="1:40" ht="12.75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170"/>
      <c r="L694" s="170"/>
      <c r="M694" s="2"/>
      <c r="N694" s="2"/>
      <c r="O694" s="171"/>
      <c r="P694" s="171"/>
      <c r="Q694" s="2"/>
      <c r="R694" s="6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171"/>
      <c r="AG694" s="2"/>
      <c r="AH694" s="2"/>
      <c r="AI694" s="2"/>
      <c r="AJ694" s="2"/>
      <c r="AK694" s="2"/>
      <c r="AL694" s="2"/>
      <c r="AM694" s="2"/>
      <c r="AN694" s="2"/>
    </row>
    <row r="695" spans="1:40" ht="12.75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170"/>
      <c r="L695" s="170"/>
      <c r="M695" s="2"/>
      <c r="N695" s="2"/>
      <c r="O695" s="171"/>
      <c r="P695" s="171"/>
      <c r="Q695" s="2"/>
      <c r="R695" s="6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171"/>
      <c r="AG695" s="2"/>
      <c r="AH695" s="2"/>
      <c r="AI695" s="2"/>
      <c r="AJ695" s="2"/>
      <c r="AK695" s="2"/>
      <c r="AL695" s="2"/>
      <c r="AM695" s="2"/>
      <c r="AN695" s="2"/>
    </row>
    <row r="696" spans="1:40" ht="12.75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170"/>
      <c r="L696" s="170"/>
      <c r="M696" s="2"/>
      <c r="N696" s="2"/>
      <c r="O696" s="171"/>
      <c r="P696" s="171"/>
      <c r="Q696" s="2"/>
      <c r="R696" s="6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171"/>
      <c r="AG696" s="2"/>
      <c r="AH696" s="2"/>
      <c r="AI696" s="2"/>
      <c r="AJ696" s="2"/>
      <c r="AK696" s="2"/>
      <c r="AL696" s="2"/>
      <c r="AM696" s="2"/>
      <c r="AN696" s="2"/>
    </row>
    <row r="697" spans="1:40" ht="12.75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170"/>
      <c r="L697" s="170"/>
      <c r="M697" s="2"/>
      <c r="N697" s="2"/>
      <c r="O697" s="171"/>
      <c r="P697" s="171"/>
      <c r="Q697" s="2"/>
      <c r="R697" s="6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171"/>
      <c r="AG697" s="2"/>
      <c r="AH697" s="2"/>
      <c r="AI697" s="2"/>
      <c r="AJ697" s="2"/>
      <c r="AK697" s="2"/>
      <c r="AL697" s="2"/>
      <c r="AM697" s="2"/>
      <c r="AN697" s="2"/>
    </row>
    <row r="698" spans="1:40" ht="12.75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170"/>
      <c r="L698" s="170"/>
      <c r="M698" s="2"/>
      <c r="N698" s="2"/>
      <c r="O698" s="171"/>
      <c r="P698" s="171"/>
      <c r="Q698" s="2"/>
      <c r="R698" s="6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171"/>
      <c r="AG698" s="2"/>
      <c r="AH698" s="2"/>
      <c r="AI698" s="2"/>
      <c r="AJ698" s="2"/>
      <c r="AK698" s="2"/>
      <c r="AL698" s="2"/>
      <c r="AM698" s="2"/>
      <c r="AN698" s="2"/>
    </row>
    <row r="699" spans="1:40" ht="12.75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170"/>
      <c r="L699" s="170"/>
      <c r="M699" s="2"/>
      <c r="N699" s="2"/>
      <c r="O699" s="171"/>
      <c r="P699" s="171"/>
      <c r="Q699" s="2"/>
      <c r="R699" s="6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171"/>
      <c r="AG699" s="2"/>
      <c r="AH699" s="2"/>
      <c r="AI699" s="2"/>
      <c r="AJ699" s="2"/>
      <c r="AK699" s="2"/>
      <c r="AL699" s="2"/>
      <c r="AM699" s="2"/>
      <c r="AN699" s="2"/>
    </row>
    <row r="700" spans="1:40" ht="12.75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170"/>
      <c r="L700" s="170"/>
      <c r="M700" s="2"/>
      <c r="N700" s="2"/>
      <c r="O700" s="171"/>
      <c r="P700" s="171"/>
      <c r="Q700" s="2"/>
      <c r="R700" s="6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171"/>
      <c r="AG700" s="2"/>
      <c r="AH700" s="2"/>
      <c r="AI700" s="2"/>
      <c r="AJ700" s="2"/>
      <c r="AK700" s="2"/>
      <c r="AL700" s="2"/>
      <c r="AM700" s="2"/>
      <c r="AN700" s="2"/>
    </row>
    <row r="701" spans="1:40" ht="12.75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170"/>
      <c r="L701" s="170"/>
      <c r="M701" s="2"/>
      <c r="N701" s="2"/>
      <c r="O701" s="171"/>
      <c r="P701" s="171"/>
      <c r="Q701" s="2"/>
      <c r="R701" s="6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171"/>
      <c r="AG701" s="2"/>
      <c r="AH701" s="2"/>
      <c r="AI701" s="2"/>
      <c r="AJ701" s="2"/>
      <c r="AK701" s="2"/>
      <c r="AL701" s="2"/>
      <c r="AM701" s="2"/>
      <c r="AN701" s="2"/>
    </row>
    <row r="702" spans="1:40" ht="12.75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170"/>
      <c r="L702" s="170"/>
      <c r="M702" s="2"/>
      <c r="N702" s="2"/>
      <c r="O702" s="171"/>
      <c r="P702" s="171"/>
      <c r="Q702" s="2"/>
      <c r="R702" s="6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171"/>
      <c r="AG702" s="2"/>
      <c r="AH702" s="2"/>
      <c r="AI702" s="2"/>
      <c r="AJ702" s="2"/>
      <c r="AK702" s="2"/>
      <c r="AL702" s="2"/>
      <c r="AM702" s="2"/>
      <c r="AN702" s="2"/>
    </row>
    <row r="703" spans="1:40" ht="12.75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170"/>
      <c r="L703" s="170"/>
      <c r="M703" s="2"/>
      <c r="N703" s="2"/>
      <c r="O703" s="171"/>
      <c r="P703" s="171"/>
      <c r="Q703" s="2"/>
      <c r="R703" s="6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171"/>
      <c r="AG703" s="2"/>
      <c r="AH703" s="2"/>
      <c r="AI703" s="2"/>
      <c r="AJ703" s="2"/>
      <c r="AK703" s="2"/>
      <c r="AL703" s="2"/>
      <c r="AM703" s="2"/>
      <c r="AN703" s="2"/>
    </row>
    <row r="704" spans="1:40" ht="12.75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170"/>
      <c r="L704" s="170"/>
      <c r="M704" s="2"/>
      <c r="N704" s="2"/>
      <c r="O704" s="171"/>
      <c r="P704" s="171"/>
      <c r="Q704" s="2"/>
      <c r="R704" s="6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171"/>
      <c r="AG704" s="2"/>
      <c r="AH704" s="2"/>
      <c r="AI704" s="2"/>
      <c r="AJ704" s="2"/>
      <c r="AK704" s="2"/>
      <c r="AL704" s="2"/>
      <c r="AM704" s="2"/>
      <c r="AN704" s="2"/>
    </row>
    <row r="705" spans="1:40" ht="12.75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170"/>
      <c r="L705" s="170"/>
      <c r="M705" s="2"/>
      <c r="N705" s="2"/>
      <c r="O705" s="171"/>
      <c r="P705" s="171"/>
      <c r="Q705" s="2"/>
      <c r="R705" s="6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171"/>
      <c r="AG705" s="2"/>
      <c r="AH705" s="2"/>
      <c r="AI705" s="2"/>
      <c r="AJ705" s="2"/>
      <c r="AK705" s="2"/>
      <c r="AL705" s="2"/>
      <c r="AM705" s="2"/>
      <c r="AN705" s="2"/>
    </row>
    <row r="706" spans="1:40" ht="12.75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170"/>
      <c r="L706" s="170"/>
      <c r="M706" s="2"/>
      <c r="N706" s="2"/>
      <c r="O706" s="171"/>
      <c r="P706" s="171"/>
      <c r="Q706" s="2"/>
      <c r="R706" s="6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171"/>
      <c r="AG706" s="2"/>
      <c r="AH706" s="2"/>
      <c r="AI706" s="2"/>
      <c r="AJ706" s="2"/>
      <c r="AK706" s="2"/>
      <c r="AL706" s="2"/>
      <c r="AM706" s="2"/>
      <c r="AN706" s="2"/>
    </row>
    <row r="707" spans="1:40" ht="12.75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170"/>
      <c r="L707" s="170"/>
      <c r="M707" s="2"/>
      <c r="N707" s="2"/>
      <c r="O707" s="171"/>
      <c r="P707" s="171"/>
      <c r="Q707" s="2"/>
      <c r="R707" s="6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171"/>
      <c r="AG707" s="2"/>
      <c r="AH707" s="2"/>
      <c r="AI707" s="2"/>
      <c r="AJ707" s="2"/>
      <c r="AK707" s="2"/>
      <c r="AL707" s="2"/>
      <c r="AM707" s="2"/>
      <c r="AN707" s="2"/>
    </row>
    <row r="708" spans="1:40" ht="12.75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170"/>
      <c r="L708" s="170"/>
      <c r="M708" s="2"/>
      <c r="N708" s="2"/>
      <c r="O708" s="171"/>
      <c r="P708" s="171"/>
      <c r="Q708" s="2"/>
      <c r="R708" s="6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171"/>
      <c r="AG708" s="2"/>
      <c r="AH708" s="2"/>
      <c r="AI708" s="2"/>
      <c r="AJ708" s="2"/>
      <c r="AK708" s="2"/>
      <c r="AL708" s="2"/>
      <c r="AM708" s="2"/>
      <c r="AN708" s="2"/>
    </row>
    <row r="709" spans="1:40" ht="12.75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170"/>
      <c r="L709" s="170"/>
      <c r="M709" s="2"/>
      <c r="N709" s="2"/>
      <c r="O709" s="171"/>
      <c r="P709" s="171"/>
      <c r="Q709" s="2"/>
      <c r="R709" s="6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171"/>
      <c r="AG709" s="2"/>
      <c r="AH709" s="2"/>
      <c r="AI709" s="2"/>
      <c r="AJ709" s="2"/>
      <c r="AK709" s="2"/>
      <c r="AL709" s="2"/>
      <c r="AM709" s="2"/>
      <c r="AN709" s="2"/>
    </row>
    <row r="710" spans="1:40" ht="12.75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170"/>
      <c r="L710" s="170"/>
      <c r="M710" s="2"/>
      <c r="N710" s="2"/>
      <c r="O710" s="171"/>
      <c r="P710" s="171"/>
      <c r="Q710" s="2"/>
      <c r="R710" s="6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171"/>
      <c r="AG710" s="2"/>
      <c r="AH710" s="2"/>
      <c r="AI710" s="2"/>
      <c r="AJ710" s="2"/>
      <c r="AK710" s="2"/>
      <c r="AL710" s="2"/>
      <c r="AM710" s="2"/>
      <c r="AN710" s="2"/>
    </row>
    <row r="711" spans="1:40" ht="12.75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170"/>
      <c r="L711" s="170"/>
      <c r="M711" s="2"/>
      <c r="N711" s="2"/>
      <c r="O711" s="171"/>
      <c r="P711" s="171"/>
      <c r="Q711" s="2"/>
      <c r="R711" s="6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171"/>
      <c r="AG711" s="2"/>
      <c r="AH711" s="2"/>
      <c r="AI711" s="2"/>
      <c r="AJ711" s="2"/>
      <c r="AK711" s="2"/>
      <c r="AL711" s="2"/>
      <c r="AM711" s="2"/>
      <c r="AN711" s="2"/>
    </row>
    <row r="712" spans="1:40" ht="12.75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170"/>
      <c r="L712" s="170"/>
      <c r="M712" s="2"/>
      <c r="N712" s="2"/>
      <c r="O712" s="171"/>
      <c r="P712" s="171"/>
      <c r="Q712" s="2"/>
      <c r="R712" s="6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171"/>
      <c r="AG712" s="2"/>
      <c r="AH712" s="2"/>
      <c r="AI712" s="2"/>
      <c r="AJ712" s="2"/>
      <c r="AK712" s="2"/>
      <c r="AL712" s="2"/>
      <c r="AM712" s="2"/>
      <c r="AN712" s="2"/>
    </row>
    <row r="713" spans="1:40" ht="12.75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170"/>
      <c r="L713" s="170"/>
      <c r="M713" s="2"/>
      <c r="N713" s="2"/>
      <c r="O713" s="171"/>
      <c r="P713" s="171"/>
      <c r="Q713" s="2"/>
      <c r="R713" s="6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171"/>
      <c r="AG713" s="2"/>
      <c r="AH713" s="2"/>
      <c r="AI713" s="2"/>
      <c r="AJ713" s="2"/>
      <c r="AK713" s="2"/>
      <c r="AL713" s="2"/>
      <c r="AM713" s="2"/>
      <c r="AN713" s="2"/>
    </row>
    <row r="714" spans="1:40" ht="12.75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170"/>
      <c r="L714" s="170"/>
      <c r="M714" s="2"/>
      <c r="N714" s="2"/>
      <c r="O714" s="171"/>
      <c r="P714" s="171"/>
      <c r="Q714" s="2"/>
      <c r="R714" s="6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171"/>
      <c r="AG714" s="2"/>
      <c r="AH714" s="2"/>
      <c r="AI714" s="2"/>
      <c r="AJ714" s="2"/>
      <c r="AK714" s="2"/>
      <c r="AL714" s="2"/>
      <c r="AM714" s="2"/>
      <c r="AN714" s="2"/>
    </row>
    <row r="715" spans="1:40" ht="12.75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170"/>
      <c r="L715" s="170"/>
      <c r="M715" s="2"/>
      <c r="N715" s="2"/>
      <c r="O715" s="171"/>
      <c r="P715" s="171"/>
      <c r="Q715" s="2"/>
      <c r="R715" s="6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171"/>
      <c r="AG715" s="2"/>
      <c r="AH715" s="2"/>
      <c r="AI715" s="2"/>
      <c r="AJ715" s="2"/>
      <c r="AK715" s="2"/>
      <c r="AL715" s="2"/>
      <c r="AM715" s="2"/>
      <c r="AN715" s="2"/>
    </row>
    <row r="716" spans="1:40" ht="12.75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170"/>
      <c r="L716" s="170"/>
      <c r="M716" s="2"/>
      <c r="N716" s="2"/>
      <c r="O716" s="171"/>
      <c r="P716" s="171"/>
      <c r="Q716" s="2"/>
      <c r="R716" s="6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171"/>
      <c r="AG716" s="2"/>
      <c r="AH716" s="2"/>
      <c r="AI716" s="2"/>
      <c r="AJ716" s="2"/>
      <c r="AK716" s="2"/>
      <c r="AL716" s="2"/>
      <c r="AM716" s="2"/>
      <c r="AN716" s="2"/>
    </row>
    <row r="717" spans="1:40" ht="12.75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170"/>
      <c r="L717" s="170"/>
      <c r="M717" s="2"/>
      <c r="N717" s="2"/>
      <c r="O717" s="171"/>
      <c r="P717" s="171"/>
      <c r="Q717" s="2"/>
      <c r="R717" s="6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171"/>
      <c r="AG717" s="2"/>
      <c r="AH717" s="2"/>
      <c r="AI717" s="2"/>
      <c r="AJ717" s="2"/>
      <c r="AK717" s="2"/>
      <c r="AL717" s="2"/>
      <c r="AM717" s="2"/>
      <c r="AN717" s="2"/>
    </row>
    <row r="718" spans="1:40" ht="12.75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170"/>
      <c r="L718" s="170"/>
      <c r="M718" s="2"/>
      <c r="N718" s="2"/>
      <c r="O718" s="171"/>
      <c r="P718" s="171"/>
      <c r="Q718" s="2"/>
      <c r="R718" s="6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171"/>
      <c r="AG718" s="2"/>
      <c r="AH718" s="2"/>
      <c r="AI718" s="2"/>
      <c r="AJ718" s="2"/>
      <c r="AK718" s="2"/>
      <c r="AL718" s="2"/>
      <c r="AM718" s="2"/>
      <c r="AN718" s="2"/>
    </row>
    <row r="719" spans="1:40" ht="12.75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170"/>
      <c r="L719" s="170"/>
      <c r="M719" s="2"/>
      <c r="N719" s="2"/>
      <c r="O719" s="171"/>
      <c r="P719" s="171"/>
      <c r="Q719" s="2"/>
      <c r="R719" s="6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171"/>
      <c r="AG719" s="2"/>
      <c r="AH719" s="2"/>
      <c r="AI719" s="2"/>
      <c r="AJ719" s="2"/>
      <c r="AK719" s="2"/>
      <c r="AL719" s="2"/>
      <c r="AM719" s="2"/>
      <c r="AN719" s="2"/>
    </row>
    <row r="720" spans="1:40" ht="12.75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170"/>
      <c r="L720" s="170"/>
      <c r="M720" s="2"/>
      <c r="N720" s="2"/>
      <c r="O720" s="171"/>
      <c r="P720" s="171"/>
      <c r="Q720" s="2"/>
      <c r="R720" s="6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171"/>
      <c r="AG720" s="2"/>
      <c r="AH720" s="2"/>
      <c r="AI720" s="2"/>
      <c r="AJ720" s="2"/>
      <c r="AK720" s="2"/>
      <c r="AL720" s="2"/>
      <c r="AM720" s="2"/>
      <c r="AN720" s="2"/>
    </row>
    <row r="721" spans="1:40" ht="12.75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170"/>
      <c r="L721" s="170"/>
      <c r="M721" s="2"/>
      <c r="N721" s="2"/>
      <c r="O721" s="171"/>
      <c r="P721" s="171"/>
      <c r="Q721" s="2"/>
      <c r="R721" s="6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171"/>
      <c r="AG721" s="2"/>
      <c r="AH721" s="2"/>
      <c r="AI721" s="2"/>
      <c r="AJ721" s="2"/>
      <c r="AK721" s="2"/>
      <c r="AL721" s="2"/>
      <c r="AM721" s="2"/>
      <c r="AN721" s="2"/>
    </row>
    <row r="722" spans="1:40" ht="12.75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170"/>
      <c r="L722" s="170"/>
      <c r="M722" s="2"/>
      <c r="N722" s="2"/>
      <c r="O722" s="171"/>
      <c r="P722" s="171"/>
      <c r="Q722" s="2"/>
      <c r="R722" s="6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171"/>
      <c r="AG722" s="2"/>
      <c r="AH722" s="2"/>
      <c r="AI722" s="2"/>
      <c r="AJ722" s="2"/>
      <c r="AK722" s="2"/>
      <c r="AL722" s="2"/>
      <c r="AM722" s="2"/>
      <c r="AN722" s="2"/>
    </row>
    <row r="723" spans="1:40" ht="12.75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170"/>
      <c r="L723" s="170"/>
      <c r="M723" s="2"/>
      <c r="N723" s="2"/>
      <c r="O723" s="171"/>
      <c r="P723" s="171"/>
      <c r="Q723" s="2"/>
      <c r="R723" s="6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171"/>
      <c r="AG723" s="2"/>
      <c r="AH723" s="2"/>
      <c r="AI723" s="2"/>
      <c r="AJ723" s="2"/>
      <c r="AK723" s="2"/>
      <c r="AL723" s="2"/>
      <c r="AM723" s="2"/>
      <c r="AN723" s="2"/>
    </row>
    <row r="724" spans="1:40" ht="12.75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170"/>
      <c r="L724" s="170"/>
      <c r="M724" s="2"/>
      <c r="N724" s="2"/>
      <c r="O724" s="171"/>
      <c r="P724" s="171"/>
      <c r="Q724" s="2"/>
      <c r="R724" s="6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171"/>
      <c r="AG724" s="2"/>
      <c r="AH724" s="2"/>
      <c r="AI724" s="2"/>
      <c r="AJ724" s="2"/>
      <c r="AK724" s="2"/>
      <c r="AL724" s="2"/>
      <c r="AM724" s="2"/>
      <c r="AN724" s="2"/>
    </row>
    <row r="725" spans="1:40" ht="12.75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170"/>
      <c r="L725" s="170"/>
      <c r="M725" s="2"/>
      <c r="N725" s="2"/>
      <c r="O725" s="171"/>
      <c r="P725" s="171"/>
      <c r="Q725" s="2"/>
      <c r="R725" s="6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171"/>
      <c r="AG725" s="2"/>
      <c r="AH725" s="2"/>
      <c r="AI725" s="2"/>
      <c r="AJ725" s="2"/>
      <c r="AK725" s="2"/>
      <c r="AL725" s="2"/>
      <c r="AM725" s="2"/>
      <c r="AN725" s="2"/>
    </row>
    <row r="726" spans="1:40" ht="12.75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170"/>
      <c r="L726" s="170"/>
      <c r="M726" s="2"/>
      <c r="N726" s="2"/>
      <c r="O726" s="171"/>
      <c r="P726" s="171"/>
      <c r="Q726" s="2"/>
      <c r="R726" s="6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171"/>
      <c r="AG726" s="2"/>
      <c r="AH726" s="2"/>
      <c r="AI726" s="2"/>
      <c r="AJ726" s="2"/>
      <c r="AK726" s="2"/>
      <c r="AL726" s="2"/>
      <c r="AM726" s="2"/>
      <c r="AN726" s="2"/>
    </row>
    <row r="727" spans="1:40" ht="12.75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170"/>
      <c r="L727" s="170"/>
      <c r="M727" s="2"/>
      <c r="N727" s="2"/>
      <c r="O727" s="171"/>
      <c r="P727" s="171"/>
      <c r="Q727" s="2"/>
      <c r="R727" s="6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171"/>
      <c r="AG727" s="2"/>
      <c r="AH727" s="2"/>
      <c r="AI727" s="2"/>
      <c r="AJ727" s="2"/>
      <c r="AK727" s="2"/>
      <c r="AL727" s="2"/>
      <c r="AM727" s="2"/>
      <c r="AN727" s="2"/>
    </row>
    <row r="728" spans="1:40" ht="12.75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170"/>
      <c r="L728" s="170"/>
      <c r="M728" s="2"/>
      <c r="N728" s="2"/>
      <c r="O728" s="171"/>
      <c r="P728" s="171"/>
      <c r="Q728" s="2"/>
      <c r="R728" s="6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171"/>
      <c r="AG728" s="2"/>
      <c r="AH728" s="2"/>
      <c r="AI728" s="2"/>
      <c r="AJ728" s="2"/>
      <c r="AK728" s="2"/>
      <c r="AL728" s="2"/>
      <c r="AM728" s="2"/>
      <c r="AN728" s="2"/>
    </row>
    <row r="729" spans="1:40" ht="12.75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170"/>
      <c r="L729" s="170"/>
      <c r="M729" s="2"/>
      <c r="N729" s="2"/>
      <c r="O729" s="171"/>
      <c r="P729" s="171"/>
      <c r="Q729" s="2"/>
      <c r="R729" s="6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171"/>
      <c r="AG729" s="2"/>
      <c r="AH729" s="2"/>
      <c r="AI729" s="2"/>
      <c r="AJ729" s="2"/>
      <c r="AK729" s="2"/>
      <c r="AL729" s="2"/>
      <c r="AM729" s="2"/>
      <c r="AN729" s="2"/>
    </row>
    <row r="730" spans="1:40" ht="12.75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170"/>
      <c r="L730" s="170"/>
      <c r="M730" s="2"/>
      <c r="N730" s="2"/>
      <c r="O730" s="171"/>
      <c r="P730" s="171"/>
      <c r="Q730" s="2"/>
      <c r="R730" s="6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171"/>
      <c r="AG730" s="2"/>
      <c r="AH730" s="2"/>
      <c r="AI730" s="2"/>
      <c r="AJ730" s="2"/>
      <c r="AK730" s="2"/>
      <c r="AL730" s="2"/>
      <c r="AM730" s="2"/>
      <c r="AN730" s="2"/>
    </row>
    <row r="731" spans="1:40" ht="12.75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170"/>
      <c r="L731" s="170"/>
      <c r="M731" s="2"/>
      <c r="N731" s="2"/>
      <c r="O731" s="171"/>
      <c r="P731" s="171"/>
      <c r="Q731" s="2"/>
      <c r="R731" s="6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171"/>
      <c r="AG731" s="2"/>
      <c r="AH731" s="2"/>
      <c r="AI731" s="2"/>
      <c r="AJ731" s="2"/>
      <c r="AK731" s="2"/>
      <c r="AL731" s="2"/>
      <c r="AM731" s="2"/>
      <c r="AN731" s="2"/>
    </row>
    <row r="732" spans="1:40" ht="12.75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170"/>
      <c r="L732" s="170"/>
      <c r="M732" s="2"/>
      <c r="N732" s="2"/>
      <c r="O732" s="171"/>
      <c r="P732" s="171"/>
      <c r="Q732" s="2"/>
      <c r="R732" s="6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171"/>
      <c r="AG732" s="2"/>
      <c r="AH732" s="2"/>
      <c r="AI732" s="2"/>
      <c r="AJ732" s="2"/>
      <c r="AK732" s="2"/>
      <c r="AL732" s="2"/>
      <c r="AM732" s="2"/>
      <c r="AN732" s="2"/>
    </row>
    <row r="733" spans="1:40" ht="12.75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170"/>
      <c r="L733" s="170"/>
      <c r="M733" s="2"/>
      <c r="N733" s="2"/>
      <c r="O733" s="171"/>
      <c r="P733" s="171"/>
      <c r="Q733" s="2"/>
      <c r="R733" s="6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171"/>
      <c r="AG733" s="2"/>
      <c r="AH733" s="2"/>
      <c r="AI733" s="2"/>
      <c r="AJ733" s="2"/>
      <c r="AK733" s="2"/>
      <c r="AL733" s="2"/>
      <c r="AM733" s="2"/>
      <c r="AN733" s="2"/>
    </row>
    <row r="734" spans="1:40" ht="12.75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170"/>
      <c r="L734" s="170"/>
      <c r="M734" s="2"/>
      <c r="N734" s="2"/>
      <c r="O734" s="171"/>
      <c r="P734" s="171"/>
      <c r="Q734" s="2"/>
      <c r="R734" s="6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171"/>
      <c r="AG734" s="2"/>
      <c r="AH734" s="2"/>
      <c r="AI734" s="2"/>
      <c r="AJ734" s="2"/>
      <c r="AK734" s="2"/>
      <c r="AL734" s="2"/>
      <c r="AM734" s="2"/>
      <c r="AN734" s="2"/>
    </row>
    <row r="735" spans="1:40" ht="12.75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170"/>
      <c r="L735" s="170"/>
      <c r="M735" s="2"/>
      <c r="N735" s="2"/>
      <c r="O735" s="171"/>
      <c r="P735" s="171"/>
      <c r="Q735" s="2"/>
      <c r="R735" s="6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171"/>
      <c r="AG735" s="2"/>
      <c r="AH735" s="2"/>
      <c r="AI735" s="2"/>
      <c r="AJ735" s="2"/>
      <c r="AK735" s="2"/>
      <c r="AL735" s="2"/>
      <c r="AM735" s="2"/>
      <c r="AN735" s="2"/>
    </row>
    <row r="736" spans="1:40" ht="12.75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170"/>
      <c r="L736" s="170"/>
      <c r="M736" s="2"/>
      <c r="N736" s="2"/>
      <c r="O736" s="171"/>
      <c r="P736" s="171"/>
      <c r="Q736" s="2"/>
      <c r="R736" s="6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171"/>
      <c r="AG736" s="2"/>
      <c r="AH736" s="2"/>
      <c r="AI736" s="2"/>
      <c r="AJ736" s="2"/>
      <c r="AK736" s="2"/>
      <c r="AL736" s="2"/>
      <c r="AM736" s="2"/>
      <c r="AN736" s="2"/>
    </row>
    <row r="737" spans="1:40" ht="12.75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170"/>
      <c r="L737" s="170"/>
      <c r="M737" s="2"/>
      <c r="N737" s="2"/>
      <c r="O737" s="171"/>
      <c r="P737" s="171"/>
      <c r="Q737" s="2"/>
      <c r="R737" s="6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171"/>
      <c r="AG737" s="2"/>
      <c r="AH737" s="2"/>
      <c r="AI737" s="2"/>
      <c r="AJ737" s="2"/>
      <c r="AK737" s="2"/>
      <c r="AL737" s="2"/>
      <c r="AM737" s="2"/>
      <c r="AN737" s="2"/>
    </row>
    <row r="738" spans="1:40" ht="12.75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170"/>
      <c r="L738" s="170"/>
      <c r="M738" s="2"/>
      <c r="N738" s="2"/>
      <c r="O738" s="171"/>
      <c r="P738" s="171"/>
      <c r="Q738" s="2"/>
      <c r="R738" s="6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171"/>
      <c r="AG738" s="2"/>
      <c r="AH738" s="2"/>
      <c r="AI738" s="2"/>
      <c r="AJ738" s="2"/>
      <c r="AK738" s="2"/>
      <c r="AL738" s="2"/>
      <c r="AM738" s="2"/>
      <c r="AN738" s="2"/>
    </row>
    <row r="739" spans="1:40" ht="12.75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170"/>
      <c r="L739" s="170"/>
      <c r="M739" s="2"/>
      <c r="N739" s="2"/>
      <c r="O739" s="171"/>
      <c r="P739" s="171"/>
      <c r="Q739" s="2"/>
      <c r="R739" s="6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171"/>
      <c r="AG739" s="2"/>
      <c r="AH739" s="2"/>
      <c r="AI739" s="2"/>
      <c r="AJ739" s="2"/>
      <c r="AK739" s="2"/>
      <c r="AL739" s="2"/>
      <c r="AM739" s="2"/>
      <c r="AN739" s="2"/>
    </row>
    <row r="740" spans="1:40" ht="12.75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170"/>
      <c r="L740" s="170"/>
      <c r="M740" s="2"/>
      <c r="N740" s="2"/>
      <c r="O740" s="171"/>
      <c r="P740" s="171"/>
      <c r="Q740" s="2"/>
      <c r="R740" s="6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171"/>
      <c r="AG740" s="2"/>
      <c r="AH740" s="2"/>
      <c r="AI740" s="2"/>
      <c r="AJ740" s="2"/>
      <c r="AK740" s="2"/>
      <c r="AL740" s="2"/>
      <c r="AM740" s="2"/>
      <c r="AN740" s="2"/>
    </row>
    <row r="741" spans="1:40" ht="12.75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170"/>
      <c r="L741" s="170"/>
      <c r="M741" s="2"/>
      <c r="N741" s="2"/>
      <c r="O741" s="171"/>
      <c r="P741" s="171"/>
      <c r="Q741" s="2"/>
      <c r="R741" s="6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171"/>
      <c r="AG741" s="2"/>
      <c r="AH741" s="2"/>
      <c r="AI741" s="2"/>
      <c r="AJ741" s="2"/>
      <c r="AK741" s="2"/>
      <c r="AL741" s="2"/>
      <c r="AM741" s="2"/>
      <c r="AN741" s="2"/>
    </row>
    <row r="742" spans="1:40" ht="12.75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170"/>
      <c r="L742" s="170"/>
      <c r="M742" s="2"/>
      <c r="N742" s="2"/>
      <c r="O742" s="171"/>
      <c r="P742" s="171"/>
      <c r="Q742" s="2"/>
      <c r="R742" s="6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171"/>
      <c r="AG742" s="2"/>
      <c r="AH742" s="2"/>
      <c r="AI742" s="2"/>
      <c r="AJ742" s="2"/>
      <c r="AK742" s="2"/>
      <c r="AL742" s="2"/>
      <c r="AM742" s="2"/>
      <c r="AN742" s="2"/>
    </row>
    <row r="743" spans="1:40" ht="12.75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170"/>
      <c r="L743" s="170"/>
      <c r="M743" s="2"/>
      <c r="N743" s="2"/>
      <c r="O743" s="171"/>
      <c r="P743" s="171"/>
      <c r="Q743" s="2"/>
      <c r="R743" s="6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171"/>
      <c r="AG743" s="2"/>
      <c r="AH743" s="2"/>
      <c r="AI743" s="2"/>
      <c r="AJ743" s="2"/>
      <c r="AK743" s="2"/>
      <c r="AL743" s="2"/>
      <c r="AM743" s="2"/>
      <c r="AN743" s="2"/>
    </row>
    <row r="744" spans="1:40" ht="12.75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170"/>
      <c r="L744" s="170"/>
      <c r="M744" s="2"/>
      <c r="N744" s="2"/>
      <c r="O744" s="171"/>
      <c r="P744" s="171"/>
      <c r="Q744" s="2"/>
      <c r="R744" s="6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171"/>
      <c r="AG744" s="2"/>
      <c r="AH744" s="2"/>
      <c r="AI744" s="2"/>
      <c r="AJ744" s="2"/>
      <c r="AK744" s="2"/>
      <c r="AL744" s="2"/>
      <c r="AM744" s="2"/>
      <c r="AN744" s="2"/>
    </row>
    <row r="745" spans="1:40" ht="12.75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170"/>
      <c r="L745" s="170"/>
      <c r="M745" s="2"/>
      <c r="N745" s="2"/>
      <c r="O745" s="171"/>
      <c r="P745" s="171"/>
      <c r="Q745" s="2"/>
      <c r="R745" s="6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171"/>
      <c r="AG745" s="2"/>
      <c r="AH745" s="2"/>
      <c r="AI745" s="2"/>
      <c r="AJ745" s="2"/>
      <c r="AK745" s="2"/>
      <c r="AL745" s="2"/>
      <c r="AM745" s="2"/>
      <c r="AN745" s="2"/>
    </row>
    <row r="746" spans="1:40" ht="12.75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170"/>
      <c r="L746" s="170"/>
      <c r="M746" s="2"/>
      <c r="N746" s="2"/>
      <c r="O746" s="171"/>
      <c r="P746" s="171"/>
      <c r="Q746" s="2"/>
      <c r="R746" s="6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171"/>
      <c r="AG746" s="2"/>
      <c r="AH746" s="2"/>
      <c r="AI746" s="2"/>
      <c r="AJ746" s="2"/>
      <c r="AK746" s="2"/>
      <c r="AL746" s="2"/>
      <c r="AM746" s="2"/>
      <c r="AN746" s="2"/>
    </row>
    <row r="747" spans="1:40" ht="12.75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170"/>
      <c r="L747" s="170"/>
      <c r="M747" s="2"/>
      <c r="N747" s="2"/>
      <c r="O747" s="171"/>
      <c r="P747" s="171"/>
      <c r="Q747" s="2"/>
      <c r="R747" s="6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171"/>
      <c r="AG747" s="2"/>
      <c r="AH747" s="2"/>
      <c r="AI747" s="2"/>
      <c r="AJ747" s="2"/>
      <c r="AK747" s="2"/>
      <c r="AL747" s="2"/>
      <c r="AM747" s="2"/>
      <c r="AN747" s="2"/>
    </row>
    <row r="748" spans="1:40" ht="12.75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170"/>
      <c r="L748" s="170"/>
      <c r="M748" s="2"/>
      <c r="N748" s="2"/>
      <c r="O748" s="171"/>
      <c r="P748" s="171"/>
      <c r="Q748" s="2"/>
      <c r="R748" s="6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171"/>
      <c r="AG748" s="2"/>
      <c r="AH748" s="2"/>
      <c r="AI748" s="2"/>
      <c r="AJ748" s="2"/>
      <c r="AK748" s="2"/>
      <c r="AL748" s="2"/>
      <c r="AM748" s="2"/>
      <c r="AN748" s="2"/>
    </row>
    <row r="749" spans="1:40" ht="12.75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170"/>
      <c r="L749" s="170"/>
      <c r="M749" s="2"/>
      <c r="N749" s="2"/>
      <c r="O749" s="171"/>
      <c r="P749" s="171"/>
      <c r="Q749" s="2"/>
      <c r="R749" s="6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171"/>
      <c r="AG749" s="2"/>
      <c r="AH749" s="2"/>
      <c r="AI749" s="2"/>
      <c r="AJ749" s="2"/>
      <c r="AK749" s="2"/>
      <c r="AL749" s="2"/>
      <c r="AM749" s="2"/>
      <c r="AN749" s="2"/>
    </row>
    <row r="750" spans="1:40" ht="12.75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170"/>
      <c r="L750" s="170"/>
      <c r="M750" s="2"/>
      <c r="N750" s="2"/>
      <c r="O750" s="171"/>
      <c r="P750" s="171"/>
      <c r="Q750" s="2"/>
      <c r="R750" s="6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171"/>
      <c r="AG750" s="2"/>
      <c r="AH750" s="2"/>
      <c r="AI750" s="2"/>
      <c r="AJ750" s="2"/>
      <c r="AK750" s="2"/>
      <c r="AL750" s="2"/>
      <c r="AM750" s="2"/>
      <c r="AN750" s="2"/>
    </row>
    <row r="751" spans="1:40" ht="12.75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170"/>
      <c r="L751" s="170"/>
      <c r="M751" s="2"/>
      <c r="N751" s="2"/>
      <c r="O751" s="171"/>
      <c r="P751" s="171"/>
      <c r="Q751" s="2"/>
      <c r="R751" s="6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171"/>
      <c r="AG751" s="2"/>
      <c r="AH751" s="2"/>
      <c r="AI751" s="2"/>
      <c r="AJ751" s="2"/>
      <c r="AK751" s="2"/>
      <c r="AL751" s="2"/>
      <c r="AM751" s="2"/>
      <c r="AN751" s="2"/>
    </row>
    <row r="752" spans="1:40" ht="12.75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170"/>
      <c r="L752" s="170"/>
      <c r="M752" s="2"/>
      <c r="N752" s="2"/>
      <c r="O752" s="171"/>
      <c r="P752" s="171"/>
      <c r="Q752" s="2"/>
      <c r="R752" s="6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171"/>
      <c r="AG752" s="2"/>
      <c r="AH752" s="2"/>
      <c r="AI752" s="2"/>
      <c r="AJ752" s="2"/>
      <c r="AK752" s="2"/>
      <c r="AL752" s="2"/>
      <c r="AM752" s="2"/>
      <c r="AN752" s="2"/>
    </row>
    <row r="753" spans="1:40" ht="12.75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170"/>
      <c r="L753" s="170"/>
      <c r="M753" s="2"/>
      <c r="N753" s="2"/>
      <c r="O753" s="171"/>
      <c r="P753" s="171"/>
      <c r="Q753" s="2"/>
      <c r="R753" s="6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171"/>
      <c r="AG753" s="2"/>
      <c r="AH753" s="2"/>
      <c r="AI753" s="2"/>
      <c r="AJ753" s="2"/>
      <c r="AK753" s="2"/>
      <c r="AL753" s="2"/>
      <c r="AM753" s="2"/>
      <c r="AN753" s="2"/>
    </row>
    <row r="754" spans="1:40" ht="12.75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170"/>
      <c r="L754" s="170"/>
      <c r="M754" s="2"/>
      <c r="N754" s="2"/>
      <c r="O754" s="171"/>
      <c r="P754" s="171"/>
      <c r="Q754" s="2"/>
      <c r="R754" s="6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171"/>
      <c r="AG754" s="2"/>
      <c r="AH754" s="2"/>
      <c r="AI754" s="2"/>
      <c r="AJ754" s="2"/>
      <c r="AK754" s="2"/>
      <c r="AL754" s="2"/>
      <c r="AM754" s="2"/>
      <c r="AN754" s="2"/>
    </row>
    <row r="755" spans="1:40" ht="12.75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170"/>
      <c r="L755" s="170"/>
      <c r="M755" s="2"/>
      <c r="N755" s="2"/>
      <c r="O755" s="171"/>
      <c r="P755" s="171"/>
      <c r="Q755" s="2"/>
      <c r="R755" s="6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171"/>
      <c r="AG755" s="2"/>
      <c r="AH755" s="2"/>
      <c r="AI755" s="2"/>
      <c r="AJ755" s="2"/>
      <c r="AK755" s="2"/>
      <c r="AL755" s="2"/>
      <c r="AM755" s="2"/>
      <c r="AN755" s="2"/>
    </row>
    <row r="756" spans="1:40" ht="12.75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170"/>
      <c r="L756" s="170"/>
      <c r="M756" s="2"/>
      <c r="N756" s="2"/>
      <c r="O756" s="171"/>
      <c r="P756" s="171"/>
      <c r="Q756" s="2"/>
      <c r="R756" s="6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171"/>
      <c r="AG756" s="2"/>
      <c r="AH756" s="2"/>
      <c r="AI756" s="2"/>
      <c r="AJ756" s="2"/>
      <c r="AK756" s="2"/>
      <c r="AL756" s="2"/>
      <c r="AM756" s="2"/>
      <c r="AN756" s="2"/>
    </row>
    <row r="757" spans="1:40" ht="12.75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170"/>
      <c r="L757" s="170"/>
      <c r="M757" s="2"/>
      <c r="N757" s="2"/>
      <c r="O757" s="171"/>
      <c r="P757" s="171"/>
      <c r="Q757" s="2"/>
      <c r="R757" s="6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171"/>
      <c r="AG757" s="2"/>
      <c r="AH757" s="2"/>
      <c r="AI757" s="2"/>
      <c r="AJ757" s="2"/>
      <c r="AK757" s="2"/>
      <c r="AL757" s="2"/>
      <c r="AM757" s="2"/>
      <c r="AN757" s="2"/>
    </row>
    <row r="758" spans="1:40" ht="12.75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170"/>
      <c r="L758" s="170"/>
      <c r="M758" s="2"/>
      <c r="N758" s="2"/>
      <c r="O758" s="171"/>
      <c r="P758" s="171"/>
      <c r="Q758" s="2"/>
      <c r="R758" s="6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171"/>
      <c r="AG758" s="2"/>
      <c r="AH758" s="2"/>
      <c r="AI758" s="2"/>
      <c r="AJ758" s="2"/>
      <c r="AK758" s="2"/>
      <c r="AL758" s="2"/>
      <c r="AM758" s="2"/>
      <c r="AN758" s="2"/>
    </row>
    <row r="759" spans="1:40" ht="12.75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170"/>
      <c r="L759" s="170"/>
      <c r="M759" s="2"/>
      <c r="N759" s="2"/>
      <c r="O759" s="171"/>
      <c r="P759" s="171"/>
      <c r="Q759" s="2"/>
      <c r="R759" s="6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171"/>
      <c r="AG759" s="2"/>
      <c r="AH759" s="2"/>
      <c r="AI759" s="2"/>
      <c r="AJ759" s="2"/>
      <c r="AK759" s="2"/>
      <c r="AL759" s="2"/>
      <c r="AM759" s="2"/>
      <c r="AN759" s="2"/>
    </row>
    <row r="760" spans="1:40" ht="12.75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170"/>
      <c r="L760" s="170"/>
      <c r="M760" s="2"/>
      <c r="N760" s="2"/>
      <c r="O760" s="171"/>
      <c r="P760" s="171"/>
      <c r="Q760" s="2"/>
      <c r="R760" s="6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171"/>
      <c r="AG760" s="2"/>
      <c r="AH760" s="2"/>
      <c r="AI760" s="2"/>
      <c r="AJ760" s="2"/>
      <c r="AK760" s="2"/>
      <c r="AL760" s="2"/>
      <c r="AM760" s="2"/>
      <c r="AN760" s="2"/>
    </row>
    <row r="761" spans="1:40" ht="12.75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170"/>
      <c r="L761" s="170"/>
      <c r="M761" s="2"/>
      <c r="N761" s="2"/>
      <c r="O761" s="171"/>
      <c r="P761" s="171"/>
      <c r="Q761" s="2"/>
      <c r="R761" s="6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171"/>
      <c r="AG761" s="2"/>
      <c r="AH761" s="2"/>
      <c r="AI761" s="2"/>
      <c r="AJ761" s="2"/>
      <c r="AK761" s="2"/>
      <c r="AL761" s="2"/>
      <c r="AM761" s="2"/>
      <c r="AN761" s="2"/>
    </row>
    <row r="762" spans="1:40" ht="12.75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170"/>
      <c r="L762" s="170"/>
      <c r="M762" s="2"/>
      <c r="N762" s="2"/>
      <c r="O762" s="171"/>
      <c r="P762" s="171"/>
      <c r="Q762" s="2"/>
      <c r="R762" s="6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171"/>
      <c r="AG762" s="2"/>
      <c r="AH762" s="2"/>
      <c r="AI762" s="2"/>
      <c r="AJ762" s="2"/>
      <c r="AK762" s="2"/>
      <c r="AL762" s="2"/>
      <c r="AM762" s="2"/>
      <c r="AN762" s="2"/>
    </row>
    <row r="763" spans="1:40" ht="12.75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170"/>
      <c r="L763" s="170"/>
      <c r="M763" s="2"/>
      <c r="N763" s="2"/>
      <c r="O763" s="171"/>
      <c r="P763" s="171"/>
      <c r="Q763" s="2"/>
      <c r="R763" s="6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171"/>
      <c r="AG763" s="2"/>
      <c r="AH763" s="2"/>
      <c r="AI763" s="2"/>
      <c r="AJ763" s="2"/>
      <c r="AK763" s="2"/>
      <c r="AL763" s="2"/>
      <c r="AM763" s="2"/>
      <c r="AN763" s="2"/>
    </row>
    <row r="764" spans="1:40" ht="12.75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170"/>
      <c r="L764" s="170"/>
      <c r="M764" s="2"/>
      <c r="N764" s="2"/>
      <c r="O764" s="171"/>
      <c r="P764" s="171"/>
      <c r="Q764" s="2"/>
      <c r="R764" s="6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171"/>
      <c r="AG764" s="2"/>
      <c r="AH764" s="2"/>
      <c r="AI764" s="2"/>
      <c r="AJ764" s="2"/>
      <c r="AK764" s="2"/>
      <c r="AL764" s="2"/>
      <c r="AM764" s="2"/>
      <c r="AN764" s="2"/>
    </row>
    <row r="765" spans="1:40" ht="12.75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170"/>
      <c r="L765" s="170"/>
      <c r="M765" s="2"/>
      <c r="N765" s="2"/>
      <c r="O765" s="171"/>
      <c r="P765" s="171"/>
      <c r="Q765" s="2"/>
      <c r="R765" s="6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171"/>
      <c r="AG765" s="2"/>
      <c r="AH765" s="2"/>
      <c r="AI765" s="2"/>
      <c r="AJ765" s="2"/>
      <c r="AK765" s="2"/>
      <c r="AL765" s="2"/>
      <c r="AM765" s="2"/>
      <c r="AN765" s="2"/>
    </row>
    <row r="766" spans="1:40" ht="12.75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170"/>
      <c r="L766" s="170"/>
      <c r="M766" s="2"/>
      <c r="N766" s="2"/>
      <c r="O766" s="171"/>
      <c r="P766" s="171"/>
      <c r="Q766" s="2"/>
      <c r="R766" s="6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171"/>
      <c r="AG766" s="2"/>
      <c r="AH766" s="2"/>
      <c r="AI766" s="2"/>
      <c r="AJ766" s="2"/>
      <c r="AK766" s="2"/>
      <c r="AL766" s="2"/>
      <c r="AM766" s="2"/>
      <c r="AN766" s="2"/>
    </row>
    <row r="767" spans="1:40" ht="12.75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170"/>
      <c r="L767" s="170"/>
      <c r="M767" s="2"/>
      <c r="N767" s="2"/>
      <c r="O767" s="171"/>
      <c r="P767" s="171"/>
      <c r="Q767" s="2"/>
      <c r="R767" s="6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171"/>
      <c r="AG767" s="2"/>
      <c r="AH767" s="2"/>
      <c r="AI767" s="2"/>
      <c r="AJ767" s="2"/>
      <c r="AK767" s="2"/>
      <c r="AL767" s="2"/>
      <c r="AM767" s="2"/>
      <c r="AN767" s="2"/>
    </row>
    <row r="768" spans="1:40" ht="12.75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170"/>
      <c r="L768" s="170"/>
      <c r="M768" s="2"/>
      <c r="N768" s="2"/>
      <c r="O768" s="171"/>
      <c r="P768" s="171"/>
      <c r="Q768" s="2"/>
      <c r="R768" s="6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171"/>
      <c r="AG768" s="2"/>
      <c r="AH768" s="2"/>
      <c r="AI768" s="2"/>
      <c r="AJ768" s="2"/>
      <c r="AK768" s="2"/>
      <c r="AL768" s="2"/>
      <c r="AM768" s="2"/>
      <c r="AN768" s="2"/>
    </row>
    <row r="769" spans="1:40" ht="12.75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170"/>
      <c r="L769" s="170"/>
      <c r="M769" s="2"/>
      <c r="N769" s="2"/>
      <c r="O769" s="171"/>
      <c r="P769" s="171"/>
      <c r="Q769" s="2"/>
      <c r="R769" s="6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171"/>
      <c r="AG769" s="2"/>
      <c r="AH769" s="2"/>
      <c r="AI769" s="2"/>
      <c r="AJ769" s="2"/>
      <c r="AK769" s="2"/>
      <c r="AL769" s="2"/>
      <c r="AM769" s="2"/>
      <c r="AN769" s="2"/>
    </row>
    <row r="770" spans="1:40" ht="12.75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170"/>
      <c r="L770" s="170"/>
      <c r="M770" s="2"/>
      <c r="N770" s="2"/>
      <c r="O770" s="171"/>
      <c r="P770" s="171"/>
      <c r="Q770" s="2"/>
      <c r="R770" s="6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171"/>
      <c r="AG770" s="2"/>
      <c r="AH770" s="2"/>
      <c r="AI770" s="2"/>
      <c r="AJ770" s="2"/>
      <c r="AK770" s="2"/>
      <c r="AL770" s="2"/>
      <c r="AM770" s="2"/>
      <c r="AN770" s="2"/>
    </row>
    <row r="771" spans="1:40" ht="12.75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170"/>
      <c r="L771" s="170"/>
      <c r="M771" s="2"/>
      <c r="N771" s="2"/>
      <c r="O771" s="171"/>
      <c r="P771" s="171"/>
      <c r="Q771" s="2"/>
      <c r="R771" s="6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171"/>
      <c r="AG771" s="2"/>
      <c r="AH771" s="2"/>
      <c r="AI771" s="2"/>
      <c r="AJ771" s="2"/>
      <c r="AK771" s="2"/>
      <c r="AL771" s="2"/>
      <c r="AM771" s="2"/>
      <c r="AN771" s="2"/>
    </row>
    <row r="772" spans="1:40" ht="12.75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170"/>
      <c r="L772" s="170"/>
      <c r="M772" s="2"/>
      <c r="N772" s="2"/>
      <c r="O772" s="171"/>
      <c r="P772" s="171"/>
      <c r="Q772" s="2"/>
      <c r="R772" s="6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171"/>
      <c r="AG772" s="2"/>
      <c r="AH772" s="2"/>
      <c r="AI772" s="2"/>
      <c r="AJ772" s="2"/>
      <c r="AK772" s="2"/>
      <c r="AL772" s="2"/>
      <c r="AM772" s="2"/>
      <c r="AN772" s="2"/>
    </row>
    <row r="773" spans="1:40" ht="12.75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170"/>
      <c r="L773" s="170"/>
      <c r="M773" s="2"/>
      <c r="N773" s="2"/>
      <c r="O773" s="171"/>
      <c r="P773" s="171"/>
      <c r="Q773" s="2"/>
      <c r="R773" s="6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171"/>
      <c r="AG773" s="2"/>
      <c r="AH773" s="2"/>
      <c r="AI773" s="2"/>
      <c r="AJ773" s="2"/>
      <c r="AK773" s="2"/>
      <c r="AL773" s="2"/>
      <c r="AM773" s="2"/>
      <c r="AN773" s="2"/>
    </row>
    <row r="774" spans="1:40" ht="12.75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170"/>
      <c r="L774" s="170"/>
      <c r="M774" s="2"/>
      <c r="N774" s="2"/>
      <c r="O774" s="171"/>
      <c r="P774" s="171"/>
      <c r="Q774" s="2"/>
      <c r="R774" s="6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171"/>
      <c r="AG774" s="2"/>
      <c r="AH774" s="2"/>
      <c r="AI774" s="2"/>
      <c r="AJ774" s="2"/>
      <c r="AK774" s="2"/>
      <c r="AL774" s="2"/>
      <c r="AM774" s="2"/>
      <c r="AN774" s="2"/>
    </row>
    <row r="775" spans="1:40" ht="12.75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170"/>
      <c r="L775" s="170"/>
      <c r="M775" s="2"/>
      <c r="N775" s="2"/>
      <c r="O775" s="171"/>
      <c r="P775" s="171"/>
      <c r="Q775" s="2"/>
      <c r="R775" s="6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171"/>
      <c r="AG775" s="2"/>
      <c r="AH775" s="2"/>
      <c r="AI775" s="2"/>
      <c r="AJ775" s="2"/>
      <c r="AK775" s="2"/>
      <c r="AL775" s="2"/>
      <c r="AM775" s="2"/>
      <c r="AN775" s="2"/>
    </row>
    <row r="776" spans="1:40" ht="12.75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170"/>
      <c r="L776" s="170"/>
      <c r="M776" s="2"/>
      <c r="N776" s="2"/>
      <c r="O776" s="171"/>
      <c r="P776" s="171"/>
      <c r="Q776" s="2"/>
      <c r="R776" s="6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171"/>
      <c r="AG776" s="2"/>
      <c r="AH776" s="2"/>
      <c r="AI776" s="2"/>
      <c r="AJ776" s="2"/>
      <c r="AK776" s="2"/>
      <c r="AL776" s="2"/>
      <c r="AM776" s="2"/>
      <c r="AN776" s="2"/>
    </row>
    <row r="777" spans="1:40" ht="12.75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170"/>
      <c r="L777" s="170"/>
      <c r="M777" s="2"/>
      <c r="N777" s="2"/>
      <c r="O777" s="171"/>
      <c r="P777" s="171"/>
      <c r="Q777" s="2"/>
      <c r="R777" s="6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171"/>
      <c r="AG777" s="2"/>
      <c r="AH777" s="2"/>
      <c r="AI777" s="2"/>
      <c r="AJ777" s="2"/>
      <c r="AK777" s="2"/>
      <c r="AL777" s="2"/>
      <c r="AM777" s="2"/>
      <c r="AN777" s="2"/>
    </row>
    <row r="778" spans="1:40" ht="12.75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170"/>
      <c r="L778" s="170"/>
      <c r="M778" s="2"/>
      <c r="N778" s="2"/>
      <c r="O778" s="171"/>
      <c r="P778" s="171"/>
      <c r="Q778" s="2"/>
      <c r="R778" s="6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171"/>
      <c r="AG778" s="2"/>
      <c r="AH778" s="2"/>
      <c r="AI778" s="2"/>
      <c r="AJ778" s="2"/>
      <c r="AK778" s="2"/>
      <c r="AL778" s="2"/>
      <c r="AM778" s="2"/>
      <c r="AN778" s="2"/>
    </row>
    <row r="779" spans="1:40" ht="12.75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170"/>
      <c r="L779" s="170"/>
      <c r="M779" s="2"/>
      <c r="N779" s="2"/>
      <c r="O779" s="171"/>
      <c r="P779" s="171"/>
      <c r="Q779" s="2"/>
      <c r="R779" s="6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171"/>
      <c r="AG779" s="2"/>
      <c r="AH779" s="2"/>
      <c r="AI779" s="2"/>
      <c r="AJ779" s="2"/>
      <c r="AK779" s="2"/>
      <c r="AL779" s="2"/>
      <c r="AM779" s="2"/>
      <c r="AN779" s="2"/>
    </row>
    <row r="780" spans="1:40" ht="12.75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170"/>
      <c r="L780" s="170"/>
      <c r="M780" s="2"/>
      <c r="N780" s="2"/>
      <c r="O780" s="171"/>
      <c r="P780" s="171"/>
      <c r="Q780" s="2"/>
      <c r="R780" s="6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171"/>
      <c r="AG780" s="2"/>
      <c r="AH780" s="2"/>
      <c r="AI780" s="2"/>
      <c r="AJ780" s="2"/>
      <c r="AK780" s="2"/>
      <c r="AL780" s="2"/>
      <c r="AM780" s="2"/>
      <c r="AN780" s="2"/>
    </row>
    <row r="781" spans="1:40" ht="12.75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170"/>
      <c r="L781" s="170"/>
      <c r="M781" s="2"/>
      <c r="N781" s="2"/>
      <c r="O781" s="171"/>
      <c r="P781" s="171"/>
      <c r="Q781" s="2"/>
      <c r="R781" s="6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171"/>
      <c r="AG781" s="2"/>
      <c r="AH781" s="2"/>
      <c r="AI781" s="2"/>
      <c r="AJ781" s="2"/>
      <c r="AK781" s="2"/>
      <c r="AL781" s="2"/>
      <c r="AM781" s="2"/>
      <c r="AN781" s="2"/>
    </row>
    <row r="782" spans="1:40" ht="12.75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170"/>
      <c r="L782" s="170"/>
      <c r="M782" s="2"/>
      <c r="N782" s="2"/>
      <c r="O782" s="171"/>
      <c r="P782" s="171"/>
      <c r="Q782" s="2"/>
      <c r="R782" s="6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171"/>
      <c r="AG782" s="2"/>
      <c r="AH782" s="2"/>
      <c r="AI782" s="2"/>
      <c r="AJ782" s="2"/>
      <c r="AK782" s="2"/>
      <c r="AL782" s="2"/>
      <c r="AM782" s="2"/>
      <c r="AN782" s="2"/>
    </row>
    <row r="783" spans="1:40" ht="12.75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170"/>
      <c r="L783" s="170"/>
      <c r="M783" s="2"/>
      <c r="N783" s="2"/>
      <c r="O783" s="171"/>
      <c r="P783" s="171"/>
      <c r="Q783" s="2"/>
      <c r="R783" s="6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171"/>
      <c r="AG783" s="2"/>
      <c r="AH783" s="2"/>
      <c r="AI783" s="2"/>
      <c r="AJ783" s="2"/>
      <c r="AK783" s="2"/>
      <c r="AL783" s="2"/>
      <c r="AM783" s="2"/>
      <c r="AN783" s="2"/>
    </row>
    <row r="784" spans="1:40" ht="12.75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170"/>
      <c r="L784" s="170"/>
      <c r="M784" s="2"/>
      <c r="N784" s="2"/>
      <c r="O784" s="171"/>
      <c r="P784" s="171"/>
      <c r="Q784" s="2"/>
      <c r="R784" s="6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171"/>
      <c r="AG784" s="2"/>
      <c r="AH784" s="2"/>
      <c r="AI784" s="2"/>
      <c r="AJ784" s="2"/>
      <c r="AK784" s="2"/>
      <c r="AL784" s="2"/>
      <c r="AM784" s="2"/>
      <c r="AN784" s="2"/>
    </row>
    <row r="785" spans="1:40" ht="12.75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170"/>
      <c r="L785" s="170"/>
      <c r="M785" s="2"/>
      <c r="N785" s="2"/>
      <c r="O785" s="171"/>
      <c r="P785" s="171"/>
      <c r="Q785" s="2"/>
      <c r="R785" s="6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171"/>
      <c r="AG785" s="2"/>
      <c r="AH785" s="2"/>
      <c r="AI785" s="2"/>
      <c r="AJ785" s="2"/>
      <c r="AK785" s="2"/>
      <c r="AL785" s="2"/>
      <c r="AM785" s="2"/>
      <c r="AN785" s="2"/>
    </row>
    <row r="786" spans="1:40" ht="12.75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170"/>
      <c r="L786" s="170"/>
      <c r="M786" s="2"/>
      <c r="N786" s="2"/>
      <c r="O786" s="171"/>
      <c r="P786" s="171"/>
      <c r="Q786" s="2"/>
      <c r="R786" s="6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171"/>
      <c r="AG786" s="2"/>
      <c r="AH786" s="2"/>
      <c r="AI786" s="2"/>
      <c r="AJ786" s="2"/>
      <c r="AK786" s="2"/>
      <c r="AL786" s="2"/>
      <c r="AM786" s="2"/>
      <c r="AN786" s="2"/>
    </row>
    <row r="787" spans="1:40" ht="12.75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170"/>
      <c r="L787" s="170"/>
      <c r="M787" s="2"/>
      <c r="N787" s="2"/>
      <c r="O787" s="171"/>
      <c r="P787" s="171"/>
      <c r="Q787" s="2"/>
      <c r="R787" s="6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171"/>
      <c r="AG787" s="2"/>
      <c r="AH787" s="2"/>
      <c r="AI787" s="2"/>
      <c r="AJ787" s="2"/>
      <c r="AK787" s="2"/>
      <c r="AL787" s="2"/>
      <c r="AM787" s="2"/>
      <c r="AN787" s="2"/>
    </row>
    <row r="788" spans="1:40" ht="12.75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170"/>
      <c r="L788" s="170"/>
      <c r="M788" s="2"/>
      <c r="N788" s="2"/>
      <c r="O788" s="171"/>
      <c r="P788" s="171"/>
      <c r="Q788" s="2"/>
      <c r="R788" s="6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171"/>
      <c r="AG788" s="2"/>
      <c r="AH788" s="2"/>
      <c r="AI788" s="2"/>
      <c r="AJ788" s="2"/>
      <c r="AK788" s="2"/>
      <c r="AL788" s="2"/>
      <c r="AM788" s="2"/>
      <c r="AN788" s="2"/>
    </row>
    <row r="789" spans="1:40" ht="12.75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170"/>
      <c r="L789" s="170"/>
      <c r="M789" s="2"/>
      <c r="N789" s="2"/>
      <c r="O789" s="171"/>
      <c r="P789" s="171"/>
      <c r="Q789" s="2"/>
      <c r="R789" s="6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171"/>
      <c r="AG789" s="2"/>
      <c r="AH789" s="2"/>
      <c r="AI789" s="2"/>
      <c r="AJ789" s="2"/>
      <c r="AK789" s="2"/>
      <c r="AL789" s="2"/>
      <c r="AM789" s="2"/>
      <c r="AN789" s="2"/>
    </row>
    <row r="790" spans="1:40" ht="12.75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170"/>
      <c r="L790" s="170"/>
      <c r="M790" s="2"/>
      <c r="N790" s="2"/>
      <c r="O790" s="171"/>
      <c r="P790" s="171"/>
      <c r="Q790" s="2"/>
      <c r="R790" s="6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171"/>
      <c r="AG790" s="2"/>
      <c r="AH790" s="2"/>
      <c r="AI790" s="2"/>
      <c r="AJ790" s="2"/>
      <c r="AK790" s="2"/>
      <c r="AL790" s="2"/>
      <c r="AM790" s="2"/>
      <c r="AN790" s="2"/>
    </row>
    <row r="791" spans="1:40" ht="12.75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170"/>
      <c r="L791" s="170"/>
      <c r="M791" s="2"/>
      <c r="N791" s="2"/>
      <c r="O791" s="171"/>
      <c r="P791" s="171"/>
      <c r="Q791" s="2"/>
      <c r="R791" s="6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171"/>
      <c r="AG791" s="2"/>
      <c r="AH791" s="2"/>
      <c r="AI791" s="2"/>
      <c r="AJ791" s="2"/>
      <c r="AK791" s="2"/>
      <c r="AL791" s="2"/>
      <c r="AM791" s="2"/>
      <c r="AN791" s="2"/>
    </row>
    <row r="792" spans="1:40" ht="12.75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170"/>
      <c r="L792" s="170"/>
      <c r="M792" s="2"/>
      <c r="N792" s="2"/>
      <c r="O792" s="171"/>
      <c r="P792" s="171"/>
      <c r="Q792" s="2"/>
      <c r="R792" s="6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171"/>
      <c r="AG792" s="2"/>
      <c r="AH792" s="2"/>
      <c r="AI792" s="2"/>
      <c r="AJ792" s="2"/>
      <c r="AK792" s="2"/>
      <c r="AL792" s="2"/>
      <c r="AM792" s="2"/>
      <c r="AN792" s="2"/>
    </row>
    <row r="793" spans="1:40" ht="12.75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170"/>
      <c r="L793" s="170"/>
      <c r="M793" s="2"/>
      <c r="N793" s="2"/>
      <c r="O793" s="171"/>
      <c r="P793" s="171"/>
      <c r="Q793" s="2"/>
      <c r="R793" s="6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171"/>
      <c r="AG793" s="2"/>
      <c r="AH793" s="2"/>
      <c r="AI793" s="2"/>
      <c r="AJ793" s="2"/>
      <c r="AK793" s="2"/>
      <c r="AL793" s="2"/>
      <c r="AM793" s="2"/>
      <c r="AN793" s="2"/>
    </row>
    <row r="794" spans="1:40" ht="12.75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170"/>
      <c r="L794" s="170"/>
      <c r="M794" s="2"/>
      <c r="N794" s="2"/>
      <c r="O794" s="171"/>
      <c r="P794" s="171"/>
      <c r="Q794" s="2"/>
      <c r="R794" s="6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171"/>
      <c r="AG794" s="2"/>
      <c r="AH794" s="2"/>
      <c r="AI794" s="2"/>
      <c r="AJ794" s="2"/>
      <c r="AK794" s="2"/>
      <c r="AL794" s="2"/>
      <c r="AM794" s="2"/>
      <c r="AN794" s="2"/>
    </row>
    <row r="795" spans="1:40" ht="12.75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170"/>
      <c r="L795" s="170"/>
      <c r="M795" s="2"/>
      <c r="N795" s="2"/>
      <c r="O795" s="171"/>
      <c r="P795" s="171"/>
      <c r="Q795" s="2"/>
      <c r="R795" s="6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171"/>
      <c r="AG795" s="2"/>
      <c r="AH795" s="2"/>
      <c r="AI795" s="2"/>
      <c r="AJ795" s="2"/>
      <c r="AK795" s="2"/>
      <c r="AL795" s="2"/>
      <c r="AM795" s="2"/>
      <c r="AN795" s="2"/>
    </row>
    <row r="796" spans="1:40" ht="12.75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170"/>
      <c r="L796" s="170"/>
      <c r="M796" s="2"/>
      <c r="N796" s="2"/>
      <c r="O796" s="171"/>
      <c r="P796" s="171"/>
      <c r="Q796" s="2"/>
      <c r="R796" s="6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171"/>
      <c r="AG796" s="2"/>
      <c r="AH796" s="2"/>
      <c r="AI796" s="2"/>
      <c r="AJ796" s="2"/>
      <c r="AK796" s="2"/>
      <c r="AL796" s="2"/>
      <c r="AM796" s="2"/>
      <c r="AN796" s="2"/>
    </row>
    <row r="797" spans="1:40" ht="12.75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170"/>
      <c r="L797" s="170"/>
      <c r="M797" s="2"/>
      <c r="N797" s="2"/>
      <c r="O797" s="171"/>
      <c r="P797" s="171"/>
      <c r="Q797" s="2"/>
      <c r="R797" s="6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171"/>
      <c r="AG797" s="2"/>
      <c r="AH797" s="2"/>
      <c r="AI797" s="2"/>
      <c r="AJ797" s="2"/>
      <c r="AK797" s="2"/>
      <c r="AL797" s="2"/>
      <c r="AM797" s="2"/>
      <c r="AN797" s="2"/>
    </row>
    <row r="798" spans="1:40" ht="12.75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170"/>
      <c r="L798" s="170"/>
      <c r="M798" s="2"/>
      <c r="N798" s="2"/>
      <c r="O798" s="171"/>
      <c r="P798" s="171"/>
      <c r="Q798" s="2"/>
      <c r="R798" s="6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171"/>
      <c r="AG798" s="2"/>
      <c r="AH798" s="2"/>
      <c r="AI798" s="2"/>
      <c r="AJ798" s="2"/>
      <c r="AK798" s="2"/>
      <c r="AL798" s="2"/>
      <c r="AM798" s="2"/>
      <c r="AN798" s="2"/>
    </row>
    <row r="799" spans="1:40" ht="12.75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170"/>
      <c r="L799" s="170"/>
      <c r="M799" s="2"/>
      <c r="N799" s="2"/>
      <c r="O799" s="171"/>
      <c r="P799" s="171"/>
      <c r="Q799" s="2"/>
      <c r="R799" s="6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171"/>
      <c r="AG799" s="2"/>
      <c r="AH799" s="2"/>
      <c r="AI799" s="2"/>
      <c r="AJ799" s="2"/>
      <c r="AK799" s="2"/>
      <c r="AL799" s="2"/>
      <c r="AM799" s="2"/>
      <c r="AN799" s="2"/>
    </row>
    <row r="800" spans="1:40" ht="12.75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170"/>
      <c r="L800" s="170"/>
      <c r="M800" s="2"/>
      <c r="N800" s="2"/>
      <c r="O800" s="171"/>
      <c r="P800" s="171"/>
      <c r="Q800" s="2"/>
      <c r="R800" s="6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171"/>
      <c r="AG800" s="2"/>
      <c r="AH800" s="2"/>
      <c r="AI800" s="2"/>
      <c r="AJ800" s="2"/>
      <c r="AK800" s="2"/>
      <c r="AL800" s="2"/>
      <c r="AM800" s="2"/>
      <c r="AN800" s="2"/>
    </row>
    <row r="801" spans="1:40" ht="12.75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170"/>
      <c r="L801" s="170"/>
      <c r="M801" s="2"/>
      <c r="N801" s="2"/>
      <c r="O801" s="171"/>
      <c r="P801" s="171"/>
      <c r="Q801" s="2"/>
      <c r="R801" s="6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171"/>
      <c r="AG801" s="2"/>
      <c r="AH801" s="2"/>
      <c r="AI801" s="2"/>
      <c r="AJ801" s="2"/>
      <c r="AK801" s="2"/>
      <c r="AL801" s="2"/>
      <c r="AM801" s="2"/>
      <c r="AN801" s="2"/>
    </row>
    <row r="802" spans="1:40" ht="12.75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170"/>
      <c r="L802" s="170"/>
      <c r="M802" s="2"/>
      <c r="N802" s="2"/>
      <c r="O802" s="171"/>
      <c r="P802" s="171"/>
      <c r="Q802" s="2"/>
      <c r="R802" s="6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171"/>
      <c r="AG802" s="2"/>
      <c r="AH802" s="2"/>
      <c r="AI802" s="2"/>
      <c r="AJ802" s="2"/>
      <c r="AK802" s="2"/>
      <c r="AL802" s="2"/>
      <c r="AM802" s="2"/>
      <c r="AN802" s="2"/>
    </row>
    <row r="803" spans="1:40" ht="12.75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170"/>
      <c r="L803" s="170"/>
      <c r="M803" s="2"/>
      <c r="N803" s="2"/>
      <c r="O803" s="171"/>
      <c r="P803" s="171"/>
      <c r="Q803" s="2"/>
      <c r="R803" s="6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171"/>
      <c r="AG803" s="2"/>
      <c r="AH803" s="2"/>
      <c r="AI803" s="2"/>
      <c r="AJ803" s="2"/>
      <c r="AK803" s="2"/>
      <c r="AL803" s="2"/>
      <c r="AM803" s="2"/>
      <c r="AN803" s="2"/>
    </row>
    <row r="804" spans="1:40" ht="12.75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170"/>
      <c r="L804" s="170"/>
      <c r="M804" s="2"/>
      <c r="N804" s="2"/>
      <c r="O804" s="171"/>
      <c r="P804" s="171"/>
      <c r="Q804" s="2"/>
      <c r="R804" s="6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171"/>
      <c r="AG804" s="2"/>
      <c r="AH804" s="2"/>
      <c r="AI804" s="2"/>
      <c r="AJ804" s="2"/>
      <c r="AK804" s="2"/>
      <c r="AL804" s="2"/>
      <c r="AM804" s="2"/>
      <c r="AN804" s="2"/>
    </row>
    <row r="805" spans="1:40" ht="12.75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170"/>
      <c r="L805" s="170"/>
      <c r="M805" s="2"/>
      <c r="N805" s="2"/>
      <c r="O805" s="171"/>
      <c r="P805" s="171"/>
      <c r="Q805" s="2"/>
      <c r="R805" s="6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171"/>
      <c r="AG805" s="2"/>
      <c r="AH805" s="2"/>
      <c r="AI805" s="2"/>
      <c r="AJ805" s="2"/>
      <c r="AK805" s="2"/>
      <c r="AL805" s="2"/>
      <c r="AM805" s="2"/>
      <c r="AN805" s="2"/>
    </row>
    <row r="806" spans="1:40" ht="12.75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170"/>
      <c r="L806" s="170"/>
      <c r="M806" s="2"/>
      <c r="N806" s="2"/>
      <c r="O806" s="171"/>
      <c r="P806" s="171"/>
      <c r="Q806" s="2"/>
      <c r="R806" s="6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171"/>
      <c r="AG806" s="2"/>
      <c r="AH806" s="2"/>
      <c r="AI806" s="2"/>
      <c r="AJ806" s="2"/>
      <c r="AK806" s="2"/>
      <c r="AL806" s="2"/>
      <c r="AM806" s="2"/>
      <c r="AN806" s="2"/>
    </row>
    <row r="807" spans="1:40" ht="12.75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170"/>
      <c r="L807" s="170"/>
      <c r="M807" s="2"/>
      <c r="N807" s="2"/>
      <c r="O807" s="171"/>
      <c r="P807" s="171"/>
      <c r="Q807" s="2"/>
      <c r="R807" s="6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171"/>
      <c r="AG807" s="2"/>
      <c r="AH807" s="2"/>
      <c r="AI807" s="2"/>
      <c r="AJ807" s="2"/>
      <c r="AK807" s="2"/>
      <c r="AL807" s="2"/>
      <c r="AM807" s="2"/>
      <c r="AN807" s="2"/>
    </row>
    <row r="808" spans="1:40" ht="12.75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170"/>
      <c r="L808" s="170"/>
      <c r="M808" s="2"/>
      <c r="N808" s="2"/>
      <c r="O808" s="171"/>
      <c r="P808" s="171"/>
      <c r="Q808" s="2"/>
      <c r="R808" s="6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171"/>
      <c r="AG808" s="2"/>
      <c r="AH808" s="2"/>
      <c r="AI808" s="2"/>
      <c r="AJ808" s="2"/>
      <c r="AK808" s="2"/>
      <c r="AL808" s="2"/>
      <c r="AM808" s="2"/>
      <c r="AN808" s="2"/>
    </row>
    <row r="809" spans="1:40" ht="12.75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170"/>
      <c r="L809" s="170"/>
      <c r="M809" s="2"/>
      <c r="N809" s="2"/>
      <c r="O809" s="171"/>
      <c r="P809" s="171"/>
      <c r="Q809" s="2"/>
      <c r="R809" s="6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171"/>
      <c r="AG809" s="2"/>
      <c r="AH809" s="2"/>
      <c r="AI809" s="2"/>
      <c r="AJ809" s="2"/>
      <c r="AK809" s="2"/>
      <c r="AL809" s="2"/>
      <c r="AM809" s="2"/>
      <c r="AN809" s="2"/>
    </row>
    <row r="810" spans="1:40" ht="12.75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170"/>
      <c r="L810" s="170"/>
      <c r="M810" s="2"/>
      <c r="N810" s="2"/>
      <c r="O810" s="171"/>
      <c r="P810" s="171"/>
      <c r="Q810" s="2"/>
      <c r="R810" s="6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171"/>
      <c r="AG810" s="2"/>
      <c r="AH810" s="2"/>
      <c r="AI810" s="2"/>
      <c r="AJ810" s="2"/>
      <c r="AK810" s="2"/>
      <c r="AL810" s="2"/>
      <c r="AM810" s="2"/>
      <c r="AN810" s="2"/>
    </row>
    <row r="811" spans="1:40" ht="12.75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170"/>
      <c r="L811" s="170"/>
      <c r="M811" s="2"/>
      <c r="N811" s="2"/>
      <c r="O811" s="171"/>
      <c r="P811" s="171"/>
      <c r="Q811" s="2"/>
      <c r="R811" s="6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171"/>
      <c r="AG811" s="2"/>
      <c r="AH811" s="2"/>
      <c r="AI811" s="2"/>
      <c r="AJ811" s="2"/>
      <c r="AK811" s="2"/>
      <c r="AL811" s="2"/>
      <c r="AM811" s="2"/>
      <c r="AN811" s="2"/>
    </row>
    <row r="812" spans="1:40" ht="12.75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170"/>
      <c r="L812" s="170"/>
      <c r="M812" s="2"/>
      <c r="N812" s="2"/>
      <c r="O812" s="171"/>
      <c r="P812" s="171"/>
      <c r="Q812" s="2"/>
      <c r="R812" s="6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171"/>
      <c r="AG812" s="2"/>
      <c r="AH812" s="2"/>
      <c r="AI812" s="2"/>
      <c r="AJ812" s="2"/>
      <c r="AK812" s="2"/>
      <c r="AL812" s="2"/>
      <c r="AM812" s="2"/>
      <c r="AN812" s="2"/>
    </row>
    <row r="813" spans="1:40" ht="12.75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170"/>
      <c r="L813" s="170"/>
      <c r="M813" s="2"/>
      <c r="N813" s="2"/>
      <c r="O813" s="171"/>
      <c r="P813" s="171"/>
      <c r="Q813" s="2"/>
      <c r="R813" s="6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171"/>
      <c r="AG813" s="2"/>
      <c r="AH813" s="2"/>
      <c r="AI813" s="2"/>
      <c r="AJ813" s="2"/>
      <c r="AK813" s="2"/>
      <c r="AL813" s="2"/>
      <c r="AM813" s="2"/>
      <c r="AN813" s="2"/>
    </row>
    <row r="814" spans="1:40" ht="12.75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170"/>
      <c r="L814" s="170"/>
      <c r="M814" s="2"/>
      <c r="N814" s="2"/>
      <c r="O814" s="171"/>
      <c r="P814" s="171"/>
      <c r="Q814" s="2"/>
      <c r="R814" s="6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171"/>
      <c r="AG814" s="2"/>
      <c r="AH814" s="2"/>
      <c r="AI814" s="2"/>
      <c r="AJ814" s="2"/>
      <c r="AK814" s="2"/>
      <c r="AL814" s="2"/>
      <c r="AM814" s="2"/>
      <c r="AN814" s="2"/>
    </row>
    <row r="815" spans="1:40" ht="12.75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170"/>
      <c r="L815" s="170"/>
      <c r="M815" s="2"/>
      <c r="N815" s="2"/>
      <c r="O815" s="171"/>
      <c r="P815" s="171"/>
      <c r="Q815" s="2"/>
      <c r="R815" s="6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171"/>
      <c r="AG815" s="2"/>
      <c r="AH815" s="2"/>
      <c r="AI815" s="2"/>
      <c r="AJ815" s="2"/>
      <c r="AK815" s="2"/>
      <c r="AL815" s="2"/>
      <c r="AM815" s="2"/>
      <c r="AN815" s="2"/>
    </row>
    <row r="816" spans="1:40" ht="12.75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170"/>
      <c r="L816" s="170"/>
      <c r="M816" s="2"/>
      <c r="N816" s="2"/>
      <c r="O816" s="171"/>
      <c r="P816" s="171"/>
      <c r="Q816" s="2"/>
      <c r="R816" s="6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171"/>
      <c r="AG816" s="2"/>
      <c r="AH816" s="2"/>
      <c r="AI816" s="2"/>
      <c r="AJ816" s="2"/>
      <c r="AK816" s="2"/>
      <c r="AL816" s="2"/>
      <c r="AM816" s="2"/>
      <c r="AN816" s="2"/>
    </row>
    <row r="817" spans="1:40" ht="12.75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170"/>
      <c r="L817" s="170"/>
      <c r="M817" s="2"/>
      <c r="N817" s="2"/>
      <c r="O817" s="171"/>
      <c r="P817" s="171"/>
      <c r="Q817" s="2"/>
      <c r="R817" s="6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171"/>
      <c r="AG817" s="2"/>
      <c r="AH817" s="2"/>
      <c r="AI817" s="2"/>
      <c r="AJ817" s="2"/>
      <c r="AK817" s="2"/>
      <c r="AL817" s="2"/>
      <c r="AM817" s="2"/>
      <c r="AN817" s="2"/>
    </row>
    <row r="818" spans="1:40" ht="12.75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170"/>
      <c r="L818" s="170"/>
      <c r="M818" s="2"/>
      <c r="N818" s="2"/>
      <c r="O818" s="171"/>
      <c r="P818" s="171"/>
      <c r="Q818" s="2"/>
      <c r="R818" s="6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171"/>
      <c r="AG818" s="2"/>
      <c r="AH818" s="2"/>
      <c r="AI818" s="2"/>
      <c r="AJ818" s="2"/>
      <c r="AK818" s="2"/>
      <c r="AL818" s="2"/>
      <c r="AM818" s="2"/>
      <c r="AN818" s="2"/>
    </row>
    <row r="819" spans="1:40" ht="12.75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170"/>
      <c r="L819" s="170"/>
      <c r="M819" s="2"/>
      <c r="N819" s="2"/>
      <c r="O819" s="171"/>
      <c r="P819" s="171"/>
      <c r="Q819" s="2"/>
      <c r="R819" s="6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171"/>
      <c r="AG819" s="2"/>
      <c r="AH819" s="2"/>
      <c r="AI819" s="2"/>
      <c r="AJ819" s="2"/>
      <c r="AK819" s="2"/>
      <c r="AL819" s="2"/>
      <c r="AM819" s="2"/>
      <c r="AN819" s="2"/>
    </row>
    <row r="820" spans="1:40" ht="12.75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170"/>
      <c r="L820" s="170"/>
      <c r="M820" s="2"/>
      <c r="N820" s="2"/>
      <c r="O820" s="171"/>
      <c r="P820" s="171"/>
      <c r="Q820" s="2"/>
      <c r="R820" s="6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171"/>
      <c r="AG820" s="2"/>
      <c r="AH820" s="2"/>
      <c r="AI820" s="2"/>
      <c r="AJ820" s="2"/>
      <c r="AK820" s="2"/>
      <c r="AL820" s="2"/>
      <c r="AM820" s="2"/>
      <c r="AN820" s="2"/>
    </row>
    <row r="821" spans="1:40" ht="12.75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170"/>
      <c r="L821" s="170"/>
      <c r="M821" s="2"/>
      <c r="N821" s="2"/>
      <c r="O821" s="171"/>
      <c r="P821" s="171"/>
      <c r="Q821" s="2"/>
      <c r="R821" s="6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171"/>
      <c r="AG821" s="2"/>
      <c r="AH821" s="2"/>
      <c r="AI821" s="2"/>
      <c r="AJ821" s="2"/>
      <c r="AK821" s="2"/>
      <c r="AL821" s="2"/>
      <c r="AM821" s="2"/>
      <c r="AN821" s="2"/>
    </row>
    <row r="822" spans="1:40" ht="12.75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170"/>
      <c r="L822" s="170"/>
      <c r="M822" s="2"/>
      <c r="N822" s="2"/>
      <c r="O822" s="171"/>
      <c r="P822" s="171"/>
      <c r="Q822" s="2"/>
      <c r="R822" s="6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171"/>
      <c r="AG822" s="2"/>
      <c r="AH822" s="2"/>
      <c r="AI822" s="2"/>
      <c r="AJ822" s="2"/>
      <c r="AK822" s="2"/>
      <c r="AL822" s="2"/>
      <c r="AM822" s="2"/>
      <c r="AN822" s="2"/>
    </row>
    <row r="823" spans="1:40" ht="12.75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170"/>
      <c r="L823" s="170"/>
      <c r="M823" s="2"/>
      <c r="N823" s="2"/>
      <c r="O823" s="171"/>
      <c r="P823" s="171"/>
      <c r="Q823" s="2"/>
      <c r="R823" s="6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171"/>
      <c r="AG823" s="2"/>
      <c r="AH823" s="2"/>
      <c r="AI823" s="2"/>
      <c r="AJ823" s="2"/>
      <c r="AK823" s="2"/>
      <c r="AL823" s="2"/>
      <c r="AM823" s="2"/>
      <c r="AN823" s="2"/>
    </row>
    <row r="824" spans="1:40" ht="12.75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170"/>
      <c r="L824" s="170"/>
      <c r="M824" s="2"/>
      <c r="N824" s="2"/>
      <c r="O824" s="171"/>
      <c r="P824" s="171"/>
      <c r="Q824" s="2"/>
      <c r="R824" s="6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171"/>
      <c r="AG824" s="2"/>
      <c r="AH824" s="2"/>
      <c r="AI824" s="2"/>
      <c r="AJ824" s="2"/>
      <c r="AK824" s="2"/>
      <c r="AL824" s="2"/>
      <c r="AM824" s="2"/>
      <c r="AN824" s="2"/>
    </row>
    <row r="825" spans="1:40" ht="12.75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170"/>
      <c r="L825" s="170"/>
      <c r="M825" s="2"/>
      <c r="N825" s="2"/>
      <c r="O825" s="171"/>
      <c r="P825" s="171"/>
      <c r="Q825" s="2"/>
      <c r="R825" s="6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171"/>
      <c r="AG825" s="2"/>
      <c r="AH825" s="2"/>
      <c r="AI825" s="2"/>
      <c r="AJ825" s="2"/>
      <c r="AK825" s="2"/>
      <c r="AL825" s="2"/>
      <c r="AM825" s="2"/>
      <c r="AN825" s="2"/>
    </row>
    <row r="826" spans="1:40" ht="12.75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170"/>
      <c r="L826" s="170"/>
      <c r="M826" s="2"/>
      <c r="N826" s="2"/>
      <c r="O826" s="171"/>
      <c r="P826" s="171"/>
      <c r="Q826" s="2"/>
      <c r="R826" s="6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171"/>
      <c r="AG826" s="2"/>
      <c r="AH826" s="2"/>
      <c r="AI826" s="2"/>
      <c r="AJ826" s="2"/>
      <c r="AK826" s="2"/>
      <c r="AL826" s="2"/>
      <c r="AM826" s="2"/>
      <c r="AN826" s="2"/>
    </row>
    <row r="827" spans="1:40" ht="12.75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170"/>
      <c r="L827" s="170"/>
      <c r="M827" s="2"/>
      <c r="N827" s="2"/>
      <c r="O827" s="171"/>
      <c r="P827" s="171"/>
      <c r="Q827" s="2"/>
      <c r="R827" s="6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171"/>
      <c r="AG827" s="2"/>
      <c r="AH827" s="2"/>
      <c r="AI827" s="2"/>
      <c r="AJ827" s="2"/>
      <c r="AK827" s="2"/>
      <c r="AL827" s="2"/>
      <c r="AM827" s="2"/>
      <c r="AN827" s="2"/>
    </row>
    <row r="828" spans="1:40" ht="12.75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170"/>
      <c r="L828" s="170"/>
      <c r="M828" s="2"/>
      <c r="N828" s="2"/>
      <c r="O828" s="171"/>
      <c r="P828" s="171"/>
      <c r="Q828" s="2"/>
      <c r="R828" s="6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171"/>
      <c r="AG828" s="2"/>
      <c r="AH828" s="2"/>
      <c r="AI828" s="2"/>
      <c r="AJ828" s="2"/>
      <c r="AK828" s="2"/>
      <c r="AL828" s="2"/>
      <c r="AM828" s="2"/>
      <c r="AN828" s="2"/>
    </row>
    <row r="829" spans="1:40" ht="12.75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170"/>
      <c r="L829" s="170"/>
      <c r="M829" s="2"/>
      <c r="N829" s="2"/>
      <c r="O829" s="171"/>
      <c r="P829" s="171"/>
      <c r="Q829" s="2"/>
      <c r="R829" s="6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171"/>
      <c r="AG829" s="2"/>
      <c r="AH829" s="2"/>
      <c r="AI829" s="2"/>
      <c r="AJ829" s="2"/>
      <c r="AK829" s="2"/>
      <c r="AL829" s="2"/>
      <c r="AM829" s="2"/>
      <c r="AN829" s="2"/>
    </row>
    <row r="830" spans="1:40" ht="12.75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170"/>
      <c r="L830" s="170"/>
      <c r="M830" s="2"/>
      <c r="N830" s="2"/>
      <c r="O830" s="171"/>
      <c r="P830" s="171"/>
      <c r="Q830" s="2"/>
      <c r="R830" s="6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171"/>
      <c r="AG830" s="2"/>
      <c r="AH830" s="2"/>
      <c r="AI830" s="2"/>
      <c r="AJ830" s="2"/>
      <c r="AK830" s="2"/>
      <c r="AL830" s="2"/>
      <c r="AM830" s="2"/>
      <c r="AN830" s="2"/>
    </row>
    <row r="831" spans="1:40" ht="12.75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170"/>
      <c r="L831" s="170"/>
      <c r="M831" s="2"/>
      <c r="N831" s="2"/>
      <c r="O831" s="171"/>
      <c r="P831" s="171"/>
      <c r="Q831" s="2"/>
      <c r="R831" s="6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171"/>
      <c r="AG831" s="2"/>
      <c r="AH831" s="2"/>
      <c r="AI831" s="2"/>
      <c r="AJ831" s="2"/>
      <c r="AK831" s="2"/>
      <c r="AL831" s="2"/>
      <c r="AM831" s="2"/>
      <c r="AN831" s="2"/>
    </row>
    <row r="832" spans="1:40" ht="12.75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170"/>
      <c r="L832" s="170"/>
      <c r="M832" s="2"/>
      <c r="N832" s="2"/>
      <c r="O832" s="171"/>
      <c r="P832" s="171"/>
      <c r="Q832" s="2"/>
      <c r="R832" s="6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171"/>
      <c r="AG832" s="2"/>
      <c r="AH832" s="2"/>
      <c r="AI832" s="2"/>
      <c r="AJ832" s="2"/>
      <c r="AK832" s="2"/>
      <c r="AL832" s="2"/>
      <c r="AM832" s="2"/>
      <c r="AN832" s="2"/>
    </row>
    <row r="833" spans="1:40" ht="12.75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170"/>
      <c r="L833" s="170"/>
      <c r="M833" s="2"/>
      <c r="N833" s="2"/>
      <c r="O833" s="171"/>
      <c r="P833" s="171"/>
      <c r="Q833" s="2"/>
      <c r="R833" s="6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171"/>
      <c r="AG833" s="2"/>
      <c r="AH833" s="2"/>
      <c r="AI833" s="2"/>
      <c r="AJ833" s="2"/>
      <c r="AK833" s="2"/>
      <c r="AL833" s="2"/>
      <c r="AM833" s="2"/>
      <c r="AN833" s="2"/>
    </row>
    <row r="834" spans="1:40" ht="12.75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170"/>
      <c r="L834" s="170"/>
      <c r="M834" s="2"/>
      <c r="N834" s="2"/>
      <c r="O834" s="171"/>
      <c r="P834" s="171"/>
      <c r="Q834" s="2"/>
      <c r="R834" s="6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171"/>
      <c r="AG834" s="2"/>
      <c r="AH834" s="2"/>
      <c r="AI834" s="2"/>
      <c r="AJ834" s="2"/>
      <c r="AK834" s="2"/>
      <c r="AL834" s="2"/>
      <c r="AM834" s="2"/>
      <c r="AN834" s="2"/>
    </row>
    <row r="835" spans="1:40" ht="12.75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170"/>
      <c r="L835" s="170"/>
      <c r="M835" s="2"/>
      <c r="N835" s="2"/>
      <c r="O835" s="171"/>
      <c r="P835" s="171"/>
      <c r="Q835" s="2"/>
      <c r="R835" s="6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171"/>
      <c r="AG835" s="2"/>
      <c r="AH835" s="2"/>
      <c r="AI835" s="2"/>
      <c r="AJ835" s="2"/>
      <c r="AK835" s="2"/>
      <c r="AL835" s="2"/>
      <c r="AM835" s="2"/>
      <c r="AN835" s="2"/>
    </row>
    <row r="836" spans="1:40" ht="12.75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170"/>
      <c r="L836" s="170"/>
      <c r="M836" s="2"/>
      <c r="N836" s="2"/>
      <c r="O836" s="171"/>
      <c r="P836" s="171"/>
      <c r="Q836" s="2"/>
      <c r="R836" s="6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171"/>
      <c r="AG836" s="2"/>
      <c r="AH836" s="2"/>
      <c r="AI836" s="2"/>
      <c r="AJ836" s="2"/>
      <c r="AK836" s="2"/>
      <c r="AL836" s="2"/>
      <c r="AM836" s="2"/>
      <c r="AN836" s="2"/>
    </row>
    <row r="837" spans="1:40" ht="12.75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170"/>
      <c r="L837" s="170"/>
      <c r="M837" s="2"/>
      <c r="N837" s="2"/>
      <c r="O837" s="171"/>
      <c r="P837" s="171"/>
      <c r="Q837" s="2"/>
      <c r="R837" s="6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171"/>
      <c r="AG837" s="2"/>
      <c r="AH837" s="2"/>
      <c r="AI837" s="2"/>
      <c r="AJ837" s="2"/>
      <c r="AK837" s="2"/>
      <c r="AL837" s="2"/>
      <c r="AM837" s="2"/>
      <c r="AN837" s="2"/>
    </row>
    <row r="838" spans="1:40" ht="12.75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170"/>
      <c r="L838" s="170"/>
      <c r="M838" s="2"/>
      <c r="N838" s="2"/>
      <c r="O838" s="171"/>
      <c r="P838" s="171"/>
      <c r="Q838" s="2"/>
      <c r="R838" s="6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171"/>
      <c r="AG838" s="2"/>
      <c r="AH838" s="2"/>
      <c r="AI838" s="2"/>
      <c r="AJ838" s="2"/>
      <c r="AK838" s="2"/>
      <c r="AL838" s="2"/>
      <c r="AM838" s="2"/>
      <c r="AN838" s="2"/>
    </row>
    <row r="839" spans="1:40" ht="12.75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170"/>
      <c r="L839" s="170"/>
      <c r="M839" s="2"/>
      <c r="N839" s="2"/>
      <c r="O839" s="171"/>
      <c r="P839" s="171"/>
      <c r="Q839" s="2"/>
      <c r="R839" s="6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171"/>
      <c r="AG839" s="2"/>
      <c r="AH839" s="2"/>
      <c r="AI839" s="2"/>
      <c r="AJ839" s="2"/>
      <c r="AK839" s="2"/>
      <c r="AL839" s="2"/>
      <c r="AM839" s="2"/>
      <c r="AN839" s="2"/>
    </row>
    <row r="840" spans="1:40" ht="12.75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170"/>
      <c r="L840" s="170"/>
      <c r="M840" s="2"/>
      <c r="N840" s="2"/>
      <c r="O840" s="171"/>
      <c r="P840" s="171"/>
      <c r="Q840" s="2"/>
      <c r="R840" s="6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171"/>
      <c r="AG840" s="2"/>
      <c r="AH840" s="2"/>
      <c r="AI840" s="2"/>
      <c r="AJ840" s="2"/>
      <c r="AK840" s="2"/>
      <c r="AL840" s="2"/>
      <c r="AM840" s="2"/>
      <c r="AN840" s="2"/>
    </row>
    <row r="841" spans="1:40" ht="12.75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170"/>
      <c r="L841" s="170"/>
      <c r="M841" s="2"/>
      <c r="N841" s="2"/>
      <c r="O841" s="171"/>
      <c r="P841" s="171"/>
      <c r="Q841" s="2"/>
      <c r="R841" s="6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171"/>
      <c r="AG841" s="2"/>
      <c r="AH841" s="2"/>
      <c r="AI841" s="2"/>
      <c r="AJ841" s="2"/>
      <c r="AK841" s="2"/>
      <c r="AL841" s="2"/>
      <c r="AM841" s="2"/>
      <c r="AN841" s="2"/>
    </row>
    <row r="842" spans="1:40" ht="12.75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170"/>
      <c r="L842" s="170"/>
      <c r="M842" s="2"/>
      <c r="N842" s="2"/>
      <c r="O842" s="171"/>
      <c r="P842" s="171"/>
      <c r="Q842" s="2"/>
      <c r="R842" s="6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171"/>
      <c r="AG842" s="2"/>
      <c r="AH842" s="2"/>
      <c r="AI842" s="2"/>
      <c r="AJ842" s="2"/>
      <c r="AK842" s="2"/>
      <c r="AL842" s="2"/>
      <c r="AM842" s="2"/>
      <c r="AN842" s="2"/>
    </row>
    <row r="843" spans="1:40" ht="12.75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170"/>
      <c r="L843" s="170"/>
      <c r="M843" s="2"/>
      <c r="N843" s="2"/>
      <c r="O843" s="171"/>
      <c r="P843" s="171"/>
      <c r="Q843" s="2"/>
      <c r="R843" s="6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171"/>
      <c r="AG843" s="2"/>
      <c r="AH843" s="2"/>
      <c r="AI843" s="2"/>
      <c r="AJ843" s="2"/>
      <c r="AK843" s="2"/>
      <c r="AL843" s="2"/>
      <c r="AM843" s="2"/>
      <c r="AN843" s="2"/>
    </row>
    <row r="844" spans="1:40" ht="12.75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170"/>
      <c r="L844" s="170"/>
      <c r="M844" s="2"/>
      <c r="N844" s="2"/>
      <c r="O844" s="171"/>
      <c r="P844" s="171"/>
      <c r="Q844" s="2"/>
      <c r="R844" s="6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171"/>
      <c r="AG844" s="2"/>
      <c r="AH844" s="2"/>
      <c r="AI844" s="2"/>
      <c r="AJ844" s="2"/>
      <c r="AK844" s="2"/>
      <c r="AL844" s="2"/>
      <c r="AM844" s="2"/>
      <c r="AN844" s="2"/>
    </row>
    <row r="845" spans="1:40" ht="12.75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170"/>
      <c r="L845" s="170"/>
      <c r="M845" s="2"/>
      <c r="N845" s="2"/>
      <c r="O845" s="171"/>
      <c r="P845" s="171"/>
      <c r="Q845" s="2"/>
      <c r="R845" s="6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171"/>
      <c r="AG845" s="2"/>
      <c r="AH845" s="2"/>
      <c r="AI845" s="2"/>
      <c r="AJ845" s="2"/>
      <c r="AK845" s="2"/>
      <c r="AL845" s="2"/>
      <c r="AM845" s="2"/>
      <c r="AN845" s="2"/>
    </row>
    <row r="846" spans="1:40" ht="12.75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170"/>
      <c r="L846" s="170"/>
      <c r="M846" s="2"/>
      <c r="N846" s="2"/>
      <c r="O846" s="171"/>
      <c r="P846" s="171"/>
      <c r="Q846" s="2"/>
      <c r="R846" s="6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171"/>
      <c r="AG846" s="2"/>
      <c r="AH846" s="2"/>
      <c r="AI846" s="2"/>
      <c r="AJ846" s="2"/>
      <c r="AK846" s="2"/>
      <c r="AL846" s="2"/>
      <c r="AM846" s="2"/>
      <c r="AN846" s="2"/>
    </row>
    <row r="847" spans="1:40" ht="12.75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170"/>
      <c r="L847" s="170"/>
      <c r="M847" s="2"/>
      <c r="N847" s="2"/>
      <c r="O847" s="171"/>
      <c r="P847" s="171"/>
      <c r="Q847" s="2"/>
      <c r="R847" s="6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171"/>
      <c r="AG847" s="2"/>
      <c r="AH847" s="2"/>
      <c r="AI847" s="2"/>
      <c r="AJ847" s="2"/>
      <c r="AK847" s="2"/>
      <c r="AL847" s="2"/>
      <c r="AM847" s="2"/>
      <c r="AN847" s="2"/>
    </row>
    <row r="848" spans="1:40" ht="12.75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170"/>
      <c r="L848" s="170"/>
      <c r="M848" s="2"/>
      <c r="N848" s="2"/>
      <c r="O848" s="171"/>
      <c r="P848" s="171"/>
      <c r="Q848" s="2"/>
      <c r="R848" s="6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171"/>
      <c r="AG848" s="2"/>
      <c r="AH848" s="2"/>
      <c r="AI848" s="2"/>
      <c r="AJ848" s="2"/>
      <c r="AK848" s="2"/>
      <c r="AL848" s="2"/>
      <c r="AM848" s="2"/>
      <c r="AN848" s="2"/>
    </row>
    <row r="849" spans="1:40" ht="12.75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170"/>
      <c r="L849" s="170"/>
      <c r="M849" s="2"/>
      <c r="N849" s="2"/>
      <c r="O849" s="171"/>
      <c r="P849" s="171"/>
      <c r="Q849" s="2"/>
      <c r="R849" s="6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171"/>
      <c r="AG849" s="2"/>
      <c r="AH849" s="2"/>
      <c r="AI849" s="2"/>
      <c r="AJ849" s="2"/>
      <c r="AK849" s="2"/>
      <c r="AL849" s="2"/>
      <c r="AM849" s="2"/>
      <c r="AN849" s="2"/>
    </row>
    <row r="850" spans="1:40" ht="12.75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170"/>
      <c r="L850" s="170"/>
      <c r="M850" s="2"/>
      <c r="N850" s="2"/>
      <c r="O850" s="171"/>
      <c r="P850" s="171"/>
      <c r="Q850" s="2"/>
      <c r="R850" s="6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171"/>
      <c r="AG850" s="2"/>
      <c r="AH850" s="2"/>
      <c r="AI850" s="2"/>
      <c r="AJ850" s="2"/>
      <c r="AK850" s="2"/>
      <c r="AL850" s="2"/>
      <c r="AM850" s="2"/>
      <c r="AN850" s="2"/>
    </row>
    <row r="851" spans="1:40" ht="12.75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170"/>
      <c r="L851" s="170"/>
      <c r="M851" s="2"/>
      <c r="N851" s="2"/>
      <c r="O851" s="171"/>
      <c r="P851" s="171"/>
      <c r="Q851" s="2"/>
      <c r="R851" s="6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171"/>
      <c r="AG851" s="2"/>
      <c r="AH851" s="2"/>
      <c r="AI851" s="2"/>
      <c r="AJ851" s="2"/>
      <c r="AK851" s="2"/>
      <c r="AL851" s="2"/>
      <c r="AM851" s="2"/>
      <c r="AN851" s="2"/>
    </row>
    <row r="852" spans="1:40" ht="12.75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170"/>
      <c r="L852" s="170"/>
      <c r="M852" s="2"/>
      <c r="N852" s="2"/>
      <c r="O852" s="171"/>
      <c r="P852" s="171"/>
      <c r="Q852" s="2"/>
      <c r="R852" s="6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171"/>
      <c r="AG852" s="2"/>
      <c r="AH852" s="2"/>
      <c r="AI852" s="2"/>
      <c r="AJ852" s="2"/>
      <c r="AK852" s="2"/>
      <c r="AL852" s="2"/>
      <c r="AM852" s="2"/>
      <c r="AN852" s="2"/>
    </row>
    <row r="853" spans="1:40" ht="12.75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170"/>
      <c r="L853" s="170"/>
      <c r="M853" s="2"/>
      <c r="N853" s="2"/>
      <c r="O853" s="171"/>
      <c r="P853" s="171"/>
      <c r="Q853" s="2"/>
      <c r="R853" s="6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171"/>
      <c r="AG853" s="2"/>
      <c r="AH853" s="2"/>
      <c r="AI853" s="2"/>
      <c r="AJ853" s="2"/>
      <c r="AK853" s="2"/>
      <c r="AL853" s="2"/>
      <c r="AM853" s="2"/>
      <c r="AN853" s="2"/>
    </row>
    <row r="854" spans="1:40" ht="12.75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170"/>
      <c r="L854" s="170"/>
      <c r="M854" s="2"/>
      <c r="N854" s="2"/>
      <c r="O854" s="171"/>
      <c r="P854" s="171"/>
      <c r="Q854" s="2"/>
      <c r="R854" s="6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171"/>
      <c r="AG854" s="2"/>
      <c r="AH854" s="2"/>
      <c r="AI854" s="2"/>
      <c r="AJ854" s="2"/>
      <c r="AK854" s="2"/>
      <c r="AL854" s="2"/>
      <c r="AM854" s="2"/>
      <c r="AN854" s="2"/>
    </row>
    <row r="855" spans="1:40" ht="12.75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170"/>
      <c r="L855" s="170"/>
      <c r="M855" s="2"/>
      <c r="N855" s="2"/>
      <c r="O855" s="171"/>
      <c r="P855" s="171"/>
      <c r="Q855" s="2"/>
      <c r="R855" s="6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171"/>
      <c r="AG855" s="2"/>
      <c r="AH855" s="2"/>
      <c r="AI855" s="2"/>
      <c r="AJ855" s="2"/>
      <c r="AK855" s="2"/>
      <c r="AL855" s="2"/>
      <c r="AM855" s="2"/>
      <c r="AN855" s="2"/>
    </row>
    <row r="856" spans="1:40" ht="12.75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170"/>
      <c r="L856" s="170"/>
      <c r="M856" s="2"/>
      <c r="N856" s="2"/>
      <c r="O856" s="171"/>
      <c r="P856" s="171"/>
      <c r="Q856" s="2"/>
      <c r="R856" s="6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171"/>
      <c r="AG856" s="2"/>
      <c r="AH856" s="2"/>
      <c r="AI856" s="2"/>
      <c r="AJ856" s="2"/>
      <c r="AK856" s="2"/>
      <c r="AL856" s="2"/>
      <c r="AM856" s="2"/>
      <c r="AN856" s="2"/>
    </row>
    <row r="857" spans="1:40" ht="12.75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170"/>
      <c r="L857" s="170"/>
      <c r="M857" s="2"/>
      <c r="N857" s="2"/>
      <c r="O857" s="171"/>
      <c r="P857" s="171"/>
      <c r="Q857" s="2"/>
      <c r="R857" s="6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171"/>
      <c r="AG857" s="2"/>
      <c r="AH857" s="2"/>
      <c r="AI857" s="2"/>
      <c r="AJ857" s="2"/>
      <c r="AK857" s="2"/>
      <c r="AL857" s="2"/>
      <c r="AM857" s="2"/>
      <c r="AN857" s="2"/>
    </row>
    <row r="858" spans="1:40" ht="12.75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170"/>
      <c r="L858" s="170"/>
      <c r="M858" s="2"/>
      <c r="N858" s="2"/>
      <c r="O858" s="171"/>
      <c r="P858" s="171"/>
      <c r="Q858" s="2"/>
      <c r="R858" s="6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171"/>
      <c r="AG858" s="2"/>
      <c r="AH858" s="2"/>
      <c r="AI858" s="2"/>
      <c r="AJ858" s="2"/>
      <c r="AK858" s="2"/>
      <c r="AL858" s="2"/>
      <c r="AM858" s="2"/>
      <c r="AN858" s="2"/>
    </row>
    <row r="859" spans="1:40" ht="12.75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170"/>
      <c r="L859" s="170"/>
      <c r="M859" s="2"/>
      <c r="N859" s="2"/>
      <c r="O859" s="171"/>
      <c r="P859" s="171"/>
      <c r="Q859" s="2"/>
      <c r="R859" s="6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171"/>
      <c r="AG859" s="2"/>
      <c r="AH859" s="2"/>
      <c r="AI859" s="2"/>
      <c r="AJ859" s="2"/>
      <c r="AK859" s="2"/>
      <c r="AL859" s="2"/>
      <c r="AM859" s="2"/>
      <c r="AN859" s="2"/>
    </row>
    <row r="860" spans="1:40" ht="12.75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170"/>
      <c r="L860" s="170"/>
      <c r="M860" s="2"/>
      <c r="N860" s="2"/>
      <c r="O860" s="171"/>
      <c r="P860" s="171"/>
      <c r="Q860" s="2"/>
      <c r="R860" s="6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171"/>
      <c r="AG860" s="2"/>
      <c r="AH860" s="2"/>
      <c r="AI860" s="2"/>
      <c r="AJ860" s="2"/>
      <c r="AK860" s="2"/>
      <c r="AL860" s="2"/>
      <c r="AM860" s="2"/>
      <c r="AN860" s="2"/>
    </row>
    <row r="861" spans="1:40" ht="12.75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170"/>
      <c r="L861" s="170"/>
      <c r="M861" s="2"/>
      <c r="N861" s="2"/>
      <c r="O861" s="171"/>
      <c r="P861" s="171"/>
      <c r="Q861" s="2"/>
      <c r="R861" s="6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171"/>
      <c r="AG861" s="2"/>
      <c r="AH861" s="2"/>
      <c r="AI861" s="2"/>
      <c r="AJ861" s="2"/>
      <c r="AK861" s="2"/>
      <c r="AL861" s="2"/>
      <c r="AM861" s="2"/>
      <c r="AN861" s="2"/>
    </row>
    <row r="862" spans="1:40" ht="12.75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170"/>
      <c r="L862" s="170"/>
      <c r="M862" s="2"/>
      <c r="N862" s="2"/>
      <c r="O862" s="171"/>
      <c r="P862" s="171"/>
      <c r="Q862" s="2"/>
      <c r="R862" s="6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171"/>
      <c r="AG862" s="2"/>
      <c r="AH862" s="2"/>
      <c r="AI862" s="2"/>
      <c r="AJ862" s="2"/>
      <c r="AK862" s="2"/>
      <c r="AL862" s="2"/>
      <c r="AM862" s="2"/>
      <c r="AN862" s="2"/>
    </row>
    <row r="863" spans="1:40" ht="12.75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170"/>
      <c r="L863" s="170"/>
      <c r="M863" s="2"/>
      <c r="N863" s="2"/>
      <c r="O863" s="171"/>
      <c r="P863" s="171"/>
      <c r="Q863" s="2"/>
      <c r="R863" s="6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171"/>
      <c r="AG863" s="2"/>
      <c r="AH863" s="2"/>
      <c r="AI863" s="2"/>
      <c r="AJ863" s="2"/>
      <c r="AK863" s="2"/>
      <c r="AL863" s="2"/>
      <c r="AM863" s="2"/>
      <c r="AN863" s="2"/>
    </row>
    <row r="864" spans="1:40" ht="12.75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170"/>
      <c r="L864" s="170"/>
      <c r="M864" s="2"/>
      <c r="N864" s="2"/>
      <c r="O864" s="171"/>
      <c r="P864" s="171"/>
      <c r="Q864" s="2"/>
      <c r="R864" s="6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171"/>
      <c r="AG864" s="2"/>
      <c r="AH864" s="2"/>
      <c r="AI864" s="2"/>
      <c r="AJ864" s="2"/>
      <c r="AK864" s="2"/>
      <c r="AL864" s="2"/>
      <c r="AM864" s="2"/>
      <c r="AN864" s="2"/>
    </row>
    <row r="865" spans="1:40" ht="12.75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170"/>
      <c r="L865" s="170"/>
      <c r="M865" s="2"/>
      <c r="N865" s="2"/>
      <c r="O865" s="171"/>
      <c r="P865" s="171"/>
      <c r="Q865" s="2"/>
      <c r="R865" s="6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171"/>
      <c r="AG865" s="2"/>
      <c r="AH865" s="2"/>
      <c r="AI865" s="2"/>
      <c r="AJ865" s="2"/>
      <c r="AK865" s="2"/>
      <c r="AL865" s="2"/>
      <c r="AM865" s="2"/>
      <c r="AN865" s="2"/>
    </row>
    <row r="866" spans="1:40" ht="12.75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170"/>
      <c r="L866" s="170"/>
      <c r="M866" s="2"/>
      <c r="N866" s="2"/>
      <c r="O866" s="171"/>
      <c r="P866" s="171"/>
      <c r="Q866" s="2"/>
      <c r="R866" s="6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171"/>
      <c r="AG866" s="2"/>
      <c r="AH866" s="2"/>
      <c r="AI866" s="2"/>
      <c r="AJ866" s="2"/>
      <c r="AK866" s="2"/>
      <c r="AL866" s="2"/>
      <c r="AM866" s="2"/>
      <c r="AN866" s="2"/>
    </row>
    <row r="867" spans="1:40" ht="12.75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170"/>
      <c r="L867" s="170"/>
      <c r="M867" s="2"/>
      <c r="N867" s="2"/>
      <c r="O867" s="171"/>
      <c r="P867" s="171"/>
      <c r="Q867" s="2"/>
      <c r="R867" s="6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171"/>
      <c r="AG867" s="2"/>
      <c r="AH867" s="2"/>
      <c r="AI867" s="2"/>
      <c r="AJ867" s="2"/>
      <c r="AK867" s="2"/>
      <c r="AL867" s="2"/>
      <c r="AM867" s="2"/>
      <c r="AN867" s="2"/>
    </row>
    <row r="868" spans="1:40" ht="12.75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170"/>
      <c r="L868" s="170"/>
      <c r="M868" s="2"/>
      <c r="N868" s="2"/>
      <c r="O868" s="171"/>
      <c r="P868" s="171"/>
      <c r="Q868" s="2"/>
      <c r="R868" s="6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171"/>
      <c r="AG868" s="2"/>
      <c r="AH868" s="2"/>
      <c r="AI868" s="2"/>
      <c r="AJ868" s="2"/>
      <c r="AK868" s="2"/>
      <c r="AL868" s="2"/>
      <c r="AM868" s="2"/>
      <c r="AN868" s="2"/>
    </row>
    <row r="869" spans="1:40" ht="12.75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170"/>
      <c r="L869" s="170"/>
      <c r="M869" s="2"/>
      <c r="N869" s="2"/>
      <c r="O869" s="171"/>
      <c r="P869" s="171"/>
      <c r="Q869" s="2"/>
      <c r="R869" s="6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171"/>
      <c r="AG869" s="2"/>
      <c r="AH869" s="2"/>
      <c r="AI869" s="2"/>
      <c r="AJ869" s="2"/>
      <c r="AK869" s="2"/>
      <c r="AL869" s="2"/>
      <c r="AM869" s="2"/>
      <c r="AN869" s="2"/>
    </row>
    <row r="870" spans="1:40" ht="12.75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170"/>
      <c r="L870" s="170"/>
      <c r="M870" s="2"/>
      <c r="N870" s="2"/>
      <c r="O870" s="171"/>
      <c r="P870" s="171"/>
      <c r="Q870" s="2"/>
      <c r="R870" s="6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171"/>
      <c r="AG870" s="2"/>
      <c r="AH870" s="2"/>
      <c r="AI870" s="2"/>
      <c r="AJ870" s="2"/>
      <c r="AK870" s="2"/>
      <c r="AL870" s="2"/>
      <c r="AM870" s="2"/>
      <c r="AN870" s="2"/>
    </row>
    <row r="871" spans="1:40" ht="12.75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170"/>
      <c r="L871" s="170"/>
      <c r="M871" s="2"/>
      <c r="N871" s="2"/>
      <c r="O871" s="171"/>
      <c r="P871" s="171"/>
      <c r="Q871" s="2"/>
      <c r="R871" s="6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171"/>
      <c r="AG871" s="2"/>
      <c r="AH871" s="2"/>
      <c r="AI871" s="2"/>
      <c r="AJ871" s="2"/>
      <c r="AK871" s="2"/>
      <c r="AL871" s="2"/>
      <c r="AM871" s="2"/>
      <c r="AN871" s="2"/>
    </row>
    <row r="872" spans="1:40" ht="12.75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170"/>
      <c r="L872" s="170"/>
      <c r="M872" s="2"/>
      <c r="N872" s="2"/>
      <c r="O872" s="171"/>
      <c r="P872" s="171"/>
      <c r="Q872" s="2"/>
      <c r="R872" s="6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171"/>
      <c r="AG872" s="2"/>
      <c r="AH872" s="2"/>
      <c r="AI872" s="2"/>
      <c r="AJ872" s="2"/>
      <c r="AK872" s="2"/>
      <c r="AL872" s="2"/>
      <c r="AM872" s="2"/>
      <c r="AN872" s="2"/>
    </row>
    <row r="873" spans="1:40" ht="12.75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170"/>
      <c r="L873" s="170"/>
      <c r="M873" s="2"/>
      <c r="N873" s="2"/>
      <c r="O873" s="171"/>
      <c r="P873" s="171"/>
      <c r="Q873" s="2"/>
      <c r="R873" s="6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171"/>
      <c r="AG873" s="2"/>
      <c r="AH873" s="2"/>
      <c r="AI873" s="2"/>
      <c r="AJ873" s="2"/>
      <c r="AK873" s="2"/>
      <c r="AL873" s="2"/>
      <c r="AM873" s="2"/>
      <c r="AN873" s="2"/>
    </row>
    <row r="874" spans="1:40" ht="12.75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170"/>
      <c r="L874" s="170"/>
      <c r="M874" s="2"/>
      <c r="N874" s="2"/>
      <c r="O874" s="171"/>
      <c r="P874" s="171"/>
      <c r="Q874" s="2"/>
      <c r="R874" s="6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171"/>
      <c r="AG874" s="2"/>
      <c r="AH874" s="2"/>
      <c r="AI874" s="2"/>
      <c r="AJ874" s="2"/>
      <c r="AK874" s="2"/>
      <c r="AL874" s="2"/>
      <c r="AM874" s="2"/>
      <c r="AN874" s="2"/>
    </row>
    <row r="875" spans="1:40" ht="12.75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170"/>
      <c r="L875" s="170"/>
      <c r="M875" s="2"/>
      <c r="N875" s="2"/>
      <c r="O875" s="171"/>
      <c r="P875" s="171"/>
      <c r="Q875" s="2"/>
      <c r="R875" s="6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171"/>
      <c r="AG875" s="2"/>
      <c r="AH875" s="2"/>
      <c r="AI875" s="2"/>
      <c r="AJ875" s="2"/>
      <c r="AK875" s="2"/>
      <c r="AL875" s="2"/>
      <c r="AM875" s="2"/>
      <c r="AN875" s="2"/>
    </row>
    <row r="876" spans="1:40" ht="12.75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170"/>
      <c r="L876" s="170"/>
      <c r="M876" s="2"/>
      <c r="N876" s="2"/>
      <c r="O876" s="171"/>
      <c r="P876" s="171"/>
      <c r="Q876" s="2"/>
      <c r="R876" s="6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171"/>
      <c r="AG876" s="2"/>
      <c r="AH876" s="2"/>
      <c r="AI876" s="2"/>
      <c r="AJ876" s="2"/>
      <c r="AK876" s="2"/>
      <c r="AL876" s="2"/>
      <c r="AM876" s="2"/>
      <c r="AN876" s="2"/>
    </row>
    <row r="877" spans="1:40" ht="12.75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170"/>
      <c r="L877" s="170"/>
      <c r="M877" s="2"/>
      <c r="N877" s="2"/>
      <c r="O877" s="171"/>
      <c r="P877" s="171"/>
      <c r="Q877" s="2"/>
      <c r="R877" s="6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171"/>
      <c r="AG877" s="2"/>
      <c r="AH877" s="2"/>
      <c r="AI877" s="2"/>
      <c r="AJ877" s="2"/>
      <c r="AK877" s="2"/>
      <c r="AL877" s="2"/>
      <c r="AM877" s="2"/>
      <c r="AN877" s="2"/>
    </row>
    <row r="878" spans="1:40" ht="12.75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170"/>
      <c r="L878" s="170"/>
      <c r="M878" s="2"/>
      <c r="N878" s="2"/>
      <c r="O878" s="171"/>
      <c r="P878" s="171"/>
      <c r="Q878" s="2"/>
      <c r="R878" s="6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171"/>
      <c r="AG878" s="2"/>
      <c r="AH878" s="2"/>
      <c r="AI878" s="2"/>
      <c r="AJ878" s="2"/>
      <c r="AK878" s="2"/>
      <c r="AL878" s="2"/>
      <c r="AM878" s="2"/>
      <c r="AN878" s="2"/>
    </row>
    <row r="879" spans="1:40" ht="12.75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170"/>
      <c r="L879" s="170"/>
      <c r="M879" s="2"/>
      <c r="N879" s="2"/>
      <c r="O879" s="171"/>
      <c r="P879" s="171"/>
      <c r="Q879" s="2"/>
      <c r="R879" s="6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171"/>
      <c r="AG879" s="2"/>
      <c r="AH879" s="2"/>
      <c r="AI879" s="2"/>
      <c r="AJ879" s="2"/>
      <c r="AK879" s="2"/>
      <c r="AL879" s="2"/>
      <c r="AM879" s="2"/>
      <c r="AN879" s="2"/>
    </row>
    <row r="880" spans="1:40" ht="12.75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170"/>
      <c r="L880" s="170"/>
      <c r="M880" s="2"/>
      <c r="N880" s="2"/>
      <c r="O880" s="171"/>
      <c r="P880" s="171"/>
      <c r="Q880" s="2"/>
      <c r="R880" s="6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171"/>
      <c r="AG880" s="2"/>
      <c r="AH880" s="2"/>
      <c r="AI880" s="2"/>
      <c r="AJ880" s="2"/>
      <c r="AK880" s="2"/>
      <c r="AL880" s="2"/>
      <c r="AM880" s="2"/>
      <c r="AN880" s="2"/>
    </row>
    <row r="881" spans="1:40" ht="12.75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170"/>
      <c r="L881" s="170"/>
      <c r="M881" s="2"/>
      <c r="N881" s="2"/>
      <c r="O881" s="171"/>
      <c r="P881" s="171"/>
      <c r="Q881" s="2"/>
      <c r="R881" s="6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171"/>
      <c r="AG881" s="2"/>
      <c r="AH881" s="2"/>
      <c r="AI881" s="2"/>
      <c r="AJ881" s="2"/>
      <c r="AK881" s="2"/>
      <c r="AL881" s="2"/>
      <c r="AM881" s="2"/>
      <c r="AN881" s="2"/>
    </row>
    <row r="882" spans="1:40" ht="12.75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170"/>
      <c r="L882" s="170"/>
      <c r="M882" s="2"/>
      <c r="N882" s="2"/>
      <c r="O882" s="171"/>
      <c r="P882" s="171"/>
      <c r="Q882" s="2"/>
      <c r="R882" s="6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171"/>
      <c r="AG882" s="2"/>
      <c r="AH882" s="2"/>
      <c r="AI882" s="2"/>
      <c r="AJ882" s="2"/>
      <c r="AK882" s="2"/>
      <c r="AL882" s="2"/>
      <c r="AM882" s="2"/>
      <c r="AN882" s="2"/>
    </row>
    <row r="883" spans="1:40" ht="12.75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170"/>
      <c r="L883" s="170"/>
      <c r="M883" s="2"/>
      <c r="N883" s="2"/>
      <c r="O883" s="171"/>
      <c r="P883" s="171"/>
      <c r="Q883" s="2"/>
      <c r="R883" s="6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171"/>
      <c r="AG883" s="2"/>
      <c r="AH883" s="2"/>
      <c r="AI883" s="2"/>
      <c r="AJ883" s="2"/>
      <c r="AK883" s="2"/>
      <c r="AL883" s="2"/>
      <c r="AM883" s="2"/>
      <c r="AN883" s="2"/>
    </row>
    <row r="884" spans="1:40" ht="12.75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170"/>
      <c r="L884" s="170"/>
      <c r="M884" s="2"/>
      <c r="N884" s="2"/>
      <c r="O884" s="171"/>
      <c r="P884" s="171"/>
      <c r="Q884" s="2"/>
      <c r="R884" s="6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171"/>
      <c r="AG884" s="2"/>
      <c r="AH884" s="2"/>
      <c r="AI884" s="2"/>
      <c r="AJ884" s="2"/>
      <c r="AK884" s="2"/>
      <c r="AL884" s="2"/>
      <c r="AM884" s="2"/>
      <c r="AN884" s="2"/>
    </row>
    <row r="885" spans="1:40" ht="12.75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170"/>
      <c r="L885" s="170"/>
      <c r="M885" s="2"/>
      <c r="N885" s="2"/>
      <c r="O885" s="171"/>
      <c r="P885" s="171"/>
      <c r="Q885" s="2"/>
      <c r="R885" s="6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171"/>
      <c r="AG885" s="2"/>
      <c r="AH885" s="2"/>
      <c r="AI885" s="2"/>
      <c r="AJ885" s="2"/>
      <c r="AK885" s="2"/>
      <c r="AL885" s="2"/>
      <c r="AM885" s="2"/>
      <c r="AN885" s="2"/>
    </row>
    <row r="886" spans="1:40" ht="12.75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170"/>
      <c r="L886" s="170"/>
      <c r="M886" s="2"/>
      <c r="N886" s="2"/>
      <c r="O886" s="171"/>
      <c r="P886" s="171"/>
      <c r="Q886" s="2"/>
      <c r="R886" s="6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171"/>
      <c r="AG886" s="2"/>
      <c r="AH886" s="2"/>
      <c r="AI886" s="2"/>
      <c r="AJ886" s="2"/>
      <c r="AK886" s="2"/>
      <c r="AL886" s="2"/>
      <c r="AM886" s="2"/>
      <c r="AN886" s="2"/>
    </row>
    <row r="887" spans="1:40" ht="12.75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170"/>
      <c r="L887" s="170"/>
      <c r="M887" s="2"/>
      <c r="N887" s="2"/>
      <c r="O887" s="171"/>
      <c r="P887" s="171"/>
      <c r="Q887" s="2"/>
      <c r="R887" s="6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171"/>
      <c r="AG887" s="2"/>
      <c r="AH887" s="2"/>
      <c r="AI887" s="2"/>
      <c r="AJ887" s="2"/>
      <c r="AK887" s="2"/>
      <c r="AL887" s="2"/>
      <c r="AM887" s="2"/>
      <c r="AN887" s="2"/>
    </row>
    <row r="888" spans="1:40" ht="12.75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170"/>
      <c r="L888" s="170"/>
      <c r="M888" s="2"/>
      <c r="N888" s="2"/>
      <c r="O888" s="171"/>
      <c r="P888" s="171"/>
      <c r="Q888" s="2"/>
      <c r="R888" s="6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171"/>
      <c r="AG888" s="2"/>
      <c r="AH888" s="2"/>
      <c r="AI888" s="2"/>
      <c r="AJ888" s="2"/>
      <c r="AK888" s="2"/>
      <c r="AL888" s="2"/>
      <c r="AM888" s="2"/>
      <c r="AN888" s="2"/>
    </row>
    <row r="889" spans="1:40" ht="12.75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170"/>
      <c r="L889" s="170"/>
      <c r="M889" s="2"/>
      <c r="N889" s="2"/>
      <c r="O889" s="171"/>
      <c r="P889" s="171"/>
      <c r="Q889" s="2"/>
      <c r="R889" s="6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171"/>
      <c r="AG889" s="2"/>
      <c r="AH889" s="2"/>
      <c r="AI889" s="2"/>
      <c r="AJ889" s="2"/>
      <c r="AK889" s="2"/>
      <c r="AL889" s="2"/>
      <c r="AM889" s="2"/>
      <c r="AN889" s="2"/>
    </row>
    <row r="890" spans="1:40" ht="12.75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170"/>
      <c r="L890" s="170"/>
      <c r="M890" s="2"/>
      <c r="N890" s="2"/>
      <c r="O890" s="171"/>
      <c r="P890" s="171"/>
      <c r="Q890" s="2"/>
      <c r="R890" s="6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171"/>
      <c r="AG890" s="2"/>
      <c r="AH890" s="2"/>
      <c r="AI890" s="2"/>
      <c r="AJ890" s="2"/>
      <c r="AK890" s="2"/>
      <c r="AL890" s="2"/>
      <c r="AM890" s="2"/>
      <c r="AN890" s="2"/>
    </row>
    <row r="891" spans="1:40" ht="12.75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170"/>
      <c r="L891" s="170"/>
      <c r="M891" s="2"/>
      <c r="N891" s="2"/>
      <c r="O891" s="171"/>
      <c r="P891" s="171"/>
      <c r="Q891" s="2"/>
      <c r="R891" s="6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171"/>
      <c r="AG891" s="2"/>
      <c r="AH891" s="2"/>
      <c r="AI891" s="2"/>
      <c r="AJ891" s="2"/>
      <c r="AK891" s="2"/>
      <c r="AL891" s="2"/>
      <c r="AM891" s="2"/>
      <c r="AN891" s="2"/>
    </row>
    <row r="892" spans="1:40" ht="12.75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170"/>
      <c r="L892" s="170"/>
      <c r="M892" s="2"/>
      <c r="N892" s="2"/>
      <c r="O892" s="171"/>
      <c r="P892" s="171"/>
      <c r="Q892" s="2"/>
      <c r="R892" s="6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171"/>
      <c r="AG892" s="2"/>
      <c r="AH892" s="2"/>
      <c r="AI892" s="2"/>
      <c r="AJ892" s="2"/>
      <c r="AK892" s="2"/>
      <c r="AL892" s="2"/>
      <c r="AM892" s="2"/>
      <c r="AN892" s="2"/>
    </row>
    <row r="893" spans="1:40" ht="12.75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170"/>
      <c r="L893" s="170"/>
      <c r="M893" s="2"/>
      <c r="N893" s="2"/>
      <c r="O893" s="171"/>
      <c r="P893" s="171"/>
      <c r="Q893" s="2"/>
      <c r="R893" s="6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171"/>
      <c r="AG893" s="2"/>
      <c r="AH893" s="2"/>
      <c r="AI893" s="2"/>
      <c r="AJ893" s="2"/>
      <c r="AK893" s="2"/>
      <c r="AL893" s="2"/>
      <c r="AM893" s="2"/>
      <c r="AN893" s="2"/>
    </row>
    <row r="894" spans="1:40" ht="12.75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170"/>
      <c r="L894" s="170"/>
      <c r="M894" s="2"/>
      <c r="N894" s="2"/>
      <c r="O894" s="171"/>
      <c r="P894" s="171"/>
      <c r="Q894" s="2"/>
      <c r="R894" s="6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171"/>
      <c r="AG894" s="2"/>
      <c r="AH894" s="2"/>
      <c r="AI894" s="2"/>
      <c r="AJ894" s="2"/>
      <c r="AK894" s="2"/>
      <c r="AL894" s="2"/>
      <c r="AM894" s="2"/>
      <c r="AN894" s="2"/>
    </row>
    <row r="895" spans="1:40" ht="12.75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170"/>
      <c r="L895" s="170"/>
      <c r="M895" s="2"/>
      <c r="N895" s="2"/>
      <c r="O895" s="171"/>
      <c r="P895" s="171"/>
      <c r="Q895" s="2"/>
      <c r="R895" s="6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171"/>
      <c r="AG895" s="2"/>
      <c r="AH895" s="2"/>
      <c r="AI895" s="2"/>
      <c r="AJ895" s="2"/>
      <c r="AK895" s="2"/>
      <c r="AL895" s="2"/>
      <c r="AM895" s="2"/>
      <c r="AN895" s="2"/>
    </row>
    <row r="896" spans="1:40" ht="12.75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170"/>
      <c r="L896" s="170"/>
      <c r="M896" s="2"/>
      <c r="N896" s="2"/>
      <c r="O896" s="171"/>
      <c r="P896" s="171"/>
      <c r="Q896" s="2"/>
      <c r="R896" s="6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171"/>
      <c r="AG896" s="2"/>
      <c r="AH896" s="2"/>
      <c r="AI896" s="2"/>
      <c r="AJ896" s="2"/>
      <c r="AK896" s="2"/>
      <c r="AL896" s="2"/>
      <c r="AM896" s="2"/>
      <c r="AN896" s="2"/>
    </row>
    <row r="897" spans="1:40" ht="12.75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170"/>
      <c r="L897" s="170"/>
      <c r="M897" s="2"/>
      <c r="N897" s="2"/>
      <c r="O897" s="171"/>
      <c r="P897" s="171"/>
      <c r="Q897" s="2"/>
      <c r="R897" s="6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171"/>
      <c r="AG897" s="2"/>
      <c r="AH897" s="2"/>
      <c r="AI897" s="2"/>
      <c r="AJ897" s="2"/>
      <c r="AK897" s="2"/>
      <c r="AL897" s="2"/>
      <c r="AM897" s="2"/>
      <c r="AN897" s="2"/>
    </row>
    <row r="898" spans="1:40" ht="12.75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170"/>
      <c r="L898" s="170"/>
      <c r="M898" s="2"/>
      <c r="N898" s="2"/>
      <c r="O898" s="171"/>
      <c r="P898" s="171"/>
      <c r="Q898" s="2"/>
      <c r="R898" s="6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171"/>
      <c r="AG898" s="2"/>
      <c r="AH898" s="2"/>
      <c r="AI898" s="2"/>
      <c r="AJ898" s="2"/>
      <c r="AK898" s="2"/>
      <c r="AL898" s="2"/>
      <c r="AM898" s="2"/>
      <c r="AN898" s="2"/>
    </row>
    <row r="899" spans="1:40" ht="12.75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170"/>
      <c r="L899" s="170"/>
      <c r="M899" s="2"/>
      <c r="N899" s="2"/>
      <c r="O899" s="171"/>
      <c r="P899" s="171"/>
      <c r="Q899" s="2"/>
      <c r="R899" s="6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171"/>
      <c r="AG899" s="2"/>
      <c r="AH899" s="2"/>
      <c r="AI899" s="2"/>
      <c r="AJ899" s="2"/>
      <c r="AK899" s="2"/>
      <c r="AL899" s="2"/>
      <c r="AM899" s="2"/>
      <c r="AN899" s="2"/>
    </row>
    <row r="900" spans="1:40" ht="12.75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170"/>
      <c r="L900" s="170"/>
      <c r="M900" s="2"/>
      <c r="N900" s="2"/>
      <c r="O900" s="171"/>
      <c r="P900" s="171"/>
      <c r="Q900" s="2"/>
      <c r="R900" s="6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171"/>
      <c r="AG900" s="2"/>
      <c r="AH900" s="2"/>
      <c r="AI900" s="2"/>
      <c r="AJ900" s="2"/>
      <c r="AK900" s="2"/>
      <c r="AL900" s="2"/>
      <c r="AM900" s="2"/>
      <c r="AN900" s="2"/>
    </row>
    <row r="901" spans="1:40" ht="12.75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170"/>
      <c r="L901" s="170"/>
      <c r="M901" s="2"/>
      <c r="N901" s="2"/>
      <c r="O901" s="171"/>
      <c r="P901" s="171"/>
      <c r="Q901" s="2"/>
      <c r="R901" s="6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171"/>
      <c r="AG901" s="2"/>
      <c r="AH901" s="2"/>
      <c r="AI901" s="2"/>
      <c r="AJ901" s="2"/>
      <c r="AK901" s="2"/>
      <c r="AL901" s="2"/>
      <c r="AM901" s="2"/>
      <c r="AN901" s="2"/>
    </row>
    <row r="902" spans="1:40" ht="12.75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170"/>
      <c r="L902" s="170"/>
      <c r="M902" s="2"/>
      <c r="N902" s="2"/>
      <c r="O902" s="171"/>
      <c r="P902" s="171"/>
      <c r="Q902" s="2"/>
      <c r="R902" s="6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171"/>
      <c r="AG902" s="2"/>
      <c r="AH902" s="2"/>
      <c r="AI902" s="2"/>
      <c r="AJ902" s="2"/>
      <c r="AK902" s="2"/>
      <c r="AL902" s="2"/>
      <c r="AM902" s="2"/>
      <c r="AN902" s="2"/>
    </row>
    <row r="903" spans="1:40" ht="12.75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170"/>
      <c r="L903" s="170"/>
      <c r="M903" s="2"/>
      <c r="N903" s="2"/>
      <c r="O903" s="171"/>
      <c r="P903" s="171"/>
      <c r="Q903" s="2"/>
      <c r="R903" s="6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171"/>
      <c r="AG903" s="2"/>
      <c r="AH903" s="2"/>
      <c r="AI903" s="2"/>
      <c r="AJ903" s="2"/>
      <c r="AK903" s="2"/>
      <c r="AL903" s="2"/>
      <c r="AM903" s="2"/>
      <c r="AN903" s="2"/>
    </row>
    <row r="904" spans="1:40" ht="12.75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170"/>
      <c r="L904" s="170"/>
      <c r="M904" s="2"/>
      <c r="N904" s="2"/>
      <c r="O904" s="171"/>
      <c r="P904" s="171"/>
      <c r="Q904" s="2"/>
      <c r="R904" s="6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171"/>
      <c r="AG904" s="2"/>
      <c r="AH904" s="2"/>
      <c r="AI904" s="2"/>
      <c r="AJ904" s="2"/>
      <c r="AK904" s="2"/>
      <c r="AL904" s="2"/>
      <c r="AM904" s="2"/>
      <c r="AN904" s="2"/>
    </row>
    <row r="905" spans="1:40" ht="12.75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170"/>
      <c r="L905" s="170"/>
      <c r="M905" s="2"/>
      <c r="N905" s="2"/>
      <c r="O905" s="171"/>
      <c r="P905" s="171"/>
      <c r="Q905" s="2"/>
      <c r="R905" s="6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171"/>
      <c r="AG905" s="2"/>
      <c r="AH905" s="2"/>
      <c r="AI905" s="2"/>
      <c r="AJ905" s="2"/>
      <c r="AK905" s="2"/>
      <c r="AL905" s="2"/>
      <c r="AM905" s="2"/>
      <c r="AN905" s="2"/>
    </row>
    <row r="906" spans="1:40" ht="12.75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170"/>
      <c r="L906" s="170"/>
      <c r="M906" s="2"/>
      <c r="N906" s="2"/>
      <c r="O906" s="171"/>
      <c r="P906" s="171"/>
      <c r="Q906" s="2"/>
      <c r="R906" s="6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171"/>
      <c r="AG906" s="2"/>
      <c r="AH906" s="2"/>
      <c r="AI906" s="2"/>
      <c r="AJ906" s="2"/>
      <c r="AK906" s="2"/>
      <c r="AL906" s="2"/>
      <c r="AM906" s="2"/>
      <c r="AN906" s="2"/>
    </row>
    <row r="907" spans="1:40" ht="12.75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170"/>
      <c r="L907" s="170"/>
      <c r="M907" s="2"/>
      <c r="N907" s="2"/>
      <c r="O907" s="171"/>
      <c r="P907" s="171"/>
      <c r="Q907" s="2"/>
      <c r="R907" s="6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171"/>
      <c r="AG907" s="2"/>
      <c r="AH907" s="2"/>
      <c r="AI907" s="2"/>
      <c r="AJ907" s="2"/>
      <c r="AK907" s="2"/>
      <c r="AL907" s="2"/>
      <c r="AM907" s="2"/>
      <c r="AN907" s="2"/>
    </row>
    <row r="908" spans="1:40" ht="12.75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170"/>
      <c r="L908" s="170"/>
      <c r="M908" s="2"/>
      <c r="N908" s="2"/>
      <c r="O908" s="171"/>
      <c r="P908" s="171"/>
      <c r="Q908" s="2"/>
      <c r="R908" s="6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171"/>
      <c r="AG908" s="2"/>
      <c r="AH908" s="2"/>
      <c r="AI908" s="2"/>
      <c r="AJ908" s="2"/>
      <c r="AK908" s="2"/>
      <c r="AL908" s="2"/>
      <c r="AM908" s="2"/>
      <c r="AN908" s="2"/>
    </row>
    <row r="909" spans="1:40" ht="12.75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170"/>
      <c r="L909" s="170"/>
      <c r="M909" s="2"/>
      <c r="N909" s="2"/>
      <c r="O909" s="171"/>
      <c r="P909" s="171"/>
      <c r="Q909" s="2"/>
      <c r="R909" s="6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171"/>
      <c r="AG909" s="2"/>
      <c r="AH909" s="2"/>
      <c r="AI909" s="2"/>
      <c r="AJ909" s="2"/>
      <c r="AK909" s="2"/>
      <c r="AL909" s="2"/>
      <c r="AM909" s="2"/>
      <c r="AN909" s="2"/>
    </row>
    <row r="910" spans="1:40" ht="12.75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170"/>
      <c r="L910" s="170"/>
      <c r="M910" s="2"/>
      <c r="N910" s="2"/>
      <c r="O910" s="171"/>
      <c r="P910" s="171"/>
      <c r="Q910" s="2"/>
      <c r="R910" s="6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171"/>
      <c r="AG910" s="2"/>
      <c r="AH910" s="2"/>
      <c r="AI910" s="2"/>
      <c r="AJ910" s="2"/>
      <c r="AK910" s="2"/>
      <c r="AL910" s="2"/>
      <c r="AM910" s="2"/>
      <c r="AN910" s="2"/>
    </row>
    <row r="911" spans="1:40" ht="12.75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170"/>
      <c r="L911" s="170"/>
      <c r="M911" s="2"/>
      <c r="N911" s="2"/>
      <c r="O911" s="171"/>
      <c r="P911" s="171"/>
      <c r="Q911" s="2"/>
      <c r="R911" s="6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171"/>
      <c r="AG911" s="2"/>
      <c r="AH911" s="2"/>
      <c r="AI911" s="2"/>
      <c r="AJ911" s="2"/>
      <c r="AK911" s="2"/>
      <c r="AL911" s="2"/>
      <c r="AM911" s="2"/>
      <c r="AN911" s="2"/>
    </row>
    <row r="912" spans="1:40" ht="12.75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170"/>
      <c r="L912" s="170"/>
      <c r="M912" s="2"/>
      <c r="N912" s="2"/>
      <c r="O912" s="171"/>
      <c r="P912" s="171"/>
      <c r="Q912" s="2"/>
      <c r="R912" s="6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171"/>
      <c r="AG912" s="2"/>
      <c r="AH912" s="2"/>
      <c r="AI912" s="2"/>
      <c r="AJ912" s="2"/>
      <c r="AK912" s="2"/>
      <c r="AL912" s="2"/>
      <c r="AM912" s="2"/>
      <c r="AN912" s="2"/>
    </row>
    <row r="913" spans="1:40" ht="12.75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170"/>
      <c r="L913" s="170"/>
      <c r="M913" s="2"/>
      <c r="N913" s="2"/>
      <c r="O913" s="171"/>
      <c r="P913" s="171"/>
      <c r="Q913" s="2"/>
      <c r="R913" s="6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171"/>
      <c r="AG913" s="2"/>
      <c r="AH913" s="2"/>
      <c r="AI913" s="2"/>
      <c r="AJ913" s="2"/>
      <c r="AK913" s="2"/>
      <c r="AL913" s="2"/>
      <c r="AM913" s="2"/>
      <c r="AN913" s="2"/>
    </row>
    <row r="914" spans="1:40" ht="12.75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170"/>
      <c r="L914" s="170"/>
      <c r="M914" s="2"/>
      <c r="N914" s="2"/>
      <c r="O914" s="171"/>
      <c r="P914" s="171"/>
      <c r="Q914" s="2"/>
      <c r="R914" s="6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171"/>
      <c r="AG914" s="2"/>
      <c r="AH914" s="2"/>
      <c r="AI914" s="2"/>
      <c r="AJ914" s="2"/>
      <c r="AK914" s="2"/>
      <c r="AL914" s="2"/>
      <c r="AM914" s="2"/>
      <c r="AN914" s="2"/>
    </row>
    <row r="915" spans="1:40" ht="12.75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170"/>
      <c r="L915" s="170"/>
      <c r="M915" s="2"/>
      <c r="N915" s="2"/>
      <c r="O915" s="171"/>
      <c r="P915" s="171"/>
      <c r="Q915" s="2"/>
      <c r="R915" s="6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171"/>
      <c r="AG915" s="2"/>
      <c r="AH915" s="2"/>
      <c r="AI915" s="2"/>
      <c r="AJ915" s="2"/>
      <c r="AK915" s="2"/>
      <c r="AL915" s="2"/>
      <c r="AM915" s="2"/>
      <c r="AN915" s="2"/>
    </row>
    <row r="916" spans="1:40" ht="12.75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170"/>
      <c r="L916" s="170"/>
      <c r="M916" s="2"/>
      <c r="N916" s="2"/>
      <c r="O916" s="171"/>
      <c r="P916" s="171"/>
      <c r="Q916" s="2"/>
      <c r="R916" s="6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171"/>
      <c r="AG916" s="2"/>
      <c r="AH916" s="2"/>
      <c r="AI916" s="2"/>
      <c r="AJ916" s="2"/>
      <c r="AK916" s="2"/>
      <c r="AL916" s="2"/>
      <c r="AM916" s="2"/>
      <c r="AN916" s="2"/>
    </row>
    <row r="917" spans="1:40" ht="12.75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170"/>
      <c r="L917" s="170"/>
      <c r="M917" s="2"/>
      <c r="N917" s="2"/>
      <c r="O917" s="171"/>
      <c r="P917" s="171"/>
      <c r="Q917" s="2"/>
      <c r="R917" s="6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171"/>
      <c r="AG917" s="2"/>
      <c r="AH917" s="2"/>
      <c r="AI917" s="2"/>
      <c r="AJ917" s="2"/>
      <c r="AK917" s="2"/>
      <c r="AL917" s="2"/>
      <c r="AM917" s="2"/>
      <c r="AN917" s="2"/>
    </row>
    <row r="918" spans="1:40" ht="12.75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170"/>
      <c r="L918" s="170"/>
      <c r="M918" s="2"/>
      <c r="N918" s="2"/>
      <c r="O918" s="171"/>
      <c r="P918" s="171"/>
      <c r="Q918" s="2"/>
      <c r="R918" s="6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171"/>
      <c r="AG918" s="2"/>
      <c r="AH918" s="2"/>
      <c r="AI918" s="2"/>
      <c r="AJ918" s="2"/>
      <c r="AK918" s="2"/>
      <c r="AL918" s="2"/>
      <c r="AM918" s="2"/>
      <c r="AN918" s="2"/>
    </row>
    <row r="919" spans="1:40" ht="12.75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170"/>
      <c r="L919" s="170"/>
      <c r="M919" s="2"/>
      <c r="N919" s="2"/>
      <c r="O919" s="171"/>
      <c r="P919" s="171"/>
      <c r="Q919" s="2"/>
      <c r="R919" s="6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171"/>
      <c r="AG919" s="2"/>
      <c r="AH919" s="2"/>
      <c r="AI919" s="2"/>
      <c r="AJ919" s="2"/>
      <c r="AK919" s="2"/>
      <c r="AL919" s="2"/>
      <c r="AM919" s="2"/>
      <c r="AN919" s="2"/>
    </row>
    <row r="920" spans="1:40" ht="12.75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170"/>
      <c r="L920" s="170"/>
      <c r="M920" s="2"/>
      <c r="N920" s="2"/>
      <c r="O920" s="171"/>
      <c r="P920" s="171"/>
      <c r="Q920" s="2"/>
      <c r="R920" s="6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171"/>
      <c r="AG920" s="2"/>
      <c r="AH920" s="2"/>
      <c r="AI920" s="2"/>
      <c r="AJ920" s="2"/>
      <c r="AK920" s="2"/>
      <c r="AL920" s="2"/>
      <c r="AM920" s="2"/>
      <c r="AN920" s="2"/>
    </row>
    <row r="921" spans="1:40" ht="12.75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170"/>
      <c r="L921" s="170"/>
      <c r="M921" s="2"/>
      <c r="N921" s="2"/>
      <c r="O921" s="171"/>
      <c r="P921" s="171"/>
      <c r="Q921" s="2"/>
      <c r="R921" s="6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171"/>
      <c r="AG921" s="2"/>
      <c r="AH921" s="2"/>
      <c r="AI921" s="2"/>
      <c r="AJ921" s="2"/>
      <c r="AK921" s="2"/>
      <c r="AL921" s="2"/>
      <c r="AM921" s="2"/>
      <c r="AN921" s="2"/>
    </row>
    <row r="922" spans="1:40" ht="12.75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170"/>
      <c r="L922" s="170"/>
      <c r="M922" s="2"/>
      <c r="N922" s="2"/>
      <c r="O922" s="171"/>
      <c r="P922" s="171"/>
      <c r="Q922" s="2"/>
      <c r="R922" s="6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171"/>
      <c r="AG922" s="2"/>
      <c r="AH922" s="2"/>
      <c r="AI922" s="2"/>
      <c r="AJ922" s="2"/>
      <c r="AK922" s="2"/>
      <c r="AL922" s="2"/>
      <c r="AM922" s="2"/>
      <c r="AN922" s="2"/>
    </row>
    <row r="923" spans="1:40" ht="12.75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170"/>
      <c r="L923" s="170"/>
      <c r="M923" s="2"/>
      <c r="N923" s="2"/>
      <c r="O923" s="171"/>
      <c r="P923" s="171"/>
      <c r="Q923" s="2"/>
      <c r="R923" s="6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171"/>
      <c r="AG923" s="2"/>
      <c r="AH923" s="2"/>
      <c r="AI923" s="2"/>
      <c r="AJ923" s="2"/>
      <c r="AK923" s="2"/>
      <c r="AL923" s="2"/>
      <c r="AM923" s="2"/>
      <c r="AN923" s="2"/>
    </row>
    <row r="924" spans="1:40" ht="12.75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170"/>
      <c r="L924" s="170"/>
      <c r="M924" s="2"/>
      <c r="N924" s="2"/>
      <c r="O924" s="171"/>
      <c r="P924" s="171"/>
      <c r="Q924" s="2"/>
      <c r="R924" s="6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171"/>
      <c r="AG924" s="2"/>
      <c r="AH924" s="2"/>
      <c r="AI924" s="2"/>
      <c r="AJ924" s="2"/>
      <c r="AK924" s="2"/>
      <c r="AL924" s="2"/>
      <c r="AM924" s="2"/>
      <c r="AN924" s="2"/>
    </row>
    <row r="925" spans="1:40" ht="12.75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170"/>
      <c r="L925" s="170"/>
      <c r="M925" s="2"/>
      <c r="N925" s="2"/>
      <c r="O925" s="171"/>
      <c r="P925" s="171"/>
      <c r="Q925" s="2"/>
      <c r="R925" s="6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171"/>
      <c r="AG925" s="2"/>
      <c r="AH925" s="2"/>
      <c r="AI925" s="2"/>
      <c r="AJ925" s="2"/>
      <c r="AK925" s="2"/>
      <c r="AL925" s="2"/>
      <c r="AM925" s="2"/>
      <c r="AN925" s="2"/>
    </row>
    <row r="926" spans="1:40" ht="12.75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170"/>
      <c r="L926" s="170"/>
      <c r="M926" s="2"/>
      <c r="N926" s="2"/>
      <c r="O926" s="171"/>
      <c r="P926" s="171"/>
      <c r="Q926" s="2"/>
      <c r="R926" s="6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171"/>
      <c r="AG926" s="2"/>
      <c r="AH926" s="2"/>
      <c r="AI926" s="2"/>
      <c r="AJ926" s="2"/>
      <c r="AK926" s="2"/>
      <c r="AL926" s="2"/>
      <c r="AM926" s="2"/>
      <c r="AN926" s="2"/>
    </row>
    <row r="927" spans="1:40" ht="12.75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170"/>
      <c r="L927" s="170"/>
      <c r="M927" s="2"/>
      <c r="N927" s="2"/>
      <c r="O927" s="171"/>
      <c r="P927" s="171"/>
      <c r="Q927" s="2"/>
      <c r="R927" s="6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171"/>
      <c r="AG927" s="2"/>
      <c r="AH927" s="2"/>
      <c r="AI927" s="2"/>
      <c r="AJ927" s="2"/>
      <c r="AK927" s="2"/>
      <c r="AL927" s="2"/>
      <c r="AM927" s="2"/>
      <c r="AN927" s="2"/>
    </row>
    <row r="928" spans="1:40" ht="12.75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170"/>
      <c r="L928" s="170"/>
      <c r="M928" s="2"/>
      <c r="N928" s="2"/>
      <c r="O928" s="171"/>
      <c r="P928" s="171"/>
      <c r="Q928" s="2"/>
      <c r="R928" s="6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171"/>
      <c r="AG928" s="2"/>
      <c r="AH928" s="2"/>
      <c r="AI928" s="2"/>
      <c r="AJ928" s="2"/>
      <c r="AK928" s="2"/>
      <c r="AL928" s="2"/>
      <c r="AM928" s="2"/>
      <c r="AN928" s="2"/>
    </row>
    <row r="929" spans="1:40" ht="12.75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170"/>
      <c r="L929" s="170"/>
      <c r="M929" s="2"/>
      <c r="N929" s="2"/>
      <c r="O929" s="171"/>
      <c r="P929" s="171"/>
      <c r="Q929" s="2"/>
      <c r="R929" s="6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171"/>
      <c r="AG929" s="2"/>
      <c r="AH929" s="2"/>
      <c r="AI929" s="2"/>
      <c r="AJ929" s="2"/>
      <c r="AK929" s="2"/>
      <c r="AL929" s="2"/>
      <c r="AM929" s="2"/>
      <c r="AN929" s="2"/>
    </row>
    <row r="930" spans="1:40" ht="12.75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170"/>
      <c r="L930" s="170"/>
      <c r="M930" s="2"/>
      <c r="N930" s="2"/>
      <c r="O930" s="171"/>
      <c r="P930" s="171"/>
      <c r="Q930" s="2"/>
      <c r="R930" s="6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171"/>
      <c r="AG930" s="2"/>
      <c r="AH930" s="2"/>
      <c r="AI930" s="2"/>
      <c r="AJ930" s="2"/>
      <c r="AK930" s="2"/>
      <c r="AL930" s="2"/>
      <c r="AM930" s="2"/>
      <c r="AN930" s="2"/>
    </row>
    <row r="931" spans="1:40" ht="12.75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170"/>
      <c r="L931" s="170"/>
      <c r="M931" s="2"/>
      <c r="N931" s="2"/>
      <c r="O931" s="171"/>
      <c r="P931" s="171"/>
      <c r="Q931" s="2"/>
      <c r="R931" s="6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171"/>
      <c r="AG931" s="2"/>
      <c r="AH931" s="2"/>
      <c r="AI931" s="2"/>
      <c r="AJ931" s="2"/>
      <c r="AK931" s="2"/>
      <c r="AL931" s="2"/>
      <c r="AM931" s="2"/>
      <c r="AN931" s="2"/>
    </row>
    <row r="932" spans="1:40" ht="12.75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170"/>
      <c r="L932" s="170"/>
      <c r="M932" s="2"/>
      <c r="N932" s="2"/>
      <c r="O932" s="171"/>
      <c r="P932" s="171"/>
      <c r="Q932" s="2"/>
      <c r="R932" s="6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171"/>
      <c r="AG932" s="2"/>
      <c r="AH932" s="2"/>
      <c r="AI932" s="2"/>
      <c r="AJ932" s="2"/>
      <c r="AK932" s="2"/>
      <c r="AL932" s="2"/>
      <c r="AM932" s="2"/>
      <c r="AN932" s="2"/>
    </row>
    <row r="933" spans="1:40" ht="12.75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170"/>
      <c r="L933" s="170"/>
      <c r="M933" s="2"/>
      <c r="N933" s="2"/>
      <c r="O933" s="171"/>
      <c r="P933" s="171"/>
      <c r="Q933" s="2"/>
      <c r="R933" s="6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171"/>
      <c r="AG933" s="2"/>
      <c r="AH933" s="2"/>
      <c r="AI933" s="2"/>
      <c r="AJ933" s="2"/>
      <c r="AK933" s="2"/>
      <c r="AL933" s="2"/>
      <c r="AM933" s="2"/>
      <c r="AN933" s="2"/>
    </row>
    <row r="934" spans="1:40" ht="12.75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170"/>
      <c r="L934" s="170"/>
      <c r="M934" s="2"/>
      <c r="N934" s="2"/>
      <c r="O934" s="171"/>
      <c r="P934" s="171"/>
      <c r="Q934" s="2"/>
      <c r="R934" s="6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171"/>
      <c r="AG934" s="2"/>
      <c r="AH934" s="2"/>
      <c r="AI934" s="2"/>
      <c r="AJ934" s="2"/>
      <c r="AK934" s="2"/>
      <c r="AL934" s="2"/>
      <c r="AM934" s="2"/>
      <c r="AN934" s="2"/>
    </row>
    <row r="935" spans="1:40" ht="12.75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170"/>
      <c r="L935" s="170"/>
      <c r="M935" s="2"/>
      <c r="N935" s="2"/>
      <c r="O935" s="171"/>
      <c r="P935" s="171"/>
      <c r="Q935" s="2"/>
      <c r="R935" s="6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171"/>
      <c r="AG935" s="2"/>
      <c r="AH935" s="2"/>
      <c r="AI935" s="2"/>
      <c r="AJ935" s="2"/>
      <c r="AK935" s="2"/>
      <c r="AL935" s="2"/>
      <c r="AM935" s="2"/>
      <c r="AN935" s="2"/>
    </row>
    <row r="936" spans="1:40" ht="12.75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170"/>
      <c r="L936" s="170"/>
      <c r="M936" s="2"/>
      <c r="N936" s="2"/>
      <c r="O936" s="171"/>
      <c r="P936" s="171"/>
      <c r="Q936" s="2"/>
      <c r="R936" s="6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171"/>
      <c r="AG936" s="2"/>
      <c r="AH936" s="2"/>
      <c r="AI936" s="2"/>
      <c r="AJ936" s="2"/>
      <c r="AK936" s="2"/>
      <c r="AL936" s="2"/>
      <c r="AM936" s="2"/>
      <c r="AN936" s="2"/>
    </row>
    <row r="937" spans="1:40" ht="12.75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170"/>
      <c r="L937" s="170"/>
      <c r="M937" s="2"/>
      <c r="N937" s="2"/>
      <c r="O937" s="171"/>
      <c r="P937" s="171"/>
      <c r="Q937" s="2"/>
      <c r="R937" s="6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171"/>
      <c r="AG937" s="2"/>
      <c r="AH937" s="2"/>
      <c r="AI937" s="2"/>
      <c r="AJ937" s="2"/>
      <c r="AK937" s="2"/>
      <c r="AL937" s="2"/>
      <c r="AM937" s="2"/>
      <c r="AN937" s="2"/>
    </row>
    <row r="938" spans="1:40" ht="12.75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170"/>
      <c r="L938" s="170"/>
      <c r="M938" s="2"/>
      <c r="N938" s="2"/>
      <c r="O938" s="171"/>
      <c r="P938" s="171"/>
      <c r="Q938" s="2"/>
      <c r="R938" s="6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171"/>
      <c r="AG938" s="2"/>
      <c r="AH938" s="2"/>
      <c r="AI938" s="2"/>
      <c r="AJ938" s="2"/>
      <c r="AK938" s="2"/>
      <c r="AL938" s="2"/>
      <c r="AM938" s="2"/>
      <c r="AN938" s="2"/>
    </row>
    <row r="939" spans="1:40" ht="12.75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170"/>
      <c r="L939" s="170"/>
      <c r="M939" s="2"/>
      <c r="N939" s="2"/>
      <c r="O939" s="171"/>
      <c r="P939" s="171"/>
      <c r="Q939" s="2"/>
      <c r="R939" s="6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171"/>
      <c r="AG939" s="2"/>
      <c r="AH939" s="2"/>
      <c r="AI939" s="2"/>
      <c r="AJ939" s="2"/>
      <c r="AK939" s="2"/>
      <c r="AL939" s="2"/>
      <c r="AM939" s="2"/>
      <c r="AN939" s="2"/>
    </row>
    <row r="940" spans="1:40" ht="12.75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170"/>
      <c r="L940" s="170"/>
      <c r="M940" s="2"/>
      <c r="N940" s="2"/>
      <c r="O940" s="171"/>
      <c r="P940" s="171"/>
      <c r="Q940" s="2"/>
      <c r="R940" s="6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171"/>
      <c r="AG940" s="2"/>
      <c r="AH940" s="2"/>
      <c r="AI940" s="2"/>
      <c r="AJ940" s="2"/>
      <c r="AK940" s="2"/>
      <c r="AL940" s="2"/>
      <c r="AM940" s="2"/>
      <c r="AN940" s="2"/>
    </row>
    <row r="941" spans="1:40" ht="12.75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170"/>
      <c r="L941" s="170"/>
      <c r="M941" s="2"/>
      <c r="N941" s="2"/>
      <c r="O941" s="171"/>
      <c r="P941" s="171"/>
      <c r="Q941" s="2"/>
      <c r="R941" s="6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171"/>
      <c r="AG941" s="2"/>
      <c r="AH941" s="2"/>
      <c r="AI941" s="2"/>
      <c r="AJ941" s="2"/>
      <c r="AK941" s="2"/>
      <c r="AL941" s="2"/>
      <c r="AM941" s="2"/>
      <c r="AN941" s="2"/>
    </row>
    <row r="942" spans="1:40" ht="12.75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170"/>
      <c r="L942" s="170"/>
      <c r="M942" s="2"/>
      <c r="N942" s="2"/>
      <c r="O942" s="171"/>
      <c r="P942" s="171"/>
      <c r="Q942" s="2"/>
      <c r="R942" s="6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171"/>
      <c r="AG942" s="2"/>
      <c r="AH942" s="2"/>
      <c r="AI942" s="2"/>
      <c r="AJ942" s="2"/>
      <c r="AK942" s="2"/>
      <c r="AL942" s="2"/>
      <c r="AM942" s="2"/>
      <c r="AN942" s="2"/>
    </row>
    <row r="943" spans="1:40" ht="12.75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170"/>
      <c r="L943" s="170"/>
      <c r="M943" s="2"/>
      <c r="N943" s="2"/>
      <c r="O943" s="171"/>
      <c r="P943" s="171"/>
      <c r="Q943" s="2"/>
      <c r="R943" s="6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171"/>
      <c r="AG943" s="2"/>
      <c r="AH943" s="2"/>
      <c r="AI943" s="2"/>
      <c r="AJ943" s="2"/>
      <c r="AK943" s="2"/>
      <c r="AL943" s="2"/>
      <c r="AM943" s="2"/>
      <c r="AN943" s="2"/>
    </row>
    <row r="944" spans="1:40" ht="12.75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170"/>
      <c r="L944" s="170"/>
      <c r="M944" s="2"/>
      <c r="N944" s="2"/>
      <c r="O944" s="171"/>
      <c r="P944" s="171"/>
      <c r="Q944" s="2"/>
      <c r="R944" s="6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171"/>
      <c r="AG944" s="2"/>
      <c r="AH944" s="2"/>
      <c r="AI944" s="2"/>
      <c r="AJ944" s="2"/>
      <c r="AK944" s="2"/>
      <c r="AL944" s="2"/>
      <c r="AM944" s="2"/>
      <c r="AN944" s="2"/>
    </row>
    <row r="945" spans="1:40" ht="12.75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170"/>
      <c r="L945" s="170"/>
      <c r="M945" s="2"/>
      <c r="N945" s="2"/>
      <c r="O945" s="171"/>
      <c r="P945" s="171"/>
      <c r="Q945" s="2"/>
      <c r="R945" s="6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171"/>
      <c r="AG945" s="2"/>
      <c r="AH945" s="2"/>
      <c r="AI945" s="2"/>
      <c r="AJ945" s="2"/>
      <c r="AK945" s="2"/>
      <c r="AL945" s="2"/>
      <c r="AM945" s="2"/>
      <c r="AN945" s="2"/>
    </row>
    <row r="946" spans="1:40" ht="12.75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170"/>
      <c r="L946" s="170"/>
      <c r="M946" s="2"/>
      <c r="N946" s="2"/>
      <c r="O946" s="171"/>
      <c r="P946" s="171"/>
      <c r="Q946" s="2"/>
      <c r="R946" s="6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171"/>
      <c r="AG946" s="2"/>
      <c r="AH946" s="2"/>
      <c r="AI946" s="2"/>
      <c r="AJ946" s="2"/>
      <c r="AK946" s="2"/>
      <c r="AL946" s="2"/>
      <c r="AM946" s="2"/>
      <c r="AN946" s="2"/>
    </row>
    <row r="947" spans="1:40" ht="12.75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170"/>
      <c r="L947" s="170"/>
      <c r="M947" s="2"/>
      <c r="N947" s="2"/>
      <c r="O947" s="171"/>
      <c r="P947" s="171"/>
      <c r="Q947" s="2"/>
      <c r="R947" s="6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171"/>
      <c r="AG947" s="2"/>
      <c r="AH947" s="2"/>
      <c r="AI947" s="2"/>
      <c r="AJ947" s="2"/>
      <c r="AK947" s="2"/>
      <c r="AL947" s="2"/>
      <c r="AM947" s="2"/>
      <c r="AN947" s="2"/>
    </row>
    <row r="948" spans="1:40" ht="12.75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170"/>
      <c r="L948" s="170"/>
      <c r="M948" s="2"/>
      <c r="N948" s="2"/>
      <c r="O948" s="171"/>
      <c r="P948" s="171"/>
      <c r="Q948" s="2"/>
      <c r="R948" s="6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171"/>
      <c r="AG948" s="2"/>
      <c r="AH948" s="2"/>
      <c r="AI948" s="2"/>
      <c r="AJ948" s="2"/>
      <c r="AK948" s="2"/>
      <c r="AL948" s="2"/>
      <c r="AM948" s="2"/>
      <c r="AN948" s="2"/>
    </row>
    <row r="949" spans="1:40" ht="12.75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170"/>
      <c r="L949" s="170"/>
      <c r="M949" s="2"/>
      <c r="N949" s="2"/>
      <c r="O949" s="171"/>
      <c r="P949" s="171"/>
      <c r="Q949" s="2"/>
      <c r="R949" s="6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171"/>
      <c r="AG949" s="2"/>
      <c r="AH949" s="2"/>
      <c r="AI949" s="2"/>
      <c r="AJ949" s="2"/>
      <c r="AK949" s="2"/>
      <c r="AL949" s="2"/>
      <c r="AM949" s="2"/>
      <c r="AN949" s="2"/>
    </row>
    <row r="950" spans="1:40" ht="12.75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170"/>
      <c r="L950" s="170"/>
      <c r="M950" s="2"/>
      <c r="N950" s="2"/>
      <c r="O950" s="171"/>
      <c r="P950" s="171"/>
      <c r="Q950" s="2"/>
      <c r="R950" s="6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171"/>
      <c r="AG950" s="2"/>
      <c r="AH950" s="2"/>
      <c r="AI950" s="2"/>
      <c r="AJ950" s="2"/>
      <c r="AK950" s="2"/>
      <c r="AL950" s="2"/>
      <c r="AM950" s="2"/>
      <c r="AN950" s="2"/>
    </row>
    <row r="951" spans="1:40" ht="12.75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170"/>
      <c r="L951" s="170"/>
      <c r="M951" s="2"/>
      <c r="N951" s="2"/>
      <c r="O951" s="171"/>
      <c r="P951" s="171"/>
      <c r="Q951" s="2"/>
      <c r="R951" s="6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171"/>
      <c r="AG951" s="2"/>
      <c r="AH951" s="2"/>
      <c r="AI951" s="2"/>
      <c r="AJ951" s="2"/>
      <c r="AK951" s="2"/>
      <c r="AL951" s="2"/>
      <c r="AM951" s="2"/>
      <c r="AN951" s="2"/>
    </row>
    <row r="952" spans="1:40" ht="12.75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170"/>
      <c r="L952" s="170"/>
      <c r="M952" s="2"/>
      <c r="N952" s="2"/>
      <c r="O952" s="171"/>
      <c r="P952" s="171"/>
      <c r="Q952" s="2"/>
      <c r="R952" s="6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171"/>
      <c r="AG952" s="2"/>
      <c r="AH952" s="2"/>
      <c r="AI952" s="2"/>
      <c r="AJ952" s="2"/>
      <c r="AK952" s="2"/>
      <c r="AL952" s="2"/>
      <c r="AM952" s="2"/>
      <c r="AN952" s="2"/>
    </row>
    <row r="953" spans="1:40" ht="12.75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170"/>
      <c r="L953" s="170"/>
      <c r="M953" s="2"/>
      <c r="N953" s="2"/>
      <c r="O953" s="171"/>
      <c r="P953" s="171"/>
      <c r="Q953" s="2"/>
      <c r="R953" s="6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171"/>
      <c r="AG953" s="2"/>
      <c r="AH953" s="2"/>
      <c r="AI953" s="2"/>
      <c r="AJ953" s="2"/>
      <c r="AK953" s="2"/>
      <c r="AL953" s="2"/>
      <c r="AM953" s="2"/>
      <c r="AN953" s="2"/>
    </row>
    <row r="954" spans="1:40" ht="12.75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170"/>
      <c r="L954" s="170"/>
      <c r="M954" s="2"/>
      <c r="N954" s="2"/>
      <c r="O954" s="171"/>
      <c r="P954" s="171"/>
      <c r="Q954" s="2"/>
      <c r="R954" s="6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171"/>
      <c r="AG954" s="2"/>
      <c r="AH954" s="2"/>
      <c r="AI954" s="2"/>
      <c r="AJ954" s="2"/>
      <c r="AK954" s="2"/>
      <c r="AL954" s="2"/>
      <c r="AM954" s="2"/>
      <c r="AN954" s="2"/>
    </row>
    <row r="955" spans="1:40" ht="12.75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170"/>
      <c r="L955" s="170"/>
      <c r="M955" s="2"/>
      <c r="N955" s="2"/>
      <c r="O955" s="171"/>
      <c r="P955" s="171"/>
      <c r="Q955" s="2"/>
      <c r="R955" s="6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171"/>
      <c r="AG955" s="2"/>
      <c r="AH955" s="2"/>
      <c r="AI955" s="2"/>
      <c r="AJ955" s="2"/>
      <c r="AK955" s="2"/>
      <c r="AL955" s="2"/>
      <c r="AM955" s="2"/>
      <c r="AN955" s="2"/>
    </row>
    <row r="956" spans="1:40" ht="12.75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170"/>
      <c r="L956" s="170"/>
      <c r="M956" s="2"/>
      <c r="N956" s="2"/>
      <c r="O956" s="171"/>
      <c r="P956" s="171"/>
      <c r="Q956" s="2"/>
      <c r="R956" s="6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171"/>
      <c r="AG956" s="2"/>
      <c r="AH956" s="2"/>
      <c r="AI956" s="2"/>
      <c r="AJ956" s="2"/>
      <c r="AK956" s="2"/>
      <c r="AL956" s="2"/>
      <c r="AM956" s="2"/>
      <c r="AN956" s="2"/>
    </row>
    <row r="957" spans="1:40" ht="12.75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170"/>
      <c r="L957" s="170"/>
      <c r="M957" s="2"/>
      <c r="N957" s="2"/>
      <c r="O957" s="171"/>
      <c r="P957" s="171"/>
      <c r="Q957" s="2"/>
      <c r="R957" s="6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171"/>
      <c r="AG957" s="2"/>
      <c r="AH957" s="2"/>
      <c r="AI957" s="2"/>
      <c r="AJ957" s="2"/>
      <c r="AK957" s="2"/>
      <c r="AL957" s="2"/>
      <c r="AM957" s="2"/>
      <c r="AN957" s="2"/>
    </row>
    <row r="958" spans="1:40" ht="12.75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170"/>
      <c r="L958" s="170"/>
      <c r="M958" s="2"/>
      <c r="N958" s="2"/>
      <c r="O958" s="171"/>
      <c r="P958" s="171"/>
      <c r="Q958" s="2"/>
      <c r="R958" s="6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171"/>
      <c r="AG958" s="2"/>
      <c r="AH958" s="2"/>
      <c r="AI958" s="2"/>
      <c r="AJ958" s="2"/>
      <c r="AK958" s="2"/>
      <c r="AL958" s="2"/>
      <c r="AM958" s="2"/>
      <c r="AN958" s="2"/>
    </row>
    <row r="959" spans="1:40" ht="12.75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170"/>
      <c r="L959" s="170"/>
      <c r="M959" s="2"/>
      <c r="N959" s="2"/>
      <c r="O959" s="171"/>
      <c r="P959" s="171"/>
      <c r="Q959" s="2"/>
      <c r="R959" s="6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171"/>
      <c r="AG959" s="2"/>
      <c r="AH959" s="2"/>
      <c r="AI959" s="2"/>
      <c r="AJ959" s="2"/>
      <c r="AK959" s="2"/>
      <c r="AL959" s="2"/>
      <c r="AM959" s="2"/>
      <c r="AN959" s="2"/>
    </row>
    <row r="960" spans="1:40" ht="12.75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170"/>
      <c r="L960" s="170"/>
      <c r="M960" s="2"/>
      <c r="N960" s="2"/>
      <c r="O960" s="171"/>
      <c r="P960" s="171"/>
      <c r="Q960" s="2"/>
      <c r="R960" s="6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171"/>
      <c r="AG960" s="2"/>
      <c r="AH960" s="2"/>
      <c r="AI960" s="2"/>
      <c r="AJ960" s="2"/>
      <c r="AK960" s="2"/>
      <c r="AL960" s="2"/>
      <c r="AM960" s="2"/>
      <c r="AN960" s="2"/>
    </row>
    <row r="961" spans="1:40" ht="12.75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170"/>
      <c r="L961" s="170"/>
      <c r="M961" s="2"/>
      <c r="N961" s="2"/>
      <c r="O961" s="171"/>
      <c r="P961" s="171"/>
      <c r="Q961" s="2"/>
      <c r="R961" s="6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171"/>
      <c r="AG961" s="2"/>
      <c r="AH961" s="2"/>
      <c r="AI961" s="2"/>
      <c r="AJ961" s="2"/>
      <c r="AK961" s="2"/>
      <c r="AL961" s="2"/>
      <c r="AM961" s="2"/>
      <c r="AN961" s="2"/>
    </row>
    <row r="962" spans="1:40" ht="12.75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170"/>
      <c r="L962" s="170"/>
      <c r="M962" s="2"/>
      <c r="N962" s="2"/>
      <c r="O962" s="171"/>
      <c r="P962" s="171"/>
      <c r="Q962" s="2"/>
      <c r="R962" s="6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171"/>
      <c r="AG962" s="2"/>
      <c r="AH962" s="2"/>
      <c r="AI962" s="2"/>
      <c r="AJ962" s="2"/>
      <c r="AK962" s="2"/>
      <c r="AL962" s="2"/>
      <c r="AM962" s="2"/>
      <c r="AN962" s="2"/>
    </row>
    <row r="963" spans="1:40" ht="12.75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170"/>
      <c r="L963" s="170"/>
      <c r="M963" s="2"/>
      <c r="N963" s="2"/>
      <c r="O963" s="171"/>
      <c r="P963" s="171"/>
      <c r="Q963" s="2"/>
      <c r="R963" s="6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171"/>
      <c r="AG963" s="2"/>
      <c r="AH963" s="2"/>
      <c r="AI963" s="2"/>
      <c r="AJ963" s="2"/>
      <c r="AK963" s="2"/>
      <c r="AL963" s="2"/>
      <c r="AM963" s="2"/>
      <c r="AN963" s="2"/>
    </row>
    <row r="964" spans="1:40" ht="12.75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170"/>
      <c r="L964" s="170"/>
      <c r="M964" s="2"/>
      <c r="N964" s="2"/>
      <c r="O964" s="171"/>
      <c r="P964" s="171"/>
      <c r="Q964" s="2"/>
      <c r="R964" s="6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171"/>
      <c r="AG964" s="2"/>
      <c r="AH964" s="2"/>
      <c r="AI964" s="2"/>
      <c r="AJ964" s="2"/>
      <c r="AK964" s="2"/>
      <c r="AL964" s="2"/>
      <c r="AM964" s="2"/>
      <c r="AN964" s="2"/>
    </row>
    <row r="965" spans="1:40" ht="12.75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170"/>
      <c r="L965" s="170"/>
      <c r="M965" s="2"/>
      <c r="N965" s="2"/>
      <c r="O965" s="171"/>
      <c r="P965" s="171"/>
      <c r="Q965" s="2"/>
      <c r="R965" s="6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171"/>
      <c r="AG965" s="2"/>
      <c r="AH965" s="2"/>
      <c r="AI965" s="2"/>
      <c r="AJ965" s="2"/>
      <c r="AK965" s="2"/>
      <c r="AL965" s="2"/>
      <c r="AM965" s="2"/>
      <c r="AN965" s="2"/>
    </row>
    <row r="966" spans="1:40" ht="12.75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170"/>
      <c r="L966" s="170"/>
      <c r="M966" s="2"/>
      <c r="N966" s="2"/>
      <c r="O966" s="171"/>
      <c r="P966" s="171"/>
      <c r="Q966" s="2"/>
      <c r="R966" s="6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171"/>
      <c r="AG966" s="2"/>
      <c r="AH966" s="2"/>
      <c r="AI966" s="2"/>
      <c r="AJ966" s="2"/>
      <c r="AK966" s="2"/>
      <c r="AL966" s="2"/>
      <c r="AM966" s="2"/>
      <c r="AN966" s="2"/>
    </row>
    <row r="967" spans="1:40" ht="12.75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170"/>
      <c r="L967" s="170"/>
      <c r="M967" s="2"/>
      <c r="N967" s="2"/>
      <c r="O967" s="171"/>
      <c r="P967" s="171"/>
      <c r="Q967" s="2"/>
      <c r="R967" s="6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171"/>
      <c r="AG967" s="2"/>
      <c r="AH967" s="2"/>
      <c r="AI967" s="2"/>
      <c r="AJ967" s="2"/>
      <c r="AK967" s="2"/>
      <c r="AL967" s="2"/>
      <c r="AM967" s="2"/>
      <c r="AN967" s="2"/>
    </row>
    <row r="968" spans="1:40" ht="12.75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170"/>
      <c r="L968" s="170"/>
      <c r="M968" s="2"/>
      <c r="N968" s="2"/>
      <c r="O968" s="171"/>
      <c r="P968" s="171"/>
      <c r="Q968" s="2"/>
      <c r="R968" s="6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171"/>
      <c r="AG968" s="2"/>
      <c r="AH968" s="2"/>
      <c r="AI968" s="2"/>
      <c r="AJ968" s="2"/>
      <c r="AK968" s="2"/>
      <c r="AL968" s="2"/>
      <c r="AM968" s="2"/>
      <c r="AN968" s="2"/>
    </row>
    <row r="969" spans="1:40" ht="12.75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170"/>
      <c r="L969" s="170"/>
      <c r="M969" s="2"/>
      <c r="N969" s="2"/>
      <c r="O969" s="171"/>
      <c r="P969" s="171"/>
      <c r="Q969" s="2"/>
      <c r="R969" s="6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171"/>
      <c r="AG969" s="2"/>
      <c r="AH969" s="2"/>
      <c r="AI969" s="2"/>
      <c r="AJ969" s="2"/>
      <c r="AK969" s="2"/>
      <c r="AL969" s="2"/>
      <c r="AM969" s="2"/>
      <c r="AN969" s="2"/>
    </row>
    <row r="970" spans="1:40" ht="12.75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170"/>
      <c r="L970" s="170"/>
      <c r="M970" s="2"/>
      <c r="N970" s="2"/>
      <c r="O970" s="171"/>
      <c r="P970" s="171"/>
      <c r="Q970" s="2"/>
      <c r="R970" s="6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171"/>
      <c r="AG970" s="2"/>
      <c r="AH970" s="2"/>
      <c r="AI970" s="2"/>
      <c r="AJ970" s="2"/>
      <c r="AK970" s="2"/>
      <c r="AL970" s="2"/>
      <c r="AM970" s="2"/>
      <c r="AN970" s="2"/>
    </row>
    <row r="971" spans="1:40" ht="12.75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170"/>
      <c r="L971" s="170"/>
      <c r="M971" s="2"/>
      <c r="N971" s="2"/>
      <c r="O971" s="171"/>
      <c r="P971" s="171"/>
      <c r="Q971" s="2"/>
      <c r="R971" s="6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171"/>
      <c r="AG971" s="2"/>
      <c r="AH971" s="2"/>
      <c r="AI971" s="2"/>
      <c r="AJ971" s="2"/>
      <c r="AK971" s="2"/>
      <c r="AL971" s="2"/>
      <c r="AM971" s="2"/>
      <c r="AN971" s="2"/>
    </row>
    <row r="972" spans="1:40" ht="12.75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170"/>
      <c r="L972" s="170"/>
      <c r="M972" s="2"/>
      <c r="N972" s="2"/>
      <c r="O972" s="171"/>
      <c r="P972" s="171"/>
      <c r="Q972" s="2"/>
      <c r="R972" s="6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171"/>
      <c r="AG972" s="2"/>
      <c r="AH972" s="2"/>
      <c r="AI972" s="2"/>
      <c r="AJ972" s="2"/>
      <c r="AK972" s="2"/>
      <c r="AL972" s="2"/>
      <c r="AM972" s="2"/>
      <c r="AN972" s="2"/>
    </row>
    <row r="973" spans="1:40" ht="12.75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170"/>
      <c r="L973" s="170"/>
      <c r="M973" s="2"/>
      <c r="N973" s="2"/>
      <c r="O973" s="171"/>
      <c r="P973" s="171"/>
      <c r="Q973" s="2"/>
      <c r="R973" s="6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171"/>
      <c r="AG973" s="2"/>
      <c r="AH973" s="2"/>
      <c r="AI973" s="2"/>
      <c r="AJ973" s="2"/>
      <c r="AK973" s="2"/>
      <c r="AL973" s="2"/>
      <c r="AM973" s="2"/>
      <c r="AN973" s="2"/>
    </row>
    <row r="974" spans="1:40" ht="12.75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170"/>
      <c r="L974" s="170"/>
      <c r="M974" s="2"/>
      <c r="N974" s="2"/>
      <c r="O974" s="171"/>
      <c r="P974" s="171"/>
      <c r="Q974" s="2"/>
      <c r="R974" s="6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171"/>
      <c r="AG974" s="2"/>
      <c r="AH974" s="2"/>
      <c r="AI974" s="2"/>
      <c r="AJ974" s="2"/>
      <c r="AK974" s="2"/>
      <c r="AL974" s="2"/>
      <c r="AM974" s="2"/>
      <c r="AN974" s="2"/>
    </row>
    <row r="975" spans="1:40" ht="12.75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170"/>
      <c r="L975" s="170"/>
      <c r="M975" s="2"/>
      <c r="N975" s="2"/>
      <c r="O975" s="171"/>
      <c r="P975" s="171"/>
      <c r="Q975" s="2"/>
      <c r="R975" s="6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171"/>
      <c r="AG975" s="2"/>
      <c r="AH975" s="2"/>
      <c r="AI975" s="2"/>
      <c r="AJ975" s="2"/>
      <c r="AK975" s="2"/>
      <c r="AL975" s="2"/>
      <c r="AM975" s="2"/>
      <c r="AN975" s="2"/>
    </row>
    <row r="976" spans="1:40" ht="12.75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170"/>
      <c r="L976" s="170"/>
      <c r="M976" s="2"/>
      <c r="N976" s="2"/>
      <c r="O976" s="171"/>
      <c r="P976" s="171"/>
      <c r="Q976" s="2"/>
      <c r="R976" s="6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171"/>
      <c r="AG976" s="2"/>
      <c r="AH976" s="2"/>
      <c r="AI976" s="2"/>
      <c r="AJ976" s="2"/>
      <c r="AK976" s="2"/>
      <c r="AL976" s="2"/>
      <c r="AM976" s="2"/>
      <c r="AN976" s="2"/>
    </row>
    <row r="977" spans="1:40" ht="12.75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170"/>
      <c r="L977" s="170"/>
      <c r="M977" s="2"/>
      <c r="N977" s="2"/>
      <c r="O977" s="171"/>
      <c r="P977" s="171"/>
      <c r="Q977" s="2"/>
      <c r="R977" s="6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171"/>
      <c r="AG977" s="2"/>
      <c r="AH977" s="2"/>
      <c r="AI977" s="2"/>
      <c r="AJ977" s="2"/>
      <c r="AK977" s="2"/>
      <c r="AL977" s="2"/>
      <c r="AM977" s="2"/>
      <c r="AN977" s="2"/>
    </row>
    <row r="978" spans="1:40" ht="12.75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170"/>
      <c r="L978" s="170"/>
      <c r="M978" s="2"/>
      <c r="N978" s="2"/>
      <c r="O978" s="171"/>
      <c r="P978" s="171"/>
      <c r="Q978" s="2"/>
      <c r="R978" s="6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171"/>
      <c r="AG978" s="2"/>
      <c r="AH978" s="2"/>
      <c r="AI978" s="2"/>
      <c r="AJ978" s="2"/>
      <c r="AK978" s="2"/>
      <c r="AL978" s="2"/>
      <c r="AM978" s="2"/>
      <c r="AN978" s="2"/>
    </row>
    <row r="979" spans="1:40" ht="12.75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170"/>
      <c r="L979" s="170"/>
      <c r="M979" s="2"/>
      <c r="N979" s="2"/>
      <c r="O979" s="171"/>
      <c r="P979" s="171"/>
      <c r="Q979" s="2"/>
      <c r="R979" s="6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171"/>
      <c r="AG979" s="2"/>
      <c r="AH979" s="2"/>
      <c r="AI979" s="2"/>
      <c r="AJ979" s="2"/>
      <c r="AK979" s="2"/>
      <c r="AL979" s="2"/>
      <c r="AM979" s="2"/>
      <c r="AN979" s="2"/>
    </row>
    <row r="980" spans="1:40" ht="12.75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170"/>
      <c r="L980" s="170"/>
      <c r="M980" s="2"/>
      <c r="N980" s="2"/>
      <c r="O980" s="171"/>
      <c r="P980" s="171"/>
      <c r="Q980" s="2"/>
      <c r="R980" s="6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171"/>
      <c r="AG980" s="2"/>
      <c r="AH980" s="2"/>
      <c r="AI980" s="2"/>
      <c r="AJ980" s="2"/>
      <c r="AK980" s="2"/>
      <c r="AL980" s="2"/>
      <c r="AM980" s="2"/>
      <c r="AN980" s="2"/>
    </row>
    <row r="981" spans="1:40" ht="12.75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170"/>
      <c r="L981" s="170"/>
      <c r="M981" s="2"/>
      <c r="N981" s="2"/>
      <c r="O981" s="171"/>
      <c r="P981" s="171"/>
      <c r="Q981" s="2"/>
      <c r="R981" s="6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171"/>
      <c r="AG981" s="2"/>
      <c r="AH981" s="2"/>
      <c r="AI981" s="2"/>
      <c r="AJ981" s="2"/>
      <c r="AK981" s="2"/>
      <c r="AL981" s="2"/>
      <c r="AM981" s="2"/>
      <c r="AN981" s="2"/>
    </row>
    <row r="982" spans="1:40" ht="12.75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170"/>
      <c r="L982" s="170"/>
      <c r="M982" s="2"/>
      <c r="N982" s="2"/>
      <c r="O982" s="171"/>
      <c r="P982" s="171"/>
      <c r="Q982" s="2"/>
      <c r="R982" s="6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171"/>
      <c r="AG982" s="2"/>
      <c r="AH982" s="2"/>
      <c r="AI982" s="2"/>
      <c r="AJ982" s="2"/>
      <c r="AK982" s="2"/>
      <c r="AL982" s="2"/>
      <c r="AM982" s="2"/>
      <c r="AN982" s="2"/>
    </row>
    <row r="983" spans="1:40" ht="12.75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170"/>
      <c r="L983" s="170"/>
      <c r="M983" s="2"/>
      <c r="N983" s="2"/>
      <c r="O983" s="171"/>
      <c r="P983" s="171"/>
      <c r="Q983" s="2"/>
      <c r="R983" s="6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171"/>
      <c r="AG983" s="2"/>
      <c r="AH983" s="2"/>
      <c r="AI983" s="2"/>
      <c r="AJ983" s="2"/>
      <c r="AK983" s="2"/>
      <c r="AL983" s="2"/>
      <c r="AM983" s="2"/>
      <c r="AN983" s="2"/>
    </row>
    <row r="984" spans="1:40" ht="12.75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170"/>
      <c r="L984" s="170"/>
      <c r="M984" s="2"/>
      <c r="N984" s="2"/>
      <c r="O984" s="171"/>
      <c r="P984" s="171"/>
      <c r="Q984" s="2"/>
      <c r="R984" s="6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171"/>
      <c r="AG984" s="2"/>
      <c r="AH984" s="2"/>
      <c r="AI984" s="2"/>
      <c r="AJ984" s="2"/>
      <c r="AK984" s="2"/>
      <c r="AL984" s="2"/>
      <c r="AM984" s="2"/>
      <c r="AN984" s="2"/>
    </row>
    <row r="985" spans="1:40" ht="12.75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170"/>
      <c r="L985" s="170"/>
      <c r="M985" s="2"/>
      <c r="N985" s="2"/>
      <c r="O985" s="171"/>
      <c r="P985" s="171"/>
      <c r="Q985" s="2"/>
      <c r="R985" s="6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171"/>
      <c r="AG985" s="2"/>
      <c r="AH985" s="2"/>
      <c r="AI985" s="2"/>
      <c r="AJ985" s="2"/>
      <c r="AK985" s="2"/>
      <c r="AL985" s="2"/>
      <c r="AM985" s="2"/>
      <c r="AN985" s="2"/>
    </row>
    <row r="986" spans="1:40" ht="12.75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170"/>
      <c r="L986" s="170"/>
      <c r="M986" s="2"/>
      <c r="N986" s="2"/>
      <c r="O986" s="171"/>
      <c r="P986" s="171"/>
      <c r="Q986" s="2"/>
      <c r="R986" s="6"/>
      <c r="S986" s="2"/>
      <c r="T986" s="2"/>
      <c r="U986" s="2"/>
      <c r="V986" s="2"/>
      <c r="W986" s="2"/>
      <c r="X986" s="2"/>
      <c r="Y986" s="2"/>
      <c r="Z986" s="2"/>
      <c r="AE986" s="2"/>
      <c r="AF986" s="171"/>
      <c r="AG986" s="2"/>
      <c r="AH986" s="2"/>
      <c r="AI986" s="2"/>
      <c r="AJ986" s="2"/>
      <c r="AK986" s="2"/>
      <c r="AL986" s="2"/>
      <c r="AM986" s="2"/>
      <c r="AN986" s="2"/>
    </row>
    <row r="987" spans="1:40" ht="12.75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170"/>
      <c r="L987" s="170"/>
      <c r="M987" s="2"/>
      <c r="N987" s="2"/>
      <c r="O987" s="171"/>
      <c r="P987" s="171"/>
      <c r="Q987" s="2"/>
      <c r="R987" s="6"/>
      <c r="S987" s="2"/>
      <c r="T987" s="2"/>
      <c r="U987" s="2"/>
      <c r="V987" s="2"/>
      <c r="W987" s="2"/>
      <c r="X987" s="2"/>
      <c r="Y987" s="2"/>
      <c r="Z987" s="2"/>
      <c r="AE987" s="2"/>
      <c r="AF987" s="171"/>
      <c r="AG987" s="2"/>
      <c r="AH987" s="2"/>
      <c r="AI987" s="2"/>
      <c r="AJ987" s="2"/>
      <c r="AK987" s="2"/>
      <c r="AL987" s="2"/>
      <c r="AM987" s="2"/>
      <c r="AN987" s="2"/>
    </row>
    <row r="988" spans="1:40" ht="12.75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170"/>
      <c r="L988" s="170"/>
      <c r="M988" s="2"/>
      <c r="N988" s="2"/>
      <c r="O988" s="171"/>
      <c r="P988" s="171"/>
      <c r="Q988" s="2"/>
      <c r="R988" s="6"/>
      <c r="S988" s="2"/>
      <c r="T988" s="2"/>
      <c r="U988" s="2"/>
      <c r="V988" s="2"/>
      <c r="W988" s="2"/>
      <c r="X988" s="2"/>
      <c r="Y988" s="2"/>
      <c r="Z988" s="2"/>
      <c r="AE988" s="2"/>
      <c r="AF988" s="171"/>
      <c r="AG988" s="2"/>
      <c r="AH988" s="2"/>
      <c r="AI988" s="2"/>
      <c r="AJ988" s="2"/>
      <c r="AK988" s="2"/>
      <c r="AL988" s="2"/>
      <c r="AM988" s="2"/>
      <c r="AN988" s="2"/>
    </row>
    <row r="989" spans="1:40" ht="12.75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170"/>
      <c r="L989" s="170"/>
      <c r="M989" s="2"/>
      <c r="N989" s="2"/>
      <c r="O989" s="171"/>
      <c r="P989" s="171"/>
      <c r="Q989" s="2"/>
      <c r="R989" s="6"/>
      <c r="S989" s="2"/>
      <c r="T989" s="2"/>
      <c r="U989" s="2"/>
      <c r="V989" s="2"/>
      <c r="W989" s="2"/>
      <c r="X989" s="2"/>
      <c r="Y989" s="2"/>
      <c r="Z989" s="2"/>
      <c r="AE989" s="2"/>
      <c r="AF989" s="171"/>
      <c r="AG989" s="2"/>
      <c r="AH989" s="2"/>
      <c r="AI989" s="2"/>
      <c r="AJ989" s="2"/>
      <c r="AK989" s="2"/>
      <c r="AL989" s="2"/>
      <c r="AM989" s="2"/>
      <c r="AN989" s="2"/>
    </row>
    <row r="990" spans="1:40" ht="12.75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170"/>
      <c r="L990" s="170"/>
      <c r="M990" s="2"/>
      <c r="N990" s="2"/>
      <c r="O990" s="171"/>
      <c r="P990" s="171"/>
      <c r="Q990" s="2"/>
      <c r="R990" s="6"/>
      <c r="S990" s="2"/>
      <c r="T990" s="2"/>
      <c r="U990" s="2"/>
      <c r="V990" s="2"/>
      <c r="W990" s="2"/>
      <c r="X990" s="2"/>
      <c r="Y990" s="2"/>
      <c r="Z990" s="2"/>
      <c r="AE990" s="2"/>
      <c r="AF990" s="171"/>
      <c r="AG990" s="2"/>
      <c r="AH990" s="2"/>
      <c r="AI990" s="2"/>
      <c r="AJ990" s="2"/>
      <c r="AK990" s="2"/>
      <c r="AL990" s="2"/>
      <c r="AM990" s="2"/>
      <c r="AN990" s="2"/>
    </row>
    <row r="991" spans="1:40" ht="12.75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170"/>
      <c r="L991" s="170"/>
      <c r="M991" s="2"/>
      <c r="N991" s="2"/>
      <c r="O991" s="171"/>
      <c r="P991" s="171"/>
      <c r="Q991" s="2"/>
      <c r="R991" s="6"/>
      <c r="S991" s="2"/>
      <c r="T991" s="2"/>
      <c r="U991" s="2"/>
      <c r="V991" s="2"/>
      <c r="W991" s="2"/>
      <c r="X991" s="2"/>
      <c r="Y991" s="2"/>
      <c r="Z991" s="2"/>
      <c r="AE991" s="2"/>
      <c r="AF991" s="171"/>
      <c r="AG991" s="2"/>
      <c r="AH991" s="2"/>
      <c r="AI991" s="2"/>
      <c r="AJ991" s="2"/>
      <c r="AK991" s="2"/>
      <c r="AL991" s="2"/>
      <c r="AM991" s="2"/>
      <c r="AN991" s="2"/>
    </row>
    <row r="992" spans="1:40" ht="12.75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170"/>
      <c r="L992" s="170"/>
      <c r="M992" s="2"/>
      <c r="N992" s="2"/>
      <c r="O992" s="171"/>
      <c r="P992" s="171"/>
      <c r="Q992" s="2"/>
      <c r="R992" s="6"/>
      <c r="S992" s="2"/>
      <c r="T992" s="2"/>
      <c r="U992" s="2"/>
      <c r="V992" s="2"/>
      <c r="W992" s="2"/>
      <c r="X992" s="2"/>
      <c r="Y992" s="2"/>
      <c r="Z992" s="2"/>
      <c r="AE992" s="2"/>
      <c r="AF992" s="171"/>
      <c r="AG992" s="2"/>
      <c r="AH992" s="2"/>
      <c r="AI992" s="2"/>
      <c r="AJ992" s="2"/>
      <c r="AK992" s="2"/>
      <c r="AL992" s="2"/>
      <c r="AM992" s="2"/>
      <c r="AN992" s="2"/>
    </row>
    <row r="993" spans="1:40" ht="12.75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170"/>
      <c r="L993" s="170"/>
      <c r="M993" s="2"/>
      <c r="N993" s="2"/>
      <c r="O993" s="171"/>
      <c r="P993" s="171"/>
      <c r="Q993" s="2"/>
      <c r="R993" s="6"/>
      <c r="S993" s="2"/>
      <c r="T993" s="2"/>
      <c r="U993" s="2"/>
      <c r="V993" s="2"/>
      <c r="W993" s="2"/>
      <c r="X993" s="2"/>
      <c r="Y993" s="2"/>
      <c r="Z993" s="2"/>
      <c r="AE993" s="2"/>
      <c r="AF993" s="171"/>
      <c r="AG993" s="2"/>
      <c r="AH993" s="2"/>
      <c r="AI993" s="2"/>
      <c r="AJ993" s="2"/>
      <c r="AK993" s="2"/>
      <c r="AL993" s="2"/>
      <c r="AM993" s="2"/>
      <c r="AN993" s="2"/>
    </row>
    <row r="994" spans="1:40" ht="12.75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170"/>
      <c r="L994" s="170"/>
      <c r="M994" s="2"/>
      <c r="N994" s="2"/>
      <c r="O994" s="171"/>
      <c r="P994" s="171"/>
      <c r="Q994" s="2"/>
      <c r="R994" s="6"/>
      <c r="S994" s="2"/>
      <c r="T994" s="2"/>
      <c r="U994" s="2"/>
      <c r="V994" s="2"/>
      <c r="W994" s="2"/>
      <c r="X994" s="2"/>
      <c r="Y994" s="2"/>
      <c r="Z994" s="2"/>
      <c r="AE994" s="2"/>
      <c r="AF994" s="171"/>
      <c r="AG994" s="2"/>
      <c r="AH994" s="2"/>
      <c r="AI994" s="2"/>
      <c r="AJ994" s="2"/>
      <c r="AK994" s="2"/>
      <c r="AL994" s="2"/>
      <c r="AM994" s="2"/>
      <c r="AN994" s="2"/>
    </row>
  </sheetData>
  <mergeCells count="27">
    <mergeCell ref="AE1:AE2"/>
    <mergeCell ref="AF1:AF2"/>
    <mergeCell ref="AG1:AG2"/>
    <mergeCell ref="AH1:AH2"/>
    <mergeCell ref="AI1:AI2"/>
    <mergeCell ref="O1:O2"/>
    <mergeCell ref="P1:P2"/>
    <mergeCell ref="Q1:Q2"/>
    <mergeCell ref="R1:R2"/>
    <mergeCell ref="AD1:AD2"/>
    <mergeCell ref="S1:W1"/>
    <mergeCell ref="X1:X2"/>
    <mergeCell ref="Y1:Y2"/>
    <mergeCell ref="Z1:Z2"/>
    <mergeCell ref="AA1:AA2"/>
    <mergeCell ref="AB1:AB2"/>
    <mergeCell ref="AC1:AC2"/>
    <mergeCell ref="J1:J2"/>
    <mergeCell ref="K1:K2"/>
    <mergeCell ref="L1:L2"/>
    <mergeCell ref="M1:M2"/>
    <mergeCell ref="N1:N2"/>
    <mergeCell ref="A1:A2"/>
    <mergeCell ref="B1:B2"/>
    <mergeCell ref="C1:C2"/>
    <mergeCell ref="D1:H1"/>
    <mergeCell ref="I1:I2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outlinePr summaryBelow="0" summaryRight="0"/>
  </sheetPr>
  <dimension ref="A1:Z998"/>
  <sheetViews>
    <sheetView workbookViewId="0"/>
  </sheetViews>
  <sheetFormatPr defaultColWidth="12.42578125" defaultRowHeight="15.75" customHeight="1" x14ac:dyDescent="0.2"/>
  <cols>
    <col min="1" max="1" width="47" customWidth="1"/>
    <col min="2" max="2" width="12.42578125" customWidth="1"/>
    <col min="3" max="3" width="26.7109375" customWidth="1"/>
    <col min="4" max="4" width="16.42578125" customWidth="1"/>
    <col min="5" max="5" width="20.140625" customWidth="1"/>
    <col min="6" max="6" width="14.28515625" customWidth="1"/>
  </cols>
  <sheetData>
    <row r="1" spans="1:26" ht="15.75" customHeight="1" x14ac:dyDescent="0.2">
      <c r="A1" s="181" t="s">
        <v>1705</v>
      </c>
      <c r="B1" s="181" t="s">
        <v>2084</v>
      </c>
      <c r="C1" s="181" t="s">
        <v>0</v>
      </c>
      <c r="D1" s="181" t="s">
        <v>1706</v>
      </c>
      <c r="E1" s="181" t="s">
        <v>2085</v>
      </c>
      <c r="F1" s="181" t="s">
        <v>2086</v>
      </c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</row>
    <row r="2" spans="1:26" ht="15.75" customHeight="1" x14ac:dyDescent="0.2">
      <c r="A2" s="61" t="s">
        <v>2087</v>
      </c>
      <c r="B2" s="61">
        <v>0</v>
      </c>
      <c r="C2" s="61"/>
      <c r="D2" s="61" t="s">
        <v>681</v>
      </c>
      <c r="E2" s="183">
        <v>42669</v>
      </c>
    </row>
    <row r="3" spans="1:26" ht="15.75" customHeight="1" x14ac:dyDescent="0.2">
      <c r="A3" s="61" t="s">
        <v>2088</v>
      </c>
      <c r="B3" s="61">
        <v>0</v>
      </c>
      <c r="C3" s="61"/>
      <c r="D3" s="61" t="s">
        <v>840</v>
      </c>
      <c r="E3" s="184">
        <v>42676</v>
      </c>
    </row>
    <row r="4" spans="1:26" ht="15.75" customHeight="1" x14ac:dyDescent="0.2">
      <c r="A4" s="61" t="s">
        <v>2089</v>
      </c>
      <c r="B4" s="61">
        <v>0</v>
      </c>
      <c r="C4" s="61"/>
      <c r="D4" s="61" t="s">
        <v>840</v>
      </c>
      <c r="E4" s="183">
        <v>42824</v>
      </c>
    </row>
    <row r="5" spans="1:26" ht="15.75" customHeight="1" x14ac:dyDescent="0.2">
      <c r="A5" s="61" t="s">
        <v>2090</v>
      </c>
      <c r="B5" s="61">
        <v>0</v>
      </c>
      <c r="C5" s="61"/>
      <c r="D5" s="61" t="s">
        <v>840</v>
      </c>
      <c r="E5" s="183">
        <v>42957</v>
      </c>
    </row>
    <row r="6" spans="1:26" ht="15.75" customHeight="1" x14ac:dyDescent="0.2">
      <c r="A6" s="61" t="s">
        <v>2091</v>
      </c>
      <c r="B6" s="61">
        <v>0</v>
      </c>
      <c r="C6" s="61"/>
      <c r="D6" s="61" t="s">
        <v>840</v>
      </c>
      <c r="E6" s="183">
        <v>43201</v>
      </c>
    </row>
    <row r="7" spans="1:26" ht="15.75" customHeight="1" x14ac:dyDescent="0.2">
      <c r="A7" s="61" t="s">
        <v>2092</v>
      </c>
      <c r="B7" s="61">
        <v>0</v>
      </c>
      <c r="C7" s="61"/>
      <c r="D7" s="61" t="s">
        <v>840</v>
      </c>
      <c r="E7" s="184">
        <v>43138</v>
      </c>
    </row>
    <row r="8" spans="1:26" ht="15.75" customHeight="1" x14ac:dyDescent="0.2">
      <c r="A8" s="61" t="s">
        <v>2093</v>
      </c>
      <c r="B8" s="61">
        <v>0</v>
      </c>
      <c r="C8" s="61"/>
      <c r="D8" s="61" t="s">
        <v>840</v>
      </c>
      <c r="E8" s="183">
        <v>43390</v>
      </c>
    </row>
    <row r="9" spans="1:26" ht="15.75" customHeight="1" x14ac:dyDescent="0.2">
      <c r="A9" s="61" t="s">
        <v>2094</v>
      </c>
      <c r="B9" s="61">
        <v>0</v>
      </c>
      <c r="C9" s="61"/>
      <c r="D9" s="61" t="s">
        <v>682</v>
      </c>
      <c r="E9" s="183">
        <v>42752</v>
      </c>
    </row>
    <row r="10" spans="1:26" ht="15.75" customHeight="1" x14ac:dyDescent="0.2">
      <c r="A10" s="61" t="s">
        <v>2095</v>
      </c>
      <c r="B10" s="61">
        <v>0</v>
      </c>
      <c r="C10" s="61"/>
      <c r="D10" s="61" t="s">
        <v>682</v>
      </c>
      <c r="E10" s="184">
        <v>42681</v>
      </c>
    </row>
    <row r="11" spans="1:26" ht="15.75" customHeight="1" x14ac:dyDescent="0.2">
      <c r="A11" s="61" t="s">
        <v>2096</v>
      </c>
      <c r="B11" s="61">
        <v>0</v>
      </c>
      <c r="C11" s="61"/>
      <c r="D11" s="61" t="s">
        <v>682</v>
      </c>
      <c r="E11" s="183">
        <v>42850</v>
      </c>
    </row>
    <row r="12" spans="1:26" ht="15.75" customHeight="1" x14ac:dyDescent="0.2">
      <c r="A12" s="61" t="s">
        <v>2097</v>
      </c>
      <c r="B12" s="61">
        <v>0</v>
      </c>
      <c r="C12" s="61"/>
      <c r="D12" s="61" t="s">
        <v>1929</v>
      </c>
      <c r="E12" s="184">
        <v>42767</v>
      </c>
    </row>
    <row r="13" spans="1:26" ht="15.75" customHeight="1" x14ac:dyDescent="0.2">
      <c r="A13" s="61" t="s">
        <v>2098</v>
      </c>
      <c r="B13" s="61">
        <v>0</v>
      </c>
      <c r="C13" s="61"/>
      <c r="D13" s="61" t="s">
        <v>1929</v>
      </c>
      <c r="E13" s="183">
        <v>43397</v>
      </c>
    </row>
    <row r="14" spans="1:26" ht="15.75" customHeight="1" x14ac:dyDescent="0.2">
      <c r="A14" s="61" t="s">
        <v>2099</v>
      </c>
      <c r="B14" s="61">
        <v>0</v>
      </c>
      <c r="C14" s="61"/>
      <c r="D14" s="61" t="s">
        <v>1929</v>
      </c>
      <c r="E14" s="183">
        <v>42688</v>
      </c>
    </row>
    <row r="15" spans="1:26" ht="15.75" customHeight="1" x14ac:dyDescent="0.2">
      <c r="A15" s="61" t="s">
        <v>2100</v>
      </c>
      <c r="B15" s="61">
        <v>0</v>
      </c>
      <c r="C15" s="61"/>
      <c r="D15" s="61" t="s">
        <v>869</v>
      </c>
      <c r="E15" s="183">
        <v>42695</v>
      </c>
    </row>
    <row r="16" spans="1:26" ht="15.75" customHeight="1" x14ac:dyDescent="0.2">
      <c r="A16" s="61" t="s">
        <v>2101</v>
      </c>
      <c r="B16" s="61">
        <v>0</v>
      </c>
      <c r="C16" s="61"/>
      <c r="D16" s="61" t="s">
        <v>869</v>
      </c>
      <c r="E16" s="184">
        <v>42767</v>
      </c>
    </row>
    <row r="17" spans="1:5" ht="15.75" customHeight="1" x14ac:dyDescent="0.2">
      <c r="A17" s="61" t="s">
        <v>2102</v>
      </c>
      <c r="B17" s="61">
        <v>0</v>
      </c>
      <c r="C17" s="61"/>
      <c r="D17" s="61" t="s">
        <v>869</v>
      </c>
      <c r="E17" s="183">
        <v>43033</v>
      </c>
    </row>
    <row r="18" spans="1:5" ht="15.75" customHeight="1" x14ac:dyDescent="0.2">
      <c r="A18" s="61" t="s">
        <v>2103</v>
      </c>
      <c r="B18" s="61">
        <v>0</v>
      </c>
      <c r="C18" s="61"/>
      <c r="D18" s="61" t="s">
        <v>869</v>
      </c>
      <c r="E18" s="183">
        <v>43269</v>
      </c>
    </row>
    <row r="19" spans="1:5" ht="15.75" customHeight="1" x14ac:dyDescent="0.2">
      <c r="A19" s="61" t="s">
        <v>2104</v>
      </c>
      <c r="B19" s="61">
        <v>0</v>
      </c>
      <c r="C19" s="61"/>
      <c r="D19" s="61" t="s">
        <v>683</v>
      </c>
      <c r="E19" s="183">
        <v>42814</v>
      </c>
    </row>
    <row r="20" spans="1:5" ht="15.75" customHeight="1" x14ac:dyDescent="0.2">
      <c r="A20" s="61" t="s">
        <v>2105</v>
      </c>
      <c r="B20" s="61">
        <v>0</v>
      </c>
      <c r="C20" s="61"/>
      <c r="D20" s="61" t="s">
        <v>683</v>
      </c>
      <c r="E20" s="183">
        <v>42716</v>
      </c>
    </row>
    <row r="21" spans="1:5" ht="15.75" customHeight="1" x14ac:dyDescent="0.2">
      <c r="A21" s="61" t="s">
        <v>2106</v>
      </c>
      <c r="B21" s="61">
        <v>0</v>
      </c>
      <c r="C21" s="61"/>
      <c r="D21" s="61" t="s">
        <v>684</v>
      </c>
      <c r="E21" s="183">
        <v>42718</v>
      </c>
    </row>
    <row r="22" spans="1:5" ht="15.75" customHeight="1" x14ac:dyDescent="0.2">
      <c r="A22" s="61" t="s">
        <v>2107</v>
      </c>
      <c r="B22" s="61">
        <v>0</v>
      </c>
      <c r="C22" s="61"/>
      <c r="D22" s="61" t="s">
        <v>685</v>
      </c>
      <c r="E22" s="183">
        <v>42690</v>
      </c>
    </row>
    <row r="23" spans="1:5" ht="15.75" customHeight="1" x14ac:dyDescent="0.2">
      <c r="A23" s="61" t="s">
        <v>2108</v>
      </c>
      <c r="B23" s="61">
        <v>0</v>
      </c>
      <c r="C23" s="61"/>
      <c r="D23" s="61" t="s">
        <v>685</v>
      </c>
      <c r="E23" s="183">
        <v>42782</v>
      </c>
    </row>
    <row r="24" spans="1:5" ht="15.75" customHeight="1" x14ac:dyDescent="0.2">
      <c r="A24" s="61" t="s">
        <v>2109</v>
      </c>
      <c r="B24" s="61">
        <v>0</v>
      </c>
      <c r="C24" s="61"/>
      <c r="D24" s="61" t="s">
        <v>685</v>
      </c>
      <c r="E24" s="61" t="s">
        <v>2110</v>
      </c>
    </row>
    <row r="25" spans="1:5" ht="15.75" customHeight="1" x14ac:dyDescent="0.2">
      <c r="A25" s="61" t="s">
        <v>2111</v>
      </c>
      <c r="B25" s="61">
        <v>0</v>
      </c>
      <c r="C25" s="61"/>
      <c r="D25" s="61" t="s">
        <v>685</v>
      </c>
      <c r="E25" s="183">
        <v>43082</v>
      </c>
    </row>
    <row r="26" spans="1:5" ht="15.75" customHeight="1" x14ac:dyDescent="0.2">
      <c r="A26" s="61" t="s">
        <v>2112</v>
      </c>
      <c r="B26" s="61">
        <v>0</v>
      </c>
      <c r="C26" s="61"/>
      <c r="D26" s="61" t="s">
        <v>686</v>
      </c>
      <c r="E26" s="183">
        <v>42817</v>
      </c>
    </row>
    <row r="27" spans="1:5" ht="15.75" customHeight="1" x14ac:dyDescent="0.2">
      <c r="A27" s="61" t="s">
        <v>2113</v>
      </c>
      <c r="B27" s="61">
        <v>0</v>
      </c>
      <c r="C27" s="61"/>
      <c r="D27" s="61" t="s">
        <v>686</v>
      </c>
      <c r="E27" s="183">
        <v>42719</v>
      </c>
    </row>
    <row r="28" spans="1:5" ht="15.75" customHeight="1" x14ac:dyDescent="0.2">
      <c r="A28" s="61" t="s">
        <v>2114</v>
      </c>
      <c r="B28" s="61">
        <v>0</v>
      </c>
      <c r="C28" s="61"/>
      <c r="D28" s="61" t="s">
        <v>687</v>
      </c>
      <c r="E28" s="183">
        <v>42720</v>
      </c>
    </row>
    <row r="29" spans="1:5" ht="15.75" customHeight="1" x14ac:dyDescent="0.2">
      <c r="A29" s="61" t="s">
        <v>2115</v>
      </c>
      <c r="B29" s="61">
        <v>0</v>
      </c>
      <c r="C29" s="61"/>
      <c r="D29" s="61" t="s">
        <v>687</v>
      </c>
      <c r="E29" s="183">
        <v>42807</v>
      </c>
    </row>
    <row r="30" spans="1:5" ht="15.75" customHeight="1" x14ac:dyDescent="0.2">
      <c r="A30" s="61" t="s">
        <v>2116</v>
      </c>
      <c r="B30" s="61">
        <v>0</v>
      </c>
      <c r="C30" s="61"/>
      <c r="D30" s="61" t="s">
        <v>688</v>
      </c>
      <c r="E30" s="183">
        <v>42838</v>
      </c>
    </row>
    <row r="31" spans="1:5" ht="15.75" customHeight="1" x14ac:dyDescent="0.2">
      <c r="A31" s="61" t="s">
        <v>2117</v>
      </c>
      <c r="B31" s="61">
        <v>0</v>
      </c>
      <c r="C31" s="61"/>
      <c r="D31" s="61" t="s">
        <v>688</v>
      </c>
      <c r="E31" s="184">
        <v>42740</v>
      </c>
    </row>
    <row r="32" spans="1:5" ht="15.75" customHeight="1" x14ac:dyDescent="0.2">
      <c r="A32" s="61" t="s">
        <v>2118</v>
      </c>
      <c r="B32" s="61">
        <v>0</v>
      </c>
      <c r="C32" s="61"/>
      <c r="D32" s="61" t="s">
        <v>688</v>
      </c>
      <c r="E32" s="184">
        <v>43194</v>
      </c>
    </row>
    <row r="33" spans="1:5" ht="15.75" customHeight="1" x14ac:dyDescent="0.2">
      <c r="A33" s="61" t="s">
        <v>2119</v>
      </c>
      <c r="B33" s="61">
        <v>0</v>
      </c>
      <c r="C33" s="61"/>
      <c r="D33" s="61" t="s">
        <v>689</v>
      </c>
      <c r="E33" s="184">
        <v>42828</v>
      </c>
    </row>
    <row r="34" spans="1:5" ht="15.75" customHeight="1" x14ac:dyDescent="0.2">
      <c r="A34" s="61" t="s">
        <v>2120</v>
      </c>
      <c r="B34" s="61">
        <v>0</v>
      </c>
      <c r="C34" s="61"/>
      <c r="D34" s="61" t="s">
        <v>689</v>
      </c>
      <c r="E34" s="184">
        <v>42741</v>
      </c>
    </row>
    <row r="35" spans="1:5" ht="15.75" customHeight="1" x14ac:dyDescent="0.2">
      <c r="A35" s="61" t="s">
        <v>2121</v>
      </c>
      <c r="B35" s="61">
        <v>0</v>
      </c>
      <c r="C35" s="61"/>
      <c r="D35" s="61" t="s">
        <v>690</v>
      </c>
      <c r="E35" s="183">
        <v>42838</v>
      </c>
    </row>
    <row r="36" spans="1:5" ht="15.75" customHeight="1" x14ac:dyDescent="0.2">
      <c r="A36" s="61" t="s">
        <v>2122</v>
      </c>
      <c r="B36" s="61">
        <v>0</v>
      </c>
      <c r="C36" s="61"/>
      <c r="D36" s="61" t="s">
        <v>690</v>
      </c>
      <c r="E36" s="183">
        <v>42760</v>
      </c>
    </row>
    <row r="37" spans="1:5" ht="15.75" customHeight="1" x14ac:dyDescent="0.2">
      <c r="A37" s="61" t="s">
        <v>2123</v>
      </c>
      <c r="B37" s="61">
        <v>0</v>
      </c>
      <c r="C37" s="61"/>
      <c r="D37" s="61" t="s">
        <v>691</v>
      </c>
      <c r="E37" s="183">
        <v>42846</v>
      </c>
    </row>
    <row r="38" spans="1:5" ht="15.75" customHeight="1" x14ac:dyDescent="0.2">
      <c r="A38" s="61" t="s">
        <v>2124</v>
      </c>
      <c r="B38" s="61">
        <v>0</v>
      </c>
      <c r="C38" s="61"/>
      <c r="D38" s="61" t="s">
        <v>691</v>
      </c>
      <c r="E38" s="183">
        <v>42761</v>
      </c>
    </row>
    <row r="39" spans="1:5" ht="15.75" customHeight="1" x14ac:dyDescent="0.2">
      <c r="A39" s="61" t="s">
        <v>2125</v>
      </c>
      <c r="B39" s="61">
        <v>0</v>
      </c>
      <c r="C39" s="61"/>
      <c r="D39" s="61" t="s">
        <v>692</v>
      </c>
      <c r="E39" s="183">
        <v>42852</v>
      </c>
    </row>
    <row r="40" spans="1:5" ht="15.75" customHeight="1" x14ac:dyDescent="0.2">
      <c r="A40" s="61" t="s">
        <v>2126</v>
      </c>
      <c r="B40" s="61">
        <v>0</v>
      </c>
      <c r="C40" s="61"/>
      <c r="D40" s="61" t="s">
        <v>692</v>
      </c>
      <c r="E40" s="183">
        <v>42761</v>
      </c>
    </row>
    <row r="41" spans="1:5" ht="15.75" customHeight="1" x14ac:dyDescent="0.2">
      <c r="A41" s="61" t="s">
        <v>2127</v>
      </c>
      <c r="B41" s="61">
        <v>0</v>
      </c>
      <c r="C41" s="61"/>
      <c r="D41" s="61" t="s">
        <v>693</v>
      </c>
      <c r="E41" s="183">
        <v>42851</v>
      </c>
    </row>
    <row r="42" spans="1:5" ht="12.75" x14ac:dyDescent="0.2">
      <c r="A42" s="61" t="s">
        <v>2128</v>
      </c>
      <c r="B42" s="61">
        <v>0</v>
      </c>
      <c r="C42" s="61"/>
      <c r="D42" s="61" t="s">
        <v>693</v>
      </c>
      <c r="E42" s="184">
        <v>42768</v>
      </c>
    </row>
    <row r="43" spans="1:5" ht="12.75" x14ac:dyDescent="0.2">
      <c r="A43" s="61" t="s">
        <v>2129</v>
      </c>
      <c r="B43" s="61">
        <v>0</v>
      </c>
      <c r="C43" s="61"/>
      <c r="D43" s="61" t="s">
        <v>694</v>
      </c>
      <c r="E43" s="184">
        <v>42888</v>
      </c>
    </row>
    <row r="44" spans="1:5" ht="12.75" x14ac:dyDescent="0.2">
      <c r="A44" s="61" t="s">
        <v>2130</v>
      </c>
      <c r="B44" s="61">
        <v>0</v>
      </c>
      <c r="C44" s="61"/>
      <c r="D44" s="61" t="s">
        <v>694</v>
      </c>
      <c r="E44" s="184">
        <v>42797</v>
      </c>
    </row>
    <row r="45" spans="1:5" ht="12.75" x14ac:dyDescent="0.2">
      <c r="A45" s="61" t="s">
        <v>2131</v>
      </c>
      <c r="B45" s="61">
        <v>0</v>
      </c>
      <c r="C45" s="61"/>
      <c r="D45" s="61" t="s">
        <v>859</v>
      </c>
      <c r="E45" s="183">
        <v>42821</v>
      </c>
    </row>
    <row r="46" spans="1:5" ht="12.75" x14ac:dyDescent="0.2">
      <c r="A46" s="61" t="s">
        <v>2132</v>
      </c>
      <c r="B46" s="61">
        <v>0</v>
      </c>
      <c r="C46" s="61"/>
      <c r="D46" s="61" t="s">
        <v>859</v>
      </c>
      <c r="E46" s="183">
        <v>43067</v>
      </c>
    </row>
    <row r="47" spans="1:5" ht="12.75" x14ac:dyDescent="0.2">
      <c r="A47" s="61" t="s">
        <v>2133</v>
      </c>
      <c r="B47" s="61">
        <v>0</v>
      </c>
      <c r="C47" s="61"/>
      <c r="D47" s="61" t="s">
        <v>859</v>
      </c>
      <c r="E47" s="183">
        <v>42746</v>
      </c>
    </row>
    <row r="48" spans="1:5" ht="12.75" x14ac:dyDescent="0.2">
      <c r="A48" s="61" t="s">
        <v>2134</v>
      </c>
      <c r="B48" s="61">
        <v>0</v>
      </c>
      <c r="C48" s="61"/>
      <c r="D48" s="61" t="s">
        <v>859</v>
      </c>
      <c r="E48" s="183">
        <v>42935</v>
      </c>
    </row>
    <row r="49" spans="1:5" ht="12.75" x14ac:dyDescent="0.2">
      <c r="A49" s="61" t="s">
        <v>2135</v>
      </c>
      <c r="B49" s="61">
        <v>0</v>
      </c>
      <c r="C49" s="61"/>
      <c r="D49" s="61" t="s">
        <v>859</v>
      </c>
      <c r="E49" s="184">
        <v>43164</v>
      </c>
    </row>
    <row r="50" spans="1:5" ht="12.75" x14ac:dyDescent="0.2">
      <c r="A50" s="61" t="s">
        <v>2136</v>
      </c>
      <c r="B50" s="61">
        <v>0</v>
      </c>
      <c r="C50" s="61"/>
      <c r="D50" s="61" t="s">
        <v>870</v>
      </c>
      <c r="E50" s="183">
        <v>43304</v>
      </c>
    </row>
    <row r="51" spans="1:5" ht="12.75" x14ac:dyDescent="0.2">
      <c r="A51" s="61" t="s">
        <v>2137</v>
      </c>
      <c r="B51" s="61">
        <v>0</v>
      </c>
      <c r="C51" s="61"/>
      <c r="D51" s="61" t="s">
        <v>870</v>
      </c>
      <c r="E51" s="183">
        <v>43171</v>
      </c>
    </row>
    <row r="52" spans="1:5" ht="12.75" x14ac:dyDescent="0.2">
      <c r="A52" s="61" t="s">
        <v>2138</v>
      </c>
      <c r="B52" s="61">
        <v>0</v>
      </c>
      <c r="C52" s="61" t="s">
        <v>1750</v>
      </c>
      <c r="D52" s="61" t="s">
        <v>876</v>
      </c>
      <c r="E52" s="183">
        <v>42753</v>
      </c>
    </row>
    <row r="53" spans="1:5" ht="12.75" x14ac:dyDescent="0.2">
      <c r="A53" s="61" t="s">
        <v>2139</v>
      </c>
      <c r="B53" s="61">
        <v>0</v>
      </c>
      <c r="C53" s="61"/>
      <c r="D53" s="61" t="s">
        <v>876</v>
      </c>
      <c r="E53" s="185">
        <v>43593</v>
      </c>
    </row>
    <row r="54" spans="1:5" ht="12.75" x14ac:dyDescent="0.2">
      <c r="A54" s="61" t="s">
        <v>2140</v>
      </c>
      <c r="B54" s="61">
        <v>0</v>
      </c>
      <c r="C54" s="61"/>
      <c r="D54" s="61" t="s">
        <v>876</v>
      </c>
      <c r="E54" s="183">
        <v>42976</v>
      </c>
    </row>
    <row r="55" spans="1:5" ht="12.75" x14ac:dyDescent="0.2">
      <c r="A55" s="61" t="s">
        <v>2141</v>
      </c>
      <c r="B55" s="61">
        <v>0</v>
      </c>
      <c r="C55" s="61"/>
      <c r="D55" s="61" t="s">
        <v>876</v>
      </c>
      <c r="E55" s="184">
        <v>43193</v>
      </c>
    </row>
    <row r="56" spans="1:5" ht="12.75" x14ac:dyDescent="0.2">
      <c r="A56" s="61" t="s">
        <v>2142</v>
      </c>
      <c r="B56" s="61">
        <v>0</v>
      </c>
      <c r="C56" s="61"/>
      <c r="D56" s="61" t="s">
        <v>876</v>
      </c>
      <c r="E56" s="61" t="s">
        <v>2143</v>
      </c>
    </row>
    <row r="57" spans="1:5" ht="12.75" x14ac:dyDescent="0.2">
      <c r="A57" s="61" t="s">
        <v>2144</v>
      </c>
      <c r="B57" s="61">
        <v>0</v>
      </c>
      <c r="C57" s="61"/>
      <c r="D57" s="61" t="s">
        <v>695</v>
      </c>
      <c r="E57" s="184">
        <v>42772</v>
      </c>
    </row>
    <row r="58" spans="1:5" ht="12.75" x14ac:dyDescent="0.2">
      <c r="A58" s="61" t="s">
        <v>2145</v>
      </c>
      <c r="B58" s="61">
        <v>0</v>
      </c>
      <c r="C58" s="61"/>
      <c r="D58" s="61" t="s">
        <v>696</v>
      </c>
      <c r="E58" s="185">
        <v>42857</v>
      </c>
    </row>
    <row r="59" spans="1:5" ht="12.75" x14ac:dyDescent="0.2">
      <c r="A59" s="61" t="s">
        <v>2146</v>
      </c>
      <c r="B59" s="61">
        <v>0</v>
      </c>
      <c r="C59" s="61"/>
      <c r="D59" s="61" t="s">
        <v>696</v>
      </c>
      <c r="E59" s="184">
        <v>42767</v>
      </c>
    </row>
    <row r="60" spans="1:5" ht="12.75" x14ac:dyDescent="0.2">
      <c r="A60" s="61" t="s">
        <v>2147</v>
      </c>
      <c r="B60" s="61">
        <v>0</v>
      </c>
      <c r="C60" s="61" t="s">
        <v>1750</v>
      </c>
      <c r="D60" s="61" t="s">
        <v>841</v>
      </c>
      <c r="E60" s="183">
        <v>42786</v>
      </c>
    </row>
    <row r="61" spans="1:5" ht="12.75" x14ac:dyDescent="0.2">
      <c r="A61" s="61" t="s">
        <v>2148</v>
      </c>
      <c r="B61" s="61">
        <v>0</v>
      </c>
      <c r="C61" s="61" t="s">
        <v>1750</v>
      </c>
      <c r="D61" s="61" t="s">
        <v>841</v>
      </c>
      <c r="E61" s="185">
        <v>42863</v>
      </c>
    </row>
    <row r="62" spans="1:5" ht="12.75" x14ac:dyDescent="0.2">
      <c r="A62" s="61" t="s">
        <v>2149</v>
      </c>
      <c r="B62" s="61">
        <v>0</v>
      </c>
      <c r="C62" s="61"/>
      <c r="D62" s="61" t="s">
        <v>841</v>
      </c>
      <c r="E62" s="186">
        <v>43235</v>
      </c>
    </row>
    <row r="63" spans="1:5" ht="12.75" x14ac:dyDescent="0.2">
      <c r="A63" s="61" t="s">
        <v>2150</v>
      </c>
      <c r="B63" s="61">
        <v>0</v>
      </c>
      <c r="C63" s="61"/>
      <c r="D63" s="61" t="s">
        <v>697</v>
      </c>
      <c r="E63" s="183">
        <v>42851</v>
      </c>
    </row>
    <row r="64" spans="1:5" ht="12.75" x14ac:dyDescent="0.2">
      <c r="A64" s="61" t="s">
        <v>2151</v>
      </c>
      <c r="B64" s="61">
        <v>0</v>
      </c>
      <c r="C64" s="61"/>
      <c r="D64" s="61" t="s">
        <v>697</v>
      </c>
      <c r="E64" s="184">
        <v>42772</v>
      </c>
    </row>
    <row r="65" spans="1:5" ht="12.75" x14ac:dyDescent="0.2">
      <c r="A65" s="61" t="s">
        <v>2152</v>
      </c>
      <c r="B65" s="61">
        <v>0</v>
      </c>
      <c r="C65" s="61"/>
      <c r="D65" s="61" t="s">
        <v>698</v>
      </c>
      <c r="E65" s="186">
        <v>42865</v>
      </c>
    </row>
    <row r="66" spans="1:5" ht="12.75" x14ac:dyDescent="0.2">
      <c r="A66" s="61" t="s">
        <v>2153</v>
      </c>
      <c r="B66" s="61">
        <v>0</v>
      </c>
      <c r="C66" s="61"/>
      <c r="D66" s="61" t="s">
        <v>698</v>
      </c>
      <c r="E66" s="183">
        <v>42787</v>
      </c>
    </row>
    <row r="67" spans="1:5" ht="12.75" x14ac:dyDescent="0.2">
      <c r="A67" s="61" t="s">
        <v>2154</v>
      </c>
      <c r="B67" s="61">
        <v>0</v>
      </c>
      <c r="C67" s="61"/>
      <c r="D67" s="61" t="s">
        <v>877</v>
      </c>
      <c r="E67" s="183">
        <v>42793</v>
      </c>
    </row>
    <row r="68" spans="1:5" ht="12.75" x14ac:dyDescent="0.2">
      <c r="A68" s="61" t="s">
        <v>2155</v>
      </c>
      <c r="B68" s="61">
        <v>0</v>
      </c>
      <c r="C68" s="61"/>
      <c r="D68" s="61" t="s">
        <v>877</v>
      </c>
      <c r="E68" s="186">
        <v>42870</v>
      </c>
    </row>
    <row r="69" spans="1:5" ht="12.75" x14ac:dyDescent="0.2">
      <c r="A69" s="61" t="s">
        <v>2156</v>
      </c>
      <c r="B69" s="61">
        <v>0</v>
      </c>
      <c r="C69" s="61"/>
      <c r="D69" s="61" t="s">
        <v>877</v>
      </c>
      <c r="E69" s="184">
        <v>43319</v>
      </c>
    </row>
    <row r="70" spans="1:5" ht="12.75" x14ac:dyDescent="0.2">
      <c r="A70" s="61" t="s">
        <v>2157</v>
      </c>
      <c r="B70" s="61">
        <v>0</v>
      </c>
      <c r="C70" s="61" t="s">
        <v>1750</v>
      </c>
      <c r="D70" s="61" t="s">
        <v>699</v>
      </c>
      <c r="E70" s="184">
        <v>42800</v>
      </c>
    </row>
    <row r="71" spans="1:5" ht="12.75" x14ac:dyDescent="0.2">
      <c r="A71" s="61" t="s">
        <v>2158</v>
      </c>
      <c r="B71" s="61">
        <v>0</v>
      </c>
      <c r="C71" s="61"/>
      <c r="D71" s="61" t="s">
        <v>699</v>
      </c>
      <c r="E71" s="183">
        <v>42898</v>
      </c>
    </row>
    <row r="72" spans="1:5" ht="12.75" x14ac:dyDescent="0.2">
      <c r="A72" s="61" t="s">
        <v>2159</v>
      </c>
      <c r="B72" s="61">
        <v>0</v>
      </c>
      <c r="C72" s="61"/>
      <c r="D72" s="61" t="s">
        <v>700</v>
      </c>
      <c r="E72" s="184">
        <v>42802</v>
      </c>
    </row>
    <row r="73" spans="1:5" ht="12.75" x14ac:dyDescent="0.2">
      <c r="A73" s="61" t="s">
        <v>2160</v>
      </c>
      <c r="B73" s="61">
        <v>0</v>
      </c>
      <c r="C73" s="61"/>
      <c r="D73" s="61" t="s">
        <v>700</v>
      </c>
      <c r="E73" s="184">
        <v>42956</v>
      </c>
    </row>
    <row r="74" spans="1:5" ht="12.75" x14ac:dyDescent="0.2">
      <c r="A74" s="61" t="s">
        <v>2161</v>
      </c>
      <c r="B74" s="61">
        <v>0</v>
      </c>
      <c r="C74" s="61"/>
      <c r="D74" s="61" t="s">
        <v>700</v>
      </c>
      <c r="E74" s="183">
        <v>42899</v>
      </c>
    </row>
    <row r="75" spans="1:5" ht="12.75" x14ac:dyDescent="0.2">
      <c r="A75" s="61" t="s">
        <v>2162</v>
      </c>
      <c r="B75" s="61">
        <v>0</v>
      </c>
      <c r="C75" s="61" t="s">
        <v>1750</v>
      </c>
      <c r="D75" s="61" t="s">
        <v>842</v>
      </c>
      <c r="E75" s="183">
        <v>42809</v>
      </c>
    </row>
    <row r="76" spans="1:5" ht="12.75" x14ac:dyDescent="0.2">
      <c r="A76" s="61" t="s">
        <v>2163</v>
      </c>
      <c r="B76" s="61">
        <v>0</v>
      </c>
      <c r="C76" s="61"/>
      <c r="D76" s="61" t="s">
        <v>842</v>
      </c>
      <c r="E76" s="61" t="s">
        <v>2164</v>
      </c>
    </row>
    <row r="77" spans="1:5" ht="12.75" x14ac:dyDescent="0.2">
      <c r="A77" s="61" t="s">
        <v>2165</v>
      </c>
      <c r="B77" s="61">
        <v>0</v>
      </c>
      <c r="C77" s="61"/>
      <c r="D77" s="61" t="s">
        <v>702</v>
      </c>
      <c r="E77" s="183">
        <v>42940</v>
      </c>
    </row>
    <row r="78" spans="1:5" ht="12.75" x14ac:dyDescent="0.2">
      <c r="A78" s="61" t="s">
        <v>2166</v>
      </c>
      <c r="B78" s="61">
        <v>0</v>
      </c>
      <c r="C78" s="61"/>
      <c r="D78" s="61" t="s">
        <v>702</v>
      </c>
      <c r="E78" s="183">
        <v>42850</v>
      </c>
    </row>
    <row r="79" spans="1:5" ht="12.75" x14ac:dyDescent="0.2">
      <c r="A79" s="61" t="s">
        <v>2167</v>
      </c>
      <c r="B79" s="61">
        <v>0</v>
      </c>
      <c r="C79" s="61"/>
      <c r="D79" s="61" t="s">
        <v>702</v>
      </c>
      <c r="E79" s="183">
        <v>43305</v>
      </c>
    </row>
    <row r="80" spans="1:5" ht="12.75" x14ac:dyDescent="0.2">
      <c r="A80" s="61" t="s">
        <v>2168</v>
      </c>
      <c r="B80" s="61">
        <v>0</v>
      </c>
      <c r="C80" s="61"/>
      <c r="D80" s="61" t="s">
        <v>703</v>
      </c>
      <c r="E80" s="185">
        <v>42857</v>
      </c>
    </row>
    <row r="81" spans="1:5" ht="12.75" x14ac:dyDescent="0.2">
      <c r="A81" s="61" t="s">
        <v>2169</v>
      </c>
      <c r="B81" s="61">
        <v>0</v>
      </c>
      <c r="C81" s="61"/>
      <c r="D81" s="61" t="s">
        <v>704</v>
      </c>
      <c r="E81" s="185">
        <v>42858</v>
      </c>
    </row>
    <row r="82" spans="1:5" ht="12.75" x14ac:dyDescent="0.2">
      <c r="A82" s="61" t="s">
        <v>2170</v>
      </c>
      <c r="B82" s="61">
        <v>0</v>
      </c>
      <c r="C82" s="61" t="s">
        <v>1750</v>
      </c>
      <c r="D82" s="61" t="s">
        <v>843</v>
      </c>
      <c r="E82" s="183">
        <v>42786</v>
      </c>
    </row>
    <row r="83" spans="1:5" ht="12.75" x14ac:dyDescent="0.2">
      <c r="A83" s="61" t="s">
        <v>2171</v>
      </c>
      <c r="B83" s="61">
        <v>0</v>
      </c>
      <c r="C83" s="61"/>
      <c r="D83" s="61" t="s">
        <v>844</v>
      </c>
      <c r="E83" s="183">
        <v>43207</v>
      </c>
    </row>
    <row r="84" spans="1:5" ht="12.75" x14ac:dyDescent="0.2">
      <c r="A84" s="61" t="s">
        <v>2172</v>
      </c>
      <c r="B84" s="61">
        <v>0</v>
      </c>
      <c r="C84" s="61"/>
      <c r="D84" s="61" t="s">
        <v>844</v>
      </c>
      <c r="E84" s="183">
        <v>43111</v>
      </c>
    </row>
    <row r="85" spans="1:5" ht="12.75" x14ac:dyDescent="0.2">
      <c r="A85" s="61" t="s">
        <v>2173</v>
      </c>
      <c r="B85" s="61">
        <v>0</v>
      </c>
      <c r="C85" s="61" t="s">
        <v>1750</v>
      </c>
      <c r="D85" s="61" t="s">
        <v>860</v>
      </c>
      <c r="E85" s="183">
        <v>42814</v>
      </c>
    </row>
    <row r="86" spans="1:5" ht="12.75" x14ac:dyDescent="0.2">
      <c r="A86" s="61" t="s">
        <v>2174</v>
      </c>
      <c r="B86" s="61">
        <v>0</v>
      </c>
      <c r="C86" s="61"/>
      <c r="D86" s="61" t="s">
        <v>860</v>
      </c>
      <c r="E86" s="186">
        <v>42873</v>
      </c>
    </row>
    <row r="87" spans="1:5" ht="12.75" x14ac:dyDescent="0.2">
      <c r="A87" s="61" t="s">
        <v>2175</v>
      </c>
      <c r="B87" s="61">
        <v>0</v>
      </c>
      <c r="C87" s="61"/>
      <c r="D87" s="61" t="s">
        <v>705</v>
      </c>
      <c r="E87" s="184">
        <v>42831</v>
      </c>
    </row>
    <row r="88" spans="1:5" ht="12.75" x14ac:dyDescent="0.2">
      <c r="A88" s="61" t="s">
        <v>2176</v>
      </c>
      <c r="B88" s="61">
        <v>0</v>
      </c>
      <c r="C88" s="61"/>
      <c r="D88" s="61" t="s">
        <v>705</v>
      </c>
      <c r="E88" s="183">
        <v>42901</v>
      </c>
    </row>
    <row r="89" spans="1:5" ht="12.75" x14ac:dyDescent="0.2">
      <c r="A89" s="61" t="s">
        <v>2177</v>
      </c>
      <c r="B89" s="61">
        <v>0</v>
      </c>
      <c r="C89" s="61"/>
      <c r="D89" s="61" t="s">
        <v>705</v>
      </c>
      <c r="E89" s="183">
        <v>43332</v>
      </c>
    </row>
    <row r="90" spans="1:5" ht="12.75" x14ac:dyDescent="0.2">
      <c r="A90" s="61" t="s">
        <v>2178</v>
      </c>
      <c r="B90" s="61">
        <v>0</v>
      </c>
      <c r="C90" s="61"/>
      <c r="D90" s="61" t="s">
        <v>1930</v>
      </c>
      <c r="E90" s="183">
        <v>42838</v>
      </c>
    </row>
    <row r="91" spans="1:5" ht="12.75" x14ac:dyDescent="0.2">
      <c r="A91" s="61" t="s">
        <v>2179</v>
      </c>
      <c r="B91" s="61">
        <v>0</v>
      </c>
      <c r="C91" s="61" t="s">
        <v>1750</v>
      </c>
      <c r="D91" s="61" t="s">
        <v>706</v>
      </c>
      <c r="E91" s="183">
        <v>42821</v>
      </c>
    </row>
    <row r="92" spans="1:5" ht="12.75" x14ac:dyDescent="0.2">
      <c r="A92" s="61" t="s">
        <v>2180</v>
      </c>
      <c r="B92" s="61">
        <v>0</v>
      </c>
      <c r="C92" s="61"/>
      <c r="D92" s="61" t="s">
        <v>706</v>
      </c>
      <c r="E92" s="183">
        <v>42844</v>
      </c>
    </row>
    <row r="93" spans="1:5" ht="12.75" x14ac:dyDescent="0.2">
      <c r="A93" s="61" t="s">
        <v>2181</v>
      </c>
      <c r="B93" s="61">
        <v>0</v>
      </c>
      <c r="C93" s="61"/>
      <c r="D93" s="61" t="s">
        <v>706</v>
      </c>
      <c r="E93" s="183">
        <v>42928</v>
      </c>
    </row>
    <row r="94" spans="1:5" ht="12.75" x14ac:dyDescent="0.2">
      <c r="A94" s="61" t="s">
        <v>2182</v>
      </c>
      <c r="B94" s="61">
        <v>0</v>
      </c>
      <c r="C94" s="61"/>
      <c r="D94" s="61" t="s">
        <v>880</v>
      </c>
      <c r="E94" s="184">
        <v>43012</v>
      </c>
    </row>
    <row r="95" spans="1:5" ht="12.75" x14ac:dyDescent="0.2">
      <c r="A95" s="61" t="s">
        <v>2183</v>
      </c>
      <c r="B95" s="61">
        <v>0</v>
      </c>
      <c r="C95" s="61"/>
      <c r="D95" s="61" t="s">
        <v>880</v>
      </c>
      <c r="E95" s="183">
        <v>43404</v>
      </c>
    </row>
    <row r="96" spans="1:5" ht="12.75" x14ac:dyDescent="0.2">
      <c r="A96" s="61" t="s">
        <v>2184</v>
      </c>
      <c r="B96" s="61">
        <v>0</v>
      </c>
      <c r="C96" s="61"/>
      <c r="D96" s="61" t="s">
        <v>880</v>
      </c>
      <c r="E96" s="183">
        <v>42947</v>
      </c>
    </row>
    <row r="97" spans="1:5" ht="12.75" x14ac:dyDescent="0.2">
      <c r="A97" s="61" t="s">
        <v>2185</v>
      </c>
      <c r="B97" s="61">
        <v>0</v>
      </c>
      <c r="C97" s="61"/>
      <c r="D97" s="61" t="s">
        <v>880</v>
      </c>
      <c r="E97" s="183">
        <v>43153</v>
      </c>
    </row>
    <row r="98" spans="1:5" ht="12.75" x14ac:dyDescent="0.2">
      <c r="A98" s="61" t="s">
        <v>2186</v>
      </c>
      <c r="B98" s="61">
        <v>0</v>
      </c>
      <c r="C98" s="61"/>
      <c r="D98" s="61" t="s">
        <v>707</v>
      </c>
      <c r="E98" s="183">
        <v>43038</v>
      </c>
    </row>
    <row r="99" spans="1:5" ht="12.75" x14ac:dyDescent="0.2">
      <c r="A99" s="61" t="s">
        <v>2187</v>
      </c>
      <c r="B99" s="61">
        <v>0</v>
      </c>
      <c r="C99" s="61"/>
      <c r="D99" s="61" t="s">
        <v>707</v>
      </c>
      <c r="E99" s="184">
        <v>42920</v>
      </c>
    </row>
    <row r="100" spans="1:5" ht="12.75" x14ac:dyDescent="0.2">
      <c r="A100" s="61" t="s">
        <v>2188</v>
      </c>
      <c r="B100" s="61">
        <v>0</v>
      </c>
      <c r="C100" s="61"/>
      <c r="D100" s="61" t="s">
        <v>874</v>
      </c>
      <c r="E100" s="184">
        <v>43166</v>
      </c>
    </row>
    <row r="101" spans="1:5" ht="12.75" x14ac:dyDescent="0.2">
      <c r="A101" s="61" t="s">
        <v>2189</v>
      </c>
      <c r="B101" s="61">
        <v>0</v>
      </c>
      <c r="C101" s="61"/>
      <c r="D101" s="61" t="s">
        <v>874</v>
      </c>
      <c r="E101" s="186">
        <v>43243</v>
      </c>
    </row>
    <row r="102" spans="1:5" ht="12.75" x14ac:dyDescent="0.2">
      <c r="A102" s="61" t="s">
        <v>2190</v>
      </c>
      <c r="B102" s="61">
        <v>0</v>
      </c>
      <c r="C102" s="61"/>
      <c r="D102" s="61" t="s">
        <v>874</v>
      </c>
      <c r="E102" s="184">
        <v>43012</v>
      </c>
    </row>
    <row r="103" spans="1:5" ht="12.75" x14ac:dyDescent="0.2">
      <c r="A103" s="61" t="s">
        <v>2191</v>
      </c>
      <c r="B103" s="61">
        <v>0</v>
      </c>
      <c r="C103" s="61"/>
      <c r="D103" s="61" t="s">
        <v>874</v>
      </c>
      <c r="E103" s="183">
        <v>43298</v>
      </c>
    </row>
    <row r="104" spans="1:5" ht="12.75" x14ac:dyDescent="0.2">
      <c r="A104" s="61" t="s">
        <v>2192</v>
      </c>
      <c r="B104" s="61">
        <v>0</v>
      </c>
      <c r="C104" s="61"/>
      <c r="D104" s="61" t="s">
        <v>708</v>
      </c>
      <c r="E104" s="183">
        <v>43032</v>
      </c>
    </row>
    <row r="105" spans="1:5" ht="12.75" x14ac:dyDescent="0.2">
      <c r="A105" s="61" t="s">
        <v>2193</v>
      </c>
      <c r="B105" s="61">
        <v>0</v>
      </c>
      <c r="C105" s="61"/>
      <c r="D105" s="61" t="s">
        <v>708</v>
      </c>
      <c r="E105" s="183">
        <v>43171</v>
      </c>
    </row>
    <row r="106" spans="1:5" ht="12.75" x14ac:dyDescent="0.2">
      <c r="A106" s="61" t="s">
        <v>2194</v>
      </c>
      <c r="B106" s="61">
        <v>0</v>
      </c>
      <c r="C106" s="61"/>
      <c r="D106" s="61" t="s">
        <v>709</v>
      </c>
      <c r="E106" s="184">
        <v>42891</v>
      </c>
    </row>
    <row r="107" spans="1:5" ht="12.75" x14ac:dyDescent="0.2">
      <c r="A107" s="61" t="s">
        <v>2195</v>
      </c>
      <c r="B107" s="61">
        <v>0</v>
      </c>
      <c r="C107" s="61" t="s">
        <v>1750</v>
      </c>
      <c r="D107" s="61" t="s">
        <v>845</v>
      </c>
      <c r="E107" s="183">
        <v>42940</v>
      </c>
    </row>
    <row r="108" spans="1:5" ht="12.75" x14ac:dyDescent="0.2">
      <c r="A108" s="61" t="s">
        <v>2196</v>
      </c>
      <c r="B108" s="61">
        <v>0</v>
      </c>
      <c r="C108" s="61"/>
      <c r="D108" s="61" t="s">
        <v>845</v>
      </c>
      <c r="E108" s="183">
        <v>43123</v>
      </c>
    </row>
    <row r="109" spans="1:5" ht="12.75" x14ac:dyDescent="0.2">
      <c r="A109" s="61" t="s">
        <v>2197</v>
      </c>
      <c r="B109" s="61">
        <v>0</v>
      </c>
      <c r="C109" s="61"/>
      <c r="D109" s="61" t="s">
        <v>710</v>
      </c>
      <c r="E109" s="184">
        <v>43011</v>
      </c>
    </row>
    <row r="110" spans="1:5" ht="12.75" x14ac:dyDescent="0.2">
      <c r="A110" s="61" t="s">
        <v>2198</v>
      </c>
      <c r="B110" s="61">
        <v>0</v>
      </c>
      <c r="C110" s="61"/>
      <c r="D110" s="61" t="s">
        <v>861</v>
      </c>
      <c r="E110" s="183">
        <v>42837</v>
      </c>
    </row>
    <row r="111" spans="1:5" ht="12.75" x14ac:dyDescent="0.2">
      <c r="A111" s="61" t="s">
        <v>2199</v>
      </c>
      <c r="B111" s="61">
        <v>0</v>
      </c>
      <c r="C111" s="61"/>
      <c r="D111" s="61" t="s">
        <v>861</v>
      </c>
      <c r="E111" s="61" t="s">
        <v>2200</v>
      </c>
    </row>
    <row r="112" spans="1:5" ht="12.75" x14ac:dyDescent="0.2">
      <c r="A112" s="61" t="s">
        <v>2201</v>
      </c>
      <c r="B112" s="61">
        <v>0</v>
      </c>
      <c r="C112" s="61"/>
      <c r="D112" s="61" t="s">
        <v>861</v>
      </c>
      <c r="E112" s="184">
        <v>43076</v>
      </c>
    </row>
    <row r="113" spans="1:5" ht="12.75" x14ac:dyDescent="0.2">
      <c r="A113" s="61" t="s">
        <v>2202</v>
      </c>
      <c r="B113" s="61">
        <v>0</v>
      </c>
      <c r="C113" s="61"/>
      <c r="D113" s="61" t="s">
        <v>878</v>
      </c>
      <c r="E113" s="185">
        <v>42857</v>
      </c>
    </row>
    <row r="114" spans="1:5" ht="12.75" x14ac:dyDescent="0.2">
      <c r="A114" s="61" t="s">
        <v>2203</v>
      </c>
      <c r="B114" s="61">
        <v>0</v>
      </c>
      <c r="C114" s="61"/>
      <c r="D114" s="61" t="s">
        <v>878</v>
      </c>
      <c r="E114" s="183">
        <v>43705</v>
      </c>
    </row>
    <row r="115" spans="1:5" ht="12.75" x14ac:dyDescent="0.2">
      <c r="A115" s="61" t="s">
        <v>2204</v>
      </c>
      <c r="B115" s="61">
        <v>0</v>
      </c>
      <c r="C115" s="61"/>
      <c r="D115" s="61" t="s">
        <v>712</v>
      </c>
      <c r="E115" s="183">
        <v>42964</v>
      </c>
    </row>
    <row r="116" spans="1:5" ht="12.75" x14ac:dyDescent="0.2">
      <c r="A116" s="61" t="s">
        <v>2205</v>
      </c>
      <c r="B116" s="61">
        <v>0</v>
      </c>
      <c r="C116" s="61"/>
      <c r="D116" s="61" t="s">
        <v>712</v>
      </c>
      <c r="E116" s="186">
        <v>42866</v>
      </c>
    </row>
    <row r="117" spans="1:5" ht="12.75" x14ac:dyDescent="0.2">
      <c r="A117" s="61" t="s">
        <v>2206</v>
      </c>
      <c r="B117" s="61">
        <v>0</v>
      </c>
      <c r="C117" s="61"/>
      <c r="D117" s="61" t="s">
        <v>713</v>
      </c>
      <c r="E117" s="184">
        <v>42887</v>
      </c>
    </row>
    <row r="118" spans="1:5" ht="12.75" x14ac:dyDescent="0.2">
      <c r="A118" s="61" t="s">
        <v>2207</v>
      </c>
      <c r="B118" s="61">
        <v>0</v>
      </c>
      <c r="C118" s="61"/>
      <c r="D118" s="61" t="s">
        <v>713</v>
      </c>
      <c r="E118" s="61" t="s">
        <v>2208</v>
      </c>
    </row>
    <row r="119" spans="1:5" ht="12.75" x14ac:dyDescent="0.2">
      <c r="A119" s="61" t="s">
        <v>2209</v>
      </c>
      <c r="B119" s="61">
        <v>0</v>
      </c>
      <c r="C119" s="61" t="s">
        <v>1750</v>
      </c>
      <c r="D119" s="61" t="s">
        <v>846</v>
      </c>
      <c r="E119" s="185">
        <v>42864</v>
      </c>
    </row>
    <row r="120" spans="1:5" ht="12.75" x14ac:dyDescent="0.2">
      <c r="A120" s="61" t="s">
        <v>2210</v>
      </c>
      <c r="B120" s="61">
        <v>0</v>
      </c>
      <c r="C120" s="61"/>
      <c r="D120" s="61" t="s">
        <v>714</v>
      </c>
      <c r="E120" s="61" t="s">
        <v>2211</v>
      </c>
    </row>
    <row r="121" spans="1:5" ht="12.75" x14ac:dyDescent="0.2">
      <c r="A121" s="61" t="s">
        <v>2212</v>
      </c>
      <c r="B121" s="61">
        <v>0</v>
      </c>
      <c r="C121" s="61"/>
      <c r="D121" s="61" t="s">
        <v>714</v>
      </c>
      <c r="E121" s="184">
        <v>42891</v>
      </c>
    </row>
    <row r="122" spans="1:5" ht="12.75" x14ac:dyDescent="0.2">
      <c r="A122" s="61" t="s">
        <v>2213</v>
      </c>
      <c r="B122" s="61">
        <v>0</v>
      </c>
      <c r="C122" s="61"/>
      <c r="D122" s="61" t="s">
        <v>714</v>
      </c>
      <c r="E122" s="61" t="s">
        <v>2214</v>
      </c>
    </row>
    <row r="123" spans="1:5" ht="12.75" x14ac:dyDescent="0.2">
      <c r="A123" s="61" t="s">
        <v>2215</v>
      </c>
      <c r="B123" s="61">
        <v>0</v>
      </c>
      <c r="C123" s="61"/>
      <c r="D123" s="61" t="s">
        <v>847</v>
      </c>
      <c r="E123" s="186">
        <v>43242</v>
      </c>
    </row>
    <row r="124" spans="1:5" ht="12.75" x14ac:dyDescent="0.2">
      <c r="A124" s="61" t="s">
        <v>2216</v>
      </c>
      <c r="B124" s="61">
        <v>0</v>
      </c>
      <c r="C124" s="61"/>
      <c r="D124" s="61" t="s">
        <v>862</v>
      </c>
      <c r="E124" s="61" t="s">
        <v>2217</v>
      </c>
    </row>
    <row r="125" spans="1:5" ht="12.75" x14ac:dyDescent="0.2">
      <c r="A125" s="61" t="s">
        <v>2218</v>
      </c>
      <c r="B125" s="61">
        <v>0</v>
      </c>
      <c r="C125" s="61"/>
      <c r="D125" s="61" t="s">
        <v>862</v>
      </c>
      <c r="E125" s="183">
        <v>43403</v>
      </c>
    </row>
    <row r="126" spans="1:5" ht="12.75" x14ac:dyDescent="0.2">
      <c r="A126" s="61" t="s">
        <v>2219</v>
      </c>
      <c r="B126" s="61">
        <v>0</v>
      </c>
      <c r="C126" s="61"/>
      <c r="D126" s="61" t="s">
        <v>862</v>
      </c>
      <c r="E126" s="183">
        <v>42906</v>
      </c>
    </row>
    <row r="127" spans="1:5" ht="12.75" x14ac:dyDescent="0.2">
      <c r="A127" s="61" t="s">
        <v>2220</v>
      </c>
      <c r="B127" s="61">
        <v>0</v>
      </c>
      <c r="C127" s="61"/>
      <c r="D127" s="61" t="s">
        <v>862</v>
      </c>
      <c r="E127" s="183">
        <v>43292</v>
      </c>
    </row>
    <row r="128" spans="1:5" ht="12.75" x14ac:dyDescent="0.2">
      <c r="A128" s="61" t="s">
        <v>2221</v>
      </c>
      <c r="B128" s="61">
        <v>0</v>
      </c>
      <c r="C128" s="61"/>
      <c r="D128" s="61" t="s">
        <v>715</v>
      </c>
      <c r="E128" s="61" t="s">
        <v>2222</v>
      </c>
    </row>
    <row r="129" spans="1:5" ht="12.75" x14ac:dyDescent="0.2">
      <c r="A129" s="61" t="s">
        <v>2223</v>
      </c>
      <c r="B129" s="61">
        <v>0</v>
      </c>
      <c r="C129" s="61"/>
      <c r="D129" s="61" t="s">
        <v>715</v>
      </c>
      <c r="E129" s="183">
        <v>42912</v>
      </c>
    </row>
    <row r="130" spans="1:5" ht="12.75" x14ac:dyDescent="0.2">
      <c r="A130" s="61" t="s">
        <v>2224</v>
      </c>
      <c r="B130" s="61">
        <v>0</v>
      </c>
      <c r="C130" s="61" t="s">
        <v>1750</v>
      </c>
      <c r="D130" s="61" t="s">
        <v>716</v>
      </c>
      <c r="E130" s="183">
        <v>42912</v>
      </c>
    </row>
    <row r="131" spans="1:5" ht="12.75" x14ac:dyDescent="0.2">
      <c r="A131" s="61" t="s">
        <v>2225</v>
      </c>
      <c r="B131" s="61">
        <v>0</v>
      </c>
      <c r="C131" s="61"/>
      <c r="D131" s="61" t="s">
        <v>716</v>
      </c>
      <c r="E131" s="183">
        <v>43018</v>
      </c>
    </row>
    <row r="132" spans="1:5" ht="12.75" x14ac:dyDescent="0.2">
      <c r="A132" s="61" t="s">
        <v>2226</v>
      </c>
      <c r="B132" s="61">
        <v>0</v>
      </c>
      <c r="C132" s="61"/>
      <c r="D132" s="61" t="s">
        <v>881</v>
      </c>
      <c r="E132" s="184">
        <v>43870</v>
      </c>
    </row>
    <row r="133" spans="1:5" ht="12.75" x14ac:dyDescent="0.2">
      <c r="A133" s="61" t="s">
        <v>2227</v>
      </c>
      <c r="B133" s="61">
        <v>0</v>
      </c>
      <c r="C133" s="61"/>
      <c r="D133" s="61" t="s">
        <v>881</v>
      </c>
      <c r="E133" s="183">
        <v>43018</v>
      </c>
    </row>
    <row r="134" spans="1:5" ht="12.75" x14ac:dyDescent="0.2">
      <c r="A134" s="61" t="s">
        <v>2228</v>
      </c>
      <c r="B134" s="61">
        <v>0</v>
      </c>
      <c r="C134" s="61"/>
      <c r="D134" s="61" t="s">
        <v>881</v>
      </c>
      <c r="E134" s="183">
        <v>42912</v>
      </c>
    </row>
    <row r="135" spans="1:5" ht="12.75" x14ac:dyDescent="0.2">
      <c r="A135" s="61" t="s">
        <v>2229</v>
      </c>
      <c r="B135" s="61">
        <v>0</v>
      </c>
      <c r="C135" s="61"/>
      <c r="D135" s="61" t="s">
        <v>717</v>
      </c>
      <c r="E135" s="183">
        <v>43026</v>
      </c>
    </row>
    <row r="136" spans="1:5" ht="12.75" x14ac:dyDescent="0.2">
      <c r="A136" s="61" t="s">
        <v>2230</v>
      </c>
      <c r="B136" s="61">
        <v>0</v>
      </c>
      <c r="C136" s="61"/>
      <c r="D136" s="61" t="s">
        <v>717</v>
      </c>
      <c r="E136" s="184">
        <v>42888</v>
      </c>
    </row>
    <row r="137" spans="1:5" ht="12.75" x14ac:dyDescent="0.2">
      <c r="A137" s="61" t="s">
        <v>2231</v>
      </c>
      <c r="B137" s="61">
        <v>0</v>
      </c>
      <c r="C137" s="61"/>
      <c r="D137" s="61" t="s">
        <v>871</v>
      </c>
      <c r="E137" s="184">
        <v>43046</v>
      </c>
    </row>
    <row r="138" spans="1:5" ht="12.75" x14ac:dyDescent="0.2">
      <c r="A138" s="61" t="s">
        <v>2232</v>
      </c>
      <c r="B138" s="61">
        <v>0</v>
      </c>
      <c r="C138" s="61"/>
      <c r="D138" s="61" t="s">
        <v>871</v>
      </c>
      <c r="E138" s="183">
        <v>43025</v>
      </c>
    </row>
    <row r="139" spans="1:5" ht="12.75" x14ac:dyDescent="0.2">
      <c r="A139" s="61" t="s">
        <v>2233</v>
      </c>
      <c r="B139" s="61">
        <v>0</v>
      </c>
      <c r="C139" s="61"/>
      <c r="D139" s="61" t="s">
        <v>871</v>
      </c>
      <c r="E139" s="183">
        <v>43131</v>
      </c>
    </row>
    <row r="140" spans="1:5" ht="12.75" x14ac:dyDescent="0.2">
      <c r="A140" s="61" t="s">
        <v>2234</v>
      </c>
      <c r="B140" s="61">
        <v>0</v>
      </c>
      <c r="C140" s="61"/>
      <c r="D140" s="61" t="s">
        <v>718</v>
      </c>
      <c r="E140" s="183">
        <v>42898</v>
      </c>
    </row>
    <row r="141" spans="1:5" ht="12.75" x14ac:dyDescent="0.2">
      <c r="A141" s="61" t="s">
        <v>2235</v>
      </c>
      <c r="B141" s="61">
        <v>0</v>
      </c>
      <c r="C141" s="61"/>
      <c r="D141" s="61" t="s">
        <v>719</v>
      </c>
      <c r="E141" s="183">
        <v>42899</v>
      </c>
    </row>
    <row r="142" spans="1:5" ht="12.75" x14ac:dyDescent="0.2">
      <c r="A142" s="61" t="s">
        <v>2236</v>
      </c>
      <c r="B142" s="61">
        <v>0</v>
      </c>
      <c r="C142" s="61"/>
      <c r="D142" s="61" t="s">
        <v>719</v>
      </c>
      <c r="E142" s="61" t="s">
        <v>2237</v>
      </c>
    </row>
    <row r="143" spans="1:5" ht="12.75" x14ac:dyDescent="0.2">
      <c r="A143" s="61" t="s">
        <v>2238</v>
      </c>
      <c r="B143" s="61">
        <v>0</v>
      </c>
      <c r="C143" s="61"/>
      <c r="D143" s="61" t="s">
        <v>720</v>
      </c>
      <c r="E143" s="183">
        <v>43033</v>
      </c>
    </row>
    <row r="144" spans="1:5" ht="12.75" x14ac:dyDescent="0.2">
      <c r="A144" s="61" t="s">
        <v>2239</v>
      </c>
      <c r="B144" s="61">
        <v>0</v>
      </c>
      <c r="C144" s="61"/>
      <c r="D144" s="61" t="s">
        <v>720</v>
      </c>
      <c r="E144" s="184">
        <v>42922</v>
      </c>
    </row>
    <row r="145" spans="1:5" ht="12.75" x14ac:dyDescent="0.2">
      <c r="A145" s="61" t="s">
        <v>2240</v>
      </c>
      <c r="B145" s="61">
        <v>0</v>
      </c>
      <c r="C145" s="61"/>
      <c r="D145" s="61" t="s">
        <v>721</v>
      </c>
      <c r="E145" s="184">
        <v>43042</v>
      </c>
    </row>
    <row r="146" spans="1:5" ht="12.75" x14ac:dyDescent="0.2">
      <c r="A146" s="61" t="s">
        <v>2241</v>
      </c>
      <c r="B146" s="61">
        <v>0</v>
      </c>
      <c r="C146" s="61"/>
      <c r="D146" s="61" t="s">
        <v>721</v>
      </c>
      <c r="E146" s="184">
        <v>42922</v>
      </c>
    </row>
    <row r="147" spans="1:5" ht="12.75" x14ac:dyDescent="0.2">
      <c r="A147" s="61" t="s">
        <v>2242</v>
      </c>
      <c r="B147" s="61">
        <v>0</v>
      </c>
      <c r="C147" s="61"/>
      <c r="D147" s="61" t="s">
        <v>722</v>
      </c>
      <c r="E147" s="61" t="s">
        <v>2110</v>
      </c>
    </row>
    <row r="148" spans="1:5" ht="12.75" x14ac:dyDescent="0.2">
      <c r="A148" s="61" t="s">
        <v>2243</v>
      </c>
      <c r="B148" s="61">
        <v>0</v>
      </c>
      <c r="C148" s="61"/>
      <c r="D148" s="61" t="s">
        <v>722</v>
      </c>
      <c r="E148" s="183">
        <v>42915</v>
      </c>
    </row>
    <row r="149" spans="1:5" ht="12.75" x14ac:dyDescent="0.2">
      <c r="A149" s="61" t="s">
        <v>2244</v>
      </c>
      <c r="B149" s="61">
        <v>0</v>
      </c>
      <c r="C149" s="61"/>
      <c r="D149" s="61" t="s">
        <v>875</v>
      </c>
      <c r="E149" s="183">
        <v>43059</v>
      </c>
    </row>
    <row r="150" spans="1:5" ht="12.75" x14ac:dyDescent="0.2">
      <c r="A150" s="61" t="s">
        <v>2245</v>
      </c>
      <c r="B150" s="61">
        <v>0</v>
      </c>
      <c r="C150" s="61"/>
      <c r="D150" s="61" t="s">
        <v>875</v>
      </c>
      <c r="E150" s="183">
        <v>42947</v>
      </c>
    </row>
    <row r="151" spans="1:5" ht="12.75" x14ac:dyDescent="0.2">
      <c r="A151" s="61" t="s">
        <v>2246</v>
      </c>
      <c r="B151" s="61">
        <v>0</v>
      </c>
      <c r="C151" s="61"/>
      <c r="D151" s="61" t="s">
        <v>723</v>
      </c>
      <c r="E151" s="183">
        <v>43080</v>
      </c>
    </row>
    <row r="152" spans="1:5" ht="12.75" x14ac:dyDescent="0.2">
      <c r="A152" s="61" t="s">
        <v>2247</v>
      </c>
      <c r="B152" s="61">
        <v>0</v>
      </c>
      <c r="C152" s="61"/>
      <c r="D152" s="61" t="s">
        <v>723</v>
      </c>
      <c r="E152" s="184">
        <v>43314</v>
      </c>
    </row>
    <row r="153" spans="1:5" ht="12.75" x14ac:dyDescent="0.2">
      <c r="A153" s="61" t="s">
        <v>2248</v>
      </c>
      <c r="B153" s="61">
        <v>0</v>
      </c>
      <c r="C153" s="61"/>
      <c r="D153" s="61" t="s">
        <v>723</v>
      </c>
      <c r="E153" s="61" t="s">
        <v>2222</v>
      </c>
    </row>
    <row r="154" spans="1:5" ht="12.75" x14ac:dyDescent="0.2">
      <c r="A154" s="61" t="s">
        <v>2249</v>
      </c>
      <c r="B154" s="61">
        <v>0</v>
      </c>
      <c r="C154" s="61"/>
      <c r="D154" s="61" t="s">
        <v>724</v>
      </c>
      <c r="E154" s="184">
        <v>43108</v>
      </c>
    </row>
    <row r="155" spans="1:5" ht="12.75" x14ac:dyDescent="0.2">
      <c r="A155" s="61" t="s">
        <v>2250</v>
      </c>
      <c r="B155" s="61">
        <v>0</v>
      </c>
      <c r="C155" s="61"/>
      <c r="D155" s="61" t="s">
        <v>724</v>
      </c>
      <c r="E155" s="61" t="s">
        <v>2251</v>
      </c>
    </row>
    <row r="156" spans="1:5" ht="12.75" x14ac:dyDescent="0.2">
      <c r="A156" s="61" t="s">
        <v>2252</v>
      </c>
      <c r="B156" s="61">
        <v>0</v>
      </c>
      <c r="C156" s="61"/>
      <c r="D156" s="61" t="s">
        <v>725</v>
      </c>
      <c r="E156" s="183">
        <v>43089</v>
      </c>
    </row>
    <row r="157" spans="1:5" ht="12.75" x14ac:dyDescent="0.2">
      <c r="A157" s="61" t="s">
        <v>2253</v>
      </c>
      <c r="B157" s="61">
        <v>0</v>
      </c>
      <c r="C157" s="61"/>
      <c r="D157" s="61" t="s">
        <v>725</v>
      </c>
      <c r="E157" s="183">
        <v>43201</v>
      </c>
    </row>
    <row r="158" spans="1:5" ht="12.75" x14ac:dyDescent="0.2">
      <c r="A158" s="61" t="s">
        <v>2254</v>
      </c>
      <c r="B158" s="61">
        <v>0</v>
      </c>
      <c r="C158" s="61"/>
      <c r="D158" s="61" t="s">
        <v>726</v>
      </c>
      <c r="E158" s="184">
        <v>43109</v>
      </c>
    </row>
    <row r="159" spans="1:5" ht="12.75" x14ac:dyDescent="0.2">
      <c r="A159" s="61" t="s">
        <v>2255</v>
      </c>
      <c r="B159" s="61">
        <v>0</v>
      </c>
      <c r="C159" s="61"/>
      <c r="D159" s="61" t="s">
        <v>726</v>
      </c>
      <c r="E159" s="184">
        <v>43010</v>
      </c>
    </row>
    <row r="160" spans="1:5" ht="12.75" x14ac:dyDescent="0.2">
      <c r="A160" s="61" t="s">
        <v>2256</v>
      </c>
      <c r="B160" s="61">
        <v>0</v>
      </c>
      <c r="C160" s="61"/>
      <c r="D160" s="61" t="s">
        <v>882</v>
      </c>
      <c r="E160" s="184">
        <v>43045</v>
      </c>
    </row>
    <row r="161" spans="1:5" ht="12.75" x14ac:dyDescent="0.2">
      <c r="A161" s="61" t="s">
        <v>2257</v>
      </c>
      <c r="B161" s="61">
        <v>0</v>
      </c>
      <c r="C161" s="61"/>
      <c r="D161" s="61" t="s">
        <v>727</v>
      </c>
      <c r="E161" s="184">
        <v>43075</v>
      </c>
    </row>
    <row r="162" spans="1:5" ht="12.75" x14ac:dyDescent="0.2">
      <c r="A162" s="61" t="s">
        <v>2258</v>
      </c>
      <c r="B162" s="61">
        <v>0</v>
      </c>
      <c r="C162" s="61"/>
      <c r="D162" s="61" t="s">
        <v>727</v>
      </c>
      <c r="E162" s="183">
        <v>43173</v>
      </c>
    </row>
    <row r="163" spans="1:5" ht="12.75" x14ac:dyDescent="0.2">
      <c r="A163" s="61" t="s">
        <v>2259</v>
      </c>
      <c r="B163" s="61">
        <v>0</v>
      </c>
      <c r="C163" s="61"/>
      <c r="D163" s="61" t="s">
        <v>728</v>
      </c>
      <c r="E163" s="183">
        <v>43039</v>
      </c>
    </row>
    <row r="164" spans="1:5" ht="12.75" x14ac:dyDescent="0.2">
      <c r="A164" s="61" t="s">
        <v>2260</v>
      </c>
      <c r="B164" s="61">
        <v>0</v>
      </c>
      <c r="C164" s="61"/>
      <c r="D164" s="61" t="s">
        <v>728</v>
      </c>
      <c r="E164" s="183">
        <v>43157</v>
      </c>
    </row>
    <row r="165" spans="1:5" ht="12.75" x14ac:dyDescent="0.2">
      <c r="A165" s="61" t="s">
        <v>2261</v>
      </c>
      <c r="B165" s="61">
        <v>1</v>
      </c>
      <c r="C165" s="61" t="s">
        <v>2262</v>
      </c>
      <c r="D165" s="61" t="s">
        <v>872</v>
      </c>
      <c r="E165" s="183">
        <v>43178</v>
      </c>
    </row>
    <row r="166" spans="1:5" ht="12.75" x14ac:dyDescent="0.2">
      <c r="A166" s="61" t="s">
        <v>2263</v>
      </c>
      <c r="B166" s="61">
        <v>0</v>
      </c>
      <c r="C166" s="61"/>
      <c r="D166" s="61" t="s">
        <v>872</v>
      </c>
      <c r="E166" s="183">
        <v>43280</v>
      </c>
    </row>
    <row r="167" spans="1:5" ht="12.75" x14ac:dyDescent="0.2">
      <c r="A167" s="61" t="s">
        <v>2264</v>
      </c>
      <c r="B167" s="61">
        <v>0</v>
      </c>
      <c r="C167" s="61"/>
      <c r="D167" s="61" t="s">
        <v>872</v>
      </c>
      <c r="E167" s="183">
        <v>43403</v>
      </c>
    </row>
    <row r="168" spans="1:5" ht="12.75" x14ac:dyDescent="0.2">
      <c r="A168" s="61" t="s">
        <v>2265</v>
      </c>
      <c r="B168" s="61">
        <v>0</v>
      </c>
      <c r="C168" s="61"/>
      <c r="D168" s="61" t="s">
        <v>729</v>
      </c>
      <c r="E168" s="183">
        <v>43068</v>
      </c>
    </row>
    <row r="169" spans="1:5" ht="12.75" x14ac:dyDescent="0.2">
      <c r="A169" s="61" t="s">
        <v>2266</v>
      </c>
      <c r="B169" s="61">
        <v>0</v>
      </c>
      <c r="C169" s="61"/>
      <c r="D169" s="61" t="s">
        <v>730</v>
      </c>
      <c r="E169" s="183">
        <v>43039</v>
      </c>
    </row>
    <row r="170" spans="1:5" ht="12.75" x14ac:dyDescent="0.2">
      <c r="A170" s="61" t="s">
        <v>2267</v>
      </c>
      <c r="B170" s="61">
        <v>0</v>
      </c>
      <c r="C170" s="61"/>
      <c r="D170" s="61" t="s">
        <v>730</v>
      </c>
      <c r="E170" s="183">
        <v>42943</v>
      </c>
    </row>
    <row r="171" spans="1:5" ht="12.75" x14ac:dyDescent="0.2">
      <c r="A171" s="61" t="s">
        <v>2268</v>
      </c>
      <c r="B171" s="61">
        <v>0</v>
      </c>
      <c r="C171" s="61"/>
      <c r="D171" s="61" t="s">
        <v>731</v>
      </c>
      <c r="E171" s="183">
        <v>42976</v>
      </c>
    </row>
    <row r="172" spans="1:5" ht="12.75" x14ac:dyDescent="0.2">
      <c r="A172" s="61" t="s">
        <v>2269</v>
      </c>
      <c r="B172" s="61">
        <v>0</v>
      </c>
      <c r="C172" s="61"/>
      <c r="D172" s="61" t="s">
        <v>732</v>
      </c>
      <c r="E172" s="183">
        <v>43025</v>
      </c>
    </row>
    <row r="173" spans="1:5" ht="12.75" x14ac:dyDescent="0.2">
      <c r="A173" s="61" t="s">
        <v>2270</v>
      </c>
      <c r="B173" s="61">
        <v>0</v>
      </c>
      <c r="C173" s="61"/>
      <c r="D173" s="61" t="s">
        <v>732</v>
      </c>
      <c r="E173" s="183">
        <v>42962</v>
      </c>
    </row>
    <row r="174" spans="1:5" ht="12.75" x14ac:dyDescent="0.2">
      <c r="A174" s="61" t="s">
        <v>2271</v>
      </c>
      <c r="B174" s="61">
        <v>0</v>
      </c>
      <c r="C174" s="61"/>
      <c r="D174" s="61" t="s">
        <v>732</v>
      </c>
      <c r="E174" s="183">
        <v>43087</v>
      </c>
    </row>
    <row r="175" spans="1:5" ht="12.75" x14ac:dyDescent="0.2">
      <c r="A175" s="61" t="s">
        <v>2272</v>
      </c>
      <c r="B175" s="61">
        <v>0</v>
      </c>
      <c r="C175" s="61" t="s">
        <v>1750</v>
      </c>
      <c r="D175" s="61" t="s">
        <v>733</v>
      </c>
      <c r="E175" s="183">
        <v>42963</v>
      </c>
    </row>
    <row r="176" spans="1:5" ht="12.75" x14ac:dyDescent="0.2">
      <c r="A176" s="61" t="s">
        <v>2273</v>
      </c>
      <c r="B176" s="61">
        <v>0</v>
      </c>
      <c r="C176" s="61"/>
      <c r="D176" s="61" t="s">
        <v>733</v>
      </c>
      <c r="E176" s="184">
        <v>43045</v>
      </c>
    </row>
    <row r="177" spans="1:5" ht="12.75" x14ac:dyDescent="0.2">
      <c r="A177" s="61" t="s">
        <v>2274</v>
      </c>
      <c r="B177" s="61">
        <v>0</v>
      </c>
      <c r="C177" s="61"/>
      <c r="D177" s="61" t="s">
        <v>863</v>
      </c>
      <c r="E177" s="184">
        <v>43014</v>
      </c>
    </row>
    <row r="178" spans="1:5" ht="12.75" x14ac:dyDescent="0.2">
      <c r="A178" s="61" t="s">
        <v>2275</v>
      </c>
      <c r="B178" s="61">
        <v>0</v>
      </c>
      <c r="C178" s="61"/>
      <c r="D178" s="61" t="s">
        <v>863</v>
      </c>
      <c r="E178" s="184">
        <v>43076</v>
      </c>
    </row>
    <row r="179" spans="1:5" ht="12.75" x14ac:dyDescent="0.2">
      <c r="A179" s="61" t="s">
        <v>2276</v>
      </c>
      <c r="B179" s="61">
        <v>0</v>
      </c>
      <c r="C179" s="61"/>
      <c r="D179" s="61" t="s">
        <v>879</v>
      </c>
      <c r="E179" s="184">
        <v>43047</v>
      </c>
    </row>
    <row r="180" spans="1:5" ht="12.75" x14ac:dyDescent="0.2">
      <c r="A180" s="61" t="s">
        <v>2277</v>
      </c>
      <c r="B180" s="61">
        <v>0</v>
      </c>
      <c r="C180" s="61"/>
      <c r="D180" s="61" t="s">
        <v>879</v>
      </c>
      <c r="E180" s="183">
        <v>43445</v>
      </c>
    </row>
    <row r="181" spans="1:5" ht="12.75" x14ac:dyDescent="0.2">
      <c r="A181" s="61" t="s">
        <v>2278</v>
      </c>
      <c r="B181" s="61">
        <v>0</v>
      </c>
      <c r="C181" s="61"/>
      <c r="D181" s="61" t="s">
        <v>879</v>
      </c>
      <c r="E181" s="183">
        <v>43125</v>
      </c>
    </row>
    <row r="182" spans="1:5" ht="12.75" x14ac:dyDescent="0.2">
      <c r="A182" s="61" t="s">
        <v>2279</v>
      </c>
      <c r="B182" s="61">
        <v>0</v>
      </c>
      <c r="C182" s="61"/>
      <c r="D182" s="61" t="s">
        <v>879</v>
      </c>
      <c r="E182" s="61" t="s">
        <v>2280</v>
      </c>
    </row>
    <row r="183" spans="1:5" ht="12.75" x14ac:dyDescent="0.2">
      <c r="A183" s="61" t="s">
        <v>2281</v>
      </c>
      <c r="B183" s="61">
        <v>0</v>
      </c>
      <c r="C183" s="61"/>
      <c r="D183" s="61" t="s">
        <v>879</v>
      </c>
      <c r="E183" s="184">
        <v>43528</v>
      </c>
    </row>
    <row r="184" spans="1:5" ht="12.75" x14ac:dyDescent="0.2">
      <c r="A184" s="61" t="s">
        <v>2282</v>
      </c>
      <c r="B184" s="61">
        <v>0</v>
      </c>
      <c r="C184" s="61"/>
      <c r="D184" s="61" t="s">
        <v>734</v>
      </c>
      <c r="E184" s="184">
        <v>43045</v>
      </c>
    </row>
    <row r="185" spans="1:5" ht="12.75" x14ac:dyDescent="0.2">
      <c r="A185" s="61" t="s">
        <v>2283</v>
      </c>
      <c r="B185" s="61">
        <v>0</v>
      </c>
      <c r="C185" s="61"/>
      <c r="D185" s="61" t="s">
        <v>734</v>
      </c>
      <c r="E185" s="183">
        <v>43178</v>
      </c>
    </row>
    <row r="186" spans="1:5" ht="12.75" x14ac:dyDescent="0.2">
      <c r="A186" s="61" t="s">
        <v>2284</v>
      </c>
      <c r="B186" s="61">
        <v>0</v>
      </c>
      <c r="C186" s="61"/>
      <c r="D186" s="61" t="s">
        <v>735</v>
      </c>
      <c r="E186" s="184">
        <v>43045</v>
      </c>
    </row>
    <row r="187" spans="1:5" ht="12.75" x14ac:dyDescent="0.2">
      <c r="A187" s="61" t="s">
        <v>2285</v>
      </c>
      <c r="B187" s="61">
        <v>0</v>
      </c>
      <c r="C187" s="61"/>
      <c r="D187" s="61" t="s">
        <v>735</v>
      </c>
      <c r="E187" s="183">
        <v>43066</v>
      </c>
    </row>
    <row r="188" spans="1:5" ht="12.75" x14ac:dyDescent="0.2">
      <c r="A188" s="61" t="s">
        <v>2286</v>
      </c>
      <c r="B188" s="61">
        <v>0</v>
      </c>
      <c r="C188" s="61"/>
      <c r="D188" s="61" t="s">
        <v>864</v>
      </c>
      <c r="E188" s="183">
        <v>43060</v>
      </c>
    </row>
    <row r="189" spans="1:5" ht="12.75" x14ac:dyDescent="0.2">
      <c r="A189" s="61" t="s">
        <v>2287</v>
      </c>
      <c r="B189" s="61">
        <v>0</v>
      </c>
      <c r="C189" s="61"/>
      <c r="D189" s="61" t="s">
        <v>864</v>
      </c>
      <c r="E189" s="183">
        <v>43206</v>
      </c>
    </row>
    <row r="190" spans="1:5" ht="12.75" x14ac:dyDescent="0.2">
      <c r="A190" s="61" t="s">
        <v>2288</v>
      </c>
      <c r="B190" s="61">
        <v>0</v>
      </c>
      <c r="C190" s="61"/>
      <c r="D190" s="61" t="s">
        <v>864</v>
      </c>
      <c r="E190" s="183">
        <v>43326</v>
      </c>
    </row>
    <row r="191" spans="1:5" ht="12.75" x14ac:dyDescent="0.2">
      <c r="A191" s="61" t="s">
        <v>2289</v>
      </c>
      <c r="B191" s="61">
        <v>0</v>
      </c>
      <c r="C191" s="61"/>
      <c r="D191" s="61" t="s">
        <v>864</v>
      </c>
      <c r="E191" s="183">
        <v>43144</v>
      </c>
    </row>
    <row r="192" spans="1:5" ht="12.75" x14ac:dyDescent="0.2">
      <c r="A192" s="61" t="s">
        <v>2290</v>
      </c>
      <c r="B192" s="61">
        <v>0</v>
      </c>
      <c r="C192" s="61"/>
      <c r="D192" s="61" t="s">
        <v>736</v>
      </c>
      <c r="E192" s="183">
        <v>43082</v>
      </c>
    </row>
    <row r="193" spans="1:5" ht="12.75" x14ac:dyDescent="0.2">
      <c r="A193" s="61" t="s">
        <v>2291</v>
      </c>
      <c r="B193" s="61">
        <v>0</v>
      </c>
      <c r="C193" s="61"/>
      <c r="D193" s="61" t="s">
        <v>736</v>
      </c>
      <c r="E193" s="184">
        <v>43193</v>
      </c>
    </row>
    <row r="194" spans="1:5" ht="12.75" x14ac:dyDescent="0.2">
      <c r="A194" s="61" t="s">
        <v>2292</v>
      </c>
      <c r="B194" s="61">
        <v>0</v>
      </c>
      <c r="C194" s="61"/>
      <c r="D194" s="61" t="s">
        <v>737</v>
      </c>
      <c r="E194" s="183">
        <v>43089</v>
      </c>
    </row>
    <row r="195" spans="1:5" ht="12.75" x14ac:dyDescent="0.2">
      <c r="A195" s="61" t="s">
        <v>2293</v>
      </c>
      <c r="B195" s="61">
        <v>0</v>
      </c>
      <c r="C195" s="61"/>
      <c r="D195" s="61" t="s">
        <v>738</v>
      </c>
      <c r="E195" s="184">
        <v>43103</v>
      </c>
    </row>
    <row r="196" spans="1:5" ht="12.75" x14ac:dyDescent="0.2">
      <c r="A196" s="61" t="s">
        <v>2294</v>
      </c>
      <c r="B196" s="61">
        <v>0</v>
      </c>
      <c r="C196" s="61"/>
      <c r="D196" s="61" t="s">
        <v>738</v>
      </c>
      <c r="E196" s="183">
        <v>43187</v>
      </c>
    </row>
    <row r="197" spans="1:5" ht="12.75" x14ac:dyDescent="0.2">
      <c r="A197" s="61" t="s">
        <v>2295</v>
      </c>
      <c r="B197" s="61">
        <v>0</v>
      </c>
      <c r="C197" s="61"/>
      <c r="D197" s="61" t="s">
        <v>739</v>
      </c>
      <c r="E197" s="183">
        <v>43110</v>
      </c>
    </row>
    <row r="198" spans="1:5" ht="12.75" x14ac:dyDescent="0.2">
      <c r="A198" s="61" t="s">
        <v>2296</v>
      </c>
      <c r="B198" s="61">
        <v>0</v>
      </c>
      <c r="C198" s="61"/>
      <c r="D198" s="61" t="s">
        <v>849</v>
      </c>
      <c r="E198" s="186">
        <v>43243</v>
      </c>
    </row>
    <row r="199" spans="1:5" ht="12.75" x14ac:dyDescent="0.2">
      <c r="A199" s="61" t="s">
        <v>2297</v>
      </c>
      <c r="B199" s="61">
        <v>0</v>
      </c>
      <c r="C199" s="61"/>
      <c r="D199" s="61" t="s">
        <v>849</v>
      </c>
      <c r="E199" s="61" t="s">
        <v>2214</v>
      </c>
    </row>
    <row r="200" spans="1:5" ht="12.75" x14ac:dyDescent="0.2">
      <c r="A200" s="61" t="s">
        <v>2298</v>
      </c>
      <c r="B200" s="61">
        <v>0</v>
      </c>
      <c r="C200" s="61"/>
      <c r="D200" s="61" t="s">
        <v>740</v>
      </c>
      <c r="E200" s="186">
        <v>43230</v>
      </c>
    </row>
    <row r="201" spans="1:5" ht="12.75" x14ac:dyDescent="0.2">
      <c r="A201" s="61" t="s">
        <v>2299</v>
      </c>
      <c r="B201" s="61">
        <v>0</v>
      </c>
      <c r="C201" s="61"/>
      <c r="D201" s="61" t="s">
        <v>740</v>
      </c>
      <c r="E201" s="183">
        <v>43145</v>
      </c>
    </row>
    <row r="202" spans="1:5" ht="12.75" x14ac:dyDescent="0.2">
      <c r="A202" s="61" t="s">
        <v>2300</v>
      </c>
      <c r="B202" s="61">
        <v>0</v>
      </c>
      <c r="C202" s="61"/>
      <c r="D202" s="61" t="s">
        <v>741</v>
      </c>
      <c r="E202" s="183">
        <v>43145</v>
      </c>
    </row>
    <row r="203" spans="1:5" ht="12.75" x14ac:dyDescent="0.2">
      <c r="A203" s="61" t="s">
        <v>2301</v>
      </c>
      <c r="B203" s="61">
        <v>0</v>
      </c>
      <c r="C203" s="61"/>
      <c r="D203" s="61" t="s">
        <v>741</v>
      </c>
      <c r="E203" s="183">
        <v>43264</v>
      </c>
    </row>
    <row r="204" spans="1:5" ht="12.75" x14ac:dyDescent="0.2">
      <c r="A204" s="61" t="s">
        <v>2302</v>
      </c>
      <c r="B204" s="61">
        <v>0</v>
      </c>
      <c r="C204" s="61"/>
      <c r="D204" s="61" t="s">
        <v>742</v>
      </c>
      <c r="E204" s="183">
        <v>43153</v>
      </c>
    </row>
    <row r="205" spans="1:5" ht="12.75" x14ac:dyDescent="0.2">
      <c r="A205" s="61" t="s">
        <v>2303</v>
      </c>
      <c r="B205" s="61">
        <v>0</v>
      </c>
      <c r="C205" s="61"/>
      <c r="D205" s="61" t="s">
        <v>742</v>
      </c>
      <c r="E205" s="184">
        <v>43256</v>
      </c>
    </row>
    <row r="206" spans="1:5" ht="12.75" x14ac:dyDescent="0.2">
      <c r="A206" s="61" t="s">
        <v>2304</v>
      </c>
      <c r="B206" s="61">
        <v>0</v>
      </c>
      <c r="C206" s="61"/>
      <c r="D206" s="61" t="s">
        <v>1928</v>
      </c>
      <c r="E206" s="186">
        <v>43248</v>
      </c>
    </row>
    <row r="207" spans="1:5" ht="12.75" x14ac:dyDescent="0.2">
      <c r="A207" s="61" t="s">
        <v>2305</v>
      </c>
      <c r="B207" s="61">
        <v>0</v>
      </c>
      <c r="C207" s="61"/>
      <c r="D207" s="61" t="s">
        <v>743</v>
      </c>
      <c r="E207" s="184">
        <v>43138</v>
      </c>
    </row>
    <row r="208" spans="1:5" ht="12.75" x14ac:dyDescent="0.2">
      <c r="A208" s="61" t="s">
        <v>2306</v>
      </c>
      <c r="B208" s="61">
        <v>0</v>
      </c>
      <c r="C208" s="61"/>
      <c r="D208" s="61" t="s">
        <v>744</v>
      </c>
      <c r="E208" s="183">
        <v>43200</v>
      </c>
    </row>
    <row r="209" spans="1:5" ht="12.75" x14ac:dyDescent="0.2">
      <c r="A209" s="61" t="s">
        <v>2307</v>
      </c>
      <c r="B209" s="61">
        <v>0</v>
      </c>
      <c r="C209" s="61"/>
      <c r="D209" s="61" t="s">
        <v>1940</v>
      </c>
      <c r="E209" s="61" t="s">
        <v>2308</v>
      </c>
    </row>
    <row r="210" spans="1:5" ht="12.75" x14ac:dyDescent="0.2">
      <c r="A210" s="61" t="s">
        <v>2309</v>
      </c>
      <c r="B210" s="61">
        <v>0</v>
      </c>
      <c r="C210" s="61"/>
      <c r="D210" s="61" t="s">
        <v>745</v>
      </c>
      <c r="E210" s="183">
        <v>43214</v>
      </c>
    </row>
    <row r="211" spans="1:5" ht="12.75" x14ac:dyDescent="0.2">
      <c r="A211" s="61" t="s">
        <v>2310</v>
      </c>
      <c r="B211" s="61">
        <v>0</v>
      </c>
      <c r="C211" s="61"/>
      <c r="D211" s="61" t="s">
        <v>745</v>
      </c>
      <c r="E211" s="183">
        <v>43276</v>
      </c>
    </row>
    <row r="212" spans="1:5" ht="12.75" x14ac:dyDescent="0.2">
      <c r="A212" s="61" t="s">
        <v>2311</v>
      </c>
      <c r="B212" s="61">
        <v>0</v>
      </c>
      <c r="C212" s="61"/>
      <c r="D212" s="61" t="s">
        <v>746</v>
      </c>
      <c r="E212" s="183">
        <v>43214</v>
      </c>
    </row>
    <row r="213" spans="1:5" ht="12.75" x14ac:dyDescent="0.2">
      <c r="A213" s="61" t="s">
        <v>2312</v>
      </c>
      <c r="B213" s="61">
        <v>0</v>
      </c>
      <c r="C213" s="61"/>
      <c r="D213" s="61" t="s">
        <v>747</v>
      </c>
      <c r="E213" s="184">
        <v>43290</v>
      </c>
    </row>
    <row r="214" spans="1:5" ht="12.75" x14ac:dyDescent="0.2">
      <c r="A214" s="61" t="s">
        <v>2313</v>
      </c>
      <c r="B214" s="61">
        <v>0</v>
      </c>
      <c r="C214" s="61"/>
      <c r="D214" s="61" t="s">
        <v>747</v>
      </c>
      <c r="E214" s="186">
        <v>43234</v>
      </c>
    </row>
    <row r="215" spans="1:5" ht="12.75" x14ac:dyDescent="0.2">
      <c r="A215" s="61" t="s">
        <v>2314</v>
      </c>
      <c r="B215" s="61">
        <v>0</v>
      </c>
      <c r="C215" s="61"/>
      <c r="D215" s="61" t="s">
        <v>748</v>
      </c>
      <c r="E215" s="183">
        <v>43390</v>
      </c>
    </row>
    <row r="216" spans="1:5" ht="12.75" x14ac:dyDescent="0.2">
      <c r="A216" s="61" t="s">
        <v>2315</v>
      </c>
      <c r="B216" s="61">
        <v>0</v>
      </c>
      <c r="C216" s="61"/>
      <c r="D216" s="61" t="s">
        <v>748</v>
      </c>
      <c r="E216" s="183">
        <v>43305</v>
      </c>
    </row>
    <row r="217" spans="1:5" ht="12.75" x14ac:dyDescent="0.2">
      <c r="A217" s="61" t="s">
        <v>2316</v>
      </c>
      <c r="B217" s="61">
        <v>0</v>
      </c>
      <c r="C217" s="61"/>
      <c r="D217" s="61" t="s">
        <v>1931</v>
      </c>
      <c r="E217" s="183">
        <v>43311</v>
      </c>
    </row>
    <row r="218" spans="1:5" ht="12.75" x14ac:dyDescent="0.2">
      <c r="A218" s="61" t="s">
        <v>2317</v>
      </c>
      <c r="B218" s="61">
        <v>0</v>
      </c>
      <c r="C218" s="61"/>
      <c r="D218" s="61" t="s">
        <v>749</v>
      </c>
      <c r="E218" s="183">
        <v>43430</v>
      </c>
    </row>
    <row r="219" spans="1:5" ht="12.75" x14ac:dyDescent="0.2">
      <c r="A219" s="61" t="s">
        <v>2318</v>
      </c>
      <c r="B219" s="61">
        <v>0</v>
      </c>
      <c r="C219" s="61"/>
      <c r="D219" s="61" t="s">
        <v>749</v>
      </c>
      <c r="E219" s="183">
        <v>43509</v>
      </c>
    </row>
    <row r="220" spans="1:5" ht="12.75" x14ac:dyDescent="0.2">
      <c r="A220" s="61" t="s">
        <v>2319</v>
      </c>
      <c r="B220" s="61">
        <v>0</v>
      </c>
      <c r="C220" s="61"/>
      <c r="D220" s="61" t="s">
        <v>750</v>
      </c>
      <c r="E220" s="183">
        <v>43122</v>
      </c>
    </row>
    <row r="221" spans="1:5" ht="12.75" x14ac:dyDescent="0.2">
      <c r="A221" s="61" t="s">
        <v>2320</v>
      </c>
      <c r="B221" s="61">
        <v>0</v>
      </c>
      <c r="C221" s="61"/>
      <c r="D221" s="61" t="s">
        <v>750</v>
      </c>
      <c r="E221" s="184">
        <v>43255</v>
      </c>
    </row>
    <row r="222" spans="1:5" ht="12.75" x14ac:dyDescent="0.2">
      <c r="A222" s="61" t="s">
        <v>2321</v>
      </c>
      <c r="B222" s="61">
        <v>0</v>
      </c>
      <c r="C222" s="61"/>
      <c r="D222" s="61" t="s">
        <v>751</v>
      </c>
      <c r="E222" s="186">
        <v>43248</v>
      </c>
    </row>
    <row r="223" spans="1:5" ht="12.75" x14ac:dyDescent="0.2">
      <c r="A223" s="61" t="s">
        <v>2322</v>
      </c>
      <c r="B223" s="61">
        <v>0</v>
      </c>
      <c r="C223" s="61"/>
      <c r="D223" s="61" t="s">
        <v>751</v>
      </c>
      <c r="E223" s="183">
        <v>43131</v>
      </c>
    </row>
    <row r="224" spans="1:5" ht="12.75" x14ac:dyDescent="0.2">
      <c r="A224" s="61" t="s">
        <v>2323</v>
      </c>
      <c r="B224" s="61">
        <v>0</v>
      </c>
      <c r="C224" s="61"/>
      <c r="D224" s="61" t="s">
        <v>851</v>
      </c>
      <c r="E224" s="183">
        <v>43150</v>
      </c>
    </row>
    <row r="225" spans="1:5" ht="12.75" x14ac:dyDescent="0.2">
      <c r="A225" s="61" t="s">
        <v>2324</v>
      </c>
      <c r="B225" s="61">
        <v>0</v>
      </c>
      <c r="C225" s="61"/>
      <c r="D225" s="61" t="s">
        <v>851</v>
      </c>
      <c r="E225" s="184">
        <v>43284</v>
      </c>
    </row>
    <row r="226" spans="1:5" ht="12.75" x14ac:dyDescent="0.2">
      <c r="A226" s="61" t="s">
        <v>2325</v>
      </c>
      <c r="B226" s="61">
        <v>0</v>
      </c>
      <c r="C226" s="61"/>
      <c r="D226" s="61" t="s">
        <v>865</v>
      </c>
      <c r="E226" s="183">
        <v>43305</v>
      </c>
    </row>
    <row r="227" spans="1:5" ht="12.75" x14ac:dyDescent="0.2">
      <c r="A227" s="61" t="s">
        <v>2326</v>
      </c>
      <c r="B227" s="61">
        <v>0</v>
      </c>
      <c r="C227" s="61"/>
      <c r="D227" s="61" t="s">
        <v>865</v>
      </c>
      <c r="E227" s="184">
        <v>43165</v>
      </c>
    </row>
    <row r="228" spans="1:5" ht="12.75" x14ac:dyDescent="0.2">
      <c r="A228" s="61" t="s">
        <v>2327</v>
      </c>
      <c r="B228" s="61">
        <v>0</v>
      </c>
      <c r="C228" s="61"/>
      <c r="D228" s="61" t="s">
        <v>865</v>
      </c>
      <c r="E228" s="183">
        <v>43396</v>
      </c>
    </row>
    <row r="229" spans="1:5" ht="12.75" x14ac:dyDescent="0.2">
      <c r="A229" s="61" t="s">
        <v>2328</v>
      </c>
      <c r="B229" s="61">
        <v>0</v>
      </c>
      <c r="C229" s="61"/>
      <c r="D229" s="61" t="s">
        <v>752</v>
      </c>
      <c r="E229" s="183">
        <v>43179</v>
      </c>
    </row>
    <row r="230" spans="1:5" ht="12.75" x14ac:dyDescent="0.2">
      <c r="A230" s="61" t="s">
        <v>2329</v>
      </c>
      <c r="B230" s="61">
        <v>0</v>
      </c>
      <c r="C230" s="61"/>
      <c r="D230" s="61" t="s">
        <v>873</v>
      </c>
      <c r="E230" s="184">
        <v>43619</v>
      </c>
    </row>
    <row r="231" spans="1:5" ht="12.75" x14ac:dyDescent="0.2">
      <c r="A231" s="61" t="s">
        <v>2330</v>
      </c>
      <c r="B231" s="61">
        <v>0</v>
      </c>
      <c r="C231" s="61"/>
      <c r="D231" s="61" t="s">
        <v>1932</v>
      </c>
      <c r="E231" s="183">
        <v>43396</v>
      </c>
    </row>
    <row r="232" spans="1:5" ht="12.75" x14ac:dyDescent="0.2">
      <c r="A232" s="61" t="s">
        <v>2331</v>
      </c>
      <c r="B232" s="61">
        <v>0</v>
      </c>
      <c r="C232" s="61"/>
      <c r="D232" s="61" t="s">
        <v>1932</v>
      </c>
      <c r="E232" s="183">
        <v>43304</v>
      </c>
    </row>
    <row r="233" spans="1:5" ht="12.75" x14ac:dyDescent="0.2">
      <c r="A233" s="61" t="s">
        <v>2332</v>
      </c>
      <c r="B233" s="61">
        <v>0</v>
      </c>
      <c r="C233" s="61"/>
      <c r="D233" s="61" t="s">
        <v>753</v>
      </c>
      <c r="E233" s="183">
        <v>43214</v>
      </c>
    </row>
    <row r="234" spans="1:5" ht="12.75" x14ac:dyDescent="0.2">
      <c r="A234" s="61" t="s">
        <v>2333</v>
      </c>
      <c r="B234" s="61">
        <v>0</v>
      </c>
      <c r="C234" s="61"/>
      <c r="D234" s="61" t="s">
        <v>753</v>
      </c>
      <c r="E234" s="183">
        <v>43144</v>
      </c>
    </row>
    <row r="235" spans="1:5" ht="12.75" x14ac:dyDescent="0.2">
      <c r="A235" s="61" t="s">
        <v>2334</v>
      </c>
      <c r="B235" s="61">
        <v>0</v>
      </c>
      <c r="C235" s="61"/>
      <c r="D235" s="61" t="s">
        <v>754</v>
      </c>
      <c r="E235" s="183">
        <v>43186</v>
      </c>
    </row>
    <row r="236" spans="1:5" ht="12.75" x14ac:dyDescent="0.2">
      <c r="A236" s="61" t="s">
        <v>2335</v>
      </c>
      <c r="B236" s="61">
        <v>0</v>
      </c>
      <c r="C236" s="61"/>
      <c r="D236" s="61" t="s">
        <v>754</v>
      </c>
      <c r="E236" s="184">
        <v>43864</v>
      </c>
    </row>
    <row r="237" spans="1:5" ht="12.75" x14ac:dyDescent="0.2">
      <c r="A237" s="61" t="s">
        <v>2336</v>
      </c>
      <c r="B237" s="61">
        <v>0</v>
      </c>
      <c r="C237" s="61"/>
      <c r="D237" s="61" t="s">
        <v>754</v>
      </c>
      <c r="E237" s="183">
        <v>43292</v>
      </c>
    </row>
    <row r="238" spans="1:5" ht="12.75" x14ac:dyDescent="0.2">
      <c r="A238" s="61" t="s">
        <v>2337</v>
      </c>
      <c r="B238" s="61">
        <v>0</v>
      </c>
      <c r="C238" s="61"/>
      <c r="D238" s="61" t="s">
        <v>755</v>
      </c>
      <c r="E238" s="61" t="s">
        <v>2280</v>
      </c>
    </row>
    <row r="239" spans="1:5" ht="12.75" x14ac:dyDescent="0.2">
      <c r="A239" s="61" t="s">
        <v>2338</v>
      </c>
      <c r="B239" s="61">
        <v>0</v>
      </c>
      <c r="C239" s="61"/>
      <c r="D239" s="61" t="s">
        <v>755</v>
      </c>
      <c r="E239" s="183">
        <v>43201</v>
      </c>
    </row>
    <row r="240" spans="1:5" ht="12.75" x14ac:dyDescent="0.2">
      <c r="A240" s="61" t="s">
        <v>2339</v>
      </c>
      <c r="B240" s="61">
        <v>1</v>
      </c>
      <c r="C240" s="61" t="s">
        <v>2340</v>
      </c>
      <c r="D240" s="61" t="s">
        <v>756</v>
      </c>
      <c r="E240" s="184">
        <v>43255</v>
      </c>
    </row>
    <row r="241" spans="1:5" ht="12.75" x14ac:dyDescent="0.2">
      <c r="A241" s="61" t="s">
        <v>2341</v>
      </c>
      <c r="B241" s="61">
        <v>0</v>
      </c>
      <c r="C241" s="61"/>
      <c r="D241" s="61" t="s">
        <v>756</v>
      </c>
      <c r="E241" s="184">
        <v>43255</v>
      </c>
    </row>
    <row r="242" spans="1:5" ht="12.75" x14ac:dyDescent="0.2">
      <c r="A242" s="61" t="s">
        <v>2342</v>
      </c>
      <c r="B242" s="61">
        <v>0</v>
      </c>
      <c r="C242" s="61"/>
      <c r="D242" s="61" t="s">
        <v>1933</v>
      </c>
      <c r="E242" s="185">
        <v>43229</v>
      </c>
    </row>
    <row r="243" spans="1:5" ht="12.75" x14ac:dyDescent="0.2">
      <c r="A243" s="61" t="s">
        <v>2343</v>
      </c>
      <c r="B243" s="61">
        <v>0</v>
      </c>
      <c r="C243" s="61"/>
      <c r="D243" s="61" t="s">
        <v>1933</v>
      </c>
      <c r="E243" s="183">
        <v>43383</v>
      </c>
    </row>
    <row r="244" spans="1:5" ht="12.75" x14ac:dyDescent="0.2">
      <c r="A244" s="61" t="s">
        <v>2344</v>
      </c>
      <c r="B244" s="61">
        <v>0</v>
      </c>
      <c r="C244" s="61"/>
      <c r="D244" s="61" t="s">
        <v>1934</v>
      </c>
      <c r="E244" s="184">
        <v>43437</v>
      </c>
    </row>
    <row r="245" spans="1:5" ht="12.75" x14ac:dyDescent="0.2">
      <c r="A245" s="61" t="s">
        <v>2345</v>
      </c>
      <c r="B245" s="61">
        <v>0</v>
      </c>
      <c r="C245" s="61"/>
      <c r="D245" s="61" t="s">
        <v>1934</v>
      </c>
      <c r="E245" s="61" t="s">
        <v>2346</v>
      </c>
    </row>
    <row r="246" spans="1:5" ht="12.75" x14ac:dyDescent="0.2">
      <c r="A246" s="61" t="s">
        <v>2347</v>
      </c>
      <c r="B246" s="61">
        <v>1</v>
      </c>
      <c r="C246" s="61" t="s">
        <v>2348</v>
      </c>
      <c r="D246" s="61" t="s">
        <v>852</v>
      </c>
      <c r="E246" s="183">
        <v>43538</v>
      </c>
    </row>
    <row r="247" spans="1:5" ht="12.75" x14ac:dyDescent="0.2">
      <c r="A247" s="61" t="s">
        <v>2349</v>
      </c>
      <c r="B247" s="61">
        <v>0</v>
      </c>
      <c r="C247" s="61"/>
      <c r="D247" s="61" t="s">
        <v>852</v>
      </c>
      <c r="E247" s="186">
        <v>43236</v>
      </c>
    </row>
    <row r="248" spans="1:5" ht="12.75" x14ac:dyDescent="0.2">
      <c r="A248" s="61" t="s">
        <v>2350</v>
      </c>
      <c r="B248" s="61">
        <v>0</v>
      </c>
      <c r="C248" s="61"/>
      <c r="D248" s="61" t="s">
        <v>852</v>
      </c>
      <c r="E248" s="183">
        <v>43383</v>
      </c>
    </row>
    <row r="249" spans="1:5" ht="12.75" x14ac:dyDescent="0.2">
      <c r="A249" s="61" t="s">
        <v>2351</v>
      </c>
      <c r="B249" s="61">
        <v>0</v>
      </c>
      <c r="C249" s="61"/>
      <c r="D249" s="61" t="s">
        <v>852</v>
      </c>
      <c r="E249" s="183">
        <v>43538</v>
      </c>
    </row>
    <row r="250" spans="1:5" ht="12.75" x14ac:dyDescent="0.2">
      <c r="A250" s="61" t="s">
        <v>2352</v>
      </c>
      <c r="B250" s="61">
        <v>0</v>
      </c>
      <c r="C250" s="61"/>
      <c r="D250" s="61" t="s">
        <v>757</v>
      </c>
      <c r="E250" s="184">
        <v>43167</v>
      </c>
    </row>
    <row r="251" spans="1:5" ht="12.75" x14ac:dyDescent="0.2">
      <c r="A251" s="61" t="s">
        <v>2353</v>
      </c>
      <c r="B251" s="61">
        <v>0</v>
      </c>
      <c r="C251" s="61"/>
      <c r="D251" s="61" t="s">
        <v>883</v>
      </c>
      <c r="E251" s="183">
        <v>43265</v>
      </c>
    </row>
    <row r="252" spans="1:5" ht="12.75" x14ac:dyDescent="0.2">
      <c r="A252" s="61" t="s">
        <v>2354</v>
      </c>
      <c r="B252" s="61">
        <v>0</v>
      </c>
      <c r="C252" s="61"/>
      <c r="D252" s="61" t="s">
        <v>883</v>
      </c>
      <c r="E252" s="183">
        <v>43756</v>
      </c>
    </row>
    <row r="253" spans="1:5" ht="12.75" x14ac:dyDescent="0.2">
      <c r="A253" s="61" t="s">
        <v>2355</v>
      </c>
      <c r="B253" s="61">
        <v>0</v>
      </c>
      <c r="C253" s="61"/>
      <c r="D253" s="61" t="s">
        <v>883</v>
      </c>
      <c r="E253" s="183">
        <v>43175</v>
      </c>
    </row>
    <row r="254" spans="1:5" ht="12.75" x14ac:dyDescent="0.2">
      <c r="A254" s="61" t="s">
        <v>2356</v>
      </c>
      <c r="B254" s="61">
        <v>0</v>
      </c>
      <c r="C254" s="61"/>
      <c r="D254" s="61" t="s">
        <v>758</v>
      </c>
      <c r="E254" s="183">
        <v>43202</v>
      </c>
    </row>
    <row r="255" spans="1:5" ht="12.75" x14ac:dyDescent="0.2">
      <c r="A255" s="61" t="s">
        <v>2357</v>
      </c>
      <c r="B255" s="61">
        <v>0</v>
      </c>
      <c r="C255" s="61"/>
      <c r="D255" s="61" t="s">
        <v>759</v>
      </c>
      <c r="E255" s="183">
        <v>43266</v>
      </c>
    </row>
    <row r="256" spans="1:5" ht="12.75" x14ac:dyDescent="0.2">
      <c r="A256" s="61" t="s">
        <v>2358</v>
      </c>
      <c r="B256" s="61">
        <v>0</v>
      </c>
      <c r="C256" s="61"/>
      <c r="D256" s="61" t="s">
        <v>884</v>
      </c>
      <c r="E256" s="183">
        <v>44056</v>
      </c>
    </row>
    <row r="257" spans="1:5" ht="12.75" x14ac:dyDescent="0.2">
      <c r="A257" s="61" t="s">
        <v>2359</v>
      </c>
      <c r="B257" s="61">
        <v>0</v>
      </c>
      <c r="C257" s="61"/>
      <c r="D257" s="61" t="s">
        <v>884</v>
      </c>
      <c r="E257" s="185">
        <v>43229</v>
      </c>
    </row>
    <row r="258" spans="1:5" ht="12.75" x14ac:dyDescent="0.2">
      <c r="A258" s="61" t="s">
        <v>2360</v>
      </c>
      <c r="B258" s="61">
        <v>0</v>
      </c>
      <c r="C258" s="61"/>
      <c r="D258" s="61" t="s">
        <v>760</v>
      </c>
      <c r="E258" s="183">
        <v>43326</v>
      </c>
    </row>
    <row r="259" spans="1:5" ht="12.75" x14ac:dyDescent="0.2">
      <c r="A259" s="61" t="s">
        <v>2361</v>
      </c>
      <c r="B259" s="61">
        <v>0</v>
      </c>
      <c r="C259" s="61"/>
      <c r="D259" s="61" t="s">
        <v>761</v>
      </c>
      <c r="E259" s="184">
        <v>43257</v>
      </c>
    </row>
    <row r="260" spans="1:5" ht="12.75" x14ac:dyDescent="0.2">
      <c r="A260" s="61" t="s">
        <v>2362</v>
      </c>
      <c r="B260" s="61">
        <v>0</v>
      </c>
      <c r="C260" s="61"/>
      <c r="D260" s="61" t="s">
        <v>761</v>
      </c>
      <c r="E260" s="183">
        <v>43342</v>
      </c>
    </row>
    <row r="261" spans="1:5" ht="12.75" x14ac:dyDescent="0.2">
      <c r="A261" s="61" t="s">
        <v>2363</v>
      </c>
      <c r="B261" s="61">
        <v>0</v>
      </c>
      <c r="C261" s="61"/>
      <c r="D261" s="61" t="s">
        <v>762</v>
      </c>
      <c r="E261" s="183">
        <v>43383</v>
      </c>
    </row>
    <row r="262" spans="1:5" ht="12.75" x14ac:dyDescent="0.2">
      <c r="A262" s="61" t="s">
        <v>2364</v>
      </c>
      <c r="B262" s="61">
        <v>0</v>
      </c>
      <c r="C262" s="61"/>
      <c r="D262" s="61" t="s">
        <v>762</v>
      </c>
      <c r="E262" s="183">
        <v>43271</v>
      </c>
    </row>
    <row r="263" spans="1:5" ht="12.75" x14ac:dyDescent="0.2">
      <c r="A263" s="61" t="s">
        <v>2365</v>
      </c>
      <c r="B263" s="61">
        <v>0</v>
      </c>
      <c r="C263" s="61"/>
      <c r="D263" s="61" t="s">
        <v>763</v>
      </c>
      <c r="E263" s="183">
        <v>43396</v>
      </c>
    </row>
    <row r="264" spans="1:5" ht="12.75" x14ac:dyDescent="0.2">
      <c r="A264" s="61" t="s">
        <v>2366</v>
      </c>
      <c r="B264" s="61">
        <v>0</v>
      </c>
      <c r="C264" s="61"/>
      <c r="D264" s="61" t="s">
        <v>763</v>
      </c>
      <c r="E264" s="184">
        <v>43285</v>
      </c>
    </row>
    <row r="265" spans="1:5" ht="12.75" x14ac:dyDescent="0.2">
      <c r="A265" s="61" t="s">
        <v>2367</v>
      </c>
      <c r="B265" s="61">
        <v>0</v>
      </c>
      <c r="C265" s="61"/>
      <c r="D265" s="61" t="s">
        <v>764</v>
      </c>
      <c r="E265" s="183">
        <v>43426</v>
      </c>
    </row>
    <row r="266" spans="1:5" ht="12.75" x14ac:dyDescent="0.2">
      <c r="A266" s="61" t="s">
        <v>2368</v>
      </c>
      <c r="B266" s="61">
        <v>0</v>
      </c>
      <c r="C266" s="61"/>
      <c r="D266" s="61" t="s">
        <v>764</v>
      </c>
      <c r="E266" s="183">
        <v>43279</v>
      </c>
    </row>
    <row r="267" spans="1:5" ht="12.75" x14ac:dyDescent="0.2">
      <c r="A267" s="61" t="s">
        <v>2369</v>
      </c>
      <c r="B267" s="61">
        <v>0</v>
      </c>
      <c r="C267" s="61"/>
      <c r="D267" s="61" t="s">
        <v>866</v>
      </c>
      <c r="E267" s="61" t="s">
        <v>2370</v>
      </c>
    </row>
    <row r="268" spans="1:5" ht="12.75" x14ac:dyDescent="0.2">
      <c r="A268" s="61" t="s">
        <v>2371</v>
      </c>
      <c r="B268" s="61">
        <v>0</v>
      </c>
      <c r="C268" s="61"/>
      <c r="D268" s="61" t="s">
        <v>866</v>
      </c>
      <c r="E268" s="184">
        <v>43285</v>
      </c>
    </row>
    <row r="269" spans="1:5" ht="12.75" x14ac:dyDescent="0.2">
      <c r="A269" s="61" t="s">
        <v>2372</v>
      </c>
      <c r="B269" s="61">
        <v>0</v>
      </c>
      <c r="C269" s="61"/>
      <c r="D269" s="61" t="s">
        <v>765</v>
      </c>
      <c r="E269" s="184">
        <v>43290</v>
      </c>
    </row>
    <row r="270" spans="1:5" ht="12.75" x14ac:dyDescent="0.2">
      <c r="A270" s="61" t="s">
        <v>2373</v>
      </c>
      <c r="B270" s="61">
        <v>0</v>
      </c>
      <c r="C270" s="61"/>
      <c r="D270" s="61" t="s">
        <v>1935</v>
      </c>
      <c r="E270" s="183">
        <v>43431</v>
      </c>
    </row>
    <row r="271" spans="1:5" ht="12.75" x14ac:dyDescent="0.2">
      <c r="A271" s="61" t="s">
        <v>2374</v>
      </c>
      <c r="B271" s="61">
        <v>0</v>
      </c>
      <c r="C271" s="61"/>
      <c r="D271" s="61" t="s">
        <v>1935</v>
      </c>
      <c r="E271" s="184">
        <v>43285</v>
      </c>
    </row>
    <row r="272" spans="1:5" ht="12.75" x14ac:dyDescent="0.2">
      <c r="A272" s="61" t="s">
        <v>2375</v>
      </c>
      <c r="B272" s="61">
        <v>0</v>
      </c>
      <c r="C272" s="61"/>
      <c r="D272" s="61" t="s">
        <v>766</v>
      </c>
      <c r="E272" s="184">
        <v>43410</v>
      </c>
    </row>
    <row r="273" spans="1:5" ht="12.75" x14ac:dyDescent="0.2">
      <c r="A273" s="61" t="s">
        <v>2376</v>
      </c>
      <c r="B273" s="61">
        <v>0</v>
      </c>
      <c r="C273" s="61"/>
      <c r="D273" s="61" t="s">
        <v>766</v>
      </c>
      <c r="E273" s="183">
        <v>43325</v>
      </c>
    </row>
    <row r="274" spans="1:5" ht="12.75" x14ac:dyDescent="0.2">
      <c r="A274" s="61" t="s">
        <v>2377</v>
      </c>
      <c r="B274" s="61">
        <v>0</v>
      </c>
      <c r="C274" s="61"/>
      <c r="D274" s="61" t="s">
        <v>767</v>
      </c>
      <c r="E274" s="61" t="s">
        <v>2280</v>
      </c>
    </row>
    <row r="275" spans="1:5" ht="12.75" x14ac:dyDescent="0.2">
      <c r="A275" s="61" t="s">
        <v>2378</v>
      </c>
      <c r="B275" s="61">
        <v>0</v>
      </c>
      <c r="C275" s="61"/>
      <c r="D275" s="61" t="s">
        <v>768</v>
      </c>
      <c r="E275" s="183">
        <v>43305</v>
      </c>
    </row>
    <row r="276" spans="1:5" ht="12.75" x14ac:dyDescent="0.2">
      <c r="A276" s="61" t="s">
        <v>2379</v>
      </c>
      <c r="B276" s="61">
        <v>0</v>
      </c>
      <c r="C276" s="61"/>
      <c r="D276" s="61" t="s">
        <v>769</v>
      </c>
      <c r="E276" s="183">
        <v>43306</v>
      </c>
    </row>
    <row r="277" spans="1:5" ht="12.75" x14ac:dyDescent="0.2">
      <c r="A277" s="61" t="s">
        <v>2380</v>
      </c>
      <c r="B277" s="61">
        <v>0</v>
      </c>
      <c r="C277" s="61"/>
      <c r="D277" s="61" t="s">
        <v>770</v>
      </c>
      <c r="E277" s="183">
        <v>43461</v>
      </c>
    </row>
    <row r="278" spans="1:5" ht="12.75" x14ac:dyDescent="0.2">
      <c r="A278" s="61" t="s">
        <v>2381</v>
      </c>
      <c r="B278" s="61">
        <v>0</v>
      </c>
      <c r="C278" s="61"/>
      <c r="D278" s="61" t="s">
        <v>771</v>
      </c>
      <c r="E278" s="184">
        <v>43321</v>
      </c>
    </row>
    <row r="279" spans="1:5" ht="12.75" x14ac:dyDescent="0.2">
      <c r="A279" s="61" t="s">
        <v>2382</v>
      </c>
      <c r="B279" s="61">
        <v>0</v>
      </c>
      <c r="C279" s="61"/>
      <c r="D279" s="61" t="s">
        <v>772</v>
      </c>
      <c r="E279" s="183">
        <v>43404</v>
      </c>
    </row>
    <row r="280" spans="1:5" ht="12.75" x14ac:dyDescent="0.2">
      <c r="A280" s="61" t="s">
        <v>2383</v>
      </c>
      <c r="B280" s="61">
        <v>0</v>
      </c>
      <c r="C280" s="61"/>
      <c r="D280" s="61" t="s">
        <v>1936</v>
      </c>
      <c r="E280" s="184">
        <v>43382</v>
      </c>
    </row>
    <row r="281" spans="1:5" ht="12.75" x14ac:dyDescent="0.2">
      <c r="A281" s="61" t="s">
        <v>2384</v>
      </c>
      <c r="B281" s="61">
        <v>0</v>
      </c>
      <c r="C281" s="61"/>
      <c r="D281" s="61" t="s">
        <v>1936</v>
      </c>
      <c r="E281" s="184">
        <v>43315</v>
      </c>
    </row>
    <row r="282" spans="1:5" ht="12.75" x14ac:dyDescent="0.2">
      <c r="A282" s="61" t="s">
        <v>2385</v>
      </c>
      <c r="B282" s="61">
        <v>0</v>
      </c>
      <c r="C282" s="61"/>
      <c r="D282" s="61" t="s">
        <v>773</v>
      </c>
      <c r="E282" s="184">
        <v>43412</v>
      </c>
    </row>
    <row r="283" spans="1:5" ht="12.75" x14ac:dyDescent="0.2">
      <c r="A283" s="61" t="s">
        <v>2386</v>
      </c>
      <c r="B283" s="61">
        <v>0</v>
      </c>
      <c r="C283" s="61"/>
      <c r="D283" s="61" t="s">
        <v>773</v>
      </c>
      <c r="E283" s="183">
        <v>43327</v>
      </c>
    </row>
    <row r="284" spans="1:5" ht="12.75" x14ac:dyDescent="0.2">
      <c r="A284" s="61" t="s">
        <v>2387</v>
      </c>
      <c r="B284" s="61">
        <v>0</v>
      </c>
      <c r="C284" s="61"/>
      <c r="D284" s="61" t="s">
        <v>774</v>
      </c>
      <c r="E284" s="183">
        <v>43327</v>
      </c>
    </row>
    <row r="285" spans="1:5" ht="12.75" x14ac:dyDescent="0.2">
      <c r="A285" s="61" t="s">
        <v>2388</v>
      </c>
      <c r="B285" s="61">
        <v>0</v>
      </c>
      <c r="C285" s="61"/>
      <c r="D285" s="61" t="s">
        <v>775</v>
      </c>
      <c r="E285" s="183">
        <v>43335</v>
      </c>
    </row>
    <row r="286" spans="1:5" ht="12.75" x14ac:dyDescent="0.2">
      <c r="A286" s="61" t="s">
        <v>2389</v>
      </c>
      <c r="B286" s="61">
        <v>0</v>
      </c>
      <c r="C286" s="61"/>
      <c r="D286" s="61" t="s">
        <v>776</v>
      </c>
      <c r="E286" s="184">
        <v>43376</v>
      </c>
    </row>
    <row r="287" spans="1:5" ht="12.75" x14ac:dyDescent="0.2">
      <c r="A287" s="61" t="s">
        <v>2390</v>
      </c>
      <c r="B287" s="61">
        <v>0</v>
      </c>
      <c r="C287" s="61"/>
      <c r="D287" s="61" t="s">
        <v>777</v>
      </c>
      <c r="E287" s="184">
        <v>43405</v>
      </c>
    </row>
    <row r="288" spans="1:5" ht="12.75" x14ac:dyDescent="0.2">
      <c r="A288" s="61" t="s">
        <v>2391</v>
      </c>
      <c r="B288" s="61">
        <v>0</v>
      </c>
      <c r="C288" s="61"/>
      <c r="D288" s="61" t="s">
        <v>778</v>
      </c>
      <c r="E288" s="183">
        <v>43430</v>
      </c>
    </row>
    <row r="289" spans="1:5" ht="12.75" x14ac:dyDescent="0.2">
      <c r="A289" s="61" t="s">
        <v>2392</v>
      </c>
      <c r="B289" s="61">
        <v>0</v>
      </c>
      <c r="C289" s="61"/>
      <c r="D289" s="61" t="s">
        <v>780</v>
      </c>
      <c r="E289" s="183">
        <v>43451</v>
      </c>
    </row>
    <row r="290" spans="1:5" ht="12.75" x14ac:dyDescent="0.2">
      <c r="A290" s="61" t="s">
        <v>2393</v>
      </c>
      <c r="B290" s="61">
        <v>0</v>
      </c>
      <c r="C290" s="61"/>
      <c r="D290" s="61" t="s">
        <v>780</v>
      </c>
      <c r="E290" s="186">
        <v>43598</v>
      </c>
    </row>
    <row r="291" spans="1:5" ht="12.75" x14ac:dyDescent="0.2">
      <c r="A291" s="61" t="s">
        <v>2394</v>
      </c>
      <c r="B291" s="61">
        <v>0</v>
      </c>
      <c r="C291" s="61"/>
      <c r="D291" s="61" t="s">
        <v>781</v>
      </c>
      <c r="E291" s="183">
        <v>43481</v>
      </c>
    </row>
    <row r="292" spans="1:5" ht="12.75" x14ac:dyDescent="0.2">
      <c r="A292" s="61" t="s">
        <v>2395</v>
      </c>
      <c r="B292" s="61">
        <v>0</v>
      </c>
      <c r="C292" s="61"/>
      <c r="D292" s="61" t="s">
        <v>784</v>
      </c>
      <c r="E292" s="61" t="s">
        <v>2396</v>
      </c>
    </row>
    <row r="293" spans="1:5" ht="12.75" x14ac:dyDescent="0.2">
      <c r="A293" s="61" t="s">
        <v>2397</v>
      </c>
      <c r="B293" s="61">
        <v>0</v>
      </c>
      <c r="C293" s="61"/>
      <c r="D293" s="61" t="s">
        <v>1937</v>
      </c>
      <c r="E293" s="184">
        <v>43529</v>
      </c>
    </row>
    <row r="294" spans="1:5" ht="12.75" x14ac:dyDescent="0.2">
      <c r="A294" s="61" t="s">
        <v>2398</v>
      </c>
      <c r="B294" s="61">
        <v>0</v>
      </c>
      <c r="C294" s="61"/>
      <c r="D294" s="61" t="s">
        <v>855</v>
      </c>
      <c r="E294" s="183">
        <v>43698</v>
      </c>
    </row>
    <row r="295" spans="1:5" ht="12.75" x14ac:dyDescent="0.2">
      <c r="A295" s="61" t="s">
        <v>2399</v>
      </c>
      <c r="B295" s="61">
        <v>0</v>
      </c>
      <c r="C295" s="61"/>
      <c r="D295" s="61" t="s">
        <v>855</v>
      </c>
      <c r="E295" s="183">
        <v>43826</v>
      </c>
    </row>
    <row r="296" spans="1:5" ht="12.75" x14ac:dyDescent="0.2">
      <c r="A296" s="61" t="s">
        <v>2400</v>
      </c>
      <c r="B296" s="61">
        <v>0</v>
      </c>
      <c r="C296" s="61"/>
      <c r="D296" s="61" t="s">
        <v>855</v>
      </c>
      <c r="E296" s="183">
        <v>43789</v>
      </c>
    </row>
    <row r="297" spans="1:5" ht="12.75" x14ac:dyDescent="0.2">
      <c r="A297" s="61" t="s">
        <v>2401</v>
      </c>
      <c r="B297" s="61">
        <v>0</v>
      </c>
      <c r="C297" s="61"/>
      <c r="D297" s="61" t="s">
        <v>855</v>
      </c>
      <c r="E297" s="183">
        <v>43656</v>
      </c>
    </row>
    <row r="298" spans="1:5" ht="12.75" x14ac:dyDescent="0.2">
      <c r="A298" s="61" t="s">
        <v>2402</v>
      </c>
      <c r="B298" s="61">
        <v>0</v>
      </c>
      <c r="C298" s="61"/>
      <c r="D298" s="61" t="s">
        <v>855</v>
      </c>
      <c r="E298" s="184">
        <v>43531</v>
      </c>
    </row>
    <row r="299" spans="1:5" ht="12.75" x14ac:dyDescent="0.2">
      <c r="A299" s="61" t="s">
        <v>2403</v>
      </c>
      <c r="B299" s="61">
        <v>0</v>
      </c>
      <c r="C299" s="61"/>
      <c r="D299" s="61" t="s">
        <v>867</v>
      </c>
      <c r="E299" s="183">
        <v>43755</v>
      </c>
    </row>
    <row r="300" spans="1:5" ht="12.75" x14ac:dyDescent="0.2">
      <c r="A300" s="61" t="s">
        <v>2404</v>
      </c>
      <c r="B300" s="61">
        <v>0</v>
      </c>
      <c r="C300" s="61"/>
      <c r="D300" s="61" t="s">
        <v>790</v>
      </c>
      <c r="E300" s="186">
        <v>43612</v>
      </c>
    </row>
    <row r="301" spans="1:5" ht="12.75" x14ac:dyDescent="0.2">
      <c r="A301" s="61" t="s">
        <v>2405</v>
      </c>
      <c r="B301" s="61">
        <v>0</v>
      </c>
      <c r="C301" s="61"/>
      <c r="D301" s="61" t="s">
        <v>794</v>
      </c>
      <c r="E301" s="183">
        <v>43521</v>
      </c>
    </row>
    <row r="302" spans="1:5" ht="12.75" x14ac:dyDescent="0.2">
      <c r="A302" s="61" t="s">
        <v>2406</v>
      </c>
      <c r="B302" s="61">
        <v>0</v>
      </c>
      <c r="C302" s="61"/>
      <c r="D302" s="61" t="s">
        <v>802</v>
      </c>
      <c r="E302" s="184">
        <v>43529</v>
      </c>
    </row>
    <row r="303" spans="1:5" ht="12.75" x14ac:dyDescent="0.2">
      <c r="A303" s="61" t="s">
        <v>2407</v>
      </c>
      <c r="B303" s="61">
        <v>0</v>
      </c>
      <c r="C303" s="61"/>
      <c r="D303" s="61" t="s">
        <v>807</v>
      </c>
      <c r="E303" s="183">
        <v>43635</v>
      </c>
    </row>
    <row r="304" spans="1:5" ht="12.75" x14ac:dyDescent="0.2">
      <c r="A304" s="61" t="s">
        <v>2408</v>
      </c>
      <c r="B304" s="61">
        <v>0</v>
      </c>
      <c r="C304" s="61"/>
      <c r="D304" s="61" t="s">
        <v>809</v>
      </c>
      <c r="E304" s="183">
        <v>43766</v>
      </c>
    </row>
    <row r="305" spans="1:5" ht="12.75" x14ac:dyDescent="0.2">
      <c r="A305" s="61" t="s">
        <v>2409</v>
      </c>
      <c r="B305" s="61">
        <v>0</v>
      </c>
      <c r="C305" s="61"/>
      <c r="D305" s="61" t="s">
        <v>810</v>
      </c>
      <c r="E305" s="186">
        <v>43613</v>
      </c>
    </row>
    <row r="306" spans="1:5" ht="12.75" x14ac:dyDescent="0.2">
      <c r="A306" s="61" t="s">
        <v>2410</v>
      </c>
      <c r="B306" s="61">
        <v>0</v>
      </c>
      <c r="C306" s="61"/>
      <c r="D306" s="61" t="s">
        <v>813</v>
      </c>
      <c r="E306" s="183">
        <v>43753</v>
      </c>
    </row>
    <row r="307" spans="1:5" ht="12.75" x14ac:dyDescent="0.2">
      <c r="A307" s="61" t="s">
        <v>2411</v>
      </c>
      <c r="B307" s="61">
        <v>0</v>
      </c>
      <c r="C307" s="61"/>
      <c r="D307" s="61" t="s">
        <v>814</v>
      </c>
      <c r="E307" s="183">
        <v>43696</v>
      </c>
    </row>
    <row r="308" spans="1:5" ht="12.75" x14ac:dyDescent="0.2">
      <c r="A308" s="61" t="s">
        <v>2412</v>
      </c>
      <c r="B308" s="61">
        <v>0</v>
      </c>
      <c r="C308" s="61"/>
      <c r="D308" s="61" t="s">
        <v>816</v>
      </c>
      <c r="E308" s="183">
        <v>43633</v>
      </c>
    </row>
    <row r="309" spans="1:5" ht="12.75" x14ac:dyDescent="0.2">
      <c r="A309" s="61" t="s">
        <v>2413</v>
      </c>
      <c r="B309" s="61">
        <v>0</v>
      </c>
      <c r="C309" s="61"/>
      <c r="D309" s="61" t="s">
        <v>857</v>
      </c>
      <c r="E309" s="184">
        <v>43678</v>
      </c>
    </row>
    <row r="310" spans="1:5" ht="12.75" x14ac:dyDescent="0.2">
      <c r="A310" s="61" t="s">
        <v>2414</v>
      </c>
      <c r="B310" s="61">
        <v>0</v>
      </c>
      <c r="C310" s="61"/>
      <c r="D310" s="61" t="s">
        <v>818</v>
      </c>
      <c r="E310" s="61" t="s">
        <v>2415</v>
      </c>
    </row>
    <row r="311" spans="1:5" ht="12.75" x14ac:dyDescent="0.2">
      <c r="A311" s="61" t="s">
        <v>2416</v>
      </c>
      <c r="B311" s="61">
        <v>0</v>
      </c>
      <c r="C311" s="61"/>
      <c r="D311" s="61" t="s">
        <v>823</v>
      </c>
      <c r="E311" s="184">
        <v>43899</v>
      </c>
    </row>
    <row r="312" spans="1:5" ht="12.75" x14ac:dyDescent="0.2">
      <c r="A312" s="61" t="s">
        <v>2417</v>
      </c>
      <c r="B312" s="61">
        <v>0</v>
      </c>
      <c r="C312" s="61"/>
      <c r="D312" s="61" t="s">
        <v>830</v>
      </c>
      <c r="E312" s="183">
        <v>43906</v>
      </c>
    </row>
    <row r="313" spans="1:5" ht="12.75" x14ac:dyDescent="0.2">
      <c r="E313" s="5"/>
    </row>
    <row r="314" spans="1:5" ht="12.75" x14ac:dyDescent="0.2">
      <c r="E314" s="5"/>
    </row>
    <row r="315" spans="1:5" ht="12.75" x14ac:dyDescent="0.2">
      <c r="E315" s="5"/>
    </row>
    <row r="316" spans="1:5" ht="12.75" x14ac:dyDescent="0.2">
      <c r="E316" s="5"/>
    </row>
    <row r="317" spans="1:5" ht="12.75" x14ac:dyDescent="0.2">
      <c r="E317" s="5"/>
    </row>
    <row r="318" spans="1:5" ht="12.75" x14ac:dyDescent="0.2">
      <c r="E318" s="5"/>
    </row>
    <row r="319" spans="1:5" ht="12.75" x14ac:dyDescent="0.2">
      <c r="E319" s="5"/>
    </row>
    <row r="320" spans="1:5" ht="12.75" x14ac:dyDescent="0.2">
      <c r="E320" s="5"/>
    </row>
    <row r="321" spans="5:5" ht="12.75" x14ac:dyDescent="0.2">
      <c r="E321" s="5"/>
    </row>
    <row r="322" spans="5:5" ht="12.75" x14ac:dyDescent="0.2">
      <c r="E322" s="5"/>
    </row>
    <row r="323" spans="5:5" ht="12.75" x14ac:dyDescent="0.2">
      <c r="E323" s="5"/>
    </row>
    <row r="324" spans="5:5" ht="12.75" x14ac:dyDescent="0.2">
      <c r="E324" s="5"/>
    </row>
    <row r="325" spans="5:5" ht="12.75" x14ac:dyDescent="0.2">
      <c r="E325" s="5"/>
    </row>
    <row r="326" spans="5:5" ht="12.75" x14ac:dyDescent="0.2">
      <c r="E326" s="5"/>
    </row>
    <row r="327" spans="5:5" ht="12.75" x14ac:dyDescent="0.2">
      <c r="E327" s="5"/>
    </row>
    <row r="328" spans="5:5" ht="12.75" x14ac:dyDescent="0.2">
      <c r="E328" s="5"/>
    </row>
    <row r="329" spans="5:5" ht="12.75" x14ac:dyDescent="0.2">
      <c r="E329" s="5"/>
    </row>
    <row r="330" spans="5:5" ht="12.75" x14ac:dyDescent="0.2">
      <c r="E330" s="5"/>
    </row>
    <row r="331" spans="5:5" ht="12.75" x14ac:dyDescent="0.2">
      <c r="E331" s="5"/>
    </row>
    <row r="332" spans="5:5" ht="12.75" x14ac:dyDescent="0.2">
      <c r="E332" s="5"/>
    </row>
    <row r="333" spans="5:5" ht="12.75" x14ac:dyDescent="0.2">
      <c r="E333" s="5"/>
    </row>
    <row r="334" spans="5:5" ht="12.75" x14ac:dyDescent="0.2">
      <c r="E334" s="5"/>
    </row>
    <row r="335" spans="5:5" ht="12.75" x14ac:dyDescent="0.2">
      <c r="E335" s="5"/>
    </row>
    <row r="336" spans="5:5" ht="12.75" x14ac:dyDescent="0.2">
      <c r="E336" s="5"/>
    </row>
    <row r="337" spans="5:5" ht="12.75" x14ac:dyDescent="0.2">
      <c r="E337" s="5"/>
    </row>
    <row r="338" spans="5:5" ht="12.75" x14ac:dyDescent="0.2">
      <c r="E338" s="5"/>
    </row>
    <row r="339" spans="5:5" ht="12.75" x14ac:dyDescent="0.2">
      <c r="E339" s="5"/>
    </row>
    <row r="340" spans="5:5" ht="12.75" x14ac:dyDescent="0.2">
      <c r="E340" s="5"/>
    </row>
    <row r="341" spans="5:5" ht="12.75" x14ac:dyDescent="0.2">
      <c r="E341" s="5"/>
    </row>
    <row r="342" spans="5:5" ht="12.75" x14ac:dyDescent="0.2">
      <c r="E342" s="5"/>
    </row>
    <row r="343" spans="5:5" ht="12.75" x14ac:dyDescent="0.2">
      <c r="E343" s="5"/>
    </row>
    <row r="344" spans="5:5" ht="12.75" x14ac:dyDescent="0.2">
      <c r="E344" s="5"/>
    </row>
    <row r="345" spans="5:5" ht="12.75" x14ac:dyDescent="0.2">
      <c r="E345" s="5"/>
    </row>
    <row r="346" spans="5:5" ht="12.75" x14ac:dyDescent="0.2">
      <c r="E346" s="5"/>
    </row>
    <row r="347" spans="5:5" ht="12.75" x14ac:dyDescent="0.2">
      <c r="E347" s="5"/>
    </row>
    <row r="348" spans="5:5" ht="12.75" x14ac:dyDescent="0.2">
      <c r="E348" s="5"/>
    </row>
    <row r="349" spans="5:5" ht="12.75" x14ac:dyDescent="0.2">
      <c r="E349" s="5"/>
    </row>
    <row r="350" spans="5:5" ht="12.75" x14ac:dyDescent="0.2">
      <c r="E350" s="5"/>
    </row>
    <row r="351" spans="5:5" ht="12.75" x14ac:dyDescent="0.2">
      <c r="E351" s="5"/>
    </row>
    <row r="352" spans="5:5" ht="12.75" x14ac:dyDescent="0.2">
      <c r="E352" s="5"/>
    </row>
    <row r="353" spans="5:5" ht="12.75" x14ac:dyDescent="0.2">
      <c r="E353" s="5"/>
    </row>
    <row r="354" spans="5:5" ht="12.75" x14ac:dyDescent="0.2">
      <c r="E354" s="5"/>
    </row>
    <row r="355" spans="5:5" ht="12.75" x14ac:dyDescent="0.2">
      <c r="E355" s="5"/>
    </row>
    <row r="356" spans="5:5" ht="12.75" x14ac:dyDescent="0.2">
      <c r="E356" s="5"/>
    </row>
    <row r="357" spans="5:5" ht="12.75" x14ac:dyDescent="0.2">
      <c r="E357" s="5"/>
    </row>
    <row r="358" spans="5:5" ht="12.75" x14ac:dyDescent="0.2">
      <c r="E358" s="5"/>
    </row>
    <row r="359" spans="5:5" ht="12.75" x14ac:dyDescent="0.2">
      <c r="E359" s="5"/>
    </row>
    <row r="360" spans="5:5" ht="12.75" x14ac:dyDescent="0.2">
      <c r="E360" s="5"/>
    </row>
    <row r="361" spans="5:5" ht="12.75" x14ac:dyDescent="0.2">
      <c r="E361" s="5"/>
    </row>
    <row r="362" spans="5:5" ht="12.75" x14ac:dyDescent="0.2">
      <c r="E362" s="5"/>
    </row>
    <row r="363" spans="5:5" ht="12.75" x14ac:dyDescent="0.2">
      <c r="E363" s="5"/>
    </row>
    <row r="364" spans="5:5" ht="12.75" x14ac:dyDescent="0.2">
      <c r="E364" s="5"/>
    </row>
    <row r="365" spans="5:5" ht="12.75" x14ac:dyDescent="0.2">
      <c r="E365" s="5"/>
    </row>
    <row r="366" spans="5:5" ht="12.75" x14ac:dyDescent="0.2">
      <c r="E366" s="5"/>
    </row>
    <row r="367" spans="5:5" ht="12.75" x14ac:dyDescent="0.2">
      <c r="E367" s="5"/>
    </row>
    <row r="368" spans="5:5" ht="12.75" x14ac:dyDescent="0.2">
      <c r="E368" s="5"/>
    </row>
    <row r="369" spans="5:5" ht="12.75" x14ac:dyDescent="0.2">
      <c r="E369" s="5"/>
    </row>
    <row r="370" spans="5:5" ht="12.75" x14ac:dyDescent="0.2">
      <c r="E370" s="5"/>
    </row>
    <row r="371" spans="5:5" ht="12.75" x14ac:dyDescent="0.2">
      <c r="E371" s="5"/>
    </row>
    <row r="372" spans="5:5" ht="12.75" x14ac:dyDescent="0.2">
      <c r="E372" s="5"/>
    </row>
    <row r="373" spans="5:5" ht="12.75" x14ac:dyDescent="0.2">
      <c r="E373" s="5"/>
    </row>
    <row r="374" spans="5:5" ht="12.75" x14ac:dyDescent="0.2">
      <c r="E374" s="5"/>
    </row>
    <row r="375" spans="5:5" ht="12.75" x14ac:dyDescent="0.2">
      <c r="E375" s="5"/>
    </row>
    <row r="376" spans="5:5" ht="12.75" x14ac:dyDescent="0.2">
      <c r="E376" s="5"/>
    </row>
    <row r="377" spans="5:5" ht="12.75" x14ac:dyDescent="0.2">
      <c r="E377" s="5"/>
    </row>
    <row r="378" spans="5:5" ht="12.75" x14ac:dyDescent="0.2">
      <c r="E378" s="5"/>
    </row>
    <row r="379" spans="5:5" ht="12.75" x14ac:dyDescent="0.2">
      <c r="E379" s="5"/>
    </row>
    <row r="380" spans="5:5" ht="12.75" x14ac:dyDescent="0.2">
      <c r="E380" s="5"/>
    </row>
    <row r="381" spans="5:5" ht="12.75" x14ac:dyDescent="0.2">
      <c r="E381" s="5"/>
    </row>
    <row r="382" spans="5:5" ht="12.75" x14ac:dyDescent="0.2">
      <c r="E382" s="5"/>
    </row>
    <row r="383" spans="5:5" ht="12.75" x14ac:dyDescent="0.2">
      <c r="E383" s="5"/>
    </row>
    <row r="384" spans="5:5" ht="12.75" x14ac:dyDescent="0.2">
      <c r="E384" s="5"/>
    </row>
    <row r="385" spans="5:5" ht="12.75" x14ac:dyDescent="0.2">
      <c r="E385" s="5"/>
    </row>
    <row r="386" spans="5:5" ht="12.75" x14ac:dyDescent="0.2">
      <c r="E386" s="5"/>
    </row>
    <row r="387" spans="5:5" ht="12.75" x14ac:dyDescent="0.2">
      <c r="E387" s="5"/>
    </row>
    <row r="388" spans="5:5" ht="12.75" x14ac:dyDescent="0.2">
      <c r="E388" s="5"/>
    </row>
    <row r="389" spans="5:5" ht="12.75" x14ac:dyDescent="0.2">
      <c r="E389" s="5"/>
    </row>
    <row r="390" spans="5:5" ht="12.75" x14ac:dyDescent="0.2">
      <c r="E390" s="5"/>
    </row>
    <row r="391" spans="5:5" ht="12.75" x14ac:dyDescent="0.2">
      <c r="E391" s="5"/>
    </row>
    <row r="392" spans="5:5" ht="12.75" x14ac:dyDescent="0.2">
      <c r="E392" s="5"/>
    </row>
    <row r="393" spans="5:5" ht="12.75" x14ac:dyDescent="0.2">
      <c r="E393" s="5"/>
    </row>
    <row r="394" spans="5:5" ht="12.75" x14ac:dyDescent="0.2">
      <c r="E394" s="5"/>
    </row>
    <row r="395" spans="5:5" ht="12.75" x14ac:dyDescent="0.2">
      <c r="E395" s="5"/>
    </row>
    <row r="396" spans="5:5" ht="12.75" x14ac:dyDescent="0.2">
      <c r="E396" s="5"/>
    </row>
    <row r="397" spans="5:5" ht="12.75" x14ac:dyDescent="0.2">
      <c r="E397" s="5"/>
    </row>
    <row r="398" spans="5:5" ht="12.75" x14ac:dyDescent="0.2">
      <c r="E398" s="5"/>
    </row>
    <row r="399" spans="5:5" ht="12.75" x14ac:dyDescent="0.2">
      <c r="E399" s="5"/>
    </row>
    <row r="400" spans="5:5" ht="12.75" x14ac:dyDescent="0.2">
      <c r="E400" s="5"/>
    </row>
    <row r="401" spans="5:5" ht="12.75" x14ac:dyDescent="0.2">
      <c r="E401" s="5"/>
    </row>
    <row r="402" spans="5:5" ht="12.75" x14ac:dyDescent="0.2">
      <c r="E402" s="5"/>
    </row>
    <row r="403" spans="5:5" ht="12.75" x14ac:dyDescent="0.2">
      <c r="E403" s="5"/>
    </row>
    <row r="404" spans="5:5" ht="12.75" x14ac:dyDescent="0.2">
      <c r="E404" s="5"/>
    </row>
    <row r="405" spans="5:5" ht="12.75" x14ac:dyDescent="0.2">
      <c r="E405" s="5"/>
    </row>
    <row r="406" spans="5:5" ht="12.75" x14ac:dyDescent="0.2">
      <c r="E406" s="5"/>
    </row>
    <row r="407" spans="5:5" ht="12.75" x14ac:dyDescent="0.2">
      <c r="E407" s="5"/>
    </row>
    <row r="408" spans="5:5" ht="12.75" x14ac:dyDescent="0.2">
      <c r="E408" s="5"/>
    </row>
    <row r="409" spans="5:5" ht="12.75" x14ac:dyDescent="0.2">
      <c r="E409" s="5"/>
    </row>
    <row r="410" spans="5:5" ht="12.75" x14ac:dyDescent="0.2">
      <c r="E410" s="5"/>
    </row>
    <row r="411" spans="5:5" ht="12.75" x14ac:dyDescent="0.2">
      <c r="E411" s="5"/>
    </row>
    <row r="412" spans="5:5" ht="12.75" x14ac:dyDescent="0.2">
      <c r="E412" s="5"/>
    </row>
    <row r="413" spans="5:5" ht="12.75" x14ac:dyDescent="0.2">
      <c r="E413" s="5"/>
    </row>
    <row r="414" spans="5:5" ht="12.75" x14ac:dyDescent="0.2">
      <c r="E414" s="5"/>
    </row>
    <row r="415" spans="5:5" ht="12.75" x14ac:dyDescent="0.2">
      <c r="E415" s="5"/>
    </row>
    <row r="416" spans="5:5" ht="12.75" x14ac:dyDescent="0.2">
      <c r="E416" s="5"/>
    </row>
    <row r="417" spans="5:5" ht="12.75" x14ac:dyDescent="0.2">
      <c r="E417" s="5"/>
    </row>
    <row r="418" spans="5:5" ht="12.75" x14ac:dyDescent="0.2">
      <c r="E418" s="5"/>
    </row>
    <row r="419" spans="5:5" ht="12.75" x14ac:dyDescent="0.2">
      <c r="E419" s="5"/>
    </row>
    <row r="420" spans="5:5" ht="12.75" x14ac:dyDescent="0.2">
      <c r="E420" s="5"/>
    </row>
    <row r="421" spans="5:5" ht="12.75" x14ac:dyDescent="0.2">
      <c r="E421" s="5"/>
    </row>
    <row r="422" spans="5:5" ht="12.75" x14ac:dyDescent="0.2">
      <c r="E422" s="5"/>
    </row>
    <row r="423" spans="5:5" ht="12.75" x14ac:dyDescent="0.2">
      <c r="E423" s="5"/>
    </row>
    <row r="424" spans="5:5" ht="12.75" x14ac:dyDescent="0.2">
      <c r="E424" s="5"/>
    </row>
    <row r="425" spans="5:5" ht="12.75" x14ac:dyDescent="0.2">
      <c r="E425" s="5"/>
    </row>
    <row r="426" spans="5:5" ht="12.75" x14ac:dyDescent="0.2">
      <c r="E426" s="5"/>
    </row>
    <row r="427" spans="5:5" ht="12.75" x14ac:dyDescent="0.2">
      <c r="E427" s="5"/>
    </row>
    <row r="428" spans="5:5" ht="12.75" x14ac:dyDescent="0.2">
      <c r="E428" s="5"/>
    </row>
    <row r="429" spans="5:5" ht="12.75" x14ac:dyDescent="0.2">
      <c r="E429" s="5"/>
    </row>
    <row r="430" spans="5:5" ht="12.75" x14ac:dyDescent="0.2">
      <c r="E430" s="5"/>
    </row>
    <row r="431" spans="5:5" ht="12.75" x14ac:dyDescent="0.2">
      <c r="E431" s="5"/>
    </row>
    <row r="432" spans="5:5" ht="12.75" x14ac:dyDescent="0.2">
      <c r="E432" s="5"/>
    </row>
    <row r="433" spans="5:5" ht="12.75" x14ac:dyDescent="0.2">
      <c r="E433" s="5"/>
    </row>
    <row r="434" spans="5:5" ht="12.75" x14ac:dyDescent="0.2">
      <c r="E434" s="5"/>
    </row>
    <row r="435" spans="5:5" ht="12.75" x14ac:dyDescent="0.2">
      <c r="E435" s="5"/>
    </row>
    <row r="436" spans="5:5" ht="12.75" x14ac:dyDescent="0.2">
      <c r="E436" s="5"/>
    </row>
    <row r="437" spans="5:5" ht="12.75" x14ac:dyDescent="0.2">
      <c r="E437" s="5"/>
    </row>
    <row r="438" spans="5:5" ht="12.75" x14ac:dyDescent="0.2">
      <c r="E438" s="5"/>
    </row>
    <row r="439" spans="5:5" ht="12.75" x14ac:dyDescent="0.2">
      <c r="E439" s="5"/>
    </row>
    <row r="440" spans="5:5" ht="12.75" x14ac:dyDescent="0.2">
      <c r="E440" s="5"/>
    </row>
    <row r="441" spans="5:5" ht="12.75" x14ac:dyDescent="0.2">
      <c r="E441" s="5"/>
    </row>
    <row r="442" spans="5:5" ht="12.75" x14ac:dyDescent="0.2">
      <c r="E442" s="5"/>
    </row>
    <row r="443" spans="5:5" ht="12.75" x14ac:dyDescent="0.2">
      <c r="E443" s="5"/>
    </row>
    <row r="444" spans="5:5" ht="12.75" x14ac:dyDescent="0.2">
      <c r="E444" s="5"/>
    </row>
    <row r="445" spans="5:5" ht="12.75" x14ac:dyDescent="0.2">
      <c r="E445" s="5"/>
    </row>
    <row r="446" spans="5:5" ht="12.75" x14ac:dyDescent="0.2">
      <c r="E446" s="5"/>
    </row>
    <row r="447" spans="5:5" ht="12.75" x14ac:dyDescent="0.2">
      <c r="E447" s="5"/>
    </row>
    <row r="448" spans="5:5" ht="12.75" x14ac:dyDescent="0.2">
      <c r="E448" s="5"/>
    </row>
    <row r="449" spans="5:5" ht="12.75" x14ac:dyDescent="0.2">
      <c r="E449" s="5"/>
    </row>
    <row r="450" spans="5:5" ht="12.75" x14ac:dyDescent="0.2">
      <c r="E450" s="5"/>
    </row>
    <row r="451" spans="5:5" ht="12.75" x14ac:dyDescent="0.2">
      <c r="E451" s="5"/>
    </row>
    <row r="452" spans="5:5" ht="12.75" x14ac:dyDescent="0.2">
      <c r="E452" s="5"/>
    </row>
    <row r="453" spans="5:5" ht="12.75" x14ac:dyDescent="0.2">
      <c r="E453" s="5"/>
    </row>
    <row r="454" spans="5:5" ht="12.75" x14ac:dyDescent="0.2">
      <c r="E454" s="5"/>
    </row>
    <row r="455" spans="5:5" ht="12.75" x14ac:dyDescent="0.2">
      <c r="E455" s="5"/>
    </row>
    <row r="456" spans="5:5" ht="12.75" x14ac:dyDescent="0.2">
      <c r="E456" s="5"/>
    </row>
    <row r="457" spans="5:5" ht="12.75" x14ac:dyDescent="0.2">
      <c r="E457" s="5"/>
    </row>
    <row r="458" spans="5:5" ht="12.75" x14ac:dyDescent="0.2">
      <c r="E458" s="5"/>
    </row>
    <row r="459" spans="5:5" ht="12.75" x14ac:dyDescent="0.2">
      <c r="E459" s="5"/>
    </row>
    <row r="460" spans="5:5" ht="12.75" x14ac:dyDescent="0.2">
      <c r="E460" s="5"/>
    </row>
    <row r="461" spans="5:5" ht="12.75" x14ac:dyDescent="0.2">
      <c r="E461" s="5"/>
    </row>
    <row r="462" spans="5:5" ht="12.75" x14ac:dyDescent="0.2">
      <c r="E462" s="5"/>
    </row>
    <row r="463" spans="5:5" ht="12.75" x14ac:dyDescent="0.2">
      <c r="E463" s="5"/>
    </row>
    <row r="464" spans="5:5" ht="12.75" x14ac:dyDescent="0.2">
      <c r="E464" s="5"/>
    </row>
    <row r="465" spans="5:5" ht="12.75" x14ac:dyDescent="0.2">
      <c r="E465" s="5"/>
    </row>
    <row r="466" spans="5:5" ht="12.75" x14ac:dyDescent="0.2">
      <c r="E466" s="5"/>
    </row>
    <row r="467" spans="5:5" ht="12.75" x14ac:dyDescent="0.2">
      <c r="E467" s="5"/>
    </row>
    <row r="468" spans="5:5" ht="12.75" x14ac:dyDescent="0.2">
      <c r="E468" s="5"/>
    </row>
    <row r="469" spans="5:5" ht="12.75" x14ac:dyDescent="0.2">
      <c r="E469" s="5"/>
    </row>
    <row r="470" spans="5:5" ht="12.75" x14ac:dyDescent="0.2">
      <c r="E470" s="5"/>
    </row>
    <row r="471" spans="5:5" ht="12.75" x14ac:dyDescent="0.2">
      <c r="E471" s="5"/>
    </row>
    <row r="472" spans="5:5" ht="12.75" x14ac:dyDescent="0.2">
      <c r="E472" s="5"/>
    </row>
    <row r="473" spans="5:5" ht="12.75" x14ac:dyDescent="0.2">
      <c r="E473" s="5"/>
    </row>
    <row r="474" spans="5:5" ht="12.75" x14ac:dyDescent="0.2">
      <c r="E474" s="5"/>
    </row>
    <row r="475" spans="5:5" ht="12.75" x14ac:dyDescent="0.2">
      <c r="E475" s="5"/>
    </row>
    <row r="476" spans="5:5" ht="12.75" x14ac:dyDescent="0.2">
      <c r="E476" s="5"/>
    </row>
    <row r="477" spans="5:5" ht="12.75" x14ac:dyDescent="0.2">
      <c r="E477" s="5"/>
    </row>
    <row r="478" spans="5:5" ht="12.75" x14ac:dyDescent="0.2">
      <c r="E478" s="5"/>
    </row>
    <row r="479" spans="5:5" ht="12.75" x14ac:dyDescent="0.2">
      <c r="E479" s="5"/>
    </row>
    <row r="480" spans="5:5" ht="12.75" x14ac:dyDescent="0.2">
      <c r="E480" s="5"/>
    </row>
    <row r="481" spans="5:5" ht="12.75" x14ac:dyDescent="0.2">
      <c r="E481" s="5"/>
    </row>
    <row r="482" spans="5:5" ht="12.75" x14ac:dyDescent="0.2">
      <c r="E482" s="5"/>
    </row>
    <row r="483" spans="5:5" ht="12.75" x14ac:dyDescent="0.2">
      <c r="E483" s="5"/>
    </row>
    <row r="484" spans="5:5" ht="12.75" x14ac:dyDescent="0.2">
      <c r="E484" s="5"/>
    </row>
    <row r="485" spans="5:5" ht="12.75" x14ac:dyDescent="0.2">
      <c r="E485" s="5"/>
    </row>
    <row r="486" spans="5:5" ht="12.75" x14ac:dyDescent="0.2">
      <c r="E486" s="5"/>
    </row>
    <row r="487" spans="5:5" ht="12.75" x14ac:dyDescent="0.2">
      <c r="E487" s="5"/>
    </row>
    <row r="488" spans="5:5" ht="12.75" x14ac:dyDescent="0.2">
      <c r="E488" s="5"/>
    </row>
    <row r="489" spans="5:5" ht="12.75" x14ac:dyDescent="0.2">
      <c r="E489" s="5"/>
    </row>
    <row r="490" spans="5:5" ht="12.75" x14ac:dyDescent="0.2">
      <c r="E490" s="5"/>
    </row>
    <row r="491" spans="5:5" ht="12.75" x14ac:dyDescent="0.2">
      <c r="E491" s="5"/>
    </row>
    <row r="492" spans="5:5" ht="12.75" x14ac:dyDescent="0.2">
      <c r="E492" s="5"/>
    </row>
    <row r="493" spans="5:5" ht="12.75" x14ac:dyDescent="0.2">
      <c r="E493" s="5"/>
    </row>
    <row r="494" spans="5:5" ht="12.75" x14ac:dyDescent="0.2">
      <c r="E494" s="5"/>
    </row>
    <row r="495" spans="5:5" ht="12.75" x14ac:dyDescent="0.2">
      <c r="E495" s="5"/>
    </row>
    <row r="496" spans="5:5" ht="12.75" x14ac:dyDescent="0.2">
      <c r="E496" s="5"/>
    </row>
    <row r="497" spans="5:5" ht="12.75" x14ac:dyDescent="0.2">
      <c r="E497" s="5"/>
    </row>
    <row r="498" spans="5:5" ht="12.75" x14ac:dyDescent="0.2">
      <c r="E498" s="5"/>
    </row>
    <row r="499" spans="5:5" ht="12.75" x14ac:dyDescent="0.2">
      <c r="E499" s="5"/>
    </row>
    <row r="500" spans="5:5" ht="12.75" x14ac:dyDescent="0.2">
      <c r="E500" s="5"/>
    </row>
    <row r="501" spans="5:5" ht="12.75" x14ac:dyDescent="0.2">
      <c r="E501" s="5"/>
    </row>
    <row r="502" spans="5:5" ht="12.75" x14ac:dyDescent="0.2">
      <c r="E502" s="5"/>
    </row>
    <row r="503" spans="5:5" ht="12.75" x14ac:dyDescent="0.2">
      <c r="E503" s="5"/>
    </row>
    <row r="504" spans="5:5" ht="12.75" x14ac:dyDescent="0.2">
      <c r="E504" s="5"/>
    </row>
    <row r="505" spans="5:5" ht="12.75" x14ac:dyDescent="0.2">
      <c r="E505" s="5"/>
    </row>
    <row r="506" spans="5:5" ht="12.75" x14ac:dyDescent="0.2">
      <c r="E506" s="5"/>
    </row>
    <row r="507" spans="5:5" ht="12.75" x14ac:dyDescent="0.2">
      <c r="E507" s="5"/>
    </row>
    <row r="508" spans="5:5" ht="12.75" x14ac:dyDescent="0.2">
      <c r="E508" s="5"/>
    </row>
    <row r="509" spans="5:5" ht="12.75" x14ac:dyDescent="0.2">
      <c r="E509" s="5"/>
    </row>
    <row r="510" spans="5:5" ht="12.75" x14ac:dyDescent="0.2">
      <c r="E510" s="5"/>
    </row>
    <row r="511" spans="5:5" ht="12.75" x14ac:dyDescent="0.2">
      <c r="E511" s="5"/>
    </row>
    <row r="512" spans="5:5" ht="12.75" x14ac:dyDescent="0.2">
      <c r="E512" s="5"/>
    </row>
    <row r="513" spans="5:5" ht="12.75" x14ac:dyDescent="0.2">
      <c r="E513" s="5"/>
    </row>
    <row r="514" spans="5:5" ht="12.75" x14ac:dyDescent="0.2">
      <c r="E514" s="5"/>
    </row>
    <row r="515" spans="5:5" ht="12.75" x14ac:dyDescent="0.2">
      <c r="E515" s="5"/>
    </row>
    <row r="516" spans="5:5" ht="12.75" x14ac:dyDescent="0.2">
      <c r="E516" s="5"/>
    </row>
    <row r="517" spans="5:5" ht="12.75" x14ac:dyDescent="0.2">
      <c r="E517" s="5"/>
    </row>
    <row r="518" spans="5:5" ht="12.75" x14ac:dyDescent="0.2">
      <c r="E518" s="5"/>
    </row>
    <row r="519" spans="5:5" ht="12.75" x14ac:dyDescent="0.2">
      <c r="E519" s="5"/>
    </row>
    <row r="520" spans="5:5" ht="12.75" x14ac:dyDescent="0.2">
      <c r="E520" s="5"/>
    </row>
    <row r="521" spans="5:5" ht="12.75" x14ac:dyDescent="0.2">
      <c r="E521" s="5"/>
    </row>
    <row r="522" spans="5:5" ht="12.75" x14ac:dyDescent="0.2">
      <c r="E522" s="5"/>
    </row>
    <row r="523" spans="5:5" ht="12.75" x14ac:dyDescent="0.2">
      <c r="E523" s="5"/>
    </row>
    <row r="524" spans="5:5" ht="12.75" x14ac:dyDescent="0.2">
      <c r="E524" s="5"/>
    </row>
    <row r="525" spans="5:5" ht="12.75" x14ac:dyDescent="0.2">
      <c r="E525" s="5"/>
    </row>
    <row r="526" spans="5:5" ht="12.75" x14ac:dyDescent="0.2">
      <c r="E526" s="5"/>
    </row>
    <row r="527" spans="5:5" ht="12.75" x14ac:dyDescent="0.2">
      <c r="E527" s="5"/>
    </row>
    <row r="528" spans="5:5" ht="12.75" x14ac:dyDescent="0.2">
      <c r="E528" s="5"/>
    </row>
    <row r="529" spans="5:5" ht="12.75" x14ac:dyDescent="0.2">
      <c r="E529" s="5"/>
    </row>
    <row r="530" spans="5:5" ht="12.75" x14ac:dyDescent="0.2">
      <c r="E530" s="5"/>
    </row>
    <row r="531" spans="5:5" ht="12.75" x14ac:dyDescent="0.2">
      <c r="E531" s="5"/>
    </row>
    <row r="532" spans="5:5" ht="12.75" x14ac:dyDescent="0.2">
      <c r="E532" s="5"/>
    </row>
    <row r="533" spans="5:5" ht="12.75" x14ac:dyDescent="0.2">
      <c r="E533" s="5"/>
    </row>
    <row r="534" spans="5:5" ht="12.75" x14ac:dyDescent="0.2">
      <c r="E534" s="5"/>
    </row>
    <row r="535" spans="5:5" ht="12.75" x14ac:dyDescent="0.2">
      <c r="E535" s="5"/>
    </row>
    <row r="536" spans="5:5" ht="12.75" x14ac:dyDescent="0.2">
      <c r="E536" s="5"/>
    </row>
    <row r="537" spans="5:5" ht="12.75" x14ac:dyDescent="0.2">
      <c r="E537" s="5"/>
    </row>
    <row r="538" spans="5:5" ht="12.75" x14ac:dyDescent="0.2">
      <c r="E538" s="5"/>
    </row>
    <row r="539" spans="5:5" ht="12.75" x14ac:dyDescent="0.2">
      <c r="E539" s="5"/>
    </row>
    <row r="540" spans="5:5" ht="12.75" x14ac:dyDescent="0.2">
      <c r="E540" s="5"/>
    </row>
    <row r="541" spans="5:5" ht="12.75" x14ac:dyDescent="0.2">
      <c r="E541" s="5"/>
    </row>
    <row r="542" spans="5:5" ht="12.75" x14ac:dyDescent="0.2">
      <c r="E542" s="5"/>
    </row>
    <row r="543" spans="5:5" ht="12.75" x14ac:dyDescent="0.2">
      <c r="E543" s="5"/>
    </row>
    <row r="544" spans="5:5" ht="12.75" x14ac:dyDescent="0.2">
      <c r="E544" s="5"/>
    </row>
    <row r="545" spans="5:5" ht="12.75" x14ac:dyDescent="0.2">
      <c r="E545" s="5"/>
    </row>
    <row r="546" spans="5:5" ht="12.75" x14ac:dyDescent="0.2">
      <c r="E546" s="5"/>
    </row>
    <row r="547" spans="5:5" ht="12.75" x14ac:dyDescent="0.2">
      <c r="E547" s="5"/>
    </row>
    <row r="548" spans="5:5" ht="12.75" x14ac:dyDescent="0.2">
      <c r="E548" s="5"/>
    </row>
    <row r="549" spans="5:5" ht="12.75" x14ac:dyDescent="0.2">
      <c r="E549" s="5"/>
    </row>
    <row r="550" spans="5:5" ht="12.75" x14ac:dyDescent="0.2">
      <c r="E550" s="5"/>
    </row>
    <row r="551" spans="5:5" ht="12.75" x14ac:dyDescent="0.2">
      <c r="E551" s="5"/>
    </row>
    <row r="552" spans="5:5" ht="12.75" x14ac:dyDescent="0.2">
      <c r="E552" s="5"/>
    </row>
    <row r="553" spans="5:5" ht="12.75" x14ac:dyDescent="0.2">
      <c r="E553" s="5"/>
    </row>
    <row r="554" spans="5:5" ht="12.75" x14ac:dyDescent="0.2">
      <c r="E554" s="5"/>
    </row>
    <row r="555" spans="5:5" ht="12.75" x14ac:dyDescent="0.2">
      <c r="E555" s="5"/>
    </row>
    <row r="556" spans="5:5" ht="12.75" x14ac:dyDescent="0.2">
      <c r="E556" s="5"/>
    </row>
    <row r="557" spans="5:5" ht="12.75" x14ac:dyDescent="0.2">
      <c r="E557" s="5"/>
    </row>
    <row r="558" spans="5:5" ht="12.75" x14ac:dyDescent="0.2">
      <c r="E558" s="5"/>
    </row>
    <row r="559" spans="5:5" ht="12.75" x14ac:dyDescent="0.2">
      <c r="E559" s="5"/>
    </row>
    <row r="560" spans="5:5" ht="12.75" x14ac:dyDescent="0.2">
      <c r="E560" s="5"/>
    </row>
    <row r="561" spans="5:5" ht="12.75" x14ac:dyDescent="0.2">
      <c r="E561" s="5"/>
    </row>
    <row r="562" spans="5:5" ht="12.75" x14ac:dyDescent="0.2">
      <c r="E562" s="5"/>
    </row>
    <row r="563" spans="5:5" ht="12.75" x14ac:dyDescent="0.2">
      <c r="E563" s="5"/>
    </row>
    <row r="564" spans="5:5" ht="12.75" x14ac:dyDescent="0.2">
      <c r="E564" s="5"/>
    </row>
    <row r="565" spans="5:5" ht="12.75" x14ac:dyDescent="0.2">
      <c r="E565" s="5"/>
    </row>
    <row r="566" spans="5:5" ht="12.75" x14ac:dyDescent="0.2">
      <c r="E566" s="5"/>
    </row>
    <row r="567" spans="5:5" ht="12.75" x14ac:dyDescent="0.2">
      <c r="E567" s="5"/>
    </row>
    <row r="568" spans="5:5" ht="12.75" x14ac:dyDescent="0.2">
      <c r="E568" s="5"/>
    </row>
    <row r="569" spans="5:5" ht="12.75" x14ac:dyDescent="0.2">
      <c r="E569" s="5"/>
    </row>
    <row r="570" spans="5:5" ht="12.75" x14ac:dyDescent="0.2">
      <c r="E570" s="5"/>
    </row>
    <row r="571" spans="5:5" ht="12.75" x14ac:dyDescent="0.2">
      <c r="E571" s="5"/>
    </row>
    <row r="572" spans="5:5" ht="12.75" x14ac:dyDescent="0.2">
      <c r="E572" s="5"/>
    </row>
    <row r="573" spans="5:5" ht="12.75" x14ac:dyDescent="0.2">
      <c r="E573" s="5"/>
    </row>
    <row r="574" spans="5:5" ht="12.75" x14ac:dyDescent="0.2">
      <c r="E574" s="5"/>
    </row>
    <row r="575" spans="5:5" ht="12.75" x14ac:dyDescent="0.2">
      <c r="E575" s="5"/>
    </row>
    <row r="576" spans="5:5" ht="12.75" x14ac:dyDescent="0.2">
      <c r="E576" s="5"/>
    </row>
    <row r="577" spans="5:5" ht="12.75" x14ac:dyDescent="0.2">
      <c r="E577" s="5"/>
    </row>
    <row r="578" spans="5:5" ht="12.75" x14ac:dyDescent="0.2">
      <c r="E578" s="5"/>
    </row>
    <row r="579" spans="5:5" ht="12.75" x14ac:dyDescent="0.2">
      <c r="E579" s="5"/>
    </row>
    <row r="580" spans="5:5" ht="12.75" x14ac:dyDescent="0.2">
      <c r="E580" s="5"/>
    </row>
    <row r="581" spans="5:5" ht="12.75" x14ac:dyDescent="0.2">
      <c r="E581" s="5"/>
    </row>
    <row r="582" spans="5:5" ht="12.75" x14ac:dyDescent="0.2">
      <c r="E582" s="5"/>
    </row>
    <row r="583" spans="5:5" ht="12.75" x14ac:dyDescent="0.2">
      <c r="E583" s="5"/>
    </row>
    <row r="584" spans="5:5" ht="12.75" x14ac:dyDescent="0.2">
      <c r="E584" s="5"/>
    </row>
    <row r="585" spans="5:5" ht="12.75" x14ac:dyDescent="0.2">
      <c r="E585" s="5"/>
    </row>
    <row r="586" spans="5:5" ht="12.75" x14ac:dyDescent="0.2">
      <c r="E586" s="5"/>
    </row>
    <row r="587" spans="5:5" ht="12.75" x14ac:dyDescent="0.2">
      <c r="E587" s="5"/>
    </row>
    <row r="588" spans="5:5" ht="12.75" x14ac:dyDescent="0.2">
      <c r="E588" s="5"/>
    </row>
    <row r="589" spans="5:5" ht="12.75" x14ac:dyDescent="0.2">
      <c r="E589" s="5"/>
    </row>
    <row r="590" spans="5:5" ht="12.75" x14ac:dyDescent="0.2">
      <c r="E590" s="5"/>
    </row>
    <row r="591" spans="5:5" ht="12.75" x14ac:dyDescent="0.2">
      <c r="E591" s="5"/>
    </row>
    <row r="592" spans="5:5" ht="12.75" x14ac:dyDescent="0.2">
      <c r="E592" s="5"/>
    </row>
    <row r="593" spans="5:5" ht="12.75" x14ac:dyDescent="0.2">
      <c r="E593" s="5"/>
    </row>
    <row r="594" spans="5:5" ht="12.75" x14ac:dyDescent="0.2">
      <c r="E594" s="5"/>
    </row>
    <row r="595" spans="5:5" ht="12.75" x14ac:dyDescent="0.2">
      <c r="E595" s="5"/>
    </row>
    <row r="596" spans="5:5" ht="12.75" x14ac:dyDescent="0.2">
      <c r="E596" s="5"/>
    </row>
    <row r="597" spans="5:5" ht="12.75" x14ac:dyDescent="0.2">
      <c r="E597" s="5"/>
    </row>
    <row r="598" spans="5:5" ht="12.75" x14ac:dyDescent="0.2">
      <c r="E598" s="5"/>
    </row>
    <row r="599" spans="5:5" ht="12.75" x14ac:dyDescent="0.2">
      <c r="E599" s="5"/>
    </row>
    <row r="600" spans="5:5" ht="12.75" x14ac:dyDescent="0.2">
      <c r="E600" s="5"/>
    </row>
    <row r="601" spans="5:5" ht="12.75" x14ac:dyDescent="0.2">
      <c r="E601" s="5"/>
    </row>
    <row r="602" spans="5:5" ht="12.75" x14ac:dyDescent="0.2">
      <c r="E602" s="5"/>
    </row>
    <row r="603" spans="5:5" ht="12.75" x14ac:dyDescent="0.2">
      <c r="E603" s="5"/>
    </row>
    <row r="604" spans="5:5" ht="12.75" x14ac:dyDescent="0.2">
      <c r="E604" s="5"/>
    </row>
    <row r="605" spans="5:5" ht="12.75" x14ac:dyDescent="0.2">
      <c r="E605" s="5"/>
    </row>
    <row r="606" spans="5:5" ht="12.75" x14ac:dyDescent="0.2">
      <c r="E606" s="5"/>
    </row>
    <row r="607" spans="5:5" ht="12.75" x14ac:dyDescent="0.2">
      <c r="E607" s="5"/>
    </row>
    <row r="608" spans="5:5" ht="12.75" x14ac:dyDescent="0.2">
      <c r="E608" s="5"/>
    </row>
    <row r="609" spans="5:5" ht="12.75" x14ac:dyDescent="0.2">
      <c r="E609" s="5"/>
    </row>
    <row r="610" spans="5:5" ht="12.75" x14ac:dyDescent="0.2">
      <c r="E610" s="5"/>
    </row>
    <row r="611" spans="5:5" ht="12.75" x14ac:dyDescent="0.2">
      <c r="E611" s="5"/>
    </row>
    <row r="612" spans="5:5" ht="12.75" x14ac:dyDescent="0.2">
      <c r="E612" s="5"/>
    </row>
    <row r="613" spans="5:5" ht="12.75" x14ac:dyDescent="0.2">
      <c r="E613" s="5"/>
    </row>
    <row r="614" spans="5:5" ht="12.75" x14ac:dyDescent="0.2">
      <c r="E614" s="5"/>
    </row>
    <row r="615" spans="5:5" ht="12.75" x14ac:dyDescent="0.2">
      <c r="E615" s="5"/>
    </row>
    <row r="616" spans="5:5" ht="12.75" x14ac:dyDescent="0.2">
      <c r="E616" s="5"/>
    </row>
    <row r="617" spans="5:5" ht="12.75" x14ac:dyDescent="0.2">
      <c r="E617" s="5"/>
    </row>
    <row r="618" spans="5:5" ht="12.75" x14ac:dyDescent="0.2">
      <c r="E618" s="5"/>
    </row>
    <row r="619" spans="5:5" ht="12.75" x14ac:dyDescent="0.2">
      <c r="E619" s="5"/>
    </row>
    <row r="620" spans="5:5" ht="12.75" x14ac:dyDescent="0.2">
      <c r="E620" s="5"/>
    </row>
    <row r="621" spans="5:5" ht="12.75" x14ac:dyDescent="0.2">
      <c r="E621" s="5"/>
    </row>
    <row r="622" spans="5:5" ht="12.75" x14ac:dyDescent="0.2">
      <c r="E622" s="5"/>
    </row>
    <row r="623" spans="5:5" ht="12.75" x14ac:dyDescent="0.2">
      <c r="E623" s="5"/>
    </row>
    <row r="624" spans="5:5" ht="12.75" x14ac:dyDescent="0.2">
      <c r="E624" s="5"/>
    </row>
    <row r="625" spans="5:5" ht="12.75" x14ac:dyDescent="0.2">
      <c r="E625" s="5"/>
    </row>
    <row r="626" spans="5:5" ht="12.75" x14ac:dyDescent="0.2">
      <c r="E626" s="5"/>
    </row>
    <row r="627" spans="5:5" ht="12.75" x14ac:dyDescent="0.2">
      <c r="E627" s="5"/>
    </row>
    <row r="628" spans="5:5" ht="12.75" x14ac:dyDescent="0.2">
      <c r="E628" s="5"/>
    </row>
    <row r="629" spans="5:5" ht="12.75" x14ac:dyDescent="0.2">
      <c r="E629" s="5"/>
    </row>
    <row r="630" spans="5:5" ht="12.75" x14ac:dyDescent="0.2">
      <c r="E630" s="5"/>
    </row>
    <row r="631" spans="5:5" ht="12.75" x14ac:dyDescent="0.2">
      <c r="E631" s="5"/>
    </row>
    <row r="632" spans="5:5" ht="12.75" x14ac:dyDescent="0.2">
      <c r="E632" s="5"/>
    </row>
    <row r="633" spans="5:5" ht="12.75" x14ac:dyDescent="0.2">
      <c r="E633" s="5"/>
    </row>
    <row r="634" spans="5:5" ht="12.75" x14ac:dyDescent="0.2">
      <c r="E634" s="5"/>
    </row>
    <row r="635" spans="5:5" ht="12.75" x14ac:dyDescent="0.2">
      <c r="E635" s="5"/>
    </row>
    <row r="636" spans="5:5" ht="12.75" x14ac:dyDescent="0.2">
      <c r="E636" s="5"/>
    </row>
    <row r="637" spans="5:5" ht="12.75" x14ac:dyDescent="0.2">
      <c r="E637" s="5"/>
    </row>
    <row r="638" spans="5:5" ht="12.75" x14ac:dyDescent="0.2">
      <c r="E638" s="5"/>
    </row>
    <row r="639" spans="5:5" ht="12.75" x14ac:dyDescent="0.2">
      <c r="E639" s="5"/>
    </row>
    <row r="640" spans="5:5" ht="12.75" x14ac:dyDescent="0.2">
      <c r="E640" s="5"/>
    </row>
    <row r="641" spans="5:5" ht="12.75" x14ac:dyDescent="0.2">
      <c r="E641" s="5"/>
    </row>
    <row r="642" spans="5:5" ht="12.75" x14ac:dyDescent="0.2">
      <c r="E642" s="5"/>
    </row>
    <row r="643" spans="5:5" ht="12.75" x14ac:dyDescent="0.2">
      <c r="E643" s="5"/>
    </row>
    <row r="644" spans="5:5" ht="12.75" x14ac:dyDescent="0.2">
      <c r="E644" s="5"/>
    </row>
    <row r="645" spans="5:5" ht="12.75" x14ac:dyDescent="0.2">
      <c r="E645" s="5"/>
    </row>
    <row r="646" spans="5:5" ht="12.75" x14ac:dyDescent="0.2">
      <c r="E646" s="5"/>
    </row>
    <row r="647" spans="5:5" ht="12.75" x14ac:dyDescent="0.2">
      <c r="E647" s="5"/>
    </row>
    <row r="648" spans="5:5" ht="12.75" x14ac:dyDescent="0.2">
      <c r="E648" s="5"/>
    </row>
    <row r="649" spans="5:5" ht="12.75" x14ac:dyDescent="0.2">
      <c r="E649" s="5"/>
    </row>
    <row r="650" spans="5:5" ht="12.75" x14ac:dyDescent="0.2">
      <c r="E650" s="5"/>
    </row>
    <row r="651" spans="5:5" ht="12.75" x14ac:dyDescent="0.2">
      <c r="E651" s="5"/>
    </row>
    <row r="652" spans="5:5" ht="12.75" x14ac:dyDescent="0.2">
      <c r="E652" s="5"/>
    </row>
    <row r="653" spans="5:5" ht="12.75" x14ac:dyDescent="0.2">
      <c r="E653" s="5"/>
    </row>
    <row r="654" spans="5:5" ht="12.75" x14ac:dyDescent="0.2">
      <c r="E654" s="5"/>
    </row>
    <row r="655" spans="5:5" ht="12.75" x14ac:dyDescent="0.2">
      <c r="E655" s="5"/>
    </row>
    <row r="656" spans="5:5" ht="12.75" x14ac:dyDescent="0.2">
      <c r="E656" s="5"/>
    </row>
    <row r="657" spans="5:5" ht="12.75" x14ac:dyDescent="0.2">
      <c r="E657" s="5"/>
    </row>
    <row r="658" spans="5:5" ht="12.75" x14ac:dyDescent="0.2">
      <c r="E658" s="5"/>
    </row>
    <row r="659" spans="5:5" ht="12.75" x14ac:dyDescent="0.2">
      <c r="E659" s="5"/>
    </row>
    <row r="660" spans="5:5" ht="12.75" x14ac:dyDescent="0.2">
      <c r="E660" s="5"/>
    </row>
    <row r="661" spans="5:5" ht="12.75" x14ac:dyDescent="0.2">
      <c r="E661" s="5"/>
    </row>
    <row r="662" spans="5:5" ht="12.75" x14ac:dyDescent="0.2">
      <c r="E662" s="5"/>
    </row>
    <row r="663" spans="5:5" ht="12.75" x14ac:dyDescent="0.2">
      <c r="E663" s="5"/>
    </row>
    <row r="664" spans="5:5" ht="12.75" x14ac:dyDescent="0.2">
      <c r="E664" s="5"/>
    </row>
    <row r="665" spans="5:5" ht="12.75" x14ac:dyDescent="0.2">
      <c r="E665" s="5"/>
    </row>
    <row r="666" spans="5:5" ht="12.75" x14ac:dyDescent="0.2">
      <c r="E666" s="5"/>
    </row>
    <row r="667" spans="5:5" ht="12.75" x14ac:dyDescent="0.2">
      <c r="E667" s="5"/>
    </row>
    <row r="668" spans="5:5" ht="12.75" x14ac:dyDescent="0.2">
      <c r="E668" s="5"/>
    </row>
    <row r="669" spans="5:5" ht="12.75" x14ac:dyDescent="0.2">
      <c r="E669" s="5"/>
    </row>
    <row r="670" spans="5:5" ht="12.75" x14ac:dyDescent="0.2">
      <c r="E670" s="5"/>
    </row>
    <row r="671" spans="5:5" ht="12.75" x14ac:dyDescent="0.2">
      <c r="E671" s="5"/>
    </row>
    <row r="672" spans="5:5" ht="12.75" x14ac:dyDescent="0.2">
      <c r="E672" s="5"/>
    </row>
    <row r="673" spans="5:5" ht="12.75" x14ac:dyDescent="0.2">
      <c r="E673" s="5"/>
    </row>
    <row r="674" spans="5:5" ht="12.75" x14ac:dyDescent="0.2">
      <c r="E674" s="5"/>
    </row>
    <row r="675" spans="5:5" ht="12.75" x14ac:dyDescent="0.2">
      <c r="E675" s="5"/>
    </row>
    <row r="676" spans="5:5" ht="12.75" x14ac:dyDescent="0.2">
      <c r="E676" s="5"/>
    </row>
    <row r="677" spans="5:5" ht="12.75" x14ac:dyDescent="0.2">
      <c r="E677" s="5"/>
    </row>
    <row r="678" spans="5:5" ht="12.75" x14ac:dyDescent="0.2">
      <c r="E678" s="5"/>
    </row>
    <row r="679" spans="5:5" ht="12.75" x14ac:dyDescent="0.2">
      <c r="E679" s="5"/>
    </row>
    <row r="680" spans="5:5" ht="12.75" x14ac:dyDescent="0.2">
      <c r="E680" s="5"/>
    </row>
    <row r="681" spans="5:5" ht="12.75" x14ac:dyDescent="0.2">
      <c r="E681" s="5"/>
    </row>
    <row r="682" spans="5:5" ht="12.75" x14ac:dyDescent="0.2">
      <c r="E682" s="5"/>
    </row>
    <row r="683" spans="5:5" ht="12.75" x14ac:dyDescent="0.2">
      <c r="E683" s="5"/>
    </row>
    <row r="684" spans="5:5" ht="12.75" x14ac:dyDescent="0.2">
      <c r="E684" s="5"/>
    </row>
    <row r="685" spans="5:5" ht="12.75" x14ac:dyDescent="0.2">
      <c r="E685" s="5"/>
    </row>
    <row r="686" spans="5:5" ht="12.75" x14ac:dyDescent="0.2">
      <c r="E686" s="5"/>
    </row>
    <row r="687" spans="5:5" ht="12.75" x14ac:dyDescent="0.2">
      <c r="E687" s="5"/>
    </row>
    <row r="688" spans="5:5" ht="12.75" x14ac:dyDescent="0.2">
      <c r="E688" s="5"/>
    </row>
    <row r="689" spans="5:5" ht="12.75" x14ac:dyDescent="0.2">
      <c r="E689" s="5"/>
    </row>
    <row r="690" spans="5:5" ht="12.75" x14ac:dyDescent="0.2">
      <c r="E690" s="5"/>
    </row>
    <row r="691" spans="5:5" ht="12.75" x14ac:dyDescent="0.2">
      <c r="E691" s="5"/>
    </row>
    <row r="692" spans="5:5" ht="12.75" x14ac:dyDescent="0.2">
      <c r="E692" s="5"/>
    </row>
    <row r="693" spans="5:5" ht="12.75" x14ac:dyDescent="0.2">
      <c r="E693" s="5"/>
    </row>
    <row r="694" spans="5:5" ht="12.75" x14ac:dyDescent="0.2">
      <c r="E694" s="5"/>
    </row>
    <row r="695" spans="5:5" ht="12.75" x14ac:dyDescent="0.2">
      <c r="E695" s="5"/>
    </row>
    <row r="696" spans="5:5" ht="12.75" x14ac:dyDescent="0.2">
      <c r="E696" s="5"/>
    </row>
    <row r="697" spans="5:5" ht="12.75" x14ac:dyDescent="0.2">
      <c r="E697" s="5"/>
    </row>
    <row r="698" spans="5:5" ht="12.75" x14ac:dyDescent="0.2">
      <c r="E698" s="5"/>
    </row>
    <row r="699" spans="5:5" ht="12.75" x14ac:dyDescent="0.2">
      <c r="E699" s="5"/>
    </row>
    <row r="700" spans="5:5" ht="12.75" x14ac:dyDescent="0.2">
      <c r="E700" s="5"/>
    </row>
    <row r="701" spans="5:5" ht="12.75" x14ac:dyDescent="0.2">
      <c r="E701" s="5"/>
    </row>
    <row r="702" spans="5:5" ht="12.75" x14ac:dyDescent="0.2">
      <c r="E702" s="5"/>
    </row>
    <row r="703" spans="5:5" ht="12.75" x14ac:dyDescent="0.2">
      <c r="E703" s="5"/>
    </row>
    <row r="704" spans="5:5" ht="12.75" x14ac:dyDescent="0.2">
      <c r="E704" s="5"/>
    </row>
    <row r="705" spans="5:5" ht="12.75" x14ac:dyDescent="0.2">
      <c r="E705" s="5"/>
    </row>
    <row r="706" spans="5:5" ht="12.75" x14ac:dyDescent="0.2">
      <c r="E706" s="5"/>
    </row>
    <row r="707" spans="5:5" ht="12.75" x14ac:dyDescent="0.2">
      <c r="E707" s="5"/>
    </row>
    <row r="708" spans="5:5" ht="12.75" x14ac:dyDescent="0.2">
      <c r="E708" s="5"/>
    </row>
    <row r="709" spans="5:5" ht="12.75" x14ac:dyDescent="0.2">
      <c r="E709" s="5"/>
    </row>
    <row r="710" spans="5:5" ht="12.75" x14ac:dyDescent="0.2">
      <c r="E710" s="5"/>
    </row>
    <row r="711" spans="5:5" ht="12.75" x14ac:dyDescent="0.2">
      <c r="E711" s="5"/>
    </row>
    <row r="712" spans="5:5" ht="12.75" x14ac:dyDescent="0.2">
      <c r="E712" s="5"/>
    </row>
    <row r="713" spans="5:5" ht="12.75" x14ac:dyDescent="0.2">
      <c r="E713" s="5"/>
    </row>
    <row r="714" spans="5:5" ht="12.75" x14ac:dyDescent="0.2">
      <c r="E714" s="5"/>
    </row>
    <row r="715" spans="5:5" ht="12.75" x14ac:dyDescent="0.2">
      <c r="E715" s="5"/>
    </row>
    <row r="716" spans="5:5" ht="12.75" x14ac:dyDescent="0.2">
      <c r="E716" s="5"/>
    </row>
    <row r="717" spans="5:5" ht="12.75" x14ac:dyDescent="0.2">
      <c r="E717" s="5"/>
    </row>
    <row r="718" spans="5:5" ht="12.75" x14ac:dyDescent="0.2">
      <c r="E718" s="5"/>
    </row>
    <row r="719" spans="5:5" ht="12.75" x14ac:dyDescent="0.2">
      <c r="E719" s="5"/>
    </row>
    <row r="720" spans="5:5" ht="12.75" x14ac:dyDescent="0.2">
      <c r="E720" s="5"/>
    </row>
    <row r="721" spans="5:5" ht="12.75" x14ac:dyDescent="0.2">
      <c r="E721" s="5"/>
    </row>
    <row r="722" spans="5:5" ht="12.75" x14ac:dyDescent="0.2">
      <c r="E722" s="5"/>
    </row>
    <row r="723" spans="5:5" ht="12.75" x14ac:dyDescent="0.2">
      <c r="E723" s="5"/>
    </row>
    <row r="724" spans="5:5" ht="12.75" x14ac:dyDescent="0.2">
      <c r="E724" s="5"/>
    </row>
    <row r="725" spans="5:5" ht="12.75" x14ac:dyDescent="0.2">
      <c r="E725" s="5"/>
    </row>
    <row r="726" spans="5:5" ht="12.75" x14ac:dyDescent="0.2">
      <c r="E726" s="5"/>
    </row>
    <row r="727" spans="5:5" ht="12.75" x14ac:dyDescent="0.2">
      <c r="E727" s="5"/>
    </row>
    <row r="728" spans="5:5" ht="12.75" x14ac:dyDescent="0.2">
      <c r="E728" s="5"/>
    </row>
    <row r="729" spans="5:5" ht="12.75" x14ac:dyDescent="0.2">
      <c r="E729" s="5"/>
    </row>
    <row r="730" spans="5:5" ht="12.75" x14ac:dyDescent="0.2">
      <c r="E730" s="5"/>
    </row>
    <row r="731" spans="5:5" ht="12.75" x14ac:dyDescent="0.2">
      <c r="E731" s="5"/>
    </row>
    <row r="732" spans="5:5" ht="12.75" x14ac:dyDescent="0.2">
      <c r="E732" s="5"/>
    </row>
    <row r="733" spans="5:5" ht="12.75" x14ac:dyDescent="0.2">
      <c r="E733" s="5"/>
    </row>
    <row r="734" spans="5:5" ht="12.75" x14ac:dyDescent="0.2">
      <c r="E734" s="5"/>
    </row>
    <row r="735" spans="5:5" ht="12.75" x14ac:dyDescent="0.2">
      <c r="E735" s="5"/>
    </row>
    <row r="736" spans="5:5" ht="12.75" x14ac:dyDescent="0.2">
      <c r="E736" s="5"/>
    </row>
    <row r="737" spans="5:5" ht="12.75" x14ac:dyDescent="0.2">
      <c r="E737" s="5"/>
    </row>
    <row r="738" spans="5:5" ht="12.75" x14ac:dyDescent="0.2">
      <c r="E738" s="5"/>
    </row>
    <row r="739" spans="5:5" ht="12.75" x14ac:dyDescent="0.2">
      <c r="E739" s="5"/>
    </row>
    <row r="740" spans="5:5" ht="12.75" x14ac:dyDescent="0.2">
      <c r="E740" s="5"/>
    </row>
    <row r="741" spans="5:5" ht="12.75" x14ac:dyDescent="0.2">
      <c r="E741" s="5"/>
    </row>
    <row r="742" spans="5:5" ht="12.75" x14ac:dyDescent="0.2">
      <c r="E742" s="5"/>
    </row>
    <row r="743" spans="5:5" ht="12.75" x14ac:dyDescent="0.2">
      <c r="E743" s="5"/>
    </row>
    <row r="744" spans="5:5" ht="12.75" x14ac:dyDescent="0.2">
      <c r="E744" s="5"/>
    </row>
    <row r="745" spans="5:5" ht="12.75" x14ac:dyDescent="0.2">
      <c r="E745" s="5"/>
    </row>
    <row r="746" spans="5:5" ht="12.75" x14ac:dyDescent="0.2">
      <c r="E746" s="5"/>
    </row>
    <row r="747" spans="5:5" ht="12.75" x14ac:dyDescent="0.2">
      <c r="E747" s="5"/>
    </row>
    <row r="748" spans="5:5" ht="12.75" x14ac:dyDescent="0.2">
      <c r="E748" s="5"/>
    </row>
    <row r="749" spans="5:5" ht="12.75" x14ac:dyDescent="0.2">
      <c r="E749" s="5"/>
    </row>
    <row r="750" spans="5:5" ht="12.75" x14ac:dyDescent="0.2">
      <c r="E750" s="5"/>
    </row>
    <row r="751" spans="5:5" ht="12.75" x14ac:dyDescent="0.2">
      <c r="E751" s="5"/>
    </row>
    <row r="752" spans="5:5" ht="12.75" x14ac:dyDescent="0.2">
      <c r="E752" s="5"/>
    </row>
    <row r="753" spans="5:5" ht="12.75" x14ac:dyDescent="0.2">
      <c r="E753" s="5"/>
    </row>
    <row r="754" spans="5:5" ht="12.75" x14ac:dyDescent="0.2">
      <c r="E754" s="5"/>
    </row>
    <row r="755" spans="5:5" ht="12.75" x14ac:dyDescent="0.2">
      <c r="E755" s="5"/>
    </row>
    <row r="756" spans="5:5" ht="12.75" x14ac:dyDescent="0.2">
      <c r="E756" s="5"/>
    </row>
    <row r="757" spans="5:5" ht="12.75" x14ac:dyDescent="0.2">
      <c r="E757" s="5"/>
    </row>
    <row r="758" spans="5:5" ht="12.75" x14ac:dyDescent="0.2">
      <c r="E758" s="5"/>
    </row>
    <row r="759" spans="5:5" ht="12.75" x14ac:dyDescent="0.2">
      <c r="E759" s="5"/>
    </row>
    <row r="760" spans="5:5" ht="12.75" x14ac:dyDescent="0.2">
      <c r="E760" s="5"/>
    </row>
    <row r="761" spans="5:5" ht="12.75" x14ac:dyDescent="0.2">
      <c r="E761" s="5"/>
    </row>
    <row r="762" spans="5:5" ht="12.75" x14ac:dyDescent="0.2">
      <c r="E762" s="5"/>
    </row>
    <row r="763" spans="5:5" ht="12.75" x14ac:dyDescent="0.2">
      <c r="E763" s="5"/>
    </row>
    <row r="764" spans="5:5" ht="12.75" x14ac:dyDescent="0.2">
      <c r="E764" s="5"/>
    </row>
    <row r="765" spans="5:5" ht="12.75" x14ac:dyDescent="0.2">
      <c r="E765" s="5"/>
    </row>
    <row r="766" spans="5:5" ht="12.75" x14ac:dyDescent="0.2">
      <c r="E766" s="5"/>
    </row>
    <row r="767" spans="5:5" ht="12.75" x14ac:dyDescent="0.2">
      <c r="E767" s="5"/>
    </row>
    <row r="768" spans="5:5" ht="12.75" x14ac:dyDescent="0.2">
      <c r="E768" s="5"/>
    </row>
    <row r="769" spans="5:5" ht="12.75" x14ac:dyDescent="0.2">
      <c r="E769" s="5"/>
    </row>
    <row r="770" spans="5:5" ht="12.75" x14ac:dyDescent="0.2">
      <c r="E770" s="5"/>
    </row>
    <row r="771" spans="5:5" ht="12.75" x14ac:dyDescent="0.2">
      <c r="E771" s="5"/>
    </row>
    <row r="772" spans="5:5" ht="12.75" x14ac:dyDescent="0.2">
      <c r="E772" s="5"/>
    </row>
    <row r="773" spans="5:5" ht="12.75" x14ac:dyDescent="0.2">
      <c r="E773" s="5"/>
    </row>
    <row r="774" spans="5:5" ht="12.75" x14ac:dyDescent="0.2">
      <c r="E774" s="5"/>
    </row>
    <row r="775" spans="5:5" ht="12.75" x14ac:dyDescent="0.2">
      <c r="E775" s="5"/>
    </row>
    <row r="776" spans="5:5" ht="12.75" x14ac:dyDescent="0.2">
      <c r="E776" s="5"/>
    </row>
    <row r="777" spans="5:5" ht="12.75" x14ac:dyDescent="0.2">
      <c r="E777" s="5"/>
    </row>
    <row r="778" spans="5:5" ht="12.75" x14ac:dyDescent="0.2">
      <c r="E778" s="5"/>
    </row>
    <row r="779" spans="5:5" ht="12.75" x14ac:dyDescent="0.2">
      <c r="E779" s="5"/>
    </row>
    <row r="780" spans="5:5" ht="12.75" x14ac:dyDescent="0.2">
      <c r="E780" s="5"/>
    </row>
    <row r="781" spans="5:5" ht="12.75" x14ac:dyDescent="0.2">
      <c r="E781" s="5"/>
    </row>
    <row r="782" spans="5:5" ht="12.75" x14ac:dyDescent="0.2">
      <c r="E782" s="5"/>
    </row>
    <row r="783" spans="5:5" ht="12.75" x14ac:dyDescent="0.2">
      <c r="E783" s="5"/>
    </row>
    <row r="784" spans="5:5" ht="12.75" x14ac:dyDescent="0.2">
      <c r="E784" s="5"/>
    </row>
    <row r="785" spans="5:5" ht="12.75" x14ac:dyDescent="0.2">
      <c r="E785" s="5"/>
    </row>
    <row r="786" spans="5:5" ht="12.75" x14ac:dyDescent="0.2">
      <c r="E786" s="5"/>
    </row>
    <row r="787" spans="5:5" ht="12.75" x14ac:dyDescent="0.2">
      <c r="E787" s="5"/>
    </row>
    <row r="788" spans="5:5" ht="12.75" x14ac:dyDescent="0.2">
      <c r="E788" s="5"/>
    </row>
    <row r="789" spans="5:5" ht="12.75" x14ac:dyDescent="0.2">
      <c r="E789" s="5"/>
    </row>
    <row r="790" spans="5:5" ht="12.75" x14ac:dyDescent="0.2">
      <c r="E790" s="5"/>
    </row>
    <row r="791" spans="5:5" ht="12.75" x14ac:dyDescent="0.2">
      <c r="E791" s="5"/>
    </row>
    <row r="792" spans="5:5" ht="12.75" x14ac:dyDescent="0.2">
      <c r="E792" s="5"/>
    </row>
    <row r="793" spans="5:5" ht="12.75" x14ac:dyDescent="0.2">
      <c r="E793" s="5"/>
    </row>
    <row r="794" spans="5:5" ht="12.75" x14ac:dyDescent="0.2">
      <c r="E794" s="5"/>
    </row>
    <row r="795" spans="5:5" ht="12.75" x14ac:dyDescent="0.2">
      <c r="E795" s="5"/>
    </row>
    <row r="796" spans="5:5" ht="12.75" x14ac:dyDescent="0.2">
      <c r="E796" s="5"/>
    </row>
    <row r="797" spans="5:5" ht="12.75" x14ac:dyDescent="0.2">
      <c r="E797" s="5"/>
    </row>
    <row r="798" spans="5:5" ht="12.75" x14ac:dyDescent="0.2">
      <c r="E798" s="5"/>
    </row>
    <row r="799" spans="5:5" ht="12.75" x14ac:dyDescent="0.2">
      <c r="E799" s="5"/>
    </row>
    <row r="800" spans="5:5" ht="12.75" x14ac:dyDescent="0.2">
      <c r="E800" s="5"/>
    </row>
    <row r="801" spans="5:5" ht="12.75" x14ac:dyDescent="0.2">
      <c r="E801" s="5"/>
    </row>
    <row r="802" spans="5:5" ht="12.75" x14ac:dyDescent="0.2">
      <c r="E802" s="5"/>
    </row>
    <row r="803" spans="5:5" ht="12.75" x14ac:dyDescent="0.2">
      <c r="E803" s="5"/>
    </row>
    <row r="804" spans="5:5" ht="12.75" x14ac:dyDescent="0.2">
      <c r="E804" s="5"/>
    </row>
    <row r="805" spans="5:5" ht="12.75" x14ac:dyDescent="0.2">
      <c r="E805" s="5"/>
    </row>
    <row r="806" spans="5:5" ht="12.75" x14ac:dyDescent="0.2">
      <c r="E806" s="5"/>
    </row>
    <row r="807" spans="5:5" ht="12.75" x14ac:dyDescent="0.2">
      <c r="E807" s="5"/>
    </row>
    <row r="808" spans="5:5" ht="12.75" x14ac:dyDescent="0.2">
      <c r="E808" s="5"/>
    </row>
    <row r="809" spans="5:5" ht="12.75" x14ac:dyDescent="0.2">
      <c r="E809" s="5"/>
    </row>
    <row r="810" spans="5:5" ht="12.75" x14ac:dyDescent="0.2">
      <c r="E810" s="5"/>
    </row>
    <row r="811" spans="5:5" ht="12.75" x14ac:dyDescent="0.2">
      <c r="E811" s="5"/>
    </row>
    <row r="812" spans="5:5" ht="12.75" x14ac:dyDescent="0.2">
      <c r="E812" s="5"/>
    </row>
    <row r="813" spans="5:5" ht="12.75" x14ac:dyDescent="0.2">
      <c r="E813" s="5"/>
    </row>
    <row r="814" spans="5:5" ht="12.75" x14ac:dyDescent="0.2">
      <c r="E814" s="5"/>
    </row>
    <row r="815" spans="5:5" ht="12.75" x14ac:dyDescent="0.2">
      <c r="E815" s="5"/>
    </row>
    <row r="816" spans="5:5" ht="12.75" x14ac:dyDescent="0.2">
      <c r="E816" s="5"/>
    </row>
    <row r="817" spans="5:5" ht="12.75" x14ac:dyDescent="0.2">
      <c r="E817" s="5"/>
    </row>
    <row r="818" spans="5:5" ht="12.75" x14ac:dyDescent="0.2">
      <c r="E818" s="5"/>
    </row>
    <row r="819" spans="5:5" ht="12.75" x14ac:dyDescent="0.2">
      <c r="E819" s="5"/>
    </row>
    <row r="820" spans="5:5" ht="12.75" x14ac:dyDescent="0.2">
      <c r="E820" s="5"/>
    </row>
    <row r="821" spans="5:5" ht="12.75" x14ac:dyDescent="0.2">
      <c r="E821" s="5"/>
    </row>
    <row r="822" spans="5:5" ht="12.75" x14ac:dyDescent="0.2">
      <c r="E822" s="5"/>
    </row>
    <row r="823" spans="5:5" ht="12.75" x14ac:dyDescent="0.2">
      <c r="E823" s="5"/>
    </row>
    <row r="824" spans="5:5" ht="12.75" x14ac:dyDescent="0.2">
      <c r="E824" s="5"/>
    </row>
    <row r="825" spans="5:5" ht="12.75" x14ac:dyDescent="0.2">
      <c r="E825" s="5"/>
    </row>
    <row r="826" spans="5:5" ht="12.75" x14ac:dyDescent="0.2">
      <c r="E826" s="5"/>
    </row>
    <row r="827" spans="5:5" ht="12.75" x14ac:dyDescent="0.2">
      <c r="E827" s="5"/>
    </row>
    <row r="828" spans="5:5" ht="12.75" x14ac:dyDescent="0.2">
      <c r="E828" s="5"/>
    </row>
    <row r="829" spans="5:5" ht="12.75" x14ac:dyDescent="0.2">
      <c r="E829" s="5"/>
    </row>
    <row r="830" spans="5:5" ht="12.75" x14ac:dyDescent="0.2">
      <c r="E830" s="5"/>
    </row>
    <row r="831" spans="5:5" ht="12.75" x14ac:dyDescent="0.2">
      <c r="E831" s="5"/>
    </row>
    <row r="832" spans="5:5" ht="12.75" x14ac:dyDescent="0.2">
      <c r="E832" s="5"/>
    </row>
    <row r="833" spans="5:5" ht="12.75" x14ac:dyDescent="0.2">
      <c r="E833" s="5"/>
    </row>
    <row r="834" spans="5:5" ht="12.75" x14ac:dyDescent="0.2">
      <c r="E834" s="5"/>
    </row>
    <row r="835" spans="5:5" ht="12.75" x14ac:dyDescent="0.2">
      <c r="E835" s="5"/>
    </row>
    <row r="836" spans="5:5" ht="12.75" x14ac:dyDescent="0.2">
      <c r="E836" s="5"/>
    </row>
    <row r="837" spans="5:5" ht="12.75" x14ac:dyDescent="0.2">
      <c r="E837" s="5"/>
    </row>
    <row r="838" spans="5:5" ht="12.75" x14ac:dyDescent="0.2">
      <c r="E838" s="5"/>
    </row>
    <row r="839" spans="5:5" ht="12.75" x14ac:dyDescent="0.2">
      <c r="E839" s="5"/>
    </row>
    <row r="840" spans="5:5" ht="12.75" x14ac:dyDescent="0.2">
      <c r="E840" s="5"/>
    </row>
    <row r="841" spans="5:5" ht="12.75" x14ac:dyDescent="0.2">
      <c r="E841" s="5"/>
    </row>
    <row r="842" spans="5:5" ht="12.75" x14ac:dyDescent="0.2">
      <c r="E842" s="5"/>
    </row>
    <row r="843" spans="5:5" ht="12.75" x14ac:dyDescent="0.2">
      <c r="E843" s="5"/>
    </row>
    <row r="844" spans="5:5" ht="12.75" x14ac:dyDescent="0.2">
      <c r="E844" s="5"/>
    </row>
    <row r="845" spans="5:5" ht="12.75" x14ac:dyDescent="0.2">
      <c r="E845" s="5"/>
    </row>
    <row r="846" spans="5:5" ht="12.75" x14ac:dyDescent="0.2">
      <c r="E846" s="5"/>
    </row>
    <row r="847" spans="5:5" ht="12.75" x14ac:dyDescent="0.2">
      <c r="E847" s="5"/>
    </row>
    <row r="848" spans="5:5" ht="12.75" x14ac:dyDescent="0.2">
      <c r="E848" s="5"/>
    </row>
    <row r="849" spans="5:5" ht="12.75" x14ac:dyDescent="0.2">
      <c r="E849" s="5"/>
    </row>
    <row r="850" spans="5:5" ht="12.75" x14ac:dyDescent="0.2">
      <c r="E850" s="5"/>
    </row>
    <row r="851" spans="5:5" ht="12.75" x14ac:dyDescent="0.2">
      <c r="E851" s="5"/>
    </row>
    <row r="852" spans="5:5" ht="12.75" x14ac:dyDescent="0.2">
      <c r="E852" s="5"/>
    </row>
    <row r="853" spans="5:5" ht="12.75" x14ac:dyDescent="0.2">
      <c r="E853" s="5"/>
    </row>
    <row r="854" spans="5:5" ht="12.75" x14ac:dyDescent="0.2">
      <c r="E854" s="5"/>
    </row>
    <row r="855" spans="5:5" ht="12.75" x14ac:dyDescent="0.2">
      <c r="E855" s="5"/>
    </row>
    <row r="856" spans="5:5" ht="12.75" x14ac:dyDescent="0.2">
      <c r="E856" s="5"/>
    </row>
    <row r="857" spans="5:5" ht="12.75" x14ac:dyDescent="0.2">
      <c r="E857" s="5"/>
    </row>
    <row r="858" spans="5:5" ht="12.75" x14ac:dyDescent="0.2">
      <c r="E858" s="5"/>
    </row>
    <row r="859" spans="5:5" ht="12.75" x14ac:dyDescent="0.2">
      <c r="E859" s="5"/>
    </row>
    <row r="860" spans="5:5" ht="12.75" x14ac:dyDescent="0.2">
      <c r="E860" s="5"/>
    </row>
    <row r="861" spans="5:5" ht="12.75" x14ac:dyDescent="0.2">
      <c r="E861" s="5"/>
    </row>
    <row r="862" spans="5:5" ht="12.75" x14ac:dyDescent="0.2">
      <c r="E862" s="5"/>
    </row>
    <row r="863" spans="5:5" ht="12.75" x14ac:dyDescent="0.2">
      <c r="E863" s="5"/>
    </row>
    <row r="864" spans="5:5" ht="12.75" x14ac:dyDescent="0.2">
      <c r="E864" s="5"/>
    </row>
    <row r="865" spans="5:5" ht="12.75" x14ac:dyDescent="0.2">
      <c r="E865" s="5"/>
    </row>
    <row r="866" spans="5:5" ht="12.75" x14ac:dyDescent="0.2">
      <c r="E866" s="5"/>
    </row>
    <row r="867" spans="5:5" ht="12.75" x14ac:dyDescent="0.2">
      <c r="E867" s="5"/>
    </row>
    <row r="868" spans="5:5" ht="12.75" x14ac:dyDescent="0.2">
      <c r="E868" s="5"/>
    </row>
    <row r="869" spans="5:5" ht="12.75" x14ac:dyDescent="0.2">
      <c r="E869" s="5"/>
    </row>
    <row r="870" spans="5:5" ht="12.75" x14ac:dyDescent="0.2">
      <c r="E870" s="5"/>
    </row>
    <row r="871" spans="5:5" ht="12.75" x14ac:dyDescent="0.2">
      <c r="E871" s="5"/>
    </row>
    <row r="872" spans="5:5" ht="12.75" x14ac:dyDescent="0.2">
      <c r="E872" s="5"/>
    </row>
    <row r="873" spans="5:5" ht="12.75" x14ac:dyDescent="0.2">
      <c r="E873" s="5"/>
    </row>
    <row r="874" spans="5:5" ht="12.75" x14ac:dyDescent="0.2">
      <c r="E874" s="5"/>
    </row>
    <row r="875" spans="5:5" ht="12.75" x14ac:dyDescent="0.2">
      <c r="E875" s="5"/>
    </row>
    <row r="876" spans="5:5" ht="12.75" x14ac:dyDescent="0.2">
      <c r="E876" s="5"/>
    </row>
    <row r="877" spans="5:5" ht="12.75" x14ac:dyDescent="0.2">
      <c r="E877" s="5"/>
    </row>
    <row r="878" spans="5:5" ht="12.75" x14ac:dyDescent="0.2">
      <c r="E878" s="5"/>
    </row>
    <row r="879" spans="5:5" ht="12.75" x14ac:dyDescent="0.2">
      <c r="E879" s="5"/>
    </row>
    <row r="880" spans="5:5" ht="12.75" x14ac:dyDescent="0.2">
      <c r="E880" s="5"/>
    </row>
    <row r="881" spans="5:5" ht="12.75" x14ac:dyDescent="0.2">
      <c r="E881" s="5"/>
    </row>
    <row r="882" spans="5:5" ht="12.75" x14ac:dyDescent="0.2">
      <c r="E882" s="5"/>
    </row>
    <row r="883" spans="5:5" ht="12.75" x14ac:dyDescent="0.2">
      <c r="E883" s="5"/>
    </row>
    <row r="884" spans="5:5" ht="12.75" x14ac:dyDescent="0.2">
      <c r="E884" s="5"/>
    </row>
    <row r="885" spans="5:5" ht="12.75" x14ac:dyDescent="0.2">
      <c r="E885" s="5"/>
    </row>
    <row r="886" spans="5:5" ht="12.75" x14ac:dyDescent="0.2">
      <c r="E886" s="5"/>
    </row>
    <row r="887" spans="5:5" ht="12.75" x14ac:dyDescent="0.2">
      <c r="E887" s="5"/>
    </row>
    <row r="888" spans="5:5" ht="12.75" x14ac:dyDescent="0.2">
      <c r="E888" s="5"/>
    </row>
    <row r="889" spans="5:5" ht="12.75" x14ac:dyDescent="0.2">
      <c r="E889" s="5"/>
    </row>
    <row r="890" spans="5:5" ht="12.75" x14ac:dyDescent="0.2">
      <c r="E890" s="5"/>
    </row>
    <row r="891" spans="5:5" ht="12.75" x14ac:dyDescent="0.2">
      <c r="E891" s="5"/>
    </row>
    <row r="892" spans="5:5" ht="12.75" x14ac:dyDescent="0.2">
      <c r="E892" s="5"/>
    </row>
    <row r="893" spans="5:5" ht="12.75" x14ac:dyDescent="0.2">
      <c r="E893" s="5"/>
    </row>
    <row r="894" spans="5:5" ht="12.75" x14ac:dyDescent="0.2">
      <c r="E894" s="5"/>
    </row>
    <row r="895" spans="5:5" ht="12.75" x14ac:dyDescent="0.2">
      <c r="E895" s="5"/>
    </row>
    <row r="896" spans="5:5" ht="12.75" x14ac:dyDescent="0.2">
      <c r="E896" s="5"/>
    </row>
    <row r="897" spans="5:5" ht="12.75" x14ac:dyDescent="0.2">
      <c r="E897" s="5"/>
    </row>
    <row r="898" spans="5:5" ht="12.75" x14ac:dyDescent="0.2">
      <c r="E898" s="5"/>
    </row>
    <row r="899" spans="5:5" ht="12.75" x14ac:dyDescent="0.2">
      <c r="E899" s="5"/>
    </row>
    <row r="900" spans="5:5" ht="12.75" x14ac:dyDescent="0.2">
      <c r="E900" s="5"/>
    </row>
    <row r="901" spans="5:5" ht="12.75" x14ac:dyDescent="0.2">
      <c r="E901" s="5"/>
    </row>
    <row r="902" spans="5:5" ht="12.75" x14ac:dyDescent="0.2">
      <c r="E902" s="5"/>
    </row>
    <row r="903" spans="5:5" ht="12.75" x14ac:dyDescent="0.2">
      <c r="E903" s="5"/>
    </row>
    <row r="904" spans="5:5" ht="12.75" x14ac:dyDescent="0.2">
      <c r="E904" s="5"/>
    </row>
    <row r="905" spans="5:5" ht="12.75" x14ac:dyDescent="0.2">
      <c r="E905" s="5"/>
    </row>
    <row r="906" spans="5:5" ht="12.75" x14ac:dyDescent="0.2">
      <c r="E906" s="5"/>
    </row>
    <row r="907" spans="5:5" ht="12.75" x14ac:dyDescent="0.2">
      <c r="E907" s="5"/>
    </row>
    <row r="908" spans="5:5" ht="12.75" x14ac:dyDescent="0.2">
      <c r="E908" s="5"/>
    </row>
    <row r="909" spans="5:5" ht="12.75" x14ac:dyDescent="0.2">
      <c r="E909" s="5"/>
    </row>
    <row r="910" spans="5:5" ht="12.75" x14ac:dyDescent="0.2">
      <c r="E910" s="5"/>
    </row>
    <row r="911" spans="5:5" ht="12.75" x14ac:dyDescent="0.2">
      <c r="E911" s="5"/>
    </row>
    <row r="912" spans="5:5" ht="12.75" x14ac:dyDescent="0.2">
      <c r="E912" s="5"/>
    </row>
    <row r="913" spans="5:5" ht="12.75" x14ac:dyDescent="0.2">
      <c r="E913" s="5"/>
    </row>
    <row r="914" spans="5:5" ht="12.75" x14ac:dyDescent="0.2">
      <c r="E914" s="5"/>
    </row>
    <row r="915" spans="5:5" ht="12.75" x14ac:dyDescent="0.2">
      <c r="E915" s="5"/>
    </row>
    <row r="916" spans="5:5" ht="12.75" x14ac:dyDescent="0.2">
      <c r="E916" s="5"/>
    </row>
    <row r="917" spans="5:5" ht="12.75" x14ac:dyDescent="0.2">
      <c r="E917" s="5"/>
    </row>
    <row r="918" spans="5:5" ht="12.75" x14ac:dyDescent="0.2">
      <c r="E918" s="5"/>
    </row>
    <row r="919" spans="5:5" ht="12.75" x14ac:dyDescent="0.2">
      <c r="E919" s="5"/>
    </row>
    <row r="920" spans="5:5" ht="12.75" x14ac:dyDescent="0.2">
      <c r="E920" s="5"/>
    </row>
    <row r="921" spans="5:5" ht="12.75" x14ac:dyDescent="0.2">
      <c r="E921" s="5"/>
    </row>
    <row r="922" spans="5:5" ht="12.75" x14ac:dyDescent="0.2">
      <c r="E922" s="5"/>
    </row>
    <row r="923" spans="5:5" ht="12.75" x14ac:dyDescent="0.2">
      <c r="E923" s="5"/>
    </row>
    <row r="924" spans="5:5" ht="12.75" x14ac:dyDescent="0.2">
      <c r="E924" s="5"/>
    </row>
    <row r="925" spans="5:5" ht="12.75" x14ac:dyDescent="0.2">
      <c r="E925" s="5"/>
    </row>
    <row r="926" spans="5:5" ht="12.75" x14ac:dyDescent="0.2">
      <c r="E926" s="5"/>
    </row>
    <row r="927" spans="5:5" ht="12.75" x14ac:dyDescent="0.2">
      <c r="E927" s="5"/>
    </row>
    <row r="928" spans="5:5" ht="12.75" x14ac:dyDescent="0.2">
      <c r="E928" s="5"/>
    </row>
    <row r="929" spans="5:5" ht="12.75" x14ac:dyDescent="0.2">
      <c r="E929" s="5"/>
    </row>
    <row r="930" spans="5:5" ht="12.75" x14ac:dyDescent="0.2">
      <c r="E930" s="5"/>
    </row>
    <row r="931" spans="5:5" ht="12.75" x14ac:dyDescent="0.2">
      <c r="E931" s="5"/>
    </row>
    <row r="932" spans="5:5" ht="12.75" x14ac:dyDescent="0.2">
      <c r="E932" s="5"/>
    </row>
    <row r="933" spans="5:5" ht="12.75" x14ac:dyDescent="0.2">
      <c r="E933" s="5"/>
    </row>
    <row r="934" spans="5:5" ht="12.75" x14ac:dyDescent="0.2">
      <c r="E934" s="5"/>
    </row>
    <row r="935" spans="5:5" ht="12.75" x14ac:dyDescent="0.2">
      <c r="E935" s="5"/>
    </row>
    <row r="936" spans="5:5" ht="12.75" x14ac:dyDescent="0.2">
      <c r="E936" s="5"/>
    </row>
    <row r="937" spans="5:5" ht="12.75" x14ac:dyDescent="0.2">
      <c r="E937" s="5"/>
    </row>
    <row r="938" spans="5:5" ht="12.75" x14ac:dyDescent="0.2">
      <c r="E938" s="5"/>
    </row>
    <row r="939" spans="5:5" ht="12.75" x14ac:dyDescent="0.2">
      <c r="E939" s="5"/>
    </row>
    <row r="940" spans="5:5" ht="12.75" x14ac:dyDescent="0.2">
      <c r="E940" s="5"/>
    </row>
    <row r="941" spans="5:5" ht="12.75" x14ac:dyDescent="0.2">
      <c r="E941" s="5"/>
    </row>
    <row r="942" spans="5:5" ht="12.75" x14ac:dyDescent="0.2">
      <c r="E942" s="5"/>
    </row>
    <row r="943" spans="5:5" ht="12.75" x14ac:dyDescent="0.2">
      <c r="E943" s="5"/>
    </row>
    <row r="944" spans="5:5" ht="12.75" x14ac:dyDescent="0.2">
      <c r="E944" s="5"/>
    </row>
    <row r="945" spans="5:5" ht="12.75" x14ac:dyDescent="0.2">
      <c r="E945" s="5"/>
    </row>
    <row r="946" spans="5:5" ht="12.75" x14ac:dyDescent="0.2">
      <c r="E946" s="5"/>
    </row>
    <row r="947" spans="5:5" ht="12.75" x14ac:dyDescent="0.2">
      <c r="E947" s="5"/>
    </row>
    <row r="948" spans="5:5" ht="12.75" x14ac:dyDescent="0.2">
      <c r="E948" s="5"/>
    </row>
    <row r="949" spans="5:5" ht="12.75" x14ac:dyDescent="0.2">
      <c r="E949" s="5"/>
    </row>
    <row r="950" spans="5:5" ht="12.75" x14ac:dyDescent="0.2">
      <c r="E950" s="5"/>
    </row>
    <row r="951" spans="5:5" ht="12.75" x14ac:dyDescent="0.2">
      <c r="E951" s="5"/>
    </row>
    <row r="952" spans="5:5" ht="12.75" x14ac:dyDescent="0.2">
      <c r="E952" s="5"/>
    </row>
    <row r="953" spans="5:5" ht="12.75" x14ac:dyDescent="0.2">
      <c r="E953" s="5"/>
    </row>
    <row r="954" spans="5:5" ht="12.75" x14ac:dyDescent="0.2">
      <c r="E954" s="5"/>
    </row>
    <row r="955" spans="5:5" ht="12.75" x14ac:dyDescent="0.2">
      <c r="E955" s="5"/>
    </row>
    <row r="956" spans="5:5" ht="12.75" x14ac:dyDescent="0.2">
      <c r="E956" s="5"/>
    </row>
    <row r="957" spans="5:5" ht="12.75" x14ac:dyDescent="0.2">
      <c r="E957" s="5"/>
    </row>
    <row r="958" spans="5:5" ht="12.75" x14ac:dyDescent="0.2">
      <c r="E958" s="5"/>
    </row>
    <row r="959" spans="5:5" ht="12.75" x14ac:dyDescent="0.2">
      <c r="E959" s="5"/>
    </row>
    <row r="960" spans="5:5" ht="12.75" x14ac:dyDescent="0.2">
      <c r="E960" s="5"/>
    </row>
    <row r="961" spans="5:5" ht="12.75" x14ac:dyDescent="0.2">
      <c r="E961" s="5"/>
    </row>
    <row r="962" spans="5:5" ht="12.75" x14ac:dyDescent="0.2">
      <c r="E962" s="5"/>
    </row>
    <row r="963" spans="5:5" ht="12.75" x14ac:dyDescent="0.2">
      <c r="E963" s="5"/>
    </row>
    <row r="964" spans="5:5" ht="12.75" x14ac:dyDescent="0.2">
      <c r="E964" s="5"/>
    </row>
    <row r="965" spans="5:5" ht="12.75" x14ac:dyDescent="0.2">
      <c r="E965" s="5"/>
    </row>
    <row r="966" spans="5:5" ht="12.75" x14ac:dyDescent="0.2">
      <c r="E966" s="5"/>
    </row>
    <row r="967" spans="5:5" ht="12.75" x14ac:dyDescent="0.2">
      <c r="E967" s="5"/>
    </row>
    <row r="968" spans="5:5" ht="12.75" x14ac:dyDescent="0.2">
      <c r="E968" s="5"/>
    </row>
    <row r="969" spans="5:5" ht="12.75" x14ac:dyDescent="0.2">
      <c r="E969" s="5"/>
    </row>
    <row r="970" spans="5:5" ht="12.75" x14ac:dyDescent="0.2">
      <c r="E970" s="5"/>
    </row>
    <row r="971" spans="5:5" ht="12.75" x14ac:dyDescent="0.2">
      <c r="E971" s="5"/>
    </row>
    <row r="972" spans="5:5" ht="12.75" x14ac:dyDescent="0.2">
      <c r="E972" s="5"/>
    </row>
    <row r="973" spans="5:5" ht="12.75" x14ac:dyDescent="0.2">
      <c r="E973" s="5"/>
    </row>
    <row r="974" spans="5:5" ht="12.75" x14ac:dyDescent="0.2">
      <c r="E974" s="5"/>
    </row>
    <row r="975" spans="5:5" ht="12.75" x14ac:dyDescent="0.2">
      <c r="E975" s="5"/>
    </row>
    <row r="976" spans="5:5" ht="12.75" x14ac:dyDescent="0.2">
      <c r="E976" s="5"/>
    </row>
    <row r="977" spans="5:5" ht="12.75" x14ac:dyDescent="0.2">
      <c r="E977" s="5"/>
    </row>
    <row r="978" spans="5:5" ht="12.75" x14ac:dyDescent="0.2">
      <c r="E978" s="5"/>
    </row>
    <row r="979" spans="5:5" ht="12.75" x14ac:dyDescent="0.2">
      <c r="E979" s="5"/>
    </row>
    <row r="980" spans="5:5" ht="12.75" x14ac:dyDescent="0.2">
      <c r="E980" s="5"/>
    </row>
    <row r="981" spans="5:5" ht="12.75" x14ac:dyDescent="0.2">
      <c r="E981" s="5"/>
    </row>
    <row r="982" spans="5:5" ht="12.75" x14ac:dyDescent="0.2">
      <c r="E982" s="5"/>
    </row>
    <row r="983" spans="5:5" ht="12.75" x14ac:dyDescent="0.2">
      <c r="E983" s="5"/>
    </row>
    <row r="984" spans="5:5" ht="12.75" x14ac:dyDescent="0.2">
      <c r="E984" s="5"/>
    </row>
    <row r="985" spans="5:5" ht="12.75" x14ac:dyDescent="0.2">
      <c r="E985" s="5"/>
    </row>
    <row r="986" spans="5:5" ht="12.75" x14ac:dyDescent="0.2">
      <c r="E986" s="5"/>
    </row>
    <row r="987" spans="5:5" ht="12.75" x14ac:dyDescent="0.2">
      <c r="E987" s="5"/>
    </row>
    <row r="988" spans="5:5" ht="12.75" x14ac:dyDescent="0.2">
      <c r="E988" s="5"/>
    </row>
    <row r="989" spans="5:5" ht="12.75" x14ac:dyDescent="0.2">
      <c r="E989" s="5"/>
    </row>
    <row r="990" spans="5:5" ht="12.75" x14ac:dyDescent="0.2">
      <c r="E990" s="5"/>
    </row>
    <row r="991" spans="5:5" ht="12.75" x14ac:dyDescent="0.2">
      <c r="E991" s="5"/>
    </row>
    <row r="992" spans="5:5" ht="12.75" x14ac:dyDescent="0.2">
      <c r="E992" s="5"/>
    </row>
    <row r="993" spans="5:5" ht="12.75" x14ac:dyDescent="0.2">
      <c r="E993" s="5"/>
    </row>
    <row r="994" spans="5:5" ht="12.75" x14ac:dyDescent="0.2">
      <c r="E994" s="5"/>
    </row>
    <row r="995" spans="5:5" ht="12.75" x14ac:dyDescent="0.2">
      <c r="E995" s="5"/>
    </row>
    <row r="996" spans="5:5" ht="12.75" x14ac:dyDescent="0.2">
      <c r="E996" s="5"/>
    </row>
    <row r="997" spans="5:5" ht="12.75" x14ac:dyDescent="0.2">
      <c r="E997" s="5"/>
    </row>
    <row r="998" spans="5:5" ht="12.75" x14ac:dyDescent="0.2">
      <c r="E99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Supplementary Data Legend</vt:lpstr>
      <vt:lpstr>S1- Clinical variables </vt:lpstr>
      <vt:lpstr>S2 - ctDNA fraction</vt:lpstr>
      <vt:lpstr>S3- Missing data</vt:lpstr>
      <vt:lpstr>S4 - Univariable HRs</vt:lpstr>
      <vt:lpstr>S5- Multivariable HRs</vt:lpstr>
      <vt:lpstr>S6 - Model perfomance</vt:lpstr>
      <vt:lpstr>patients characteristics</vt:lpstr>
      <vt:lpstr>All GUBB sample key (tmp)</vt:lpstr>
      <vt:lpstr>GUBB 1L sequencing status</vt:lpstr>
      <vt:lpstr>GUBB 2L and 3L sequencing statu</vt:lpstr>
      <vt:lpstr>CoxPH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Nicolette Fonseca</dc:creator>
  <cp:lastModifiedBy>Cameron Herberts</cp:lastModifiedBy>
  <dcterms:created xsi:type="dcterms:W3CDTF">2023-07-21T16:18:30Z</dcterms:created>
  <dcterms:modified xsi:type="dcterms:W3CDTF">2024-01-15T22:11:17Z</dcterms:modified>
</cp:coreProperties>
</file>